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E4C0EBBA-59BA-4697-BF5F-CB7B87E32528}"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AG15" i="1" l="1"/>
  <c r="AF15" i="1" s="1"/>
  <c r="AG14" i="1"/>
  <c r="AF14" i="1" s="1"/>
  <c r="AC15" i="1"/>
  <c r="AE15" i="1" s="1"/>
  <c r="AC14" i="1"/>
  <c r="AE14" i="1" s="1"/>
  <c r="L15" i="1"/>
  <c r="P15" i="1"/>
  <c r="P14" i="1"/>
  <c r="L11" i="1"/>
  <c r="M11" i="1" s="1"/>
  <c r="V11" i="1"/>
  <c r="Y11" i="1"/>
  <c r="AD14" i="1" l="1"/>
  <c r="AH14" i="1" s="1"/>
  <c r="AC11" i="1"/>
  <c r="AD11" i="1" s="1"/>
  <c r="AD15" i="1"/>
  <c r="AH15" i="1" s="1"/>
  <c r="R15" i="1"/>
  <c r="R14" i="1"/>
  <c r="AE11" i="1" l="1"/>
  <c r="Y13" i="1" l="1"/>
  <c r="V13" i="1"/>
  <c r="L13" i="1"/>
  <c r="L20" i="1"/>
  <c r="O13" i="1"/>
  <c r="P13" i="1" l="1"/>
  <c r="Q13" i="1" s="1"/>
  <c r="AG13" i="1" s="1"/>
  <c r="AF13" i="1" s="1"/>
  <c r="M13" i="1"/>
  <c r="AC13" i="1" s="1"/>
  <c r="AD13" i="1" s="1"/>
  <c r="Y12" i="1"/>
  <c r="V12" i="1"/>
  <c r="L12" i="1"/>
  <c r="M12" i="1" s="1"/>
  <c r="R13" i="1" l="1"/>
  <c r="AH13" i="1"/>
  <c r="AE13" i="1"/>
  <c r="AC12" i="1"/>
  <c r="AD12" i="1" l="1"/>
  <c r="AE12" i="1"/>
  <c r="F221" i="13" l="1"/>
  <c r="F211" i="13"/>
  <c r="F212" i="13"/>
  <c r="F213" i="13"/>
  <c r="F214" i="13"/>
  <c r="F215" i="13"/>
  <c r="F216" i="13"/>
  <c r="F217" i="13"/>
  <c r="F218" i="13"/>
  <c r="F219" i="13"/>
  <c r="F220" i="13"/>
  <c r="F210" i="13"/>
  <c r="B221" i="13" a="1"/>
  <c r="O12" i="1"/>
  <c r="P12" i="1" l="1"/>
  <c r="B221" i="13"/>
  <c r="O11" i="1" s="1"/>
  <c r="P11" i="1" s="1"/>
  <c r="R11" i="1" l="1"/>
  <c r="Q11" i="1"/>
  <c r="AG11" i="1" s="1"/>
  <c r="AF11" i="1" s="1"/>
  <c r="AH11" i="1" s="1"/>
  <c r="Q12" i="1"/>
  <c r="AG12" i="1" s="1"/>
  <c r="AF12" i="1" s="1"/>
  <c r="AH12" i="1" s="1"/>
  <c r="R12"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<sst xmlns="http://schemas.openxmlformats.org/spreadsheetml/2006/main" count="469" uniqueCount="300">
  <si>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</si>
  <si>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</si>
  <si>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</si>
  <si>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</si>
  <si>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</si>
  <si>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</si>
  <si>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</si>
  <si>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</si>
  <si>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</si>
  <si>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</si>
  <si>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</si>
  <si>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</si>
  <si>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</si>
  <si>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</si>
  <si>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</si>
  <si>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</si>
  <si>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</si>
  <si>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</si>
  <si>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</si>
  <si>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</si>
  <si>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</si>
  <si>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</si>
  <si>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</si>
  <si>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</si>
  <si>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</si>
  <si>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</si>
  <si>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</si>
  <si>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</si>
  <si>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</si>
  <si>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</si>
  <si>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</si>
  <si>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</si>
  <si>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</si>
  <si>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</si>
  <si>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</si>
  <si>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</si>
  <si>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</si>
  <si>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</si>
  <si>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</si>
  <si>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</si>
  <si>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</si>
  <si>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</si>
  <si>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</si>
  <si>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</si>
  <si>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</si>
  <si>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</si>
  <si>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</si>
  <si>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</si>
  <si>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</si>
  <si>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</si>
  <si>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</si>
  <si>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</si>
  <si>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</si>
  <si>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</si>
  <si>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</si>
  <si>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</si>
  <si>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</si>
  <si>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</si>
  <si>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</si>
  <si>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</si>
  <si>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</si>
  <si>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</si>
  <si>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</si>
  <si>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</si>
  <si>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</si>
  <si>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</si>
  <si>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</si>
  <si>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</si>
  <si>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</si>
  <si>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</si>
  <si>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</si>
  <si>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</si>
  <si>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</si>
  <si>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</si>
  <si>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</si>
  <si>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</si>
  <si>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</si>
  <si>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</si>
  <si>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</si>
  <si>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</si>
  <si>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</si>
  <si>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</si>
  <si>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</si>
  <si>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</si>
  <si>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</si>
  <si>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</si>
  <si>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</si>
  <si>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</si>
  <si>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</si>
  <si>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</si>
  <si>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</si>
  <si>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</si>
  <si>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</si>
  <si>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</si>
  <si>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</si>
  <si>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</si>
  <si>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</si>
  <si>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</si>
  <si>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</si>
  <si>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</si>
  <si>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</si>
  <si>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</si>
  <si>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</si>
  <si>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</si>
  <si>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</si>
  <si>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</si>
  <si>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</si>
  <si>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</si>
  <si>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</si>
  <si>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</si>
  <si>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</si>
  <si>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</si>
  <si>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</si>
  <si>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</si>
  <si>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</si>
  <si>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</si>
  <si>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</si>
  <si>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</si>
  <si>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</si>
  <si>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</si>
  <si>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</si>
  <si>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</si>
  <si>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</si>
  <si>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</si>
  <si>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</si>
  <si>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</si>
  <si>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</si>
  <si>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</si>
  <si>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</si>
  <si>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</si>
  <si>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</si>
  <si>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</si>
  <si>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</si>
  <si>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</si>
  <si>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</si>
  <si>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</si>
  <si>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</si>
  <si>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</si>
  <si>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</si>
  <si>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</si>
  <si>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</si>
  <si>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</si>
  <si>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</si>
  <si>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</si>
  <si>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</si>
  <si>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</si>
  <si>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</si>
  <si>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</si>
  <si>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</si>
  <si>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</si>
  <si>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</si>
  <si>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</si>
  <si>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</si>
  <si>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</si>
  <si>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</si>
  <si>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</si>
  <si>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</si>
  <si>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</si>
  <si>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</si>
  <si>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</si>
  <si>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</si>
  <si>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</si>
  <si>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</si>
  <si>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</si>
  <si>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</si>
  <si>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</si>
  <si>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</si>
  <si>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</si>
  <si>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</si>
  <si>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</si>
  <si>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</si>
  <si>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</si>
  <si>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</si>
  <si>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</si>
  <si>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</si>
  <si>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</si>
  <si>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</si>
  <si>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</si>
  <si>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</si>
  <si>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</si>
  <si>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</si>
  <si>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</si>
  <si>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</si>
  <si>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</si>
  <si>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</si>
  <si>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</si>
  <si>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</si>
  <si>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</si>
  <si>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</si>
  <si>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</si>
  <si>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</si>
  <si>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</si>
  <si>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</si>
  <si>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</si>
  <si>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</si>
  <si>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</si>
  <si>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</si>
  <si>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</si>
  <si>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</si>
  <si>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</si>
  <si>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</si>
  <si>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</si>
  <si>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</si>
  <si>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</si>
  <si>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</si>
  <si>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</si>
  <si>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</si>
  <si>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</si>
  <si>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</si>
  <si>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</si>
  <si>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</si>
  <si>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</si>
  <si>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</si>
  <si>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</si>
  <si>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</si>
  <si>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</si>
  <si>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</si>
  <si>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</si>
  <si>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</si>
  <si>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</si>
  <si>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</si>
  <si>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</si>
  <si>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</si>
  <si>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</si>
  <si>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</si>
  <si>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</si>
  <si>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</si>
  <si>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</si>
  <si>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</si>
  <si>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</si>
  <si>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</si>
  <si>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</si>
  <si>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</si>
  <si>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</si>
  <si>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</si>
  <si>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</si>
  <si>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</si>
  <si>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</si>
  <si>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</si>
  <si>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</si>
  <si>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</si>
  <si>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</si>
  <si>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</si>
  <si>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</si>
  <si>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</si>
  <si>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</si>
  <si>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</si>
  <si>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</si>
  <si>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</si>
  <si>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</si>
  <si>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</si>
  <si>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</si>
  <si>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</si>
  <si>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</si>
  <si>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DIRECCIONAMIENTO INSTITUCIONAL</t>
  </si>
  <si>
    <t>Definir planes, programas y proyectos que garanticen el cumplimiento de la misión, visión, políticas y objetivos de la Escuela Tecnológica Instituto Técnico Central enmarcados en la normatividad vigente y en la planeación estratégica con miras de fortalecer el crecimiento de la institución a nivel nacional e internacional; favoreciendo la calidad y la formación integral e intercultural de nuestros educandos.</t>
  </si>
  <si>
    <t>Desde la Formulación de planes, programas y proyectos hasta el seguimiento de la evaluación institucional.</t>
  </si>
  <si>
    <r>
      <rPr>
        <b/>
        <sz val="14"/>
        <rFont val="Arial Narrow"/>
        <family val="2"/>
      </rPr>
      <t>LIDER DEL PROCESO:</t>
    </r>
    <r>
      <rPr>
        <sz val="14"/>
        <rFont val="Arial Narrow"/>
        <family val="2"/>
      </rPr>
      <t xml:space="preserve"> Hno Ariosto Ardila Silva</t>
    </r>
  </si>
  <si>
    <t>40%</t>
  </si>
  <si>
    <t>Crear necesidades que no concuerdan con la realidad institucional.</t>
  </si>
  <si>
    <t>Discrecionalidad de la alta dirección para formular proyectos</t>
  </si>
  <si>
    <t>Jefe Oficina Asesora de Planeación</t>
  </si>
  <si>
    <t>Jefe Oficina Asesora de Planeación
Contratista de apoyo a la OAP</t>
  </si>
  <si>
    <t>Discreción de la alta dirección de distribuir los recursos para cada proyecto y/o dependencia.</t>
  </si>
  <si>
    <t>Error humano involuntario al asignar recursos a las áreas.
No recibir plan de necesidades de las áreas</t>
  </si>
  <si>
    <t>Plan de necesidades consolidado
Plan de acción</t>
  </si>
  <si>
    <t>Disminución de ingresos de matrículas en IBTI y PES.</t>
  </si>
  <si>
    <t>Baja gestión de los responsables del proyecto</t>
  </si>
  <si>
    <t>Seguimiento al plan de acción y presentación realizada</t>
  </si>
  <si>
    <t>Trimestralmente</t>
  </si>
  <si>
    <t>Posibilidad de afectación económica y reputacional debido a recibir dádivas o beneficios a nombre propio o de terceros por la asignación y distribución de los recursos  financieros.</t>
  </si>
  <si>
    <t>Programar el recaudo de recursos propios de manera errónea.</t>
  </si>
  <si>
    <t>Posibilidad de afectación económica al programar el recaudo de recursos propios de manera errónea debido a disminución de ingresos de matrículas en IBTI y PES.</t>
  </si>
  <si>
    <t>No se cumplen las metas previstas en el PDI 2021-2024, para la vigencia 2023</t>
  </si>
  <si>
    <t>Posibilidad de afectación reputacional por incumplir las metas en el PDI 2021-2024 para la vigencia 2023, debido la baja gestión de los responsables del proyecto</t>
  </si>
  <si>
    <t>Ejecución y Administracion de procesos</t>
  </si>
  <si>
    <t>Realización de seguimiento al Plan de Acción mediante el aplicativo KAWAK
Seguimiento al Plan de Acción publicado en la página institucional de manera trimestral
Presentación de los resultados de seguimiento al Plan de Acción institucional ante el CIGD</t>
  </si>
  <si>
    <t>Posibilidad de afectación económica y reputacional por recibir o solicitar cualquier dádiva o beneficio a nombre propio o de terceros al formular proyectos direccionados que no respondan a ninguna necesidad.</t>
  </si>
  <si>
    <t>El Jefe de la Oficina Asesora de Planeación anualmente proyecta ingresos propios en el anteproyecto de presupuesto verificando que se encuentren acorde a la evolución de matrículas (tanto del IBTI como de PES) de la ETITC, teniendo en cuenta los supuestos macroeconómicos que establece el DANE y Ministerio de Hacienda y Crédito Público.
No aplica desviación para la ejecución de este control, toda vez que para la elaboración del anteproyecto de presupuesto se requiere la información histórica de ingresos y gastos.</t>
  </si>
  <si>
    <t>Como soporte de la ejecución del control resultan los documentos de soporte del anteproyecto de presupuesto.</t>
  </si>
  <si>
    <t>Marzo</t>
  </si>
  <si>
    <t>Enviar el anteproyecto de presupuesto 2024 ante el Ministerio de Hacienda y Crédito Público, acorde a los plazos establecidos en el calendario presupuestal, con los documentos soporte que deben ser presentados primero ante el Consejo Directivo de la ETITC.</t>
  </si>
  <si>
    <t>Enero - Diciembre</t>
  </si>
  <si>
    <t>Manejo innadecuado de la información emitida a la comunidad de la ETITC, partes interesadas y opinión pública.</t>
  </si>
  <si>
    <t>Uso e interpretación inadecuada de la información sobre la Entidad</t>
  </si>
  <si>
    <t>Política de Comunicaciones
Manual para la implementación de la política de comunicaciones
Manual de Identidad Visual
Formato de solicitud DIE-FO-05 Solicitud de Servicios de Medios Audiovisuales y Comunicaciones
DIE-FO-18 Parrilla de contenidos</t>
  </si>
  <si>
    <t xml:space="preserve">1. Verificar la articilación y congruencia de las solictudes realizadas con la parrilla de contenido cofigurada por la Oficina de Comunicaciones.
 </t>
  </si>
  <si>
    <t xml:space="preserve">Oficina de Comuniciones </t>
  </si>
  <si>
    <t>Durante la vigencia</t>
  </si>
  <si>
    <t xml:space="preserve">El profesional de apoyo de la Oficina Asesora de Planeación de manera trimestral debe verificar que el presupuesto asignado para cada dependencia y registrado en el plan de acción cargado en el aplicativo Kawak y el Plan de Necesidades Institucional se ejecute acorde a los procesos de priorización de recursos y dinamicas de los procesos y áreas institucionales. El proceso de ejecución de recursos debe quedar registrado en los seguimientos del plan de acción y evidenciado en el aplicativo KAWAK y formato de seguimiento. </t>
  </si>
  <si>
    <t xml:space="preserve">A través del aplicativo KAWAK realizar el cargue de la asignación presupuestal para la realización de los proyectos integrados en el plan de acción vigencia 2023 </t>
  </si>
  <si>
    <t xml:space="preserve">Posibilidad de afectación reputacional debido al desarrollo y publicación de contenidos escritos y visuales errados para las audiencias de interés y partes interesadas. </t>
  </si>
  <si>
    <t>Evidencias</t>
  </si>
  <si>
    <t xml:space="preserve">La oficina de comunicaciones verifica que el desarrollo de contenidos escritos, visuales y audiovisuales, cumplan con los criterios establecidos en los manuales de la política de comunicaciones, filtrando la información a través de la parrilla de contenidos mensual captada a través del formato de solicitud. </t>
  </si>
  <si>
    <t>Como soporte de la ejecución del control resulta la actualización de la Plataforma integrada de Inversión Pública (PIIP) en la formulación de actividades.</t>
  </si>
  <si>
    <t>Actualizar la Plataforma Integrada de Inversión Pública con la información de formulación de los proyectos de inversión de la ETITC.</t>
  </si>
  <si>
    <t>Formulación de actividades anual</t>
  </si>
  <si>
    <t>El profesional de apoyo de la Oficina Asesora de Planeación anualmente debe formular a las actividades de los proyectos de inversión registrados en el banco nacional de programas y proyectos de la Nación que correspondan a necesidades misionales o de apoyo para la operación de la ETITC mediante la validación de la cadena de valor de los proyectos.
Si se presenta una desviación en la ejecución del control, el Jefe de la Oficina Asesora de Planeación solicitará la explicación de la actividad que no corresponda a una necesidad de la ETITC, en caso de no contar con justificación, dicha actividad debe ser eliminada del proyecto.</t>
  </si>
  <si>
    <t xml:space="preserve">El profesional de apoyo de la Oficina Asesora de Planeación de manera trimestral debe verificar la entrega oportuna y la completitud de la información de los proyectos registrados en el formato seguimiento al Plan de acción para la vigencia,  realizando el respectivo cargue de información en el aplicativo Kawak; de tal manera que se identifique la gestión desarrollada frente al cumplimiento de las metas 2024.
</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</si>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</sst>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7">
    <xf numFmtId="0" fontId="0" fillId="0" borderId="0"/>
    <xf numFmtId="9" fontId="14" fillId="0" borderId="0" applyFont="0" applyFill="0" applyBorder="0" applyAlignment="0" applyProtection="0"/>
    <xf numFmtId="0" fontId="46" fillId="0" borderId="0"/>
    <xf numFmtId="0" fontId="47" fillId="0" borderId="0"/>
    <xf numFmtId="0" fontId="5" fillId="0" borderId="0"/>
    <xf numFmtId="43" fontId="14" fillId="0" borderId="0" applyFont="0" applyFill="0" applyBorder="0" applyAlignment="0" applyProtection="0"/>
    <xf numFmtId="0" fontId="67" fillId="0" borderId="0" applyNumberFormat="0" applyFill="0" applyBorder="0" applyAlignment="0" applyProtection="0"/>
  </cellStyleXfs>
  <cellXfs count="381">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68" xfId="0" applyFont="1" applyBorder="1" applyAlignment="1">
      <alignment horizontal="center" vertical="center" wrapText="1"/>
    </xf>
    <xf numFmtId="0" fontId="65" fillId="0" borderId="68"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horizontal="center" vertical="top" wrapText="1"/>
      <protection hidden="1"/>
    </xf>
    <xf numFmtId="0" fontId="61" fillId="7" borderId="21" xfId="0" applyFont="1" applyFill="1" applyBorder="1" applyAlignment="1">
      <alignment horizontal="center" vertical="center" textRotation="90"/>
    </xf>
    <xf numFmtId="9" fontId="1" fillId="0" borderId="21" xfId="0" applyNumberFormat="1" applyFont="1" applyBorder="1" applyAlignment="1" applyProtection="1">
      <alignment vertical="top" wrapText="1"/>
      <protection hidden="1"/>
    </xf>
    <xf numFmtId="0" fontId="1" fillId="0" borderId="21"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1" fillId="0" borderId="21" xfId="0" applyFont="1" applyBorder="1" applyAlignment="1" applyProtection="1">
      <alignment horizontal="center" vertical="top"/>
      <protection locked="0"/>
    </xf>
    <xf numFmtId="9" fontId="1" fillId="0" borderId="21" xfId="0" applyNumberFormat="1" applyFont="1" applyBorder="1" applyAlignment="1" applyProtection="1">
      <alignment horizontal="center" vertical="top" wrapText="1"/>
      <protection locked="0"/>
    </xf>
    <xf numFmtId="0" fontId="1" fillId="0" borderId="21" xfId="0" applyFont="1" applyBorder="1" applyAlignment="1">
      <alignment horizontal="center" vertical="top"/>
    </xf>
    <xf numFmtId="0" fontId="1" fillId="0" borderId="21" xfId="0" applyFont="1" applyBorder="1" applyAlignment="1" applyProtection="1">
      <alignment horizontal="center" vertical="top"/>
      <protection hidden="1"/>
    </xf>
    <xf numFmtId="43" fontId="1" fillId="3" borderId="0" xfId="5" applyFont="1" applyFill="1"/>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top" wrapText="1"/>
      <protection locked="0"/>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textRotation="90"/>
      <protection locked="0"/>
    </xf>
    <xf numFmtId="0" fontId="67" fillId="0" borderId="21" xfId="6" applyBorder="1" applyAlignment="1" applyProtection="1">
      <alignment horizontal="center" vertical="center" wrapText="1"/>
      <protection locked="0"/>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57" fillId="0" borderId="21" xfId="0" applyFont="1" applyBorder="1" applyAlignment="1">
      <alignment horizontal="left" vertical="center"/>
    </xf>
    <xf numFmtId="0" fontId="61" fillId="7" borderId="21" xfId="0" applyFont="1" applyFill="1" applyBorder="1" applyAlignment="1">
      <alignment horizontal="center" vertical="center" wrapText="1"/>
    </xf>
    <xf numFmtId="0" fontId="62" fillId="0" borderId="66" xfId="0" applyFont="1" applyBorder="1" applyAlignment="1">
      <alignment horizontal="left" vertical="center"/>
    </xf>
    <xf numFmtId="0" fontId="62" fillId="0" borderId="65" xfId="0" applyFont="1" applyBorder="1" applyAlignment="1">
      <alignment horizontal="left" vertical="center"/>
    </xf>
    <xf numFmtId="0" fontId="62" fillId="0" borderId="67" xfId="0" applyFont="1" applyBorder="1" applyAlignment="1">
      <alignment horizontal="left" vertical="center"/>
    </xf>
    <xf numFmtId="0" fontId="62" fillId="0" borderId="66" xfId="0" applyFont="1" applyBorder="1" applyAlignment="1">
      <alignment horizontal="left" vertical="center" wrapText="1"/>
    </xf>
    <xf numFmtId="0" fontId="61" fillId="7" borderId="21" xfId="0" applyFont="1" applyFill="1" applyBorder="1" applyAlignment="1">
      <alignment horizontal="center" vertical="center" textRotation="90"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64" fillId="0" borderId="21" xfId="0" applyFont="1" applyBorder="1" applyAlignment="1">
      <alignment horizontal="left" vertical="center" wrapText="1"/>
    </xf>
    <xf numFmtId="0" fontId="65" fillId="0" borderId="68" xfId="0" applyFont="1" applyBorder="1" applyAlignment="1">
      <alignment horizontal="center" vertical="center" wrapText="1"/>
    </xf>
    <xf numFmtId="0" fontId="66" fillId="0" borderId="68" xfId="0" applyFont="1" applyBorder="1" applyAlignment="1">
      <alignment horizontal="center" vertical="center" wrapText="1"/>
    </xf>
    <xf numFmtId="0" fontId="49" fillId="0" borderId="66" xfId="0" applyFont="1" applyBorder="1" applyAlignment="1">
      <alignment horizontal="left" vertical="center" wrapText="1"/>
    </xf>
    <xf numFmtId="0" fontId="49" fillId="0" borderId="65" xfId="0" applyFont="1" applyBorder="1" applyAlignment="1">
      <alignment horizontal="left" vertical="center" wrapText="1"/>
    </xf>
    <xf numFmtId="0" fontId="49" fillId="0" borderId="67" xfId="0" applyFont="1" applyBorder="1" applyAlignment="1">
      <alignment horizontal="left" vertical="center" wrapText="1"/>
    </xf>
    <xf numFmtId="0" fontId="60" fillId="7" borderId="66" xfId="0" applyFont="1" applyFill="1" applyBorder="1" applyAlignment="1">
      <alignment horizontal="center" vertical="center"/>
    </xf>
    <xf numFmtId="0" fontId="60" fillId="7" borderId="67" xfId="0" applyFont="1" applyFill="1" applyBorder="1" applyAlignment="1">
      <alignment horizontal="center" vertical="center"/>
    </xf>
    <xf numFmtId="0" fontId="61" fillId="7" borderId="69" xfId="0" applyFont="1" applyFill="1" applyBorder="1" applyAlignment="1">
      <alignment horizontal="center" vertical="center" wrapText="1"/>
    </xf>
    <xf numFmtId="0" fontId="61" fillId="7" borderId="22" xfId="0" applyFont="1" applyFill="1" applyBorder="1" applyAlignment="1">
      <alignment horizontal="center" vertical="center" wrapText="1"/>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7">
    <cellStyle name="Hipervínculo" xfId="6" builtinId="8"/>
    <cellStyle name="Millares" xfId="5" builtinId="3"/>
    <cellStyle name="Normal" xfId="0" builtinId="0"/>
    <cellStyle name="Normal - Style1 2" xfId="2" xr:uid="{00000000-0005-0000-0000-000003000000}"/>
    <cellStyle name="Normal 2" xfId="4" xr:uid="{00000000-0005-0000-0000-000004000000}"/>
    <cellStyle name="Normal 2 2" xfId="3" xr:uid="{00000000-0005-0000-0000-000005000000}"/>
    <cellStyle name="Porcentaje" xfId="1" builtinId="5"/>
  </cellStyles>
  <dxfs count="3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809203</xdr:colOff>
      <xdr:row>0</xdr:row>
      <xdr:rowOff>66303</xdr:rowOff>
    </xdr:from>
    <xdr:to>
      <xdr:col>3</xdr:col>
      <xdr:colOff>2071</xdr:colOff>
      <xdr:row>1</xdr:row>
      <xdr:rowOff>404219</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889" y="66303"/>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deaccion/Downloads/Riesgos%20de%20Comunicacione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69" t="s">
        <v>163</v>
      </c>
      <c r="C2" s="170"/>
      <c r="D2" s="170"/>
      <c r="E2" s="170"/>
      <c r="F2" s="170"/>
      <c r="G2" s="170"/>
      <c r="H2" s="171"/>
    </row>
    <row r="3" spans="2:8" x14ac:dyDescent="0.25">
      <c r="B3" s="76"/>
      <c r="C3" s="77"/>
      <c r="D3" s="77"/>
      <c r="E3" s="77"/>
      <c r="F3" s="77"/>
      <c r="G3" s="77"/>
      <c r="H3" s="78"/>
    </row>
    <row r="4" spans="2:8" ht="63" customHeight="1" x14ac:dyDescent="0.25">
      <c r="B4" s="172" t="s">
        <v>206</v>
      </c>
      <c r="C4" s="173"/>
      <c r="D4" s="173"/>
      <c r="E4" s="173"/>
      <c r="F4" s="173"/>
      <c r="G4" s="173"/>
      <c r="H4" s="174"/>
    </row>
    <row r="5" spans="2:8" ht="63" customHeight="1" x14ac:dyDescent="0.25">
      <c r="B5" s="175"/>
      <c r="C5" s="176"/>
      <c r="D5" s="176"/>
      <c r="E5" s="176"/>
      <c r="F5" s="176"/>
      <c r="G5" s="176"/>
      <c r="H5" s="177"/>
    </row>
    <row r="6" spans="2:8" ht="16.5" x14ac:dyDescent="0.25">
      <c r="B6" s="178" t="s">
        <v>161</v>
      </c>
      <c r="C6" s="179"/>
      <c r="D6" s="179"/>
      <c r="E6" s="179"/>
      <c r="F6" s="179"/>
      <c r="G6" s="179"/>
      <c r="H6" s="180"/>
    </row>
    <row r="7" spans="2:8" ht="95.25" customHeight="1" x14ac:dyDescent="0.25">
      <c r="B7" s="188" t="s">
        <v>166</v>
      </c>
      <c r="C7" s="189"/>
      <c r="D7" s="189"/>
      <c r="E7" s="189"/>
      <c r="F7" s="189"/>
      <c r="G7" s="189"/>
      <c r="H7" s="190"/>
    </row>
    <row r="8" spans="2:8" ht="16.5" x14ac:dyDescent="0.25">
      <c r="B8" s="112"/>
      <c r="C8" s="113"/>
      <c r="D8" s="113"/>
      <c r="E8" s="113"/>
      <c r="F8" s="113"/>
      <c r="G8" s="113"/>
      <c r="H8" s="114"/>
    </row>
    <row r="9" spans="2:8" ht="16.5" customHeight="1" x14ac:dyDescent="0.25">
      <c r="B9" s="181" t="s">
        <v>199</v>
      </c>
      <c r="C9" s="182"/>
      <c r="D9" s="182"/>
      <c r="E9" s="182"/>
      <c r="F9" s="182"/>
      <c r="G9" s="182"/>
      <c r="H9" s="183"/>
    </row>
    <row r="10" spans="2:8" ht="44.25" customHeight="1" x14ac:dyDescent="0.25">
      <c r="B10" s="181"/>
      <c r="C10" s="182"/>
      <c r="D10" s="182"/>
      <c r="E10" s="182"/>
      <c r="F10" s="182"/>
      <c r="G10" s="182"/>
      <c r="H10" s="183"/>
    </row>
    <row r="11" spans="2:8" ht="15.75" thickBot="1" x14ac:dyDescent="0.3">
      <c r="B11" s="101"/>
      <c r="C11" s="104"/>
      <c r="D11" s="109"/>
      <c r="E11" s="110"/>
      <c r="F11" s="110"/>
      <c r="G11" s="111"/>
      <c r="H11" s="105"/>
    </row>
    <row r="12" spans="2:8" ht="15.75" thickTop="1" x14ac:dyDescent="0.25">
      <c r="B12" s="101"/>
      <c r="C12" s="184" t="s">
        <v>162</v>
      </c>
      <c r="D12" s="185"/>
      <c r="E12" s="186" t="s">
        <v>200</v>
      </c>
      <c r="F12" s="187"/>
      <c r="G12" s="104"/>
      <c r="H12" s="105"/>
    </row>
    <row r="13" spans="2:8" ht="35.25" customHeight="1" x14ac:dyDescent="0.25">
      <c r="B13" s="101"/>
      <c r="C13" s="191" t="s">
        <v>193</v>
      </c>
      <c r="D13" s="192"/>
      <c r="E13" s="193" t="s">
        <v>198</v>
      </c>
      <c r="F13" s="194"/>
      <c r="G13" s="104"/>
      <c r="H13" s="105"/>
    </row>
    <row r="14" spans="2:8" ht="17.25" customHeight="1" x14ac:dyDescent="0.25">
      <c r="B14" s="101"/>
      <c r="C14" s="191" t="s">
        <v>194</v>
      </c>
      <c r="D14" s="192"/>
      <c r="E14" s="193" t="s">
        <v>196</v>
      </c>
      <c r="F14" s="194"/>
      <c r="G14" s="104"/>
      <c r="H14" s="105"/>
    </row>
    <row r="15" spans="2:8" ht="19.5" customHeight="1" x14ac:dyDescent="0.25">
      <c r="B15" s="101"/>
      <c r="C15" s="191" t="s">
        <v>195</v>
      </c>
      <c r="D15" s="192"/>
      <c r="E15" s="193" t="s">
        <v>197</v>
      </c>
      <c r="F15" s="194"/>
      <c r="G15" s="104"/>
      <c r="H15" s="105"/>
    </row>
    <row r="16" spans="2:8" ht="69.75" customHeight="1" x14ac:dyDescent="0.25">
      <c r="B16" s="101"/>
      <c r="C16" s="191" t="s">
        <v>164</v>
      </c>
      <c r="D16" s="192"/>
      <c r="E16" s="193" t="s">
        <v>165</v>
      </c>
      <c r="F16" s="194"/>
      <c r="G16" s="104"/>
      <c r="H16" s="105"/>
    </row>
    <row r="17" spans="2:8" ht="34.5" customHeight="1" x14ac:dyDescent="0.25">
      <c r="B17" s="101"/>
      <c r="C17" s="195" t="s">
        <v>2</v>
      </c>
      <c r="D17" s="196"/>
      <c r="E17" s="197" t="s">
        <v>207</v>
      </c>
      <c r="F17" s="198"/>
      <c r="G17" s="104"/>
      <c r="H17" s="105"/>
    </row>
    <row r="18" spans="2:8" ht="27.75" customHeight="1" x14ac:dyDescent="0.25">
      <c r="B18" s="101"/>
      <c r="C18" s="195" t="s">
        <v>3</v>
      </c>
      <c r="D18" s="196"/>
      <c r="E18" s="197" t="s">
        <v>208</v>
      </c>
      <c r="F18" s="198"/>
      <c r="G18" s="104"/>
      <c r="H18" s="105"/>
    </row>
    <row r="19" spans="2:8" ht="28.5" customHeight="1" x14ac:dyDescent="0.25">
      <c r="B19" s="101"/>
      <c r="C19" s="195" t="s">
        <v>41</v>
      </c>
      <c r="D19" s="196"/>
      <c r="E19" s="197" t="s">
        <v>209</v>
      </c>
      <c r="F19" s="198"/>
      <c r="G19" s="104"/>
      <c r="H19" s="105"/>
    </row>
    <row r="20" spans="2:8" ht="72.75" customHeight="1" x14ac:dyDescent="0.25">
      <c r="B20" s="101"/>
      <c r="C20" s="195" t="s">
        <v>1</v>
      </c>
      <c r="D20" s="196"/>
      <c r="E20" s="197" t="s">
        <v>210</v>
      </c>
      <c r="F20" s="198"/>
      <c r="G20" s="104"/>
      <c r="H20" s="105"/>
    </row>
    <row r="21" spans="2:8" ht="64.5" customHeight="1" x14ac:dyDescent="0.25">
      <c r="B21" s="101"/>
      <c r="C21" s="195" t="s">
        <v>49</v>
      </c>
      <c r="D21" s="196"/>
      <c r="E21" s="197" t="s">
        <v>168</v>
      </c>
      <c r="F21" s="198"/>
      <c r="G21" s="104"/>
      <c r="H21" s="105"/>
    </row>
    <row r="22" spans="2:8" ht="71.25" customHeight="1" x14ac:dyDescent="0.25">
      <c r="B22" s="101"/>
      <c r="C22" s="195" t="s">
        <v>167</v>
      </c>
      <c r="D22" s="196"/>
      <c r="E22" s="197" t="s">
        <v>169</v>
      </c>
      <c r="F22" s="198"/>
      <c r="G22" s="104"/>
      <c r="H22" s="105"/>
    </row>
    <row r="23" spans="2:8" ht="55.5" customHeight="1" x14ac:dyDescent="0.25">
      <c r="B23" s="101"/>
      <c r="C23" s="202" t="s">
        <v>170</v>
      </c>
      <c r="D23" s="203"/>
      <c r="E23" s="197" t="s">
        <v>171</v>
      </c>
      <c r="F23" s="198"/>
      <c r="G23" s="104"/>
      <c r="H23" s="105"/>
    </row>
    <row r="24" spans="2:8" ht="42" customHeight="1" x14ac:dyDescent="0.25">
      <c r="B24" s="101"/>
      <c r="C24" s="202" t="s">
        <v>47</v>
      </c>
      <c r="D24" s="203"/>
      <c r="E24" s="197" t="s">
        <v>172</v>
      </c>
      <c r="F24" s="198"/>
      <c r="G24" s="104"/>
      <c r="H24" s="105"/>
    </row>
    <row r="25" spans="2:8" ht="59.25" customHeight="1" x14ac:dyDescent="0.25">
      <c r="B25" s="101"/>
      <c r="C25" s="202" t="s">
        <v>160</v>
      </c>
      <c r="D25" s="203"/>
      <c r="E25" s="197" t="s">
        <v>173</v>
      </c>
      <c r="F25" s="198"/>
      <c r="G25" s="104"/>
      <c r="H25" s="105"/>
    </row>
    <row r="26" spans="2:8" ht="23.25" customHeight="1" x14ac:dyDescent="0.25">
      <c r="B26" s="101"/>
      <c r="C26" s="202" t="s">
        <v>12</v>
      </c>
      <c r="D26" s="203"/>
      <c r="E26" s="197" t="s">
        <v>174</v>
      </c>
      <c r="F26" s="198"/>
      <c r="G26" s="104"/>
      <c r="H26" s="105"/>
    </row>
    <row r="27" spans="2:8" ht="30.75" customHeight="1" x14ac:dyDescent="0.25">
      <c r="B27" s="101"/>
      <c r="C27" s="202" t="s">
        <v>178</v>
      </c>
      <c r="D27" s="203"/>
      <c r="E27" s="197" t="s">
        <v>175</v>
      </c>
      <c r="F27" s="198"/>
      <c r="G27" s="104"/>
      <c r="H27" s="105"/>
    </row>
    <row r="28" spans="2:8" ht="35.25" customHeight="1" x14ac:dyDescent="0.25">
      <c r="B28" s="101"/>
      <c r="C28" s="202" t="s">
        <v>179</v>
      </c>
      <c r="D28" s="203"/>
      <c r="E28" s="197" t="s">
        <v>176</v>
      </c>
      <c r="F28" s="198"/>
      <c r="G28" s="104"/>
      <c r="H28" s="105"/>
    </row>
    <row r="29" spans="2:8" ht="33" customHeight="1" x14ac:dyDescent="0.25">
      <c r="B29" s="101"/>
      <c r="C29" s="202" t="s">
        <v>179</v>
      </c>
      <c r="D29" s="203"/>
      <c r="E29" s="197" t="s">
        <v>176</v>
      </c>
      <c r="F29" s="198"/>
      <c r="G29" s="104"/>
      <c r="H29" s="105"/>
    </row>
    <row r="30" spans="2:8" ht="30" customHeight="1" x14ac:dyDescent="0.25">
      <c r="B30" s="101"/>
      <c r="C30" s="202" t="s">
        <v>180</v>
      </c>
      <c r="D30" s="203"/>
      <c r="E30" s="197" t="s">
        <v>177</v>
      </c>
      <c r="F30" s="198"/>
      <c r="G30" s="104"/>
      <c r="H30" s="105"/>
    </row>
    <row r="31" spans="2:8" ht="35.25" customHeight="1" x14ac:dyDescent="0.25">
      <c r="B31" s="101"/>
      <c r="C31" s="202" t="s">
        <v>181</v>
      </c>
      <c r="D31" s="203"/>
      <c r="E31" s="197" t="s">
        <v>182</v>
      </c>
      <c r="F31" s="198"/>
      <c r="G31" s="104"/>
      <c r="H31" s="105"/>
    </row>
    <row r="32" spans="2:8" ht="31.5" customHeight="1" x14ac:dyDescent="0.25">
      <c r="B32" s="101"/>
      <c r="C32" s="202" t="s">
        <v>183</v>
      </c>
      <c r="D32" s="203"/>
      <c r="E32" s="197" t="s">
        <v>184</v>
      </c>
      <c r="F32" s="198"/>
      <c r="G32" s="104"/>
      <c r="H32" s="105"/>
    </row>
    <row r="33" spans="2:8" ht="35.25" customHeight="1" x14ac:dyDescent="0.25">
      <c r="B33" s="101"/>
      <c r="C33" s="202" t="s">
        <v>185</v>
      </c>
      <c r="D33" s="203"/>
      <c r="E33" s="197" t="s">
        <v>186</v>
      </c>
      <c r="F33" s="198"/>
      <c r="G33" s="104"/>
      <c r="H33" s="105"/>
    </row>
    <row r="34" spans="2:8" ht="59.25" customHeight="1" x14ac:dyDescent="0.25">
      <c r="B34" s="101"/>
      <c r="C34" s="202" t="s">
        <v>187</v>
      </c>
      <c r="D34" s="203"/>
      <c r="E34" s="197" t="s">
        <v>188</v>
      </c>
      <c r="F34" s="198"/>
      <c r="G34" s="104"/>
      <c r="H34" s="105"/>
    </row>
    <row r="35" spans="2:8" ht="29.25" customHeight="1" x14ac:dyDescent="0.25">
      <c r="B35" s="101"/>
      <c r="C35" s="202" t="s">
        <v>29</v>
      </c>
      <c r="D35" s="203"/>
      <c r="E35" s="197" t="s">
        <v>189</v>
      </c>
      <c r="F35" s="198"/>
      <c r="G35" s="104"/>
      <c r="H35" s="105"/>
    </row>
    <row r="36" spans="2:8" ht="82.5" customHeight="1" x14ac:dyDescent="0.25">
      <c r="B36" s="101"/>
      <c r="C36" s="202" t="s">
        <v>191</v>
      </c>
      <c r="D36" s="203"/>
      <c r="E36" s="197" t="s">
        <v>190</v>
      </c>
      <c r="F36" s="198"/>
      <c r="G36" s="104"/>
      <c r="H36" s="105"/>
    </row>
    <row r="37" spans="2:8" ht="46.5" customHeight="1" x14ac:dyDescent="0.25">
      <c r="B37" s="101"/>
      <c r="C37" s="202" t="s">
        <v>38</v>
      </c>
      <c r="D37" s="203"/>
      <c r="E37" s="197" t="s">
        <v>192</v>
      </c>
      <c r="F37" s="198"/>
      <c r="G37" s="104"/>
      <c r="H37" s="105"/>
    </row>
    <row r="38" spans="2:8" ht="6.75" customHeight="1" thickBot="1" x14ac:dyDescent="0.3">
      <c r="B38" s="101"/>
      <c r="C38" s="204"/>
      <c r="D38" s="205"/>
      <c r="E38" s="206"/>
      <c r="F38" s="207"/>
      <c r="G38" s="104"/>
      <c r="H38" s="105"/>
    </row>
    <row r="39" spans="2:8" ht="15.75" thickTop="1" x14ac:dyDescent="0.25">
      <c r="B39" s="101"/>
      <c r="C39" s="102"/>
      <c r="D39" s="102"/>
      <c r="E39" s="103"/>
      <c r="F39" s="103"/>
      <c r="G39" s="104"/>
      <c r="H39" s="105"/>
    </row>
    <row r="40" spans="2:8" ht="21" customHeight="1" x14ac:dyDescent="0.25">
      <c r="B40" s="199" t="s">
        <v>201</v>
      </c>
      <c r="C40" s="200"/>
      <c r="D40" s="200"/>
      <c r="E40" s="200"/>
      <c r="F40" s="200"/>
      <c r="G40" s="200"/>
      <c r="H40" s="201"/>
    </row>
    <row r="41" spans="2:8" ht="20.25" customHeight="1" x14ac:dyDescent="0.25">
      <c r="B41" s="199" t="s">
        <v>202</v>
      </c>
      <c r="C41" s="200"/>
      <c r="D41" s="200"/>
      <c r="E41" s="200"/>
      <c r="F41" s="200"/>
      <c r="G41" s="200"/>
      <c r="H41" s="201"/>
    </row>
    <row r="42" spans="2:8" ht="20.25" customHeight="1" x14ac:dyDescent="0.25">
      <c r="B42" s="199" t="s">
        <v>203</v>
      </c>
      <c r="C42" s="200"/>
      <c r="D42" s="200"/>
      <c r="E42" s="200"/>
      <c r="F42" s="200"/>
      <c r="G42" s="200"/>
      <c r="H42" s="201"/>
    </row>
    <row r="43" spans="2:8" ht="20.25" customHeight="1" x14ac:dyDescent="0.25">
      <c r="B43" s="199" t="s">
        <v>204</v>
      </c>
      <c r="C43" s="200"/>
      <c r="D43" s="200"/>
      <c r="E43" s="200"/>
      <c r="F43" s="200"/>
      <c r="G43" s="200"/>
      <c r="H43" s="201"/>
    </row>
    <row r="44" spans="2:8" x14ac:dyDescent="0.25">
      <c r="B44" s="199" t="s">
        <v>205</v>
      </c>
      <c r="C44" s="200"/>
      <c r="D44" s="200"/>
      <c r="E44" s="200"/>
      <c r="F44" s="200"/>
      <c r="G44" s="200"/>
      <c r="H44" s="201"/>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DW22"/>
  <sheetViews>
    <sheetView showGridLines="0" tabSelected="1" topLeftCell="D16" zoomScale="90" zoomScaleNormal="90" workbookViewId="0">
      <selection activeCell="K20" sqref="K20"/>
    </sheetView>
  </sheetViews>
  <sheetFormatPr baseColWidth="10" defaultColWidth="11.42578125" defaultRowHeight="35.1" customHeight="1" x14ac:dyDescent="0.3"/>
  <cols>
    <col min="1" max="1" width="4.7109375" style="2" customWidth="1"/>
    <col min="2" max="2" width="12" style="2" customWidth="1"/>
    <col min="3" max="3" width="12" style="16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37.28515625" style="1" customWidth="1"/>
    <col min="21" max="21" width="31" style="1" customWidth="1"/>
    <col min="22" max="22" width="15.140625" style="1" bestFit="1" customWidth="1"/>
    <col min="23" max="23" width="6.7109375" style="1" hidden="1" customWidth="1"/>
    <col min="24" max="24" width="5" style="1" hidden="1" customWidth="1"/>
    <col min="25" max="25" width="5.42578125" style="1" hidden="1" customWidth="1"/>
    <col min="26" max="26" width="7.140625" style="1" hidden="1" customWidth="1"/>
    <col min="27" max="27" width="6.7109375" style="1" hidden="1" customWidth="1"/>
    <col min="28" max="29" width="7.42578125" style="1" hidden="1" customWidth="1"/>
    <col min="30" max="30" width="8.7109375" style="1" hidden="1" customWidth="1"/>
    <col min="31" max="31" width="10.42578125" style="1" hidden="1" customWidth="1"/>
    <col min="32" max="32" width="9.28515625" style="1" hidden="1" customWidth="1"/>
    <col min="33" max="33" width="9.140625" style="1" hidden="1" customWidth="1"/>
    <col min="34" max="34" width="8.42578125" style="1" hidden="1" customWidth="1"/>
    <col min="35" max="35" width="7.28515625" style="1" hidden="1" customWidth="1"/>
    <col min="36" max="36" width="23" style="1" customWidth="1"/>
    <col min="37" max="37" width="18.7109375" style="1" customWidth="1"/>
    <col min="38" max="38" width="16.7109375" style="1" customWidth="1"/>
    <col min="39" max="39" width="13.140625" style="1" customWidth="1"/>
    <col min="40" max="40" width="49.7109375" style="1" customWidth="1"/>
    <col min="41" max="41" width="21" style="1" customWidth="1"/>
    <col min="42" max="42" width="15" style="1" customWidth="1"/>
    <col min="43" max="43" width="60.85546875" style="1" customWidth="1"/>
    <col min="44" max="45" width="20.7109375" style="1" customWidth="1"/>
    <col min="46" max="46" width="15.42578125" style="1" customWidth="1"/>
    <col min="47" max="47" width="73.42578125" style="1" customWidth="1"/>
    <col min="48" max="48" width="17.28515625" style="1" customWidth="1"/>
    <col min="49" max="51" width="11.42578125" style="1"/>
    <col min="52" max="52" width="13.5703125" style="1" bestFit="1" customWidth="1"/>
    <col min="53" max="16384" width="11.42578125" style="1"/>
  </cols>
  <sheetData>
    <row r="1" spans="1:127" ht="35.1" customHeight="1" x14ac:dyDescent="0.3">
      <c r="A1" s="215" t="s">
        <v>213</v>
      </c>
      <c r="B1" s="215"/>
      <c r="C1" s="215"/>
      <c r="D1" s="215"/>
      <c r="E1" s="218" t="s">
        <v>214</v>
      </c>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08" t="s">
        <v>215</v>
      </c>
      <c r="AV1" s="208"/>
    </row>
    <row r="2" spans="1:127" ht="35.1" customHeight="1" x14ac:dyDescent="0.3">
      <c r="A2" s="215"/>
      <c r="B2" s="215"/>
      <c r="C2" s="215"/>
      <c r="D2" s="215"/>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08" t="s">
        <v>222</v>
      </c>
      <c r="AV2" s="208"/>
    </row>
    <row r="3" spans="1:127" ht="35.1" customHeight="1" x14ac:dyDescent="0.3">
      <c r="A3" s="215"/>
      <c r="B3" s="215"/>
      <c r="C3" s="215"/>
      <c r="D3" s="215"/>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08" t="s">
        <v>223</v>
      </c>
      <c r="AV3" s="208"/>
    </row>
    <row r="4" spans="1:127" ht="35.1" customHeight="1" x14ac:dyDescent="0.3">
      <c r="A4" s="215"/>
      <c r="B4" s="215"/>
      <c r="C4" s="215"/>
      <c r="D4" s="215"/>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08" t="s">
        <v>216</v>
      </c>
      <c r="AV4" s="208"/>
    </row>
    <row r="5" spans="1:127" ht="35.1" customHeight="1" x14ac:dyDescent="0.3">
      <c r="A5" s="228" t="s">
        <v>42</v>
      </c>
      <c r="B5" s="229"/>
      <c r="C5" s="210" t="s">
        <v>254</v>
      </c>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2"/>
      <c r="AW5" s="5"/>
      <c r="AX5" s="5"/>
      <c r="AY5" s="5"/>
      <c r="AZ5" s="5"/>
      <c r="BA5" s="5"/>
      <c r="BB5" s="5"/>
    </row>
    <row r="6" spans="1:127" ht="35.1" customHeight="1" x14ac:dyDescent="0.3">
      <c r="A6" s="228" t="s">
        <v>129</v>
      </c>
      <c r="B6" s="229"/>
      <c r="C6" s="213" t="s">
        <v>255</v>
      </c>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2"/>
      <c r="AW6" s="5"/>
      <c r="AX6" s="5"/>
      <c r="AY6" s="5"/>
      <c r="AZ6" s="5"/>
      <c r="BA6" s="5"/>
      <c r="BB6" s="5"/>
    </row>
    <row r="7" spans="1:127" ht="35.1" customHeight="1" x14ac:dyDescent="0.3">
      <c r="A7" s="228" t="s">
        <v>43</v>
      </c>
      <c r="B7" s="229"/>
      <c r="C7" s="210" t="s">
        <v>256</v>
      </c>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2"/>
      <c r="AW7" s="5"/>
      <c r="AX7" s="5"/>
      <c r="AY7" s="5"/>
      <c r="AZ7" s="5"/>
      <c r="BA7" s="5"/>
      <c r="BB7" s="5"/>
    </row>
    <row r="8" spans="1:127" ht="35.1" customHeight="1" x14ac:dyDescent="0.3">
      <c r="A8" s="216" t="s">
        <v>138</v>
      </c>
      <c r="B8" s="216"/>
      <c r="C8" s="216"/>
      <c r="D8" s="216"/>
      <c r="E8" s="216"/>
      <c r="F8" s="216"/>
      <c r="G8" s="216"/>
      <c r="H8" s="216"/>
      <c r="I8" s="216"/>
      <c r="J8" s="216"/>
      <c r="K8" s="216"/>
      <c r="L8" s="216" t="s">
        <v>139</v>
      </c>
      <c r="M8" s="216"/>
      <c r="N8" s="216"/>
      <c r="O8" s="216"/>
      <c r="P8" s="216"/>
      <c r="Q8" s="216"/>
      <c r="R8" s="216"/>
      <c r="S8" s="216" t="s">
        <v>140</v>
      </c>
      <c r="T8" s="216"/>
      <c r="U8" s="216"/>
      <c r="V8" s="216"/>
      <c r="W8" s="216"/>
      <c r="X8" s="216"/>
      <c r="Y8" s="216"/>
      <c r="Z8" s="216"/>
      <c r="AA8" s="216"/>
      <c r="AB8" s="216"/>
      <c r="AC8" s="216" t="s">
        <v>141</v>
      </c>
      <c r="AD8" s="216"/>
      <c r="AE8" s="216"/>
      <c r="AF8" s="216"/>
      <c r="AG8" s="216"/>
      <c r="AH8" s="216"/>
      <c r="AI8" s="216"/>
      <c r="AJ8" s="216" t="s">
        <v>34</v>
      </c>
      <c r="AK8" s="216"/>
      <c r="AL8" s="216"/>
      <c r="AM8" s="216"/>
      <c r="AN8" s="216"/>
      <c r="AO8" s="216"/>
      <c r="AP8" s="216"/>
      <c r="AQ8" s="216"/>
      <c r="AR8" s="216"/>
      <c r="AS8" s="216"/>
      <c r="AT8" s="216"/>
      <c r="AU8" s="216"/>
      <c r="AV8" s="216"/>
      <c r="AW8" s="5"/>
      <c r="AX8" s="5"/>
      <c r="AY8" s="5"/>
      <c r="AZ8" s="5"/>
      <c r="BA8" s="5"/>
      <c r="BB8" s="5"/>
    </row>
    <row r="9" spans="1:127" ht="35.1" customHeight="1" x14ac:dyDescent="0.3">
      <c r="A9" s="217" t="s">
        <v>0</v>
      </c>
      <c r="B9" s="216" t="s">
        <v>13</v>
      </c>
      <c r="C9" s="209" t="s">
        <v>236</v>
      </c>
      <c r="D9" s="216" t="s">
        <v>2</v>
      </c>
      <c r="E9" s="209" t="s">
        <v>3</v>
      </c>
      <c r="F9" s="209" t="s">
        <v>41</v>
      </c>
      <c r="G9" s="216" t="s">
        <v>1</v>
      </c>
      <c r="H9" s="209" t="s">
        <v>49</v>
      </c>
      <c r="I9" s="209" t="s">
        <v>252</v>
      </c>
      <c r="J9" s="209" t="s">
        <v>253</v>
      </c>
      <c r="K9" s="209" t="s">
        <v>134</v>
      </c>
      <c r="L9" s="209" t="s">
        <v>33</v>
      </c>
      <c r="M9" s="216" t="s">
        <v>5</v>
      </c>
      <c r="N9" s="209" t="s">
        <v>86</v>
      </c>
      <c r="O9" s="209" t="s">
        <v>91</v>
      </c>
      <c r="P9" s="209" t="s">
        <v>44</v>
      </c>
      <c r="Q9" s="216" t="s">
        <v>5</v>
      </c>
      <c r="R9" s="209" t="s">
        <v>47</v>
      </c>
      <c r="S9" s="214" t="s">
        <v>11</v>
      </c>
      <c r="T9" s="209" t="s">
        <v>160</v>
      </c>
      <c r="U9" s="209" t="s">
        <v>212</v>
      </c>
      <c r="V9" s="209" t="s">
        <v>12</v>
      </c>
      <c r="W9" s="209" t="s">
        <v>8</v>
      </c>
      <c r="X9" s="209"/>
      <c r="Y9" s="209"/>
      <c r="Z9" s="209"/>
      <c r="AA9" s="209"/>
      <c r="AB9" s="209"/>
      <c r="AC9" s="214" t="s">
        <v>137</v>
      </c>
      <c r="AD9" s="214" t="s">
        <v>45</v>
      </c>
      <c r="AE9" s="214" t="s">
        <v>5</v>
      </c>
      <c r="AF9" s="214" t="s">
        <v>46</v>
      </c>
      <c r="AG9" s="214" t="s">
        <v>5</v>
      </c>
      <c r="AH9" s="214" t="s">
        <v>48</v>
      </c>
      <c r="AI9" s="214" t="s">
        <v>29</v>
      </c>
      <c r="AJ9" s="209" t="s">
        <v>34</v>
      </c>
      <c r="AK9" s="209" t="s">
        <v>35</v>
      </c>
      <c r="AL9" s="209" t="s">
        <v>36</v>
      </c>
      <c r="AM9" s="209" t="s">
        <v>37</v>
      </c>
      <c r="AN9" s="209" t="s">
        <v>224</v>
      </c>
      <c r="AO9" s="209" t="s">
        <v>38</v>
      </c>
      <c r="AP9" s="209" t="s">
        <v>37</v>
      </c>
      <c r="AQ9" s="209" t="s">
        <v>225</v>
      </c>
      <c r="AR9" s="209" t="s">
        <v>38</v>
      </c>
      <c r="AS9" s="230" t="s">
        <v>292</v>
      </c>
      <c r="AT9" s="209" t="s">
        <v>37</v>
      </c>
      <c r="AU9" s="209" t="s">
        <v>226</v>
      </c>
      <c r="AV9" s="209" t="s">
        <v>38</v>
      </c>
      <c r="AW9" s="5"/>
      <c r="AX9" s="5"/>
      <c r="AY9" s="5"/>
      <c r="AZ9" s="5"/>
      <c r="BA9" s="5"/>
      <c r="BB9" s="5"/>
    </row>
    <row r="10" spans="1:127" s="3" customFormat="1" ht="35.1" customHeight="1" x14ac:dyDescent="0.3">
      <c r="A10" s="217"/>
      <c r="B10" s="216"/>
      <c r="C10" s="209"/>
      <c r="D10" s="216"/>
      <c r="E10" s="209"/>
      <c r="F10" s="209"/>
      <c r="G10" s="216"/>
      <c r="H10" s="209"/>
      <c r="I10" s="209"/>
      <c r="J10" s="209"/>
      <c r="K10" s="209"/>
      <c r="L10" s="209"/>
      <c r="M10" s="216"/>
      <c r="N10" s="209"/>
      <c r="O10" s="209"/>
      <c r="P10" s="216"/>
      <c r="Q10" s="216"/>
      <c r="R10" s="209"/>
      <c r="S10" s="214"/>
      <c r="T10" s="209"/>
      <c r="U10" s="209"/>
      <c r="V10" s="209"/>
      <c r="W10" s="150" t="s">
        <v>13</v>
      </c>
      <c r="X10" s="150" t="s">
        <v>17</v>
      </c>
      <c r="Y10" s="150" t="s">
        <v>28</v>
      </c>
      <c r="Z10" s="150" t="s">
        <v>18</v>
      </c>
      <c r="AA10" s="150" t="s">
        <v>21</v>
      </c>
      <c r="AB10" s="150" t="s">
        <v>24</v>
      </c>
      <c r="AC10" s="214"/>
      <c r="AD10" s="214"/>
      <c r="AE10" s="214"/>
      <c r="AF10" s="214"/>
      <c r="AG10" s="214"/>
      <c r="AH10" s="214"/>
      <c r="AI10" s="214"/>
      <c r="AJ10" s="209"/>
      <c r="AK10" s="209"/>
      <c r="AL10" s="209"/>
      <c r="AM10" s="209"/>
      <c r="AN10" s="209"/>
      <c r="AO10" s="209"/>
      <c r="AP10" s="209"/>
      <c r="AQ10" s="209"/>
      <c r="AR10" s="209"/>
      <c r="AS10" s="231"/>
      <c r="AT10" s="209"/>
      <c r="AU10" s="209"/>
      <c r="AV10" s="209"/>
      <c r="AW10" s="21"/>
      <c r="AX10" s="21"/>
      <c r="AY10" s="21"/>
      <c r="AZ10" s="21"/>
      <c r="BA10" s="21"/>
      <c r="BB10" s="2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184.5" customHeight="1" x14ac:dyDescent="0.3">
      <c r="A11" s="116">
        <v>1</v>
      </c>
      <c r="B11" s="116" t="s">
        <v>228</v>
      </c>
      <c r="C11" s="160" t="s">
        <v>240</v>
      </c>
      <c r="D11" s="117" t="s">
        <v>133</v>
      </c>
      <c r="E11" s="117" t="s">
        <v>259</v>
      </c>
      <c r="F11" s="117" t="s">
        <v>260</v>
      </c>
      <c r="G11" s="118" t="s">
        <v>277</v>
      </c>
      <c r="H11" s="117" t="s">
        <v>124</v>
      </c>
      <c r="I11" s="117" t="s">
        <v>245</v>
      </c>
      <c r="J11" s="117" t="s">
        <v>247</v>
      </c>
      <c r="K11" s="119">
        <v>2</v>
      </c>
      <c r="L11" s="120" t="str">
        <f>IF(K11&lt;=0,"",IF(K11&lt;=2,"Muy Baja",IF(K11&lt;=24,"Baja",IF(K11&lt;=500,"Media",IF(K11&lt;=5000,"Alta","Muy Alta")))))</f>
        <v>Muy Baja</v>
      </c>
      <c r="M11" s="121">
        <f>IF(L11="","",IF(L11="Muy Baja",0.2,IF(L11="Baja",0.4,IF(L11="Media",0.6,IF(L11="Alta",0.8,IF(L11="Muy Alta",1,))))))</f>
        <v>0.2</v>
      </c>
      <c r="N11" s="122" t="s">
        <v>149</v>
      </c>
      <c r="O11" s="151" t="str">
        <f>IF(NOT(ISERROR(MATCH(N11,'Tabla Impacto'!$B$221:$B$223,0))),'Tabla Impacto'!$F$223&amp;"Por favor no seleccionar los criterios de impacto(Afectación Económica o presupuestal y Pérdida Reputacional)",N11)</f>
        <v xml:space="preserve">     Mayor a 500 SMLMV </v>
      </c>
      <c r="P11" s="120" t="str">
        <f>IF(OR(O11='Tabla Impacto'!$C$11,O11='Tabla Impacto'!$D$11),"Leve",IF(OR(O11='Tabla Impacto'!$C$12,O11='Tabla Impacto'!$D$12),"Menor",IF(OR(O11='Tabla Impacto'!$C$13,O11='Tabla Impacto'!$D$13),"Moderado",IF(OR(O11='Tabla Impacto'!$C$14,O11='Tabla Impacto'!$D$14),"Mayor",IF(OR(O11='Tabla Impacto'!$C$15,O11='Tabla Impacto'!$D$15),"Catastrófico","")))))</f>
        <v>Catastrófico</v>
      </c>
      <c r="Q11" s="121">
        <f>IF(P11="","",IF(P11="Leve",0.2,IF(P11="Menor",0.4,IF(P11="Moderado",0.6,IF(P11="Mayor",0.8,IF(P11="Catastrófico",1,))))))</f>
        <v>1</v>
      </c>
      <c r="R11" s="123"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Extremo</v>
      </c>
      <c r="S11" s="116">
        <v>1</v>
      </c>
      <c r="T11" s="165" t="s">
        <v>297</v>
      </c>
      <c r="U11" s="166" t="s">
        <v>294</v>
      </c>
      <c r="V11" s="126" t="str">
        <f>IF(OR(W11="Preventivo",W11="Detectivo"),"Probabilidad",IF(W11="Correctivo","Impacto",""))</f>
        <v>Probabilidad</v>
      </c>
      <c r="W11" s="127" t="s">
        <v>14</v>
      </c>
      <c r="X11" s="127" t="s">
        <v>9</v>
      </c>
      <c r="Y11" s="128" t="str">
        <f>IF(AND(W11="Preventivo",X11="Automático"),"50%",IF(AND(W11="Preventivo",X11="Manual"),"40%",IF(AND(W11="Detectivo",X11="Automático"),"40%",IF(AND(W11="Detectivo",X11="Manual"),"30%",IF(AND(W11="Correctivo",X11="Automático"),"35%",IF(AND(W11="Correctivo",X11="Manual"),"25%",""))))))</f>
        <v>40%</v>
      </c>
      <c r="Z11" s="127" t="s">
        <v>19</v>
      </c>
      <c r="AA11" s="127" t="s">
        <v>22</v>
      </c>
      <c r="AB11" s="127" t="s">
        <v>118</v>
      </c>
      <c r="AC11" s="129">
        <f>IFERROR(IF(V11="Probabilidad",(M11-(+M11*Y11)),IF(V11="Impacto",M11,"")),"")</f>
        <v>0.12</v>
      </c>
      <c r="AD11" s="130" t="str">
        <f>IFERROR(IF(AC11="","",IF(AC11&lt;=0.2,"Muy Baja",IF(AC11&lt;=0.4,"Baja",IF(AC11&lt;=0.6,"Media",IF(AC11&lt;=0.8,"Alta","Muy Alta"))))),"")</f>
        <v>Muy Baja</v>
      </c>
      <c r="AE11" s="131">
        <f>+AC11</f>
        <v>0.12</v>
      </c>
      <c r="AF11" s="130" t="str">
        <f>IFERROR(IF(AG11="","",IF(AG11&lt;=0.2,"Leve",IF(AG11&lt;=0.4,"Menor",IF(AG11&lt;=0.6,"Moderado",IF(AG11&lt;=0.8,"Mayor","Catastrófico"))))),"")</f>
        <v>Catastrófico</v>
      </c>
      <c r="AG11" s="131">
        <f>IFERROR(IF(V11="Impacto",(Q11-(+Q11*Y11)),IF(V11="Probabilidad",Q11,"")),"")</f>
        <v>1</v>
      </c>
      <c r="AH11" s="13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Extremo</v>
      </c>
      <c r="AI11" s="127" t="s">
        <v>135</v>
      </c>
      <c r="AJ11" s="117" t="s">
        <v>295</v>
      </c>
      <c r="AK11" s="159" t="s">
        <v>262</v>
      </c>
      <c r="AL11" s="159" t="s">
        <v>296</v>
      </c>
      <c r="AM11" s="159"/>
      <c r="AN11" s="163"/>
      <c r="AO11" s="119"/>
      <c r="AP11" s="133"/>
      <c r="AQ11" s="163"/>
      <c r="AR11" s="119"/>
      <c r="AS11" s="119"/>
      <c r="AT11" s="133"/>
      <c r="AU11" s="117"/>
      <c r="AV11" s="119"/>
      <c r="AW11" s="5"/>
      <c r="AX11" s="5"/>
      <c r="AY11" s="5"/>
      <c r="AZ11" s="158"/>
      <c r="BA11" s="5"/>
      <c r="BB11" s="5"/>
    </row>
    <row r="12" spans="1:127" ht="213" customHeight="1" x14ac:dyDescent="0.3">
      <c r="A12" s="116">
        <v>2</v>
      </c>
      <c r="B12" s="116" t="s">
        <v>228</v>
      </c>
      <c r="C12" s="160" t="s">
        <v>240</v>
      </c>
      <c r="D12" s="117" t="s">
        <v>133</v>
      </c>
      <c r="E12" s="117" t="s">
        <v>264</v>
      </c>
      <c r="F12" s="117" t="s">
        <v>263</v>
      </c>
      <c r="G12" s="118" t="s">
        <v>270</v>
      </c>
      <c r="H12" s="117" t="s">
        <v>124</v>
      </c>
      <c r="I12" s="117" t="s">
        <v>245</v>
      </c>
      <c r="J12" s="117" t="s">
        <v>247</v>
      </c>
      <c r="K12" s="119">
        <v>2</v>
      </c>
      <c r="L12" s="120" t="str">
        <f>IF(K12&lt;=0,"",IF(K12&lt;=2,"Muy Baja",IF(K12&lt;=24,"Baja",IF(K12&lt;=500,"Media",IF(K12&lt;=5000,"Alta","Muy Alta")))))</f>
        <v>Muy Baja</v>
      </c>
      <c r="M12" s="121">
        <f>IF(L12="","",IF(L12="Muy Baja",0.2,IF(L12="Baja",0.4,IF(L12="Media",0.6,IF(L12="Alta",0.8,IF(L12="Muy Alta",1,))))))</f>
        <v>0.2</v>
      </c>
      <c r="N12" s="122" t="s">
        <v>149</v>
      </c>
      <c r="O12" s="151" t="str">
        <f>IF(NOT(ISERROR(MATCH(N12,_xlfn.ANCHORARRAY(#REF!),0))),#REF!&amp;"Por favor no seleccionar los criterios de impacto",N12)</f>
        <v xml:space="preserve">     Mayor a 500 SMLMV </v>
      </c>
      <c r="P12" s="120" t="str">
        <f>IF(OR(O12='Tabla Impacto'!$C$11,O12='Tabla Impacto'!$D$11),"Leve",IF(OR(O12='Tabla Impacto'!$C$12,O12='Tabla Impacto'!$D$12),"Menor",IF(OR(O12='Tabla Impacto'!$C$13,O12='Tabla Impacto'!$D$13),"Moderado",IF(OR(O12='Tabla Impacto'!$C$14,O12='Tabla Impacto'!$D$14),"Mayor",IF(OR(O12='Tabla Impacto'!$C$15,O12='Tabla Impacto'!$D$15),"Catastrófico","")))))</f>
        <v>Catastrófico</v>
      </c>
      <c r="Q12" s="121">
        <f>IF(P12="","",IF(P12="Leve",0.2,IF(P12="Menor",0.4,IF(P12="Moderado",0.6,IF(P12="Mayor",0.8,IF(P12="Catastrófico",1,))))))</f>
        <v>1</v>
      </c>
      <c r="R12" s="123"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Extremo</v>
      </c>
      <c r="S12" s="116">
        <v>1</v>
      </c>
      <c r="T12" s="124" t="s">
        <v>289</v>
      </c>
      <c r="U12" s="125" t="s">
        <v>265</v>
      </c>
      <c r="V12" s="126" t="str">
        <f>IF(OR(W12="Preventivo",W12="Detectivo"),"Probabilidad",IF(W12="Correctivo","Impacto",""))</f>
        <v>Probabilidad</v>
      </c>
      <c r="W12" s="127" t="s">
        <v>14</v>
      </c>
      <c r="X12" s="127" t="s">
        <v>10</v>
      </c>
      <c r="Y12" s="128" t="str">
        <f>IF(AND(W12="Preventivo",X12="Automático"),"50%",IF(AND(W12="Preventivo",X12="Manual"),"40%",IF(AND(W12="Detectivo",X12="Automático"),"40%",IF(AND(W12="Detectivo",X12="Manual"),"30%",IF(AND(W12="Correctivo",X12="Automático"),"35%",IF(AND(W12="Correctivo",X12="Manual"),"25%",""))))))</f>
        <v>50%</v>
      </c>
      <c r="Z12" s="127" t="s">
        <v>20</v>
      </c>
      <c r="AA12" s="127" t="s">
        <v>22</v>
      </c>
      <c r="AB12" s="127" t="s">
        <v>118</v>
      </c>
      <c r="AC12" s="129">
        <f>IFERROR(IF(V12="Probabilidad",(M12-(+M12*Y12)),IF(V12="Impacto",M12,"")),"")</f>
        <v>0.1</v>
      </c>
      <c r="AD12" s="130" t="str">
        <f>IFERROR(IF(AC12="","",IF(AC12&lt;=0.2,"Muy Baja",IF(AC12&lt;=0.4,"Baja",IF(AC12&lt;=0.6,"Media",IF(AC12&lt;=0.8,"Alta","Muy Alta"))))),"")</f>
        <v>Muy Baja</v>
      </c>
      <c r="AE12" s="131">
        <f>+AC12</f>
        <v>0.1</v>
      </c>
      <c r="AF12" s="130" t="str">
        <f>IFERROR(IF(AG12="","",IF(AG12&lt;=0.2,"Leve",IF(AG12&lt;=0.4,"Menor",IF(AG12&lt;=0.6,"Moderado",IF(AG12&lt;=0.8,"Mayor","Catastrófico"))))),"")</f>
        <v>Catastrófico</v>
      </c>
      <c r="AG12" s="131">
        <f>IFERROR(IF(V12="Impacto",(Q12-(+Q12*Y12)),IF(V12="Probabilidad",Q12,"")),"")</f>
        <v>1</v>
      </c>
      <c r="AH12" s="13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Extremo</v>
      </c>
      <c r="AI12" s="127" t="s">
        <v>135</v>
      </c>
      <c r="AJ12" s="117" t="s">
        <v>290</v>
      </c>
      <c r="AK12" s="159" t="s">
        <v>262</v>
      </c>
      <c r="AL12" s="159" t="s">
        <v>282</v>
      </c>
      <c r="AM12" s="159"/>
      <c r="AN12" s="163"/>
      <c r="AO12" s="119"/>
      <c r="AP12" s="133"/>
      <c r="AQ12" s="163"/>
      <c r="AR12" s="119"/>
      <c r="AS12" s="117"/>
      <c r="AT12" s="133"/>
      <c r="AU12" s="117"/>
      <c r="AV12" s="119"/>
      <c r="AW12" s="5"/>
      <c r="AX12" s="5"/>
      <c r="AY12" s="5"/>
      <c r="AZ12" s="5"/>
      <c r="BA12" s="5"/>
      <c r="BB12" s="5"/>
    </row>
    <row r="13" spans="1:127" ht="187.5" customHeight="1" x14ac:dyDescent="0.3">
      <c r="A13" s="116">
        <v>3</v>
      </c>
      <c r="B13" s="116" t="s">
        <v>230</v>
      </c>
      <c r="C13" s="160" t="s">
        <v>240</v>
      </c>
      <c r="D13" s="117" t="s">
        <v>132</v>
      </c>
      <c r="E13" s="117" t="s">
        <v>271</v>
      </c>
      <c r="F13" s="117" t="s">
        <v>266</v>
      </c>
      <c r="G13" s="118" t="s">
        <v>272</v>
      </c>
      <c r="H13" s="117" t="s">
        <v>127</v>
      </c>
      <c r="I13" s="117" t="s">
        <v>247</v>
      </c>
      <c r="J13" s="117" t="s">
        <v>247</v>
      </c>
      <c r="K13" s="119">
        <v>1</v>
      </c>
      <c r="L13" s="120" t="str">
        <f>IF(K13&lt;=0,"",IF(K13&lt;=2,"Muy Baja",IF(K13&lt;=24,"Baja",IF(K13&lt;=500,"Media",IF(K13&lt;=5000,"Alta","Muy Alta")))))</f>
        <v>Muy Baja</v>
      </c>
      <c r="M13" s="121">
        <f>IF(L13="","",IF(L13="Muy Baja",0.2,IF(L13="Baja",0.4,IF(L13="Media",0.6,IF(L13="Alta",0.8,IF(L13="Muy Alta",1,))))))</f>
        <v>0.2</v>
      </c>
      <c r="N13" s="122" t="s">
        <v>148</v>
      </c>
      <c r="O13" s="151" t="str">
        <f>IF(NOT(ISERROR(MATCH(N13,_xlfn.ANCHORARRAY(#REF!),0))),#REF!&amp;"Por favor no seleccionar los criterios de impacto",N13)</f>
        <v xml:space="preserve">     Entre 100 y 500 SMLMV </v>
      </c>
      <c r="P13" s="120" t="str">
        <f>IF(OR(O13='Tabla Impacto'!$C$11,O13='Tabla Impacto'!$D$11),"Leve",IF(OR(O13='Tabla Impacto'!$C$12,O13='Tabla Impacto'!$D$12),"Menor",IF(OR(O13='Tabla Impacto'!$C$13,O13='Tabla Impacto'!$D$13),"Moderado",IF(OR(O13='Tabla Impacto'!$C$14,O13='Tabla Impacto'!$D$14),"Mayor",IF(OR(O13='Tabla Impacto'!$C$15,O13='Tabla Impacto'!$D$15),"Catastrófico","")))))</f>
        <v>Mayor</v>
      </c>
      <c r="Q13" s="121">
        <f>IF(P13="","",IF(P13="Leve",0.2,IF(P13="Menor",0.4,IF(P13="Moderado",0.6,IF(P13="Mayor",0.8,IF(P13="Catastrófico",1,))))))</f>
        <v>0.8</v>
      </c>
      <c r="R13" s="123"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16">
        <v>1</v>
      </c>
      <c r="T13" s="165" t="s">
        <v>278</v>
      </c>
      <c r="U13" s="166" t="s">
        <v>279</v>
      </c>
      <c r="V13" s="126" t="str">
        <f>IF(OR(W13="Preventivo",W13="Detectivo"),"Probabilidad",IF(W13="Correctivo","Impacto",""))</f>
        <v>Probabilidad</v>
      </c>
      <c r="W13" s="127" t="s">
        <v>14</v>
      </c>
      <c r="X13" s="127" t="s">
        <v>9</v>
      </c>
      <c r="Y13" s="128" t="str">
        <f>IF(AND(W13="Preventivo",X13="Automático"),"50%",IF(AND(W13="Preventivo",X13="Manual"),"40%",IF(AND(W13="Detectivo",X13="Automático"),"40%",IF(AND(W13="Detectivo",X13="Manual"),"30%",IF(AND(W13="Correctivo",X13="Automático"),"35%",IF(AND(W13="Correctivo",X13="Manual"),"25%",""))))))</f>
        <v>40%</v>
      </c>
      <c r="Z13" s="127" t="s">
        <v>19</v>
      </c>
      <c r="AA13" s="127" t="s">
        <v>22</v>
      </c>
      <c r="AB13" s="127" t="s">
        <v>118</v>
      </c>
      <c r="AC13" s="129">
        <f>IFERROR(IF(V13="Probabilidad",(M13-(+M13*Y13)),IF(V13="Impacto",M13,"")),"")</f>
        <v>0.12</v>
      </c>
      <c r="AD13" s="130" t="str">
        <f>IFERROR(IF(AC13="","",IF(AC13&lt;=0.2,"Muy Baja",IF(AC13&lt;=0.4,"Baja",IF(AC13&lt;=0.6,"Media",IF(AC13&lt;=0.8,"Alta","Muy Alta"))))),"")</f>
        <v>Muy Baja</v>
      </c>
      <c r="AE13" s="131">
        <f>+AC13</f>
        <v>0.12</v>
      </c>
      <c r="AF13" s="130" t="str">
        <f>IFERROR(IF(AG13="","",IF(AG13&lt;=0.2,"Leve",IF(AG13&lt;=0.4,"Menor",IF(AG13&lt;=0.6,"Moderado",IF(AG13&lt;=0.8,"Mayor","Catastrófico"))))),"")</f>
        <v>Mayor</v>
      </c>
      <c r="AG13" s="131">
        <f>IFERROR(IF(V13="Impacto",(Q13-(+Q13*Y13)),IF(V13="Probabilidad",Q13,"")),"")</f>
        <v>0.8</v>
      </c>
      <c r="AH13" s="13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I13" s="167" t="s">
        <v>135</v>
      </c>
      <c r="AJ13" s="117" t="s">
        <v>281</v>
      </c>
      <c r="AK13" s="159" t="s">
        <v>261</v>
      </c>
      <c r="AL13" s="159" t="s">
        <v>280</v>
      </c>
      <c r="AM13" s="159"/>
      <c r="AN13" s="163"/>
      <c r="AO13" s="119"/>
      <c r="AP13" s="133"/>
      <c r="AQ13" s="163"/>
      <c r="AR13" s="119"/>
      <c r="AS13" s="117"/>
      <c r="AT13" s="133"/>
      <c r="AU13" s="117"/>
      <c r="AV13" s="119"/>
      <c r="AW13" s="5"/>
      <c r="AX13" s="5"/>
      <c r="AY13" s="5"/>
      <c r="AZ13" s="5"/>
      <c r="BA13" s="5"/>
      <c r="BB13" s="5"/>
    </row>
    <row r="14" spans="1:127" ht="252" customHeight="1" x14ac:dyDescent="0.3">
      <c r="A14" s="116">
        <v>4</v>
      </c>
      <c r="B14" s="116" t="s">
        <v>229</v>
      </c>
      <c r="C14" s="160" t="s">
        <v>240</v>
      </c>
      <c r="D14" s="117" t="s">
        <v>131</v>
      </c>
      <c r="E14" s="152" t="s">
        <v>273</v>
      </c>
      <c r="F14" s="152" t="s">
        <v>267</v>
      </c>
      <c r="G14" s="153" t="s">
        <v>274</v>
      </c>
      <c r="H14" s="152" t="s">
        <v>275</v>
      </c>
      <c r="I14" s="117" t="s">
        <v>245</v>
      </c>
      <c r="J14" s="117" t="s">
        <v>247</v>
      </c>
      <c r="K14" s="154">
        <v>4</v>
      </c>
      <c r="L14" s="120" t="str">
        <f>IF(K14&lt;=0,"",IF(K14&lt;=2,"Muy Baja",IF(K14&lt;=24,"Baja",IF(K14&lt;=500,"Media",IF(K14&lt;=5000,"Alta","Muy Alta")))))</f>
        <v>Baja</v>
      </c>
      <c r="M14" s="149">
        <v>0.6</v>
      </c>
      <c r="N14" s="155" t="s">
        <v>152</v>
      </c>
      <c r="O14" s="149" t="s">
        <v>152</v>
      </c>
      <c r="P14" s="120" t="str">
        <f>IF(OR(O14='Tabla Impacto'!$C$11,O14='Tabla Impacto'!$D$11),"Leve",IF(OR(O14='Tabla Impacto'!$C$12,O14='Tabla Impacto'!$D$12),"Menor",IF(OR(O14='Tabla Impacto'!$C$13,O14='Tabla Impacto'!$D$13),"Moderado",IF(OR(O14='Tabla Impacto'!$C$14,O14='Tabla Impacto'!$D$14),"Mayor",IF(OR(O14='Tabla Impacto'!$C$15,O14='Tabla Impacto'!$D$15),"Catastrófico","")))))</f>
        <v>Moderado</v>
      </c>
      <c r="Q14" s="149">
        <v>0.6</v>
      </c>
      <c r="R14" s="123"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56">
        <v>1</v>
      </c>
      <c r="T14" s="124" t="s">
        <v>298</v>
      </c>
      <c r="U14" s="125" t="s">
        <v>268</v>
      </c>
      <c r="V14" s="157" t="s">
        <v>4</v>
      </c>
      <c r="W14" s="127" t="s">
        <v>15</v>
      </c>
      <c r="X14" s="127" t="s">
        <v>9</v>
      </c>
      <c r="Y14" s="128" t="s">
        <v>258</v>
      </c>
      <c r="Z14" s="127" t="s">
        <v>19</v>
      </c>
      <c r="AA14" s="127" t="s">
        <v>22</v>
      </c>
      <c r="AB14" s="127" t="s">
        <v>118</v>
      </c>
      <c r="AC14" s="129">
        <f>IFERROR(IF(V14="Probabilidad",(M14-(+M14*Y14)),IF(V14="Impacto",M14,"")),"")</f>
        <v>0.36</v>
      </c>
      <c r="AD14" s="130" t="str">
        <f>IFERROR(IF(AC14="","",IF(AC14&lt;=0.2,"Muy Baja",IF(AC14&lt;=0.4,"Baja",IF(AC14&lt;=0.6,"Media",IF(AC14&lt;=0.8,"Alta","Muy Alta"))))),"")</f>
        <v>Baja</v>
      </c>
      <c r="AE14" s="131">
        <f>+AC14</f>
        <v>0.36</v>
      </c>
      <c r="AF14" s="130" t="str">
        <f>IFERROR(IF(AG14="","",IF(AG14&lt;=0.2,"Leve",IF(AG14&lt;=0.4,"Menor",IF(AG14&lt;=0.6,"Moderado",IF(AG14&lt;=0.8,"Mayor","Catastrófico"))))),"")</f>
        <v>Moderado</v>
      </c>
      <c r="AG14" s="131">
        <f>IFERROR(IF(V14="Impacto",(Q14-(+Q14*Y14)),IF(V14="Probabilidad",Q14,"")),"")</f>
        <v>0.6</v>
      </c>
      <c r="AH14" s="132"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27" t="s">
        <v>135</v>
      </c>
      <c r="AJ14" s="164" t="s">
        <v>276</v>
      </c>
      <c r="AK14" s="159" t="s">
        <v>262</v>
      </c>
      <c r="AL14" s="159" t="s">
        <v>269</v>
      </c>
      <c r="AM14" s="159"/>
      <c r="AN14" s="163"/>
      <c r="AO14" s="119"/>
      <c r="AP14" s="133"/>
      <c r="AQ14" s="163"/>
      <c r="AR14" s="119"/>
      <c r="AS14" s="168"/>
      <c r="AT14" s="133"/>
      <c r="AU14" s="117"/>
      <c r="AV14" s="119"/>
      <c r="AW14" s="5"/>
      <c r="AX14" s="5"/>
      <c r="AY14" s="5"/>
      <c r="AZ14" s="5"/>
      <c r="BA14" s="5"/>
      <c r="BB14" s="5"/>
    </row>
    <row r="15" spans="1:127" ht="278.25" customHeight="1" x14ac:dyDescent="0.3">
      <c r="A15" s="116">
        <v>5</v>
      </c>
      <c r="B15" s="116" t="s">
        <v>229</v>
      </c>
      <c r="C15" s="160" t="s">
        <v>239</v>
      </c>
      <c r="D15" s="117" t="s">
        <v>131</v>
      </c>
      <c r="E15" s="117" t="s">
        <v>283</v>
      </c>
      <c r="F15" s="117" t="s">
        <v>284</v>
      </c>
      <c r="G15" s="118" t="s">
        <v>291</v>
      </c>
      <c r="H15" s="117" t="s">
        <v>122</v>
      </c>
      <c r="I15" s="117" t="s">
        <v>245</v>
      </c>
      <c r="J15" s="117" t="s">
        <v>247</v>
      </c>
      <c r="K15" s="154">
        <v>1000</v>
      </c>
      <c r="L15" s="120" t="str">
        <f>IF(K15&lt;=0,"",IF(K15&lt;=2,"Muy Baja",IF(K15&lt;=24,"Baja",IF(K15&lt;=500,"Media",IF(K15&lt;=5000,"Alta","Muy Alta")))))</f>
        <v>Alta</v>
      </c>
      <c r="M15" s="149">
        <v>0.8</v>
      </c>
      <c r="N15" s="155" t="s">
        <v>154</v>
      </c>
      <c r="O15" s="149" t="s">
        <v>152</v>
      </c>
      <c r="P15" s="120" t="str">
        <f>IF(OR(O15='Tabla Impacto'!$C$11,O15='Tabla Impacto'!$D$11),"Leve",IF(OR(O15='Tabla Impacto'!$C$12,O15='Tabla Impacto'!$D$12),"Menor",IF(OR(O15='Tabla Impacto'!$C$13,O15='Tabla Impacto'!$D$13),"Moderado",IF(OR(O15='Tabla Impacto'!$C$14,O15='Tabla Impacto'!$D$14),"Mayor",IF(OR(O15='Tabla Impacto'!$C$15,O15='Tabla Impacto'!$D$15),"Catastrófico","")))))</f>
        <v>Moderado</v>
      </c>
      <c r="Q15" s="149">
        <v>1</v>
      </c>
      <c r="R15" s="123"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Alto</v>
      </c>
      <c r="S15" s="156">
        <v>1</v>
      </c>
      <c r="T15" s="125" t="s">
        <v>293</v>
      </c>
      <c r="U15" s="125" t="s">
        <v>285</v>
      </c>
      <c r="V15" s="157" t="s">
        <v>4</v>
      </c>
      <c r="W15" s="127" t="s">
        <v>15</v>
      </c>
      <c r="X15" s="127" t="s">
        <v>9</v>
      </c>
      <c r="Y15" s="128" t="s">
        <v>258</v>
      </c>
      <c r="Z15" s="127" t="s">
        <v>19</v>
      </c>
      <c r="AA15" s="127" t="s">
        <v>22</v>
      </c>
      <c r="AB15" s="127" t="s">
        <v>118</v>
      </c>
      <c r="AC15" s="129">
        <f>IFERROR(IF(V15="Probabilidad",(M15-(+M15*Y15)),IF(V15="Impacto",M15,"")),"")</f>
        <v>0.48</v>
      </c>
      <c r="AD15" s="130" t="str">
        <f>IFERROR(IF(AC15="","",IF(AC15&lt;=0.2,"Muy Baja",IF(AC15&lt;=0.4,"Baja",IF(AC15&lt;=0.6,"Media",IF(AC15&lt;=0.8,"Alta","Muy Alta"))))),"")</f>
        <v>Media</v>
      </c>
      <c r="AE15" s="131">
        <f>+AC15</f>
        <v>0.48</v>
      </c>
      <c r="AF15" s="130" t="str">
        <f>IFERROR(IF(AG15="","",IF(AG15&lt;=0.2,"Leve",IF(AG15&lt;=0.4,"Menor",IF(AG15&lt;=0.6,"Moderado",IF(AG15&lt;=0.8,"Mayor","Catastrófico"))))),"")</f>
        <v>Catastrófico</v>
      </c>
      <c r="AG15" s="131">
        <f>IFERROR(IF(V15="Impacto",(Q15-(+Q15*Y15)),IF(V15="Probabilidad",Q15,"")),"")</f>
        <v>1</v>
      </c>
      <c r="AH15" s="132"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Extremo</v>
      </c>
      <c r="AI15" s="127" t="s">
        <v>135</v>
      </c>
      <c r="AJ15" s="159" t="s">
        <v>286</v>
      </c>
      <c r="AK15" s="159" t="s">
        <v>287</v>
      </c>
      <c r="AL15" s="133" t="s">
        <v>288</v>
      </c>
      <c r="AM15" s="159"/>
      <c r="AN15" s="163"/>
      <c r="AO15" s="119"/>
      <c r="AP15" s="133"/>
      <c r="AQ15" s="163"/>
      <c r="AR15" s="119"/>
      <c r="AS15" s="168"/>
      <c r="AT15" s="133"/>
      <c r="AU15" s="117"/>
      <c r="AV15" s="119"/>
      <c r="AW15" s="5"/>
      <c r="AX15" s="5"/>
      <c r="AY15" s="5"/>
      <c r="AZ15" s="5"/>
      <c r="BA15" s="5"/>
      <c r="BB15" s="5"/>
    </row>
    <row r="16" spans="1:127" ht="35.1" customHeight="1" x14ac:dyDescent="0.3">
      <c r="A16" s="115"/>
      <c r="B16" s="148"/>
      <c r="C16" s="161"/>
      <c r="D16" s="219" t="s">
        <v>130</v>
      </c>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1"/>
    </row>
    <row r="18" spans="1:43" ht="35.1" customHeight="1" x14ac:dyDescent="0.3">
      <c r="A18" s="134"/>
      <c r="B18" s="135"/>
      <c r="C18" s="135"/>
      <c r="D18" s="135"/>
      <c r="E18" s="135"/>
      <c r="F18" s="135"/>
      <c r="G18" s="135"/>
      <c r="H18" s="1"/>
      <c r="I18" s="1"/>
      <c r="J18" s="1"/>
      <c r="L18" s="138"/>
      <c r="M18" s="135"/>
      <c r="N18" s="135"/>
      <c r="O18" s="135"/>
      <c r="P18" s="135"/>
      <c r="Q18" s="135"/>
      <c r="R18" s="135"/>
      <c r="S18" s="135"/>
      <c r="T18" s="135"/>
      <c r="U18" s="135"/>
      <c r="V18" s="139"/>
      <c r="W18" s="139"/>
      <c r="X18" s="135"/>
      <c r="Y18" s="135"/>
      <c r="Z18" s="135"/>
      <c r="AA18" s="135"/>
      <c r="AB18" s="135"/>
      <c r="AC18" s="135"/>
      <c r="AD18" s="135"/>
      <c r="AE18" s="135"/>
      <c r="AF18" s="135"/>
      <c r="AG18" s="135"/>
      <c r="AH18" s="135"/>
      <c r="AI18" s="140"/>
      <c r="AJ18" s="140"/>
      <c r="AK18" s="135"/>
      <c r="AL18" s="135"/>
      <c r="AM18" s="135"/>
      <c r="AN18" s="135"/>
      <c r="AO18" s="135"/>
      <c r="AP18" s="135"/>
      <c r="AQ18" s="135"/>
    </row>
    <row r="19" spans="1:43" ht="35.1" customHeight="1" x14ac:dyDescent="0.3">
      <c r="A19" s="222" t="s">
        <v>257</v>
      </c>
      <c r="B19" s="222"/>
      <c r="C19" s="222"/>
      <c r="D19" s="222"/>
      <c r="E19" s="222"/>
      <c r="F19" s="222"/>
      <c r="G19" s="222"/>
      <c r="H19" s="1"/>
      <c r="I19" s="1"/>
      <c r="J19" s="1"/>
      <c r="K19" s="225" t="s">
        <v>299</v>
      </c>
      <c r="L19" s="226"/>
      <c r="M19" s="226"/>
      <c r="N19" s="227"/>
      <c r="O19" s="135"/>
      <c r="P19" s="135"/>
      <c r="Q19" s="135"/>
      <c r="R19" s="135"/>
      <c r="S19" s="135"/>
      <c r="T19" s="135"/>
      <c r="U19" s="140"/>
      <c r="V19" s="139"/>
      <c r="W19" s="139"/>
      <c r="X19" s="135"/>
      <c r="Y19" s="139"/>
      <c r="Z19" s="139"/>
      <c r="AA19" s="135"/>
      <c r="AB19" s="135"/>
      <c r="AC19" s="135"/>
      <c r="AD19" s="135"/>
      <c r="AE19" s="135"/>
      <c r="AF19" s="135"/>
      <c r="AG19" s="135"/>
      <c r="AH19" s="135"/>
      <c r="AI19" s="135"/>
      <c r="AJ19" s="135"/>
      <c r="AK19" s="135"/>
      <c r="AL19" s="135"/>
      <c r="AM19" s="135"/>
      <c r="AN19" s="135"/>
      <c r="AO19" s="135"/>
      <c r="AP19" s="135"/>
      <c r="AQ19" s="135"/>
    </row>
    <row r="20" spans="1:43" ht="35.1" customHeight="1" thickBot="1" x14ac:dyDescent="0.35">
      <c r="A20"/>
      <c r="B20"/>
      <c r="C20" s="143"/>
      <c r="D20"/>
      <c r="E20"/>
      <c r="F20"/>
      <c r="G20"/>
      <c r="H20" s="1"/>
      <c r="I20" s="1"/>
      <c r="J20" s="1"/>
      <c r="L20" s="136" t="str">
        <f>+IFERROR(VLOOKUP(H20,$H$175:$L$179,3,FALSE)*VLOOKUP(K20,$K$175:$L$179,3,FALSE),"")</f>
        <v/>
      </c>
      <c r="M20"/>
      <c r="N20"/>
      <c r="O20"/>
      <c r="P20"/>
      <c r="Q20"/>
      <c r="R20"/>
      <c r="S20"/>
      <c r="T20"/>
      <c r="U20"/>
      <c r="V20" s="136"/>
      <c r="W20" s="137"/>
      <c r="X20"/>
      <c r="Y20" s="137"/>
      <c r="Z20" s="137"/>
      <c r="AA20" s="143"/>
      <c r="AB20" s="143"/>
      <c r="AC20" s="143"/>
      <c r="AD20" s="143"/>
      <c r="AE20" s="141"/>
      <c r="AF20" s="141"/>
      <c r="AG20" s="143"/>
      <c r="AH20" s="144"/>
      <c r="AI20"/>
      <c r="AJ20"/>
      <c r="AK20"/>
      <c r="AL20" s="143"/>
      <c r="AM20"/>
      <c r="AN20" s="143"/>
      <c r="AO20"/>
      <c r="AP20" s="143"/>
      <c r="AQ20"/>
    </row>
    <row r="21" spans="1:43" ht="35.1" customHeight="1" thickTop="1" thickBot="1" x14ac:dyDescent="0.35">
      <c r="A21" s="223" t="s">
        <v>217</v>
      </c>
      <c r="B21" s="223"/>
      <c r="C21" s="223"/>
      <c r="D21" s="223"/>
      <c r="E21" s="223"/>
      <c r="F21" s="223"/>
      <c r="G21" s="146" t="s">
        <v>218</v>
      </c>
      <c r="H21" s="223" t="s">
        <v>219</v>
      </c>
      <c r="I21" s="223"/>
      <c r="J21" s="223"/>
      <c r="K21" s="223"/>
      <c r="L21" s="223"/>
      <c r="M21" s="223"/>
      <c r="N21" s="223"/>
      <c r="O21" s="147"/>
      <c r="P21" s="224" t="s">
        <v>220</v>
      </c>
      <c r="Q21" s="224"/>
      <c r="R21" s="224"/>
      <c r="S21" s="223" t="s">
        <v>221</v>
      </c>
      <c r="T21" s="223"/>
      <c r="U21" s="223"/>
      <c r="V21" s="223"/>
      <c r="W21" s="224">
        <v>1</v>
      </c>
      <c r="X21" s="224"/>
      <c r="Y21" s="224"/>
      <c r="Z21" s="224"/>
      <c r="AA21" s="145"/>
      <c r="AB21" s="145"/>
      <c r="AC21" s="145"/>
      <c r="AD21" s="145"/>
      <c r="AE21" s="145"/>
      <c r="AF21" s="145"/>
      <c r="AG21" s="145"/>
      <c r="AH21" s="145"/>
      <c r="AI21" s="145"/>
      <c r="AJ21" s="145"/>
      <c r="AK21" s="145"/>
      <c r="AL21" s="145"/>
      <c r="AM21" s="145"/>
      <c r="AN21" s="145"/>
      <c r="AO21" s="145"/>
      <c r="AP21" s="145"/>
      <c r="AQ21" s="142"/>
    </row>
    <row r="22" spans="1:43" ht="35.1" customHeight="1" thickTop="1" x14ac:dyDescent="0.3"/>
  </sheetData>
  <dataConsolidate/>
  <mergeCells count="68">
    <mergeCell ref="AJ8:AV8"/>
    <mergeCell ref="AR9:AR10"/>
    <mergeCell ref="AT9:AT10"/>
    <mergeCell ref="AU9:AU10"/>
    <mergeCell ref="A5:B5"/>
    <mergeCell ref="A6:B6"/>
    <mergeCell ref="A7:B7"/>
    <mergeCell ref="A8:K8"/>
    <mergeCell ref="L8:R8"/>
    <mergeCell ref="S8:AB8"/>
    <mergeCell ref="S9:S10"/>
    <mergeCell ref="T9:T10"/>
    <mergeCell ref="B9:B10"/>
    <mergeCell ref="V9:V10"/>
    <mergeCell ref="AS9:AS10"/>
    <mergeCell ref="S21:V21"/>
    <mergeCell ref="W21:Z21"/>
    <mergeCell ref="A21:F21"/>
    <mergeCell ref="K19:N19"/>
    <mergeCell ref="H21:N21"/>
    <mergeCell ref="P21:R21"/>
    <mergeCell ref="D16:AO16"/>
    <mergeCell ref="A19:G19"/>
    <mergeCell ref="G9:G10"/>
    <mergeCell ref="F9:F10"/>
    <mergeCell ref="E9:E10"/>
    <mergeCell ref="D9:D10"/>
    <mergeCell ref="R9:R10"/>
    <mergeCell ref="N9:N10"/>
    <mergeCell ref="O9:O10"/>
    <mergeCell ref="AO9:AO10"/>
    <mergeCell ref="AN9:AN10"/>
    <mergeCell ref="AM9:AM10"/>
    <mergeCell ref="AL9:AL10"/>
    <mergeCell ref="AK9:AK10"/>
    <mergeCell ref="C9:C10"/>
    <mergeCell ref="A1:D4"/>
    <mergeCell ref="AF9:AF10"/>
    <mergeCell ref="AD9:AD10"/>
    <mergeCell ref="AE9:AE10"/>
    <mergeCell ref="K9:K10"/>
    <mergeCell ref="L9:L10"/>
    <mergeCell ref="M9:M10"/>
    <mergeCell ref="P9:P10"/>
    <mergeCell ref="Q9:Q10"/>
    <mergeCell ref="W9:AB9"/>
    <mergeCell ref="AC8:AI8"/>
    <mergeCell ref="A9:A10"/>
    <mergeCell ref="H9:H10"/>
    <mergeCell ref="E1:AT4"/>
    <mergeCell ref="AP9:AP10"/>
    <mergeCell ref="AQ9:AQ10"/>
    <mergeCell ref="AU1:AV1"/>
    <mergeCell ref="AU2:AV2"/>
    <mergeCell ref="AU3:AV3"/>
    <mergeCell ref="AU4:AV4"/>
    <mergeCell ref="AJ9:AJ10"/>
    <mergeCell ref="C7:AV7"/>
    <mergeCell ref="C6:AV6"/>
    <mergeCell ref="C5:AV5"/>
    <mergeCell ref="I9:I10"/>
    <mergeCell ref="J9:J10"/>
    <mergeCell ref="AI9:AI10"/>
    <mergeCell ref="AH9:AH10"/>
    <mergeCell ref="AG9:AG10"/>
    <mergeCell ref="AC9:AC10"/>
    <mergeCell ref="U9:U10"/>
    <mergeCell ref="AV9:AV10"/>
  </mergeCells>
  <conditionalFormatting sqref="L11:L15">
    <cfRule type="cellIs" dxfId="34" priority="201" operator="equal">
      <formula>"Muy Baja"</formula>
    </cfRule>
    <cfRule type="cellIs" dxfId="33" priority="200" operator="equal">
      <formula>"Baja"</formula>
    </cfRule>
    <cfRule type="cellIs" dxfId="32" priority="199" operator="equal">
      <formula>"Media"</formula>
    </cfRule>
    <cfRule type="cellIs" dxfId="31" priority="198" operator="equal">
      <formula>"Alta"</formula>
    </cfRule>
    <cfRule type="cellIs" dxfId="30" priority="197" operator="equal">
      <formula>"Muy Alta"</formula>
    </cfRule>
  </conditionalFormatting>
  <conditionalFormatting sqref="O11:O15">
    <cfRule type="containsText" dxfId="29" priority="15" operator="containsText" text="❌">
      <formula>NOT(ISERROR(SEARCH("❌",O11)))</formula>
    </cfRule>
  </conditionalFormatting>
  <conditionalFormatting sqref="P11:P15">
    <cfRule type="cellIs" dxfId="28" priority="192" operator="equal">
      <formula>"Catastrófico"</formula>
    </cfRule>
    <cfRule type="cellIs" dxfId="27" priority="193" operator="equal">
      <formula>"Mayor"</formula>
    </cfRule>
    <cfRule type="cellIs" dxfId="26" priority="194" operator="equal">
      <formula>"Moderado"</formula>
    </cfRule>
    <cfRule type="cellIs" dxfId="25" priority="195" operator="equal">
      <formula>"Menor"</formula>
    </cfRule>
    <cfRule type="cellIs" dxfId="24" priority="196" operator="equal">
      <formula>"Leve"</formula>
    </cfRule>
  </conditionalFormatting>
  <conditionalFormatting sqref="R11:R15">
    <cfRule type="cellIs" dxfId="23" priority="188" operator="equal">
      <formula>"Extremo"</formula>
    </cfRule>
    <cfRule type="cellIs" dxfId="22" priority="189" operator="equal">
      <formula>"Alto"</formula>
    </cfRule>
    <cfRule type="cellIs" dxfId="21" priority="190" operator="equal">
      <formula>"Moderado"</formula>
    </cfRule>
    <cfRule type="cellIs" dxfId="20" priority="191" operator="equal">
      <formula>"Bajo"</formula>
    </cfRule>
  </conditionalFormatting>
  <conditionalFormatting sqref="AD11:AD15">
    <cfRule type="cellIs" dxfId="19" priority="185" operator="equal">
      <formula>"Media"</formula>
    </cfRule>
    <cfRule type="cellIs" dxfId="18" priority="186" operator="equal">
      <formula>"Baja"</formula>
    </cfRule>
    <cfRule type="cellIs" dxfId="17" priority="187" operator="equal">
      <formula>"Muy Baja"</formula>
    </cfRule>
    <cfRule type="cellIs" dxfId="16" priority="183" operator="equal">
      <formula>"Muy Alta"</formula>
    </cfRule>
    <cfRule type="cellIs" dxfId="15" priority="184" operator="equal">
      <formula>"Alta"</formula>
    </cfRule>
  </conditionalFormatting>
  <conditionalFormatting sqref="AE18:AE20">
    <cfRule type="cellIs" dxfId="14" priority="161" stopIfTrue="1" operator="equal">
      <formula>#REF!</formula>
    </cfRule>
    <cfRule type="cellIs" dxfId="13" priority="162" operator="equal">
      <formula>#REF!</formula>
    </cfRule>
    <cfRule type="cellIs" dxfId="12" priority="163" operator="equal">
      <formula>#REF!</formula>
    </cfRule>
  </conditionalFormatting>
  <conditionalFormatting sqref="AF11:AF15">
    <cfRule type="cellIs" dxfId="11" priority="178" operator="equal">
      <formula>"Catastrófico"</formula>
    </cfRule>
    <cfRule type="cellIs" dxfId="10" priority="179" operator="equal">
      <formula>"Mayor"</formula>
    </cfRule>
    <cfRule type="cellIs" dxfId="9" priority="182" operator="equal">
      <formula>"Leve"</formula>
    </cfRule>
    <cfRule type="cellIs" dxfId="8" priority="181" operator="equal">
      <formula>"Menor"</formula>
    </cfRule>
    <cfRule type="cellIs" dxfId="7" priority="180" operator="equal">
      <formula>"Moderado"</formula>
    </cfRule>
  </conditionalFormatting>
  <conditionalFormatting sqref="AF18:AF20">
    <cfRule type="cellIs" dxfId="6" priority="164" stopIfTrue="1" operator="equal">
      <formula>#REF!</formula>
    </cfRule>
    <cfRule type="cellIs" dxfId="5" priority="165" stopIfTrue="1" operator="equal">
      <formula>#REF!</formula>
    </cfRule>
    <cfRule type="cellIs" dxfId="4" priority="166" stopIfTrue="1" operator="equal">
      <formula>#REF!</formula>
    </cfRule>
  </conditionalFormatting>
  <conditionalFormatting sqref="AH11:AH15">
    <cfRule type="cellIs" dxfId="3" priority="174" operator="equal">
      <formula>"Extremo"</formula>
    </cfRule>
    <cfRule type="cellIs" dxfId="2" priority="175" operator="equal">
      <formula>"Alto"</formula>
    </cfRule>
    <cfRule type="cellIs" dxfId="1" priority="176" operator="equal">
      <formula>"Moderado"</formula>
    </cfRule>
    <cfRule type="cellIs" dxfId="0" priority="177" operator="equal">
      <formula>"Bajo"</formula>
    </cfRule>
  </conditionalFormatting>
  <dataValidations count="7">
    <dataValidation type="list" allowBlank="1" showInputMessage="1" showErrorMessage="1" sqref="G18" xr:uid="{00000000-0002-0000-0100-000000000000}">
      <formula1>$G$175:$G$184</formula1>
    </dataValidation>
    <dataValidation type="list" allowBlank="1" showInputMessage="1" showErrorMessage="1" sqref="G20 AE20:AF20" xr:uid="{00000000-0002-0000-0100-000001000000}">
      <formula1>#REF!</formula1>
    </dataValidation>
    <dataValidation type="list" allowBlank="1" showInputMessage="1" showErrorMessage="1" sqref="V20" xr:uid="{00000000-0002-0000-0100-000002000000}">
      <formula1>$N$175:$N$176</formula1>
    </dataValidation>
    <dataValidation type="list" allowBlank="1" showInputMessage="1" showErrorMessage="1" sqref="K20" xr:uid="{00000000-0002-0000-0100-000003000000}">
      <formula1>$K$175:$K$179</formula1>
    </dataValidation>
    <dataValidation type="list" allowBlank="1" showInputMessage="1" showErrorMessage="1" sqref="H20:J20" xr:uid="{00000000-0002-0000-0100-000004000000}">
      <formula1>$H$175:$H$179</formula1>
    </dataValidation>
    <dataValidation type="list" allowBlank="1" showInputMessage="1" showErrorMessage="1" sqref="AP20 Y20:AD20 W20 AL20 AN20" xr:uid="{00000000-0002-0000-0100-000005000000}">
      <formula1>$AL$175:$AL$182</formula1>
    </dataValidation>
    <dataValidation showInputMessage="1" showErrorMessage="1" error="Recuerde que las acciones se generan bajo la medida de mitigar el riesgo" sqref="AJ15"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7000000}">
          <x14:formula1>
            <xm:f>'Tabla Valoración controles'!$D$7:$D$8</xm:f>
          </x14:formula1>
          <xm:sqref>X11:X13</xm:sqref>
        </x14:dataValidation>
        <x14:dataValidation type="list" allowBlank="1" showInputMessage="1" showErrorMessage="1" xr:uid="{00000000-0002-0000-0100-000008000000}">
          <x14:formula1>
            <xm:f>'Tabla Valoración controles'!$D$9:$D$10</xm:f>
          </x14:formula1>
          <xm:sqref>Z11:Z13</xm:sqref>
        </x14:dataValidation>
        <x14:dataValidation type="list" allowBlank="1" showInputMessage="1" showErrorMessage="1" xr:uid="{00000000-0002-0000-0100-000009000000}">
          <x14:formula1>
            <xm:f>'Tabla Valoración controles'!$D$11:$D$12</xm:f>
          </x14:formula1>
          <xm:sqref>AA11:AA13</xm:sqref>
        </x14:dataValidation>
        <x14:dataValidation type="list" allowBlank="1" showInputMessage="1" showErrorMessage="1" xr:uid="{00000000-0002-0000-0100-00000A000000}">
          <x14:formula1>
            <xm:f>'Tabla Valoración controles'!$D$13:$D$14</xm:f>
          </x14:formula1>
          <xm:sqref>AB11:AB13</xm:sqref>
        </x14:dataValidation>
        <x14:dataValidation type="list" allowBlank="1" showInputMessage="1" showErrorMessage="1" xr:uid="{00000000-0002-0000-0100-00000B000000}">
          <x14:formula1>
            <xm:f>'Opciones Tratamiento'!$B$13:$B$19</xm:f>
          </x14:formula1>
          <xm:sqref>H11:H13</xm:sqref>
        </x14:dataValidation>
        <x14:dataValidation type="list" allowBlank="1" showInputMessage="1" showErrorMessage="1" xr:uid="{00000000-0002-0000-0100-00000C000000}">
          <x14:formula1>
            <xm:f>'Tabla Impacto'!$F$210:$F$221</xm:f>
          </x14:formula1>
          <xm:sqref>N11:N13</xm:sqref>
        </x14:dataValidation>
        <x14:dataValidation type="custom" allowBlank="1" showInputMessage="1" showErrorMessage="1" error="Recuerde que las acciones se generan bajo la medida de mitigar el riesgo" xr:uid="{00000000-0002-0000-0100-00000D000000}">
          <x14:formula1>
            <xm:f>IF(OR(AI11='Opciones Tratamiento'!$B$2,AI11='Opciones Tratamiento'!$B$3,AI11='Opciones Tratamiento'!$B$4),ISBLANK(AI11),ISTEXT(AI11))</xm:f>
          </x14:formula1>
          <xm:sqref>AJ11:AJ13</xm:sqref>
        </x14:dataValidation>
        <x14:dataValidation type="list" allowBlank="1" showInputMessage="1" showErrorMessage="1" xr:uid="{00000000-0002-0000-0100-00000E000000}">
          <x14:formula1>
            <xm:f>'C:\Users\plandeaccion\Downloads\[Riesgos de Comunicaciones 2023.xlsx]Opciones Tratamiento'!#REF!</xm:f>
          </x14:formula1>
          <xm:sqref>H15</xm:sqref>
        </x14:dataValidation>
        <x14:dataValidation type="custom" allowBlank="1" showInputMessage="1" showErrorMessage="1" error="Recuerde que las acciones se generan bajo la medida de mitigar el riesgo" xr:uid="{00000000-0002-0000-0100-00000F000000}">
          <x14:formula1>
            <xm:f>IF(OR(AH15='C:\Users\plandeaccion\Downloads\[Riesgos de Comunicaciones 2023.xlsx]Opciones Tratamiento'!#REF!,AH15='C:\Users\plandeaccion\Downloads\[Riesgos de Comunicaciones 2023.xlsx]Opciones Tratamiento'!#REF!,AH15='C:\Users\plandeaccion\Downloads\[Riesgos de Comunicaciones 2023.xlsx]Opciones Tratamiento'!#REF!),ISBLANK(AH15),ISTEXT(AH15))</xm:f>
          </x14:formula1>
          <xm:sqref>AL15</xm:sqref>
        </x14:dataValidation>
        <x14:dataValidation type="custom" allowBlank="1" showInputMessage="1" showErrorMessage="1" error="Recuerde que las acciones se generan bajo la medida de mitigar el riesgo" xr:uid="{00000000-0002-0000-0100-000010000000}">
          <x14:formula1>
            <xm:f>IF(OR(AH15='C:\Users\plandeaccion\Downloads\[Riesgos de Comunicaciones 2023.xlsx]Opciones Tratamiento'!#REF!,AH15='C:\Users\plandeaccion\Downloads\[Riesgos de Comunicaciones 2023.xlsx]Opciones Tratamiento'!#REF!,AH15='C:\Users\plandeaccion\Downloads\[Riesgos de Comunicaciones 2023.xlsx]Opciones Tratamiento'!#REF!),ISBLANK(AH15),ISTEXT(AH15))</xm:f>
          </x14:formula1>
          <xm:sqref>AK15</xm:sqref>
        </x14:dataValidation>
        <x14:dataValidation type="list" allowBlank="1" showInputMessage="1" showErrorMessage="1" xr:uid="{00000000-0002-0000-0100-000011000000}">
          <x14:formula1>
            <xm:f>'Tabla Valoración controles'!$D$4:$D$6</xm:f>
          </x14:formula1>
          <xm:sqref>W11:W15</xm:sqref>
        </x14:dataValidation>
        <x14:dataValidation type="list" allowBlank="1" showInputMessage="1" showErrorMessage="1" xr:uid="{00000000-0002-0000-0100-000012000000}">
          <x14:formula1>
            <xm:f>'Opciones Tratamiento'!$E$2:$E$4</xm:f>
          </x14:formula1>
          <xm:sqref>D11:D15</xm:sqref>
        </x14:dataValidation>
        <x14:dataValidation type="list" allowBlank="1" showInputMessage="1" showErrorMessage="1" xr:uid="{00000000-0002-0000-0100-000013000000}">
          <x14:formula1>
            <xm:f>'Opciones Tratamiento'!$B$2:$B$5</xm:f>
          </x14:formula1>
          <xm:sqref>AI11:AI15</xm:sqref>
        </x14:dataValidation>
        <x14:dataValidation type="custom" allowBlank="1" showInputMessage="1" showErrorMessage="1" error="Recuerde que las acciones se generan bajo la medida de mitigar el riesgo" xr:uid="{00000000-0002-0000-0100-000014000000}">
          <x14:formula1>
            <xm:f>IF(OR(AH11='Opciones Tratamiento'!$B$2,AH11='Opciones Tratamiento'!$B$3,AH11='Opciones Tratamiento'!$B$4),ISBLANK(AH11),ISTEXT(AH11))</xm:f>
          </x14:formula1>
          <xm:sqref>AK11:AK14</xm:sqref>
        </x14:dataValidation>
        <x14:dataValidation type="custom" allowBlank="1" showInputMessage="1" showErrorMessage="1" error="Recuerde que las acciones se generan bajo la medida de mitigar el riesgo" xr:uid="{00000000-0002-0000-0100-000015000000}">
          <x14:formula1>
            <xm:f>IF(OR(AH11='Opciones Tratamiento'!$B$2,AH11='Opciones Tratamiento'!$B$3,AH11='Opciones Tratamiento'!$B$4),ISBLANK(AH11),ISTEXT(AH11))</xm:f>
          </x14:formula1>
          <xm:sqref>AL11:AL14</xm:sqref>
        </x14:dataValidation>
        <x14:dataValidation type="list" allowBlank="1" showInputMessage="1" showErrorMessage="1" xr:uid="{00000000-0002-0000-0100-000016000000}">
          <x14:formula1>
            <xm:f>Listas!$A$2:$A$9</xm:f>
          </x14:formula1>
          <xm:sqref>B11:B15</xm:sqref>
        </x14:dataValidation>
        <x14:dataValidation type="list" allowBlank="1" showInputMessage="1" showErrorMessage="1" xr:uid="{00000000-0002-0000-0100-000017000000}">
          <x14:formula1>
            <xm:f>Listas!$B$2:$B$7</xm:f>
          </x14:formula1>
          <xm:sqref>C11:C15</xm:sqref>
        </x14:dataValidation>
        <x14:dataValidation type="list" allowBlank="1" showInputMessage="1" showErrorMessage="1" xr:uid="{00000000-0002-0000-0100-000018000000}">
          <x14:formula1>
            <xm:f>Listas!$C$2:$C$6</xm:f>
          </x14:formula1>
          <xm:sqref>I11:I15</xm:sqref>
        </x14:dataValidation>
        <x14:dataValidation type="list" allowBlank="1" showInputMessage="1" showErrorMessage="1" xr:uid="{00000000-0002-0000-0100-000019000000}">
          <x14:formula1>
            <xm:f>Listas!$D$2:$D$5</xm:f>
          </x14:formula1>
          <xm:sqref>J11:J15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32" t="s">
        <v>158</v>
      </c>
      <c r="C2" s="232"/>
      <c r="D2" s="232"/>
      <c r="E2" s="232"/>
      <c r="F2" s="232"/>
      <c r="G2" s="232"/>
      <c r="H2" s="232"/>
      <c r="I2" s="232"/>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32"/>
      <c r="C3" s="232"/>
      <c r="D3" s="232"/>
      <c r="E3" s="232"/>
      <c r="F3" s="232"/>
      <c r="G3" s="232"/>
      <c r="H3" s="232"/>
      <c r="I3" s="232"/>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32"/>
      <c r="C4" s="232"/>
      <c r="D4" s="232"/>
      <c r="E4" s="232"/>
      <c r="F4" s="232"/>
      <c r="G4" s="232"/>
      <c r="H4" s="232"/>
      <c r="I4" s="232"/>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80" t="s">
        <v>4</v>
      </c>
      <c r="C6" s="280"/>
      <c r="D6" s="281"/>
      <c r="E6" s="270" t="s">
        <v>115</v>
      </c>
      <c r="F6" s="271"/>
      <c r="G6" s="271"/>
      <c r="H6" s="271"/>
      <c r="I6" s="272"/>
      <c r="J6" s="266" t="e">
        <f>IF(AND('Mapa final'!#REF!="Muy Alta",'Mapa final'!#REF!="Leve"),CONCATENATE("R",'Mapa final'!#REF!),"")</f>
        <v>#REF!</v>
      </c>
      <c r="K6" s="267"/>
      <c r="L6" s="267" t="str">
        <f>IF(AND('Mapa final'!$L$11="Muy Alta",'Mapa final'!$P$11="Leve"),CONCATENATE("R",'Mapa final'!$A$11),"")</f>
        <v/>
      </c>
      <c r="M6" s="267"/>
      <c r="N6" s="267" t="e">
        <f>IF(AND('Mapa final'!#REF!="Muy Alta",'Mapa final'!#REF!="Leve"),CONCATENATE("R",'Mapa final'!#REF!),"")</f>
        <v>#REF!</v>
      </c>
      <c r="O6" s="268"/>
      <c r="P6" s="266" t="e">
        <f>IF(AND('Mapa final'!#REF!="Muy Alta",'Mapa final'!#REF!="Menor"),CONCATENATE("R",'Mapa final'!#REF!),"")</f>
        <v>#REF!</v>
      </c>
      <c r="Q6" s="267"/>
      <c r="R6" s="267" t="str">
        <f>IF(AND('Mapa final'!$L$11="Muy Alta",'Mapa final'!$P$11="Menor"),CONCATENATE("R",'Mapa final'!$A$11),"")</f>
        <v/>
      </c>
      <c r="S6" s="267"/>
      <c r="T6" s="267" t="e">
        <f>IF(AND('Mapa final'!#REF!="Muy Alta",'Mapa final'!#REF!="Menor"),CONCATENATE("R",'Mapa final'!#REF!),"")</f>
        <v>#REF!</v>
      </c>
      <c r="U6" s="268"/>
      <c r="V6" s="266" t="e">
        <f>IF(AND('Mapa final'!#REF!="Muy Alta",'Mapa final'!#REF!="Moderado"),CONCATENATE("R",'Mapa final'!#REF!),"")</f>
        <v>#REF!</v>
      </c>
      <c r="W6" s="267"/>
      <c r="X6" s="267" t="str">
        <f>IF(AND('Mapa final'!$L$11="Muy Alta",'Mapa final'!$P$11="Moderado"),CONCATENATE("R",'Mapa final'!$A$11),"")</f>
        <v/>
      </c>
      <c r="Y6" s="267"/>
      <c r="Z6" s="267" t="e">
        <f>IF(AND('Mapa final'!#REF!="Muy Alta",'Mapa final'!#REF!="Moderado"),CONCATENATE("R",'Mapa final'!#REF!),"")</f>
        <v>#REF!</v>
      </c>
      <c r="AA6" s="268"/>
      <c r="AB6" s="266" t="e">
        <f>IF(AND('Mapa final'!#REF!="Muy Alta",'Mapa final'!#REF!="Mayor"),CONCATENATE("R",'Mapa final'!#REF!),"")</f>
        <v>#REF!</v>
      </c>
      <c r="AC6" s="267"/>
      <c r="AD6" s="267" t="str">
        <f>IF(AND('Mapa final'!$L$11="Muy Alta",'Mapa final'!$P$11="Mayor"),CONCATENATE("R",'Mapa final'!$A$11),"")</f>
        <v/>
      </c>
      <c r="AE6" s="267"/>
      <c r="AF6" s="267" t="e">
        <f>IF(AND('Mapa final'!#REF!="Muy Alta",'Mapa final'!#REF!="Mayor"),CONCATENATE("R",'Mapa final'!#REF!),"")</f>
        <v>#REF!</v>
      </c>
      <c r="AG6" s="268"/>
      <c r="AH6" s="257" t="e">
        <f>IF(AND('Mapa final'!#REF!="Muy Alta",'Mapa final'!#REF!="Catastrófico"),CONCATENATE("R",'Mapa final'!#REF!),"")</f>
        <v>#REF!</v>
      </c>
      <c r="AI6" s="258"/>
      <c r="AJ6" s="258" t="str">
        <f>IF(AND('Mapa final'!$L$11="Muy Alta",'Mapa final'!$P$11="Catastrófico"),CONCATENATE("R",'Mapa final'!$A$11),"")</f>
        <v/>
      </c>
      <c r="AK6" s="258"/>
      <c r="AL6" s="258" t="e">
        <f>IF(AND('Mapa final'!#REF!="Muy Alta",'Mapa final'!#REF!="Catastrófico"),CONCATENATE("R",'Mapa final'!#REF!),"")</f>
        <v>#REF!</v>
      </c>
      <c r="AM6" s="259"/>
      <c r="AO6" s="282" t="s">
        <v>78</v>
      </c>
      <c r="AP6" s="283"/>
      <c r="AQ6" s="283"/>
      <c r="AR6" s="283"/>
      <c r="AS6" s="283"/>
      <c r="AT6" s="28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80"/>
      <c r="C7" s="280"/>
      <c r="D7" s="281"/>
      <c r="E7" s="273"/>
      <c r="F7" s="274"/>
      <c r="G7" s="274"/>
      <c r="H7" s="274"/>
      <c r="I7" s="275"/>
      <c r="J7" s="260"/>
      <c r="K7" s="261"/>
      <c r="L7" s="261"/>
      <c r="M7" s="261"/>
      <c r="N7" s="261"/>
      <c r="O7" s="262"/>
      <c r="P7" s="260"/>
      <c r="Q7" s="261"/>
      <c r="R7" s="261"/>
      <c r="S7" s="261"/>
      <c r="T7" s="261"/>
      <c r="U7" s="262"/>
      <c r="V7" s="260"/>
      <c r="W7" s="261"/>
      <c r="X7" s="261"/>
      <c r="Y7" s="261"/>
      <c r="Z7" s="261"/>
      <c r="AA7" s="262"/>
      <c r="AB7" s="260"/>
      <c r="AC7" s="261"/>
      <c r="AD7" s="261"/>
      <c r="AE7" s="261"/>
      <c r="AF7" s="261"/>
      <c r="AG7" s="262"/>
      <c r="AH7" s="251"/>
      <c r="AI7" s="252"/>
      <c r="AJ7" s="252"/>
      <c r="AK7" s="252"/>
      <c r="AL7" s="252"/>
      <c r="AM7" s="253"/>
      <c r="AN7" s="75"/>
      <c r="AO7" s="285"/>
      <c r="AP7" s="286"/>
      <c r="AQ7" s="286"/>
      <c r="AR7" s="286"/>
      <c r="AS7" s="286"/>
      <c r="AT7" s="28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80"/>
      <c r="C8" s="280"/>
      <c r="D8" s="281"/>
      <c r="E8" s="273"/>
      <c r="F8" s="274"/>
      <c r="G8" s="274"/>
      <c r="H8" s="274"/>
      <c r="I8" s="275"/>
      <c r="J8" s="260" t="e">
        <f>IF(AND('Mapa final'!#REF!="Muy Alta",'Mapa final'!#REF!="Leve"),CONCATENATE("R",'Mapa final'!#REF!),"")</f>
        <v>#REF!</v>
      </c>
      <c r="K8" s="261"/>
      <c r="L8" s="261" t="e">
        <f>IF(AND('Mapa final'!#REF!="Muy Alta",'Mapa final'!#REF!="Leve"),CONCATENATE("R",'Mapa final'!#REF!),"")</f>
        <v>#REF!</v>
      </c>
      <c r="M8" s="261"/>
      <c r="N8" s="261" t="e">
        <f>IF(AND('Mapa final'!#REF!="Muy Alta",'Mapa final'!#REF!="Leve"),CONCATENATE("R",'Mapa final'!#REF!),"")</f>
        <v>#REF!</v>
      </c>
      <c r="O8" s="262"/>
      <c r="P8" s="260" t="e">
        <f>IF(AND('Mapa final'!#REF!="Muy Alta",'Mapa final'!#REF!="Menor"),CONCATENATE("R",'Mapa final'!#REF!),"")</f>
        <v>#REF!</v>
      </c>
      <c r="Q8" s="261"/>
      <c r="R8" s="261" t="e">
        <f>IF(AND('Mapa final'!#REF!="Muy Alta",'Mapa final'!#REF!="Menor"),CONCATENATE("R",'Mapa final'!#REF!),"")</f>
        <v>#REF!</v>
      </c>
      <c r="S8" s="261"/>
      <c r="T8" s="261" t="e">
        <f>IF(AND('Mapa final'!#REF!="Muy Alta",'Mapa final'!#REF!="Menor"),CONCATENATE("R",'Mapa final'!#REF!),"")</f>
        <v>#REF!</v>
      </c>
      <c r="U8" s="262"/>
      <c r="V8" s="260" t="e">
        <f>IF(AND('Mapa final'!#REF!="Muy Alta",'Mapa final'!#REF!="Moderado"),CONCATENATE("R",'Mapa final'!#REF!),"")</f>
        <v>#REF!</v>
      </c>
      <c r="W8" s="261"/>
      <c r="X8" s="261" t="e">
        <f>IF(AND('Mapa final'!#REF!="Muy Alta",'Mapa final'!#REF!="Moderado"),CONCATENATE("R",'Mapa final'!#REF!),"")</f>
        <v>#REF!</v>
      </c>
      <c r="Y8" s="261"/>
      <c r="Z8" s="261" t="e">
        <f>IF(AND('Mapa final'!#REF!="Muy Alta",'Mapa final'!#REF!="Moderado"),CONCATENATE("R",'Mapa final'!#REF!),"")</f>
        <v>#REF!</v>
      </c>
      <c r="AA8" s="262"/>
      <c r="AB8" s="260" t="e">
        <f>IF(AND('Mapa final'!#REF!="Muy Alta",'Mapa final'!#REF!="Mayor"),CONCATENATE("R",'Mapa final'!#REF!),"")</f>
        <v>#REF!</v>
      </c>
      <c r="AC8" s="261"/>
      <c r="AD8" s="261" t="e">
        <f>IF(AND('Mapa final'!#REF!="Muy Alta",'Mapa final'!#REF!="Mayor"),CONCATENATE("R",'Mapa final'!#REF!),"")</f>
        <v>#REF!</v>
      </c>
      <c r="AE8" s="261"/>
      <c r="AF8" s="261" t="e">
        <f>IF(AND('Mapa final'!#REF!="Muy Alta",'Mapa final'!#REF!="Mayor"),CONCATENATE("R",'Mapa final'!#REF!),"")</f>
        <v>#REF!</v>
      </c>
      <c r="AG8" s="262"/>
      <c r="AH8" s="251" t="e">
        <f>IF(AND('Mapa final'!#REF!="Muy Alta",'Mapa final'!#REF!="Catastrófico"),CONCATENATE("R",'Mapa final'!#REF!),"")</f>
        <v>#REF!</v>
      </c>
      <c r="AI8" s="252"/>
      <c r="AJ8" s="252" t="e">
        <f>IF(AND('Mapa final'!#REF!="Muy Alta",'Mapa final'!#REF!="Catastrófico"),CONCATENATE("R",'Mapa final'!#REF!),"")</f>
        <v>#REF!</v>
      </c>
      <c r="AK8" s="252"/>
      <c r="AL8" s="252" t="e">
        <f>IF(AND('Mapa final'!#REF!="Muy Alta",'Mapa final'!#REF!="Catastrófico"),CONCATENATE("R",'Mapa final'!#REF!),"")</f>
        <v>#REF!</v>
      </c>
      <c r="AM8" s="253"/>
      <c r="AN8" s="75"/>
      <c r="AO8" s="285"/>
      <c r="AP8" s="286"/>
      <c r="AQ8" s="286"/>
      <c r="AR8" s="286"/>
      <c r="AS8" s="286"/>
      <c r="AT8" s="28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80"/>
      <c r="C9" s="280"/>
      <c r="D9" s="281"/>
      <c r="E9" s="273"/>
      <c r="F9" s="274"/>
      <c r="G9" s="274"/>
      <c r="H9" s="274"/>
      <c r="I9" s="275"/>
      <c r="J9" s="260"/>
      <c r="K9" s="261"/>
      <c r="L9" s="261"/>
      <c r="M9" s="261"/>
      <c r="N9" s="261"/>
      <c r="O9" s="262"/>
      <c r="P9" s="260"/>
      <c r="Q9" s="261"/>
      <c r="R9" s="261"/>
      <c r="S9" s="261"/>
      <c r="T9" s="261"/>
      <c r="U9" s="262"/>
      <c r="V9" s="260"/>
      <c r="W9" s="261"/>
      <c r="X9" s="261"/>
      <c r="Y9" s="261"/>
      <c r="Z9" s="261"/>
      <c r="AA9" s="262"/>
      <c r="AB9" s="260"/>
      <c r="AC9" s="261"/>
      <c r="AD9" s="261"/>
      <c r="AE9" s="261"/>
      <c r="AF9" s="261"/>
      <c r="AG9" s="262"/>
      <c r="AH9" s="251"/>
      <c r="AI9" s="252"/>
      <c r="AJ9" s="252"/>
      <c r="AK9" s="252"/>
      <c r="AL9" s="252"/>
      <c r="AM9" s="253"/>
      <c r="AN9" s="75"/>
      <c r="AO9" s="285"/>
      <c r="AP9" s="286"/>
      <c r="AQ9" s="286"/>
      <c r="AR9" s="286"/>
      <c r="AS9" s="286"/>
      <c r="AT9" s="28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80"/>
      <c r="C10" s="280"/>
      <c r="D10" s="281"/>
      <c r="E10" s="273"/>
      <c r="F10" s="274"/>
      <c r="G10" s="274"/>
      <c r="H10" s="274"/>
      <c r="I10" s="275"/>
      <c r="J10" s="260" t="e">
        <f>IF(AND('Mapa final'!#REF!="Muy Alta",'Mapa final'!#REF!="Leve"),CONCATENATE("R",'Mapa final'!#REF!),"")</f>
        <v>#REF!</v>
      </c>
      <c r="K10" s="261"/>
      <c r="L10" s="261" t="e">
        <f>IF(AND('Mapa final'!#REF!="Muy Alta",'Mapa final'!#REF!="Leve"),CONCATENATE("R",'Mapa final'!#REF!),"")</f>
        <v>#REF!</v>
      </c>
      <c r="M10" s="261"/>
      <c r="N10" s="261" t="e">
        <f>IF(AND('Mapa final'!#REF!="Muy Alta",'Mapa final'!#REF!="Leve"),CONCATENATE("R",'Mapa final'!#REF!),"")</f>
        <v>#REF!</v>
      </c>
      <c r="O10" s="262"/>
      <c r="P10" s="260" t="e">
        <f>IF(AND('Mapa final'!#REF!="Muy Alta",'Mapa final'!#REF!="Menor"),CONCATENATE("R",'Mapa final'!#REF!),"")</f>
        <v>#REF!</v>
      </c>
      <c r="Q10" s="261"/>
      <c r="R10" s="261" t="e">
        <f>IF(AND('Mapa final'!#REF!="Muy Alta",'Mapa final'!#REF!="Menor"),CONCATENATE("R",'Mapa final'!#REF!),"")</f>
        <v>#REF!</v>
      </c>
      <c r="S10" s="261"/>
      <c r="T10" s="261" t="e">
        <f>IF(AND('Mapa final'!#REF!="Muy Alta",'Mapa final'!#REF!="Menor"),CONCATENATE("R",'Mapa final'!#REF!),"")</f>
        <v>#REF!</v>
      </c>
      <c r="U10" s="262"/>
      <c r="V10" s="260" t="e">
        <f>IF(AND('Mapa final'!#REF!="Muy Alta",'Mapa final'!#REF!="Moderado"),CONCATENATE("R",'Mapa final'!#REF!),"")</f>
        <v>#REF!</v>
      </c>
      <c r="W10" s="261"/>
      <c r="X10" s="261" t="e">
        <f>IF(AND('Mapa final'!#REF!="Muy Alta",'Mapa final'!#REF!="Moderado"),CONCATENATE("R",'Mapa final'!#REF!),"")</f>
        <v>#REF!</v>
      </c>
      <c r="Y10" s="261"/>
      <c r="Z10" s="261" t="e">
        <f>IF(AND('Mapa final'!#REF!="Muy Alta",'Mapa final'!#REF!="Moderado"),CONCATENATE("R",'Mapa final'!#REF!),"")</f>
        <v>#REF!</v>
      </c>
      <c r="AA10" s="262"/>
      <c r="AB10" s="260" t="e">
        <f>IF(AND('Mapa final'!#REF!="Muy Alta",'Mapa final'!#REF!="Mayor"),CONCATENATE("R",'Mapa final'!#REF!),"")</f>
        <v>#REF!</v>
      </c>
      <c r="AC10" s="261"/>
      <c r="AD10" s="261" t="e">
        <f>IF(AND('Mapa final'!#REF!="Muy Alta",'Mapa final'!#REF!="Mayor"),CONCATENATE("R",'Mapa final'!#REF!),"")</f>
        <v>#REF!</v>
      </c>
      <c r="AE10" s="261"/>
      <c r="AF10" s="261" t="e">
        <f>IF(AND('Mapa final'!#REF!="Muy Alta",'Mapa final'!#REF!="Mayor"),CONCATENATE("R",'Mapa final'!#REF!),"")</f>
        <v>#REF!</v>
      </c>
      <c r="AG10" s="262"/>
      <c r="AH10" s="251" t="e">
        <f>IF(AND('Mapa final'!#REF!="Muy Alta",'Mapa final'!#REF!="Catastrófico"),CONCATENATE("R",'Mapa final'!#REF!),"")</f>
        <v>#REF!</v>
      </c>
      <c r="AI10" s="252"/>
      <c r="AJ10" s="252" t="e">
        <f>IF(AND('Mapa final'!#REF!="Muy Alta",'Mapa final'!#REF!="Catastrófico"),CONCATENATE("R",'Mapa final'!#REF!),"")</f>
        <v>#REF!</v>
      </c>
      <c r="AK10" s="252"/>
      <c r="AL10" s="252" t="e">
        <f>IF(AND('Mapa final'!#REF!="Muy Alta",'Mapa final'!#REF!="Catastrófico"),CONCATENATE("R",'Mapa final'!#REF!),"")</f>
        <v>#REF!</v>
      </c>
      <c r="AM10" s="253"/>
      <c r="AN10" s="75"/>
      <c r="AO10" s="285"/>
      <c r="AP10" s="286"/>
      <c r="AQ10" s="286"/>
      <c r="AR10" s="286"/>
      <c r="AS10" s="286"/>
      <c r="AT10" s="28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80"/>
      <c r="C11" s="280"/>
      <c r="D11" s="281"/>
      <c r="E11" s="273"/>
      <c r="F11" s="274"/>
      <c r="G11" s="274"/>
      <c r="H11" s="274"/>
      <c r="I11" s="275"/>
      <c r="J11" s="260"/>
      <c r="K11" s="261"/>
      <c r="L11" s="261"/>
      <c r="M11" s="261"/>
      <c r="N11" s="261"/>
      <c r="O11" s="262"/>
      <c r="P11" s="260"/>
      <c r="Q11" s="261"/>
      <c r="R11" s="261"/>
      <c r="S11" s="261"/>
      <c r="T11" s="261"/>
      <c r="U11" s="262"/>
      <c r="V11" s="260"/>
      <c r="W11" s="261"/>
      <c r="X11" s="261"/>
      <c r="Y11" s="261"/>
      <c r="Z11" s="261"/>
      <c r="AA11" s="262"/>
      <c r="AB11" s="260"/>
      <c r="AC11" s="261"/>
      <c r="AD11" s="261"/>
      <c r="AE11" s="261"/>
      <c r="AF11" s="261"/>
      <c r="AG11" s="262"/>
      <c r="AH11" s="251"/>
      <c r="AI11" s="252"/>
      <c r="AJ11" s="252"/>
      <c r="AK11" s="252"/>
      <c r="AL11" s="252"/>
      <c r="AM11" s="253"/>
      <c r="AN11" s="75"/>
      <c r="AO11" s="285"/>
      <c r="AP11" s="286"/>
      <c r="AQ11" s="286"/>
      <c r="AR11" s="286"/>
      <c r="AS11" s="286"/>
      <c r="AT11" s="28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80"/>
      <c r="C12" s="280"/>
      <c r="D12" s="281"/>
      <c r="E12" s="273"/>
      <c r="F12" s="274"/>
      <c r="G12" s="274"/>
      <c r="H12" s="274"/>
      <c r="I12" s="275"/>
      <c r="J12" s="260" t="e">
        <f>IF(AND('Mapa final'!#REF!="Muy Alta",'Mapa final'!#REF!="Leve"),CONCATENATE("R",'Mapa final'!#REF!),"")</f>
        <v>#REF!</v>
      </c>
      <c r="K12" s="261"/>
      <c r="L12" s="261" t="str">
        <f>IF(AND('Mapa final'!$L$16="Muy Alta",'Mapa final'!$P$16="Leve"),CONCATENATE("R",'Mapa final'!$A$16),"")</f>
        <v/>
      </c>
      <c r="M12" s="261"/>
      <c r="N12" s="261" t="str">
        <f>IF(AND('Mapa final'!$L$18="Muy Alta",'Mapa final'!$P$18="Leve"),CONCATENATE("R",'Mapa final'!$A$18),"")</f>
        <v/>
      </c>
      <c r="O12" s="262"/>
      <c r="P12" s="260" t="e">
        <f>IF(AND('Mapa final'!#REF!="Muy Alta",'Mapa final'!#REF!="Menor"),CONCATENATE("R",'Mapa final'!#REF!),"")</f>
        <v>#REF!</v>
      </c>
      <c r="Q12" s="261"/>
      <c r="R12" s="261" t="str">
        <f>IF(AND('Mapa final'!$L$16="Muy Alta",'Mapa final'!$P$16="Menor"),CONCATENATE("R",'Mapa final'!$A$16),"")</f>
        <v/>
      </c>
      <c r="S12" s="261"/>
      <c r="T12" s="261" t="str">
        <f>IF(AND('Mapa final'!$L$18="Muy Alta",'Mapa final'!$P$18="Menor"),CONCATENATE("R",'Mapa final'!$A$18),"")</f>
        <v/>
      </c>
      <c r="U12" s="262"/>
      <c r="V12" s="260" t="e">
        <f>IF(AND('Mapa final'!#REF!="Muy Alta",'Mapa final'!#REF!="Moderado"),CONCATENATE("R",'Mapa final'!#REF!),"")</f>
        <v>#REF!</v>
      </c>
      <c r="W12" s="261"/>
      <c r="X12" s="261" t="str">
        <f>IF(AND('Mapa final'!$L$16="Muy Alta",'Mapa final'!$P$16="Moderado"),CONCATENATE("R",'Mapa final'!$A$16),"")</f>
        <v/>
      </c>
      <c r="Y12" s="261"/>
      <c r="Z12" s="261" t="str">
        <f>IF(AND('Mapa final'!$L$18="Muy Alta",'Mapa final'!$P$18="Moderado"),CONCATENATE("R",'Mapa final'!$A$18),"")</f>
        <v/>
      </c>
      <c r="AA12" s="262"/>
      <c r="AB12" s="260" t="e">
        <f>IF(AND('Mapa final'!#REF!="Muy Alta",'Mapa final'!#REF!="Mayor"),CONCATENATE("R",'Mapa final'!#REF!),"")</f>
        <v>#REF!</v>
      </c>
      <c r="AC12" s="261"/>
      <c r="AD12" s="261" t="str">
        <f>IF(AND('Mapa final'!$L$16="Muy Alta",'Mapa final'!$P$16="Mayor"),CONCATENATE("R",'Mapa final'!$A$16),"")</f>
        <v/>
      </c>
      <c r="AE12" s="261"/>
      <c r="AF12" s="261" t="str">
        <f>IF(AND('Mapa final'!$L$18="Muy Alta",'Mapa final'!$P$18="Mayor"),CONCATENATE("R",'Mapa final'!$A$18),"")</f>
        <v/>
      </c>
      <c r="AG12" s="262"/>
      <c r="AH12" s="251" t="e">
        <f>IF(AND('Mapa final'!#REF!="Muy Alta",'Mapa final'!#REF!="Catastrófico"),CONCATENATE("R",'Mapa final'!#REF!),"")</f>
        <v>#REF!</v>
      </c>
      <c r="AI12" s="252"/>
      <c r="AJ12" s="252" t="str">
        <f>IF(AND('Mapa final'!$L$16="Muy Alta",'Mapa final'!$P$16="Catastrófico"),CONCATENATE("R",'Mapa final'!$A$16),"")</f>
        <v/>
      </c>
      <c r="AK12" s="252"/>
      <c r="AL12" s="252" t="str">
        <f>IF(AND('Mapa final'!$L$18="Muy Alta",'Mapa final'!$P$18="Catastrófico"),CONCATENATE("R",'Mapa final'!$A$18),"")</f>
        <v/>
      </c>
      <c r="AM12" s="253"/>
      <c r="AN12" s="75"/>
      <c r="AO12" s="285"/>
      <c r="AP12" s="286"/>
      <c r="AQ12" s="286"/>
      <c r="AR12" s="286"/>
      <c r="AS12" s="286"/>
      <c r="AT12" s="28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80"/>
      <c r="C13" s="280"/>
      <c r="D13" s="281"/>
      <c r="E13" s="276"/>
      <c r="F13" s="277"/>
      <c r="G13" s="277"/>
      <c r="H13" s="277"/>
      <c r="I13" s="278"/>
      <c r="J13" s="260"/>
      <c r="K13" s="261"/>
      <c r="L13" s="261"/>
      <c r="M13" s="261"/>
      <c r="N13" s="261"/>
      <c r="O13" s="262"/>
      <c r="P13" s="260"/>
      <c r="Q13" s="261"/>
      <c r="R13" s="261"/>
      <c r="S13" s="261"/>
      <c r="T13" s="261"/>
      <c r="U13" s="262"/>
      <c r="V13" s="260"/>
      <c r="W13" s="261"/>
      <c r="X13" s="261"/>
      <c r="Y13" s="261"/>
      <c r="Z13" s="261"/>
      <c r="AA13" s="262"/>
      <c r="AB13" s="260"/>
      <c r="AC13" s="261"/>
      <c r="AD13" s="261"/>
      <c r="AE13" s="261"/>
      <c r="AF13" s="261"/>
      <c r="AG13" s="262"/>
      <c r="AH13" s="254"/>
      <c r="AI13" s="255"/>
      <c r="AJ13" s="255"/>
      <c r="AK13" s="255"/>
      <c r="AL13" s="255"/>
      <c r="AM13" s="256"/>
      <c r="AN13" s="75"/>
      <c r="AO13" s="288"/>
      <c r="AP13" s="289"/>
      <c r="AQ13" s="289"/>
      <c r="AR13" s="289"/>
      <c r="AS13" s="289"/>
      <c r="AT13" s="290"/>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80"/>
      <c r="C14" s="280"/>
      <c r="D14" s="281"/>
      <c r="E14" s="270" t="s">
        <v>114</v>
      </c>
      <c r="F14" s="271"/>
      <c r="G14" s="271"/>
      <c r="H14" s="271"/>
      <c r="I14" s="271"/>
      <c r="J14" s="248" t="e">
        <f>IF(AND('Mapa final'!#REF!="Alta",'Mapa final'!#REF!="Leve"),CONCATENATE("R",'Mapa final'!#REF!),"")</f>
        <v>#REF!</v>
      </c>
      <c r="K14" s="249"/>
      <c r="L14" s="249" t="str">
        <f>IF(AND('Mapa final'!$L$11="Alta",'Mapa final'!$P$11="Leve"),CONCATENATE("R",'Mapa final'!$A$11),"")</f>
        <v/>
      </c>
      <c r="M14" s="249"/>
      <c r="N14" s="249" t="e">
        <f>IF(AND('Mapa final'!#REF!="Alta",'Mapa final'!#REF!="Leve"),CONCATENATE("R",'Mapa final'!#REF!),"")</f>
        <v>#REF!</v>
      </c>
      <c r="O14" s="250"/>
      <c r="P14" s="248" t="e">
        <f>IF(AND('Mapa final'!#REF!="Alta",'Mapa final'!#REF!="Menor"),CONCATENATE("R",'Mapa final'!#REF!),"")</f>
        <v>#REF!</v>
      </c>
      <c r="Q14" s="249"/>
      <c r="R14" s="249" t="str">
        <f>IF(AND('Mapa final'!$L$11="Alta",'Mapa final'!$P$11="Menor"),CONCATENATE("R",'Mapa final'!$A$11),"")</f>
        <v/>
      </c>
      <c r="S14" s="249"/>
      <c r="T14" s="249" t="e">
        <f>IF(AND('Mapa final'!#REF!="Alta",'Mapa final'!#REF!="Menor"),CONCATENATE("R",'Mapa final'!#REF!),"")</f>
        <v>#REF!</v>
      </c>
      <c r="U14" s="250"/>
      <c r="V14" s="266" t="e">
        <f>IF(AND('Mapa final'!#REF!="Alta",'Mapa final'!#REF!="Moderado"),CONCATENATE("R",'Mapa final'!#REF!),"")</f>
        <v>#REF!</v>
      </c>
      <c r="W14" s="267"/>
      <c r="X14" s="267" t="str">
        <f>IF(AND('Mapa final'!$L$11="Alta",'Mapa final'!$P$11="Moderado"),CONCATENATE("R",'Mapa final'!$A$11),"")</f>
        <v/>
      </c>
      <c r="Y14" s="267"/>
      <c r="Z14" s="267" t="e">
        <f>IF(AND('Mapa final'!#REF!="Alta",'Mapa final'!#REF!="Moderado"),CONCATENATE("R",'Mapa final'!#REF!),"")</f>
        <v>#REF!</v>
      </c>
      <c r="AA14" s="268"/>
      <c r="AB14" s="266" t="e">
        <f>IF(AND('Mapa final'!#REF!="Alta",'Mapa final'!#REF!="Mayor"),CONCATENATE("R",'Mapa final'!#REF!),"")</f>
        <v>#REF!</v>
      </c>
      <c r="AC14" s="267"/>
      <c r="AD14" s="267" t="str">
        <f>IF(AND('Mapa final'!$L$11="Alta",'Mapa final'!$P$11="Mayor"),CONCATENATE("R",'Mapa final'!$A$11),"")</f>
        <v/>
      </c>
      <c r="AE14" s="267"/>
      <c r="AF14" s="267" t="e">
        <f>IF(AND('Mapa final'!#REF!="Alta",'Mapa final'!#REF!="Mayor"),CONCATENATE("R",'Mapa final'!#REF!),"")</f>
        <v>#REF!</v>
      </c>
      <c r="AG14" s="268"/>
      <c r="AH14" s="257" t="e">
        <f>IF(AND('Mapa final'!#REF!="Alta",'Mapa final'!#REF!="Catastrófico"),CONCATENATE("R",'Mapa final'!#REF!),"")</f>
        <v>#REF!</v>
      </c>
      <c r="AI14" s="258"/>
      <c r="AJ14" s="258" t="str">
        <f>IF(AND('Mapa final'!$L$11="Alta",'Mapa final'!$P$11="Catastrófico"),CONCATENATE("R",'Mapa final'!$A$11),"")</f>
        <v/>
      </c>
      <c r="AK14" s="258"/>
      <c r="AL14" s="258" t="e">
        <f>IF(AND('Mapa final'!#REF!="Alta",'Mapa final'!#REF!="Catastrófico"),CONCATENATE("R",'Mapa final'!#REF!),"")</f>
        <v>#REF!</v>
      </c>
      <c r="AM14" s="259"/>
      <c r="AN14" s="75"/>
      <c r="AO14" s="291" t="s">
        <v>79</v>
      </c>
      <c r="AP14" s="292"/>
      <c r="AQ14" s="292"/>
      <c r="AR14" s="292"/>
      <c r="AS14" s="292"/>
      <c r="AT14" s="29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80"/>
      <c r="C15" s="280"/>
      <c r="D15" s="281"/>
      <c r="E15" s="273"/>
      <c r="F15" s="274"/>
      <c r="G15" s="274"/>
      <c r="H15" s="274"/>
      <c r="I15" s="274"/>
      <c r="J15" s="242"/>
      <c r="K15" s="243"/>
      <c r="L15" s="243"/>
      <c r="M15" s="243"/>
      <c r="N15" s="243"/>
      <c r="O15" s="244"/>
      <c r="P15" s="242"/>
      <c r="Q15" s="243"/>
      <c r="R15" s="243"/>
      <c r="S15" s="243"/>
      <c r="T15" s="243"/>
      <c r="U15" s="244"/>
      <c r="V15" s="260"/>
      <c r="W15" s="261"/>
      <c r="X15" s="261"/>
      <c r="Y15" s="261"/>
      <c r="Z15" s="261"/>
      <c r="AA15" s="262"/>
      <c r="AB15" s="260"/>
      <c r="AC15" s="261"/>
      <c r="AD15" s="261"/>
      <c r="AE15" s="261"/>
      <c r="AF15" s="261"/>
      <c r="AG15" s="262"/>
      <c r="AH15" s="251"/>
      <c r="AI15" s="252"/>
      <c r="AJ15" s="252"/>
      <c r="AK15" s="252"/>
      <c r="AL15" s="252"/>
      <c r="AM15" s="253"/>
      <c r="AN15" s="75"/>
      <c r="AO15" s="294"/>
      <c r="AP15" s="295"/>
      <c r="AQ15" s="295"/>
      <c r="AR15" s="295"/>
      <c r="AS15" s="295"/>
      <c r="AT15" s="29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80"/>
      <c r="C16" s="280"/>
      <c r="D16" s="281"/>
      <c r="E16" s="273"/>
      <c r="F16" s="274"/>
      <c r="G16" s="274"/>
      <c r="H16" s="274"/>
      <c r="I16" s="274"/>
      <c r="J16" s="242" t="e">
        <f>IF(AND('Mapa final'!#REF!="Alta",'Mapa final'!#REF!="Leve"),CONCATENATE("R",'Mapa final'!#REF!),"")</f>
        <v>#REF!</v>
      </c>
      <c r="K16" s="243"/>
      <c r="L16" s="243" t="e">
        <f>IF(AND('Mapa final'!#REF!="Alta",'Mapa final'!#REF!="Leve"),CONCATENATE("R",'Mapa final'!#REF!),"")</f>
        <v>#REF!</v>
      </c>
      <c r="M16" s="243"/>
      <c r="N16" s="243" t="e">
        <f>IF(AND('Mapa final'!#REF!="Alta",'Mapa final'!#REF!="Leve"),CONCATENATE("R",'Mapa final'!#REF!),"")</f>
        <v>#REF!</v>
      </c>
      <c r="O16" s="244"/>
      <c r="P16" s="242" t="e">
        <f>IF(AND('Mapa final'!#REF!="Alta",'Mapa final'!#REF!="Menor"),CONCATENATE("R",'Mapa final'!#REF!),"")</f>
        <v>#REF!</v>
      </c>
      <c r="Q16" s="243"/>
      <c r="R16" s="243" t="e">
        <f>IF(AND('Mapa final'!#REF!="Alta",'Mapa final'!#REF!="Menor"),CONCATENATE("R",'Mapa final'!#REF!),"")</f>
        <v>#REF!</v>
      </c>
      <c r="S16" s="243"/>
      <c r="T16" s="243" t="e">
        <f>IF(AND('Mapa final'!#REF!="Alta",'Mapa final'!#REF!="Menor"),CONCATENATE("R",'Mapa final'!#REF!),"")</f>
        <v>#REF!</v>
      </c>
      <c r="U16" s="244"/>
      <c r="V16" s="260" t="e">
        <f>IF(AND('Mapa final'!#REF!="Alta",'Mapa final'!#REF!="Moderado"),CONCATENATE("R",'Mapa final'!#REF!),"")</f>
        <v>#REF!</v>
      </c>
      <c r="W16" s="261"/>
      <c r="X16" s="261" t="e">
        <f>IF(AND('Mapa final'!#REF!="Alta",'Mapa final'!#REF!="Moderado"),CONCATENATE("R",'Mapa final'!#REF!),"")</f>
        <v>#REF!</v>
      </c>
      <c r="Y16" s="261"/>
      <c r="Z16" s="261" t="e">
        <f>IF(AND('Mapa final'!#REF!="Alta",'Mapa final'!#REF!="Moderado"),CONCATENATE("R",'Mapa final'!#REF!),"")</f>
        <v>#REF!</v>
      </c>
      <c r="AA16" s="262"/>
      <c r="AB16" s="260" t="e">
        <f>IF(AND('Mapa final'!#REF!="Alta",'Mapa final'!#REF!="Mayor"),CONCATENATE("R",'Mapa final'!#REF!),"")</f>
        <v>#REF!</v>
      </c>
      <c r="AC16" s="261"/>
      <c r="AD16" s="261" t="e">
        <f>IF(AND('Mapa final'!#REF!="Alta",'Mapa final'!#REF!="Mayor"),CONCATENATE("R",'Mapa final'!#REF!),"")</f>
        <v>#REF!</v>
      </c>
      <c r="AE16" s="261"/>
      <c r="AF16" s="261" t="e">
        <f>IF(AND('Mapa final'!#REF!="Alta",'Mapa final'!#REF!="Mayor"),CONCATENATE("R",'Mapa final'!#REF!),"")</f>
        <v>#REF!</v>
      </c>
      <c r="AG16" s="262"/>
      <c r="AH16" s="251" t="e">
        <f>IF(AND('Mapa final'!#REF!="Alta",'Mapa final'!#REF!="Catastrófico"),CONCATENATE("R",'Mapa final'!#REF!),"")</f>
        <v>#REF!</v>
      </c>
      <c r="AI16" s="252"/>
      <c r="AJ16" s="252" t="e">
        <f>IF(AND('Mapa final'!#REF!="Alta",'Mapa final'!#REF!="Catastrófico"),CONCATENATE("R",'Mapa final'!#REF!),"")</f>
        <v>#REF!</v>
      </c>
      <c r="AK16" s="252"/>
      <c r="AL16" s="252" t="e">
        <f>IF(AND('Mapa final'!#REF!="Alta",'Mapa final'!#REF!="Catastrófico"),CONCATENATE("R",'Mapa final'!#REF!),"")</f>
        <v>#REF!</v>
      </c>
      <c r="AM16" s="253"/>
      <c r="AN16" s="75"/>
      <c r="AO16" s="294"/>
      <c r="AP16" s="295"/>
      <c r="AQ16" s="295"/>
      <c r="AR16" s="295"/>
      <c r="AS16" s="295"/>
      <c r="AT16" s="29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80"/>
      <c r="C17" s="280"/>
      <c r="D17" s="281"/>
      <c r="E17" s="273"/>
      <c r="F17" s="274"/>
      <c r="G17" s="274"/>
      <c r="H17" s="274"/>
      <c r="I17" s="274"/>
      <c r="J17" s="242"/>
      <c r="K17" s="243"/>
      <c r="L17" s="243"/>
      <c r="M17" s="243"/>
      <c r="N17" s="243"/>
      <c r="O17" s="244"/>
      <c r="P17" s="242"/>
      <c r="Q17" s="243"/>
      <c r="R17" s="243"/>
      <c r="S17" s="243"/>
      <c r="T17" s="243"/>
      <c r="U17" s="244"/>
      <c r="V17" s="260"/>
      <c r="W17" s="261"/>
      <c r="X17" s="261"/>
      <c r="Y17" s="261"/>
      <c r="Z17" s="261"/>
      <c r="AA17" s="262"/>
      <c r="AB17" s="260"/>
      <c r="AC17" s="261"/>
      <c r="AD17" s="261"/>
      <c r="AE17" s="261"/>
      <c r="AF17" s="261"/>
      <c r="AG17" s="262"/>
      <c r="AH17" s="251"/>
      <c r="AI17" s="252"/>
      <c r="AJ17" s="252"/>
      <c r="AK17" s="252"/>
      <c r="AL17" s="252"/>
      <c r="AM17" s="253"/>
      <c r="AN17" s="75"/>
      <c r="AO17" s="294"/>
      <c r="AP17" s="295"/>
      <c r="AQ17" s="295"/>
      <c r="AR17" s="295"/>
      <c r="AS17" s="295"/>
      <c r="AT17" s="29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80"/>
      <c r="C18" s="280"/>
      <c r="D18" s="281"/>
      <c r="E18" s="273"/>
      <c r="F18" s="274"/>
      <c r="G18" s="274"/>
      <c r="H18" s="274"/>
      <c r="I18" s="274"/>
      <c r="J18" s="242" t="e">
        <f>IF(AND('Mapa final'!#REF!="Alta",'Mapa final'!#REF!="Leve"),CONCATENATE("R",'Mapa final'!#REF!),"")</f>
        <v>#REF!</v>
      </c>
      <c r="K18" s="243"/>
      <c r="L18" s="243" t="e">
        <f>IF(AND('Mapa final'!#REF!="Alta",'Mapa final'!#REF!="Leve"),CONCATENATE("R",'Mapa final'!#REF!),"")</f>
        <v>#REF!</v>
      </c>
      <c r="M18" s="243"/>
      <c r="N18" s="243" t="e">
        <f>IF(AND('Mapa final'!#REF!="Alta",'Mapa final'!#REF!="Leve"),CONCATENATE("R",'Mapa final'!#REF!),"")</f>
        <v>#REF!</v>
      </c>
      <c r="O18" s="244"/>
      <c r="P18" s="242" t="e">
        <f>IF(AND('Mapa final'!#REF!="Alta",'Mapa final'!#REF!="Menor"),CONCATENATE("R",'Mapa final'!#REF!),"")</f>
        <v>#REF!</v>
      </c>
      <c r="Q18" s="243"/>
      <c r="R18" s="243" t="e">
        <f>IF(AND('Mapa final'!#REF!="Alta",'Mapa final'!#REF!="Menor"),CONCATENATE("R",'Mapa final'!#REF!),"")</f>
        <v>#REF!</v>
      </c>
      <c r="S18" s="243"/>
      <c r="T18" s="243" t="e">
        <f>IF(AND('Mapa final'!#REF!="Alta",'Mapa final'!#REF!="Menor"),CONCATENATE("R",'Mapa final'!#REF!),"")</f>
        <v>#REF!</v>
      </c>
      <c r="U18" s="244"/>
      <c r="V18" s="260" t="e">
        <f>IF(AND('Mapa final'!#REF!="Alta",'Mapa final'!#REF!="Moderado"),CONCATENATE("R",'Mapa final'!#REF!),"")</f>
        <v>#REF!</v>
      </c>
      <c r="W18" s="261"/>
      <c r="X18" s="261" t="e">
        <f>IF(AND('Mapa final'!#REF!="Alta",'Mapa final'!#REF!="Moderado"),CONCATENATE("R",'Mapa final'!#REF!),"")</f>
        <v>#REF!</v>
      </c>
      <c r="Y18" s="261"/>
      <c r="Z18" s="261" t="e">
        <f>IF(AND('Mapa final'!#REF!="Alta",'Mapa final'!#REF!="Moderado"),CONCATENATE("R",'Mapa final'!#REF!),"")</f>
        <v>#REF!</v>
      </c>
      <c r="AA18" s="262"/>
      <c r="AB18" s="260" t="e">
        <f>IF(AND('Mapa final'!#REF!="Alta",'Mapa final'!#REF!="Mayor"),CONCATENATE("R",'Mapa final'!#REF!),"")</f>
        <v>#REF!</v>
      </c>
      <c r="AC18" s="261"/>
      <c r="AD18" s="261" t="e">
        <f>IF(AND('Mapa final'!#REF!="Alta",'Mapa final'!#REF!="Mayor"),CONCATENATE("R",'Mapa final'!#REF!),"")</f>
        <v>#REF!</v>
      </c>
      <c r="AE18" s="261"/>
      <c r="AF18" s="261" t="e">
        <f>IF(AND('Mapa final'!#REF!="Alta",'Mapa final'!#REF!="Mayor"),CONCATENATE("R",'Mapa final'!#REF!),"")</f>
        <v>#REF!</v>
      </c>
      <c r="AG18" s="262"/>
      <c r="AH18" s="251" t="e">
        <f>IF(AND('Mapa final'!#REF!="Alta",'Mapa final'!#REF!="Catastrófico"),CONCATENATE("R",'Mapa final'!#REF!),"")</f>
        <v>#REF!</v>
      </c>
      <c r="AI18" s="252"/>
      <c r="AJ18" s="252" t="e">
        <f>IF(AND('Mapa final'!#REF!="Alta",'Mapa final'!#REF!="Catastrófico"),CONCATENATE("R",'Mapa final'!#REF!),"")</f>
        <v>#REF!</v>
      </c>
      <c r="AK18" s="252"/>
      <c r="AL18" s="252" t="e">
        <f>IF(AND('Mapa final'!#REF!="Alta",'Mapa final'!#REF!="Catastrófico"),CONCATENATE("R",'Mapa final'!#REF!),"")</f>
        <v>#REF!</v>
      </c>
      <c r="AM18" s="253"/>
      <c r="AN18" s="75"/>
      <c r="AO18" s="294"/>
      <c r="AP18" s="295"/>
      <c r="AQ18" s="295"/>
      <c r="AR18" s="295"/>
      <c r="AS18" s="295"/>
      <c r="AT18" s="296"/>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80"/>
      <c r="C19" s="280"/>
      <c r="D19" s="281"/>
      <c r="E19" s="273"/>
      <c r="F19" s="274"/>
      <c r="G19" s="274"/>
      <c r="H19" s="274"/>
      <c r="I19" s="274"/>
      <c r="J19" s="242"/>
      <c r="K19" s="243"/>
      <c r="L19" s="243"/>
      <c r="M19" s="243"/>
      <c r="N19" s="243"/>
      <c r="O19" s="244"/>
      <c r="P19" s="242"/>
      <c r="Q19" s="243"/>
      <c r="R19" s="243"/>
      <c r="S19" s="243"/>
      <c r="T19" s="243"/>
      <c r="U19" s="244"/>
      <c r="V19" s="260"/>
      <c r="W19" s="261"/>
      <c r="X19" s="261"/>
      <c r="Y19" s="261"/>
      <c r="Z19" s="261"/>
      <c r="AA19" s="262"/>
      <c r="AB19" s="260"/>
      <c r="AC19" s="261"/>
      <c r="AD19" s="261"/>
      <c r="AE19" s="261"/>
      <c r="AF19" s="261"/>
      <c r="AG19" s="262"/>
      <c r="AH19" s="251"/>
      <c r="AI19" s="252"/>
      <c r="AJ19" s="252"/>
      <c r="AK19" s="252"/>
      <c r="AL19" s="252"/>
      <c r="AM19" s="253"/>
      <c r="AN19" s="75"/>
      <c r="AO19" s="294"/>
      <c r="AP19" s="295"/>
      <c r="AQ19" s="295"/>
      <c r="AR19" s="295"/>
      <c r="AS19" s="295"/>
      <c r="AT19" s="296"/>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80"/>
      <c r="C20" s="280"/>
      <c r="D20" s="281"/>
      <c r="E20" s="273"/>
      <c r="F20" s="274"/>
      <c r="G20" s="274"/>
      <c r="H20" s="274"/>
      <c r="I20" s="274"/>
      <c r="J20" s="242" t="e">
        <f>IF(AND('Mapa final'!#REF!="Alta",'Mapa final'!#REF!="Leve"),CONCATENATE("R",'Mapa final'!#REF!),"")</f>
        <v>#REF!</v>
      </c>
      <c r="K20" s="243"/>
      <c r="L20" s="243" t="str">
        <f>IF(AND('Mapa final'!$L$16="Alta",'Mapa final'!$P$16="Leve"),CONCATENATE("R",'Mapa final'!$A$16),"")</f>
        <v/>
      </c>
      <c r="M20" s="243"/>
      <c r="N20" s="243" t="str">
        <f>IF(AND('Mapa final'!$L$18="Alta",'Mapa final'!$P$18="Leve"),CONCATENATE("R",'Mapa final'!$A$18),"")</f>
        <v/>
      </c>
      <c r="O20" s="244"/>
      <c r="P20" s="242" t="e">
        <f>IF(AND('Mapa final'!#REF!="Alta",'Mapa final'!#REF!="Menor"),CONCATENATE("R",'Mapa final'!#REF!),"")</f>
        <v>#REF!</v>
      </c>
      <c r="Q20" s="243"/>
      <c r="R20" s="243" t="str">
        <f>IF(AND('Mapa final'!$L$16="Alta",'Mapa final'!$P$16="Menor"),CONCATENATE("R",'Mapa final'!$A$16),"")</f>
        <v/>
      </c>
      <c r="S20" s="243"/>
      <c r="T20" s="243" t="str">
        <f>IF(AND('Mapa final'!$L$18="Alta",'Mapa final'!$P$18="Menor"),CONCATENATE("R",'Mapa final'!$A$18),"")</f>
        <v/>
      </c>
      <c r="U20" s="244"/>
      <c r="V20" s="260" t="e">
        <f>IF(AND('Mapa final'!#REF!="Alta",'Mapa final'!#REF!="Moderado"),CONCATENATE("R",'Mapa final'!#REF!),"")</f>
        <v>#REF!</v>
      </c>
      <c r="W20" s="261"/>
      <c r="X20" s="261" t="str">
        <f>IF(AND('Mapa final'!$L$16="Alta",'Mapa final'!$P$16="Moderado"),CONCATENATE("R",'Mapa final'!$A$16),"")</f>
        <v/>
      </c>
      <c r="Y20" s="261"/>
      <c r="Z20" s="261" t="str">
        <f>IF(AND('Mapa final'!$L$18="Alta",'Mapa final'!$P$18="Moderado"),CONCATENATE("R",'Mapa final'!$A$18),"")</f>
        <v/>
      </c>
      <c r="AA20" s="262"/>
      <c r="AB20" s="260" t="e">
        <f>IF(AND('Mapa final'!#REF!="Alta",'Mapa final'!#REF!="Mayor"),CONCATENATE("R",'Mapa final'!#REF!),"")</f>
        <v>#REF!</v>
      </c>
      <c r="AC20" s="261"/>
      <c r="AD20" s="261" t="str">
        <f>IF(AND('Mapa final'!$L$16="Alta",'Mapa final'!$P$16="Mayor"),CONCATENATE("R",'Mapa final'!$A$16),"")</f>
        <v/>
      </c>
      <c r="AE20" s="261"/>
      <c r="AF20" s="261" t="str">
        <f>IF(AND('Mapa final'!$L$18="Alta",'Mapa final'!$P$18="Mayor"),CONCATENATE("R",'Mapa final'!$A$18),"")</f>
        <v/>
      </c>
      <c r="AG20" s="262"/>
      <c r="AH20" s="251" t="e">
        <f>IF(AND('Mapa final'!#REF!="Alta",'Mapa final'!#REF!="Catastrófico"),CONCATENATE("R",'Mapa final'!#REF!),"")</f>
        <v>#REF!</v>
      </c>
      <c r="AI20" s="252"/>
      <c r="AJ20" s="252" t="str">
        <f>IF(AND('Mapa final'!$L$16="Alta",'Mapa final'!$P$16="Catastrófico"),CONCATENATE("R",'Mapa final'!$A$16),"")</f>
        <v/>
      </c>
      <c r="AK20" s="252"/>
      <c r="AL20" s="252" t="str">
        <f>IF(AND('Mapa final'!$L$18="Alta",'Mapa final'!$P$18="Catastrófico"),CONCATENATE("R",'Mapa final'!$A$18),"")</f>
        <v/>
      </c>
      <c r="AM20" s="253"/>
      <c r="AN20" s="75"/>
      <c r="AO20" s="294"/>
      <c r="AP20" s="295"/>
      <c r="AQ20" s="295"/>
      <c r="AR20" s="295"/>
      <c r="AS20" s="295"/>
      <c r="AT20" s="296"/>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80"/>
      <c r="C21" s="280"/>
      <c r="D21" s="281"/>
      <c r="E21" s="276"/>
      <c r="F21" s="277"/>
      <c r="G21" s="277"/>
      <c r="H21" s="277"/>
      <c r="I21" s="277"/>
      <c r="J21" s="245"/>
      <c r="K21" s="246"/>
      <c r="L21" s="246"/>
      <c r="M21" s="246"/>
      <c r="N21" s="246"/>
      <c r="O21" s="247"/>
      <c r="P21" s="245"/>
      <c r="Q21" s="246"/>
      <c r="R21" s="246"/>
      <c r="S21" s="246"/>
      <c r="T21" s="246"/>
      <c r="U21" s="247"/>
      <c r="V21" s="263"/>
      <c r="W21" s="264"/>
      <c r="X21" s="264"/>
      <c r="Y21" s="264"/>
      <c r="Z21" s="264"/>
      <c r="AA21" s="265"/>
      <c r="AB21" s="263"/>
      <c r="AC21" s="264"/>
      <c r="AD21" s="264"/>
      <c r="AE21" s="264"/>
      <c r="AF21" s="264"/>
      <c r="AG21" s="265"/>
      <c r="AH21" s="254"/>
      <c r="AI21" s="255"/>
      <c r="AJ21" s="255"/>
      <c r="AK21" s="255"/>
      <c r="AL21" s="255"/>
      <c r="AM21" s="256"/>
      <c r="AN21" s="75"/>
      <c r="AO21" s="297"/>
      <c r="AP21" s="298"/>
      <c r="AQ21" s="298"/>
      <c r="AR21" s="298"/>
      <c r="AS21" s="298"/>
      <c r="AT21" s="29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80"/>
      <c r="C22" s="280"/>
      <c r="D22" s="281"/>
      <c r="E22" s="270" t="s">
        <v>116</v>
      </c>
      <c r="F22" s="271"/>
      <c r="G22" s="271"/>
      <c r="H22" s="271"/>
      <c r="I22" s="272"/>
      <c r="J22" s="248" t="e">
        <f>IF(AND('Mapa final'!#REF!="Media",'Mapa final'!#REF!="Leve"),CONCATENATE("R",'Mapa final'!#REF!),"")</f>
        <v>#REF!</v>
      </c>
      <c r="K22" s="249"/>
      <c r="L22" s="249" t="str">
        <f>IF(AND('Mapa final'!$L$11="Media",'Mapa final'!$P$11="Leve"),CONCATENATE("R",'Mapa final'!$A$11),"")</f>
        <v/>
      </c>
      <c r="M22" s="249"/>
      <c r="N22" s="249" t="e">
        <f>IF(AND('Mapa final'!#REF!="Media",'Mapa final'!#REF!="Leve"),CONCATENATE("R",'Mapa final'!#REF!),"")</f>
        <v>#REF!</v>
      </c>
      <c r="O22" s="250"/>
      <c r="P22" s="248" t="e">
        <f>IF(AND('Mapa final'!#REF!="Media",'Mapa final'!#REF!="Menor"),CONCATENATE("R",'Mapa final'!#REF!),"")</f>
        <v>#REF!</v>
      </c>
      <c r="Q22" s="249"/>
      <c r="R22" s="249" t="str">
        <f>IF(AND('Mapa final'!$L$11="Media",'Mapa final'!$P$11="Menor"),CONCATENATE("R",'Mapa final'!$A$11),"")</f>
        <v/>
      </c>
      <c r="S22" s="249"/>
      <c r="T22" s="249" t="e">
        <f>IF(AND('Mapa final'!#REF!="Media",'Mapa final'!#REF!="Menor"),CONCATENATE("R",'Mapa final'!#REF!),"")</f>
        <v>#REF!</v>
      </c>
      <c r="U22" s="250"/>
      <c r="V22" s="248" t="e">
        <f>IF(AND('Mapa final'!#REF!="Media",'Mapa final'!#REF!="Moderado"),CONCATENATE("R",'Mapa final'!#REF!),"")</f>
        <v>#REF!</v>
      </c>
      <c r="W22" s="249"/>
      <c r="X22" s="249" t="str">
        <f>IF(AND('Mapa final'!$L$11="Media",'Mapa final'!$P$11="Moderado"),CONCATENATE("R",'Mapa final'!$A$11),"")</f>
        <v/>
      </c>
      <c r="Y22" s="249"/>
      <c r="Z22" s="249" t="e">
        <f>IF(AND('Mapa final'!#REF!="Media",'Mapa final'!#REF!="Moderado"),CONCATENATE("R",'Mapa final'!#REF!),"")</f>
        <v>#REF!</v>
      </c>
      <c r="AA22" s="250"/>
      <c r="AB22" s="266" t="e">
        <f>IF(AND('Mapa final'!#REF!="Media",'Mapa final'!#REF!="Mayor"),CONCATENATE("R",'Mapa final'!#REF!),"")</f>
        <v>#REF!</v>
      </c>
      <c r="AC22" s="267"/>
      <c r="AD22" s="267" t="str">
        <f>IF(AND('Mapa final'!$L$11="Media",'Mapa final'!$P$11="Mayor"),CONCATENATE("R",'Mapa final'!$A$11),"")</f>
        <v/>
      </c>
      <c r="AE22" s="267"/>
      <c r="AF22" s="267" t="e">
        <f>IF(AND('Mapa final'!#REF!="Media",'Mapa final'!#REF!="Mayor"),CONCATENATE("R",'Mapa final'!#REF!),"")</f>
        <v>#REF!</v>
      </c>
      <c r="AG22" s="268"/>
      <c r="AH22" s="257" t="e">
        <f>IF(AND('Mapa final'!#REF!="Media",'Mapa final'!#REF!="Catastrófico"),CONCATENATE("R",'Mapa final'!#REF!),"")</f>
        <v>#REF!</v>
      </c>
      <c r="AI22" s="258"/>
      <c r="AJ22" s="258" t="str">
        <f>IF(AND('Mapa final'!$L$11="Media",'Mapa final'!$P$11="Catastrófico"),CONCATENATE("R",'Mapa final'!$A$11),"")</f>
        <v/>
      </c>
      <c r="AK22" s="258"/>
      <c r="AL22" s="258" t="e">
        <f>IF(AND('Mapa final'!#REF!="Media",'Mapa final'!#REF!="Catastrófico"),CONCATENATE("R",'Mapa final'!#REF!),"")</f>
        <v>#REF!</v>
      </c>
      <c r="AM22" s="259"/>
      <c r="AN22" s="75"/>
      <c r="AO22" s="300" t="s">
        <v>80</v>
      </c>
      <c r="AP22" s="301"/>
      <c r="AQ22" s="301"/>
      <c r="AR22" s="301"/>
      <c r="AS22" s="301"/>
      <c r="AT22" s="302"/>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80"/>
      <c r="C23" s="280"/>
      <c r="D23" s="281"/>
      <c r="E23" s="273"/>
      <c r="F23" s="274"/>
      <c r="G23" s="274"/>
      <c r="H23" s="274"/>
      <c r="I23" s="275"/>
      <c r="J23" s="242"/>
      <c r="K23" s="243"/>
      <c r="L23" s="243"/>
      <c r="M23" s="243"/>
      <c r="N23" s="243"/>
      <c r="O23" s="244"/>
      <c r="P23" s="242"/>
      <c r="Q23" s="243"/>
      <c r="R23" s="243"/>
      <c r="S23" s="243"/>
      <c r="T23" s="243"/>
      <c r="U23" s="244"/>
      <c r="V23" s="242"/>
      <c r="W23" s="243"/>
      <c r="X23" s="243"/>
      <c r="Y23" s="243"/>
      <c r="Z23" s="243"/>
      <c r="AA23" s="244"/>
      <c r="AB23" s="260"/>
      <c r="AC23" s="261"/>
      <c r="AD23" s="261"/>
      <c r="AE23" s="261"/>
      <c r="AF23" s="261"/>
      <c r="AG23" s="262"/>
      <c r="AH23" s="251"/>
      <c r="AI23" s="252"/>
      <c r="AJ23" s="252"/>
      <c r="AK23" s="252"/>
      <c r="AL23" s="252"/>
      <c r="AM23" s="253"/>
      <c r="AN23" s="75"/>
      <c r="AO23" s="303"/>
      <c r="AP23" s="304"/>
      <c r="AQ23" s="304"/>
      <c r="AR23" s="304"/>
      <c r="AS23" s="304"/>
      <c r="AT23" s="30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80"/>
      <c r="C24" s="280"/>
      <c r="D24" s="281"/>
      <c r="E24" s="273"/>
      <c r="F24" s="274"/>
      <c r="G24" s="274"/>
      <c r="H24" s="274"/>
      <c r="I24" s="275"/>
      <c r="J24" s="242" t="e">
        <f>IF(AND('Mapa final'!#REF!="Media",'Mapa final'!#REF!="Leve"),CONCATENATE("R",'Mapa final'!#REF!),"")</f>
        <v>#REF!</v>
      </c>
      <c r="K24" s="243"/>
      <c r="L24" s="243" t="e">
        <f>IF(AND('Mapa final'!#REF!="Media",'Mapa final'!#REF!="Leve"),CONCATENATE("R",'Mapa final'!#REF!),"")</f>
        <v>#REF!</v>
      </c>
      <c r="M24" s="243"/>
      <c r="N24" s="243" t="e">
        <f>IF(AND('Mapa final'!#REF!="Media",'Mapa final'!#REF!="Leve"),CONCATENATE("R",'Mapa final'!#REF!),"")</f>
        <v>#REF!</v>
      </c>
      <c r="O24" s="244"/>
      <c r="P24" s="242" t="e">
        <f>IF(AND('Mapa final'!#REF!="Media",'Mapa final'!#REF!="Menor"),CONCATENATE("R",'Mapa final'!#REF!),"")</f>
        <v>#REF!</v>
      </c>
      <c r="Q24" s="243"/>
      <c r="R24" s="243" t="e">
        <f>IF(AND('Mapa final'!#REF!="Media",'Mapa final'!#REF!="Menor"),CONCATENATE("R",'Mapa final'!#REF!),"")</f>
        <v>#REF!</v>
      </c>
      <c r="S24" s="243"/>
      <c r="T24" s="243" t="e">
        <f>IF(AND('Mapa final'!#REF!="Media",'Mapa final'!#REF!="Menor"),CONCATENATE("R",'Mapa final'!#REF!),"")</f>
        <v>#REF!</v>
      </c>
      <c r="U24" s="244"/>
      <c r="V24" s="242" t="e">
        <f>IF(AND('Mapa final'!#REF!="Media",'Mapa final'!#REF!="Moderado"),CONCATENATE("R",'Mapa final'!#REF!),"")</f>
        <v>#REF!</v>
      </c>
      <c r="W24" s="243"/>
      <c r="X24" s="243" t="e">
        <f>IF(AND('Mapa final'!#REF!="Media",'Mapa final'!#REF!="Moderado"),CONCATENATE("R",'Mapa final'!#REF!),"")</f>
        <v>#REF!</v>
      </c>
      <c r="Y24" s="243"/>
      <c r="Z24" s="243" t="e">
        <f>IF(AND('Mapa final'!#REF!="Media",'Mapa final'!#REF!="Moderado"),CONCATENATE("R",'Mapa final'!#REF!),"")</f>
        <v>#REF!</v>
      </c>
      <c r="AA24" s="244"/>
      <c r="AB24" s="260" t="e">
        <f>IF(AND('Mapa final'!#REF!="Media",'Mapa final'!#REF!="Mayor"),CONCATENATE("R",'Mapa final'!#REF!),"")</f>
        <v>#REF!</v>
      </c>
      <c r="AC24" s="261"/>
      <c r="AD24" s="261" t="e">
        <f>IF(AND('Mapa final'!#REF!="Media",'Mapa final'!#REF!="Mayor"),CONCATENATE("R",'Mapa final'!#REF!),"")</f>
        <v>#REF!</v>
      </c>
      <c r="AE24" s="261"/>
      <c r="AF24" s="261" t="e">
        <f>IF(AND('Mapa final'!#REF!="Media",'Mapa final'!#REF!="Mayor"),CONCATENATE("R",'Mapa final'!#REF!),"")</f>
        <v>#REF!</v>
      </c>
      <c r="AG24" s="262"/>
      <c r="AH24" s="251" t="e">
        <f>IF(AND('Mapa final'!#REF!="Media",'Mapa final'!#REF!="Catastrófico"),CONCATENATE("R",'Mapa final'!#REF!),"")</f>
        <v>#REF!</v>
      </c>
      <c r="AI24" s="252"/>
      <c r="AJ24" s="252" t="e">
        <f>IF(AND('Mapa final'!#REF!="Media",'Mapa final'!#REF!="Catastrófico"),CONCATENATE("R",'Mapa final'!#REF!),"")</f>
        <v>#REF!</v>
      </c>
      <c r="AK24" s="252"/>
      <c r="AL24" s="252" t="e">
        <f>IF(AND('Mapa final'!#REF!="Media",'Mapa final'!#REF!="Catastrófico"),CONCATENATE("R",'Mapa final'!#REF!),"")</f>
        <v>#REF!</v>
      </c>
      <c r="AM24" s="253"/>
      <c r="AN24" s="75"/>
      <c r="AO24" s="303"/>
      <c r="AP24" s="304"/>
      <c r="AQ24" s="304"/>
      <c r="AR24" s="304"/>
      <c r="AS24" s="304"/>
      <c r="AT24" s="30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80"/>
      <c r="C25" s="280"/>
      <c r="D25" s="281"/>
      <c r="E25" s="273"/>
      <c r="F25" s="274"/>
      <c r="G25" s="274"/>
      <c r="H25" s="274"/>
      <c r="I25" s="275"/>
      <c r="J25" s="242"/>
      <c r="K25" s="243"/>
      <c r="L25" s="243"/>
      <c r="M25" s="243"/>
      <c r="N25" s="243"/>
      <c r="O25" s="244"/>
      <c r="P25" s="242"/>
      <c r="Q25" s="243"/>
      <c r="R25" s="243"/>
      <c r="S25" s="243"/>
      <c r="T25" s="243"/>
      <c r="U25" s="244"/>
      <c r="V25" s="242"/>
      <c r="W25" s="243"/>
      <c r="X25" s="243"/>
      <c r="Y25" s="243"/>
      <c r="Z25" s="243"/>
      <c r="AA25" s="244"/>
      <c r="AB25" s="260"/>
      <c r="AC25" s="261"/>
      <c r="AD25" s="261"/>
      <c r="AE25" s="261"/>
      <c r="AF25" s="261"/>
      <c r="AG25" s="262"/>
      <c r="AH25" s="251"/>
      <c r="AI25" s="252"/>
      <c r="AJ25" s="252"/>
      <c r="AK25" s="252"/>
      <c r="AL25" s="252"/>
      <c r="AM25" s="253"/>
      <c r="AN25" s="75"/>
      <c r="AO25" s="303"/>
      <c r="AP25" s="304"/>
      <c r="AQ25" s="304"/>
      <c r="AR25" s="304"/>
      <c r="AS25" s="304"/>
      <c r="AT25" s="30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80"/>
      <c r="C26" s="280"/>
      <c r="D26" s="281"/>
      <c r="E26" s="273"/>
      <c r="F26" s="274"/>
      <c r="G26" s="274"/>
      <c r="H26" s="274"/>
      <c r="I26" s="275"/>
      <c r="J26" s="242" t="e">
        <f>IF(AND('Mapa final'!#REF!="Media",'Mapa final'!#REF!="Leve"),CONCATENATE("R",'Mapa final'!#REF!),"")</f>
        <v>#REF!</v>
      </c>
      <c r="K26" s="243"/>
      <c r="L26" s="243" t="e">
        <f>IF(AND('Mapa final'!#REF!="Media",'Mapa final'!#REF!="Leve"),CONCATENATE("R",'Mapa final'!#REF!),"")</f>
        <v>#REF!</v>
      </c>
      <c r="M26" s="243"/>
      <c r="N26" s="243" t="e">
        <f>IF(AND('Mapa final'!#REF!="Media",'Mapa final'!#REF!="Leve"),CONCATENATE("R",'Mapa final'!#REF!),"")</f>
        <v>#REF!</v>
      </c>
      <c r="O26" s="244"/>
      <c r="P26" s="242" t="e">
        <f>IF(AND('Mapa final'!#REF!="Media",'Mapa final'!#REF!="Menor"),CONCATENATE("R",'Mapa final'!#REF!),"")</f>
        <v>#REF!</v>
      </c>
      <c r="Q26" s="243"/>
      <c r="R26" s="243" t="e">
        <f>IF(AND('Mapa final'!#REF!="Media",'Mapa final'!#REF!="Menor"),CONCATENATE("R",'Mapa final'!#REF!),"")</f>
        <v>#REF!</v>
      </c>
      <c r="S26" s="243"/>
      <c r="T26" s="243" t="e">
        <f>IF(AND('Mapa final'!#REF!="Media",'Mapa final'!#REF!="Menor"),CONCATENATE("R",'Mapa final'!#REF!),"")</f>
        <v>#REF!</v>
      </c>
      <c r="U26" s="244"/>
      <c r="V26" s="242" t="e">
        <f>IF(AND('Mapa final'!#REF!="Media",'Mapa final'!#REF!="Moderado"),CONCATENATE("R",'Mapa final'!#REF!),"")</f>
        <v>#REF!</v>
      </c>
      <c r="W26" s="243"/>
      <c r="X26" s="243" t="e">
        <f>IF(AND('Mapa final'!#REF!="Media",'Mapa final'!#REF!="Moderado"),CONCATENATE("R",'Mapa final'!#REF!),"")</f>
        <v>#REF!</v>
      </c>
      <c r="Y26" s="243"/>
      <c r="Z26" s="243" t="e">
        <f>IF(AND('Mapa final'!#REF!="Media",'Mapa final'!#REF!="Moderado"),CONCATENATE("R",'Mapa final'!#REF!),"")</f>
        <v>#REF!</v>
      </c>
      <c r="AA26" s="244"/>
      <c r="AB26" s="260" t="e">
        <f>IF(AND('Mapa final'!#REF!="Media",'Mapa final'!#REF!="Mayor"),CONCATENATE("R",'Mapa final'!#REF!),"")</f>
        <v>#REF!</v>
      </c>
      <c r="AC26" s="261"/>
      <c r="AD26" s="261" t="e">
        <f>IF(AND('Mapa final'!#REF!="Media",'Mapa final'!#REF!="Mayor"),CONCATENATE("R",'Mapa final'!#REF!),"")</f>
        <v>#REF!</v>
      </c>
      <c r="AE26" s="261"/>
      <c r="AF26" s="261" t="e">
        <f>IF(AND('Mapa final'!#REF!="Media",'Mapa final'!#REF!="Mayor"),CONCATENATE("R",'Mapa final'!#REF!),"")</f>
        <v>#REF!</v>
      </c>
      <c r="AG26" s="262"/>
      <c r="AH26" s="251" t="e">
        <f>IF(AND('Mapa final'!#REF!="Media",'Mapa final'!#REF!="Catastrófico"),CONCATENATE("R",'Mapa final'!#REF!),"")</f>
        <v>#REF!</v>
      </c>
      <c r="AI26" s="252"/>
      <c r="AJ26" s="252" t="e">
        <f>IF(AND('Mapa final'!#REF!="Media",'Mapa final'!#REF!="Catastrófico"),CONCATENATE("R",'Mapa final'!#REF!),"")</f>
        <v>#REF!</v>
      </c>
      <c r="AK26" s="252"/>
      <c r="AL26" s="252" t="e">
        <f>IF(AND('Mapa final'!#REF!="Media",'Mapa final'!#REF!="Catastrófico"),CONCATENATE("R",'Mapa final'!#REF!),"")</f>
        <v>#REF!</v>
      </c>
      <c r="AM26" s="253"/>
      <c r="AN26" s="75"/>
      <c r="AO26" s="303"/>
      <c r="AP26" s="304"/>
      <c r="AQ26" s="304"/>
      <c r="AR26" s="304"/>
      <c r="AS26" s="304"/>
      <c r="AT26" s="30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80"/>
      <c r="C27" s="280"/>
      <c r="D27" s="281"/>
      <c r="E27" s="273"/>
      <c r="F27" s="274"/>
      <c r="G27" s="274"/>
      <c r="H27" s="274"/>
      <c r="I27" s="275"/>
      <c r="J27" s="242"/>
      <c r="K27" s="243"/>
      <c r="L27" s="243"/>
      <c r="M27" s="243"/>
      <c r="N27" s="243"/>
      <c r="O27" s="244"/>
      <c r="P27" s="242"/>
      <c r="Q27" s="243"/>
      <c r="R27" s="243"/>
      <c r="S27" s="243"/>
      <c r="T27" s="243"/>
      <c r="U27" s="244"/>
      <c r="V27" s="242"/>
      <c r="W27" s="243"/>
      <c r="X27" s="243"/>
      <c r="Y27" s="243"/>
      <c r="Z27" s="243"/>
      <c r="AA27" s="244"/>
      <c r="AB27" s="260"/>
      <c r="AC27" s="261"/>
      <c r="AD27" s="261"/>
      <c r="AE27" s="261"/>
      <c r="AF27" s="261"/>
      <c r="AG27" s="262"/>
      <c r="AH27" s="251"/>
      <c r="AI27" s="252"/>
      <c r="AJ27" s="252"/>
      <c r="AK27" s="252"/>
      <c r="AL27" s="252"/>
      <c r="AM27" s="253"/>
      <c r="AN27" s="75"/>
      <c r="AO27" s="303"/>
      <c r="AP27" s="304"/>
      <c r="AQ27" s="304"/>
      <c r="AR27" s="304"/>
      <c r="AS27" s="304"/>
      <c r="AT27" s="30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80"/>
      <c r="C28" s="280"/>
      <c r="D28" s="281"/>
      <c r="E28" s="273"/>
      <c r="F28" s="274"/>
      <c r="G28" s="274"/>
      <c r="H28" s="274"/>
      <c r="I28" s="275"/>
      <c r="J28" s="242" t="e">
        <f>IF(AND('Mapa final'!#REF!="Media",'Mapa final'!#REF!="Leve"),CONCATENATE("R",'Mapa final'!#REF!),"")</f>
        <v>#REF!</v>
      </c>
      <c r="K28" s="243"/>
      <c r="L28" s="243" t="str">
        <f>IF(AND('Mapa final'!$L$16="Media",'Mapa final'!$P$16="Leve"),CONCATENATE("R",'Mapa final'!$A$16),"")</f>
        <v/>
      </c>
      <c r="M28" s="243"/>
      <c r="N28" s="243" t="str">
        <f>IF(AND('Mapa final'!$L$18="Media",'Mapa final'!$P$18="Leve"),CONCATENATE("R",'Mapa final'!$A$18),"")</f>
        <v/>
      </c>
      <c r="O28" s="244"/>
      <c r="P28" s="242" t="e">
        <f>IF(AND('Mapa final'!#REF!="Media",'Mapa final'!#REF!="Menor"),CONCATENATE("R",'Mapa final'!#REF!),"")</f>
        <v>#REF!</v>
      </c>
      <c r="Q28" s="243"/>
      <c r="R28" s="243" t="str">
        <f>IF(AND('Mapa final'!$L$16="Media",'Mapa final'!$P$16="Menor"),CONCATENATE("R",'Mapa final'!$A$16),"")</f>
        <v/>
      </c>
      <c r="S28" s="243"/>
      <c r="T28" s="243" t="str">
        <f>IF(AND('Mapa final'!$L$18="Media",'Mapa final'!$P$18="Menor"),CONCATENATE("R",'Mapa final'!$A$18),"")</f>
        <v/>
      </c>
      <c r="U28" s="244"/>
      <c r="V28" s="242" t="e">
        <f>IF(AND('Mapa final'!#REF!="Media",'Mapa final'!#REF!="Moderado"),CONCATENATE("R",'Mapa final'!#REF!),"")</f>
        <v>#REF!</v>
      </c>
      <c r="W28" s="243"/>
      <c r="X28" s="243" t="str">
        <f>IF(AND('Mapa final'!$L$16="Media",'Mapa final'!$P$16="Moderado"),CONCATENATE("R",'Mapa final'!$A$16),"")</f>
        <v/>
      </c>
      <c r="Y28" s="243"/>
      <c r="Z28" s="243" t="str">
        <f>IF(AND('Mapa final'!$L$18="Media",'Mapa final'!$P$18="Moderado"),CONCATENATE("R",'Mapa final'!$A$18),"")</f>
        <v/>
      </c>
      <c r="AA28" s="244"/>
      <c r="AB28" s="260" t="e">
        <f>IF(AND('Mapa final'!#REF!="Media",'Mapa final'!#REF!="Mayor"),CONCATENATE("R",'Mapa final'!#REF!),"")</f>
        <v>#REF!</v>
      </c>
      <c r="AC28" s="261"/>
      <c r="AD28" s="261" t="str">
        <f>IF(AND('Mapa final'!$L$16="Media",'Mapa final'!$P$16="Mayor"),CONCATENATE("R",'Mapa final'!$A$16),"")</f>
        <v/>
      </c>
      <c r="AE28" s="261"/>
      <c r="AF28" s="261" t="str">
        <f>IF(AND('Mapa final'!$L$18="Media",'Mapa final'!$P$18="Mayor"),CONCATENATE("R",'Mapa final'!$A$18),"")</f>
        <v/>
      </c>
      <c r="AG28" s="262"/>
      <c r="AH28" s="251" t="e">
        <f>IF(AND('Mapa final'!#REF!="Media",'Mapa final'!#REF!="Catastrófico"),CONCATENATE("R",'Mapa final'!#REF!),"")</f>
        <v>#REF!</v>
      </c>
      <c r="AI28" s="252"/>
      <c r="AJ28" s="252" t="str">
        <f>IF(AND('Mapa final'!$L$16="Media",'Mapa final'!$P$16="Catastrófico"),CONCATENATE("R",'Mapa final'!$A$16),"")</f>
        <v/>
      </c>
      <c r="AK28" s="252"/>
      <c r="AL28" s="252" t="str">
        <f>IF(AND('Mapa final'!$L$18="Media",'Mapa final'!$P$18="Catastrófico"),CONCATENATE("R",'Mapa final'!$A$18),"")</f>
        <v/>
      </c>
      <c r="AM28" s="253"/>
      <c r="AN28" s="75"/>
      <c r="AO28" s="303"/>
      <c r="AP28" s="304"/>
      <c r="AQ28" s="304"/>
      <c r="AR28" s="304"/>
      <c r="AS28" s="304"/>
      <c r="AT28" s="30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80"/>
      <c r="C29" s="280"/>
      <c r="D29" s="281"/>
      <c r="E29" s="276"/>
      <c r="F29" s="277"/>
      <c r="G29" s="277"/>
      <c r="H29" s="277"/>
      <c r="I29" s="278"/>
      <c r="J29" s="242"/>
      <c r="K29" s="243"/>
      <c r="L29" s="243"/>
      <c r="M29" s="243"/>
      <c r="N29" s="243"/>
      <c r="O29" s="244"/>
      <c r="P29" s="245"/>
      <c r="Q29" s="246"/>
      <c r="R29" s="246"/>
      <c r="S29" s="246"/>
      <c r="T29" s="246"/>
      <c r="U29" s="247"/>
      <c r="V29" s="245"/>
      <c r="W29" s="246"/>
      <c r="X29" s="246"/>
      <c r="Y29" s="246"/>
      <c r="Z29" s="246"/>
      <c r="AA29" s="247"/>
      <c r="AB29" s="263"/>
      <c r="AC29" s="264"/>
      <c r="AD29" s="264"/>
      <c r="AE29" s="264"/>
      <c r="AF29" s="264"/>
      <c r="AG29" s="265"/>
      <c r="AH29" s="254"/>
      <c r="AI29" s="255"/>
      <c r="AJ29" s="255"/>
      <c r="AK29" s="255"/>
      <c r="AL29" s="255"/>
      <c r="AM29" s="256"/>
      <c r="AN29" s="75"/>
      <c r="AO29" s="306"/>
      <c r="AP29" s="307"/>
      <c r="AQ29" s="307"/>
      <c r="AR29" s="307"/>
      <c r="AS29" s="307"/>
      <c r="AT29" s="308"/>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80"/>
      <c r="C30" s="280"/>
      <c r="D30" s="281"/>
      <c r="E30" s="270" t="s">
        <v>113</v>
      </c>
      <c r="F30" s="271"/>
      <c r="G30" s="271"/>
      <c r="H30" s="271"/>
      <c r="I30" s="271"/>
      <c r="J30" s="239" t="e">
        <f>IF(AND('Mapa final'!#REF!="Baja",'Mapa final'!#REF!="Leve"),CONCATENATE("R",'Mapa final'!#REF!),"")</f>
        <v>#REF!</v>
      </c>
      <c r="K30" s="240"/>
      <c r="L30" s="240" t="str">
        <f>IF(AND('Mapa final'!$L$11="Baja",'Mapa final'!$P$11="Leve"),CONCATENATE("R",'Mapa final'!$A$11),"")</f>
        <v/>
      </c>
      <c r="M30" s="240"/>
      <c r="N30" s="240" t="e">
        <f>IF(AND('Mapa final'!#REF!="Baja",'Mapa final'!#REF!="Leve"),CONCATENATE("R",'Mapa final'!#REF!),"")</f>
        <v>#REF!</v>
      </c>
      <c r="O30" s="241"/>
      <c r="P30" s="249" t="e">
        <f>IF(AND('Mapa final'!#REF!="Baja",'Mapa final'!#REF!="Menor"),CONCATENATE("R",'Mapa final'!#REF!),"")</f>
        <v>#REF!</v>
      </c>
      <c r="Q30" s="249"/>
      <c r="R30" s="249" t="str">
        <f>IF(AND('Mapa final'!$L$11="Baja",'Mapa final'!$P$11="Menor"),CONCATENATE("R",'Mapa final'!$A$11),"")</f>
        <v/>
      </c>
      <c r="S30" s="249"/>
      <c r="T30" s="249" t="e">
        <f>IF(AND('Mapa final'!#REF!="Baja",'Mapa final'!#REF!="Menor"),CONCATENATE("R",'Mapa final'!#REF!),"")</f>
        <v>#REF!</v>
      </c>
      <c r="U30" s="250"/>
      <c r="V30" s="248" t="e">
        <f>IF(AND('Mapa final'!#REF!="Baja",'Mapa final'!#REF!="Moderado"),CONCATENATE("R",'Mapa final'!#REF!),"")</f>
        <v>#REF!</v>
      </c>
      <c r="W30" s="249"/>
      <c r="X30" s="249" t="str">
        <f>IF(AND('Mapa final'!$L$11="Baja",'Mapa final'!$P$11="Moderado"),CONCATENATE("R",'Mapa final'!$A$11),"")</f>
        <v/>
      </c>
      <c r="Y30" s="249"/>
      <c r="Z30" s="249" t="e">
        <f>IF(AND('Mapa final'!#REF!="Baja",'Mapa final'!#REF!="Moderado"),CONCATENATE("R",'Mapa final'!#REF!),"")</f>
        <v>#REF!</v>
      </c>
      <c r="AA30" s="250"/>
      <c r="AB30" s="266" t="e">
        <f>IF(AND('Mapa final'!#REF!="Baja",'Mapa final'!#REF!="Mayor"),CONCATENATE("R",'Mapa final'!#REF!),"")</f>
        <v>#REF!</v>
      </c>
      <c r="AC30" s="267"/>
      <c r="AD30" s="267" t="str">
        <f>IF(AND('Mapa final'!$L$11="Baja",'Mapa final'!$P$11="Mayor"),CONCATENATE("R",'Mapa final'!$A$11),"")</f>
        <v/>
      </c>
      <c r="AE30" s="267"/>
      <c r="AF30" s="267" t="e">
        <f>IF(AND('Mapa final'!#REF!="Baja",'Mapa final'!#REF!="Mayor"),CONCATENATE("R",'Mapa final'!#REF!),"")</f>
        <v>#REF!</v>
      </c>
      <c r="AG30" s="268"/>
      <c r="AH30" s="257" t="e">
        <f>IF(AND('Mapa final'!#REF!="Baja",'Mapa final'!#REF!="Catastrófico"),CONCATENATE("R",'Mapa final'!#REF!),"")</f>
        <v>#REF!</v>
      </c>
      <c r="AI30" s="258"/>
      <c r="AJ30" s="258" t="str">
        <f>IF(AND('Mapa final'!$L$11="Baja",'Mapa final'!$P$11="Catastrófico"),CONCATENATE("R",'Mapa final'!$A$11),"")</f>
        <v/>
      </c>
      <c r="AK30" s="258"/>
      <c r="AL30" s="258" t="e">
        <f>IF(AND('Mapa final'!#REF!="Baja",'Mapa final'!#REF!="Catastrófico"),CONCATENATE("R",'Mapa final'!#REF!),"")</f>
        <v>#REF!</v>
      </c>
      <c r="AM30" s="259"/>
      <c r="AN30" s="75"/>
      <c r="AO30" s="309" t="s">
        <v>81</v>
      </c>
      <c r="AP30" s="310"/>
      <c r="AQ30" s="310"/>
      <c r="AR30" s="310"/>
      <c r="AS30" s="310"/>
      <c r="AT30" s="311"/>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80"/>
      <c r="C31" s="280"/>
      <c r="D31" s="281"/>
      <c r="E31" s="273"/>
      <c r="F31" s="274"/>
      <c r="G31" s="274"/>
      <c r="H31" s="274"/>
      <c r="I31" s="274"/>
      <c r="J31" s="233"/>
      <c r="K31" s="234"/>
      <c r="L31" s="234"/>
      <c r="M31" s="234"/>
      <c r="N31" s="234"/>
      <c r="O31" s="235"/>
      <c r="P31" s="243"/>
      <c r="Q31" s="243"/>
      <c r="R31" s="243"/>
      <c r="S31" s="243"/>
      <c r="T31" s="243"/>
      <c r="U31" s="244"/>
      <c r="V31" s="242"/>
      <c r="W31" s="243"/>
      <c r="X31" s="243"/>
      <c r="Y31" s="243"/>
      <c r="Z31" s="243"/>
      <c r="AA31" s="244"/>
      <c r="AB31" s="260"/>
      <c r="AC31" s="261"/>
      <c r="AD31" s="261"/>
      <c r="AE31" s="261"/>
      <c r="AF31" s="261"/>
      <c r="AG31" s="262"/>
      <c r="AH31" s="251"/>
      <c r="AI31" s="252"/>
      <c r="AJ31" s="252"/>
      <c r="AK31" s="252"/>
      <c r="AL31" s="252"/>
      <c r="AM31" s="253"/>
      <c r="AN31" s="75"/>
      <c r="AO31" s="312"/>
      <c r="AP31" s="313"/>
      <c r="AQ31" s="313"/>
      <c r="AR31" s="313"/>
      <c r="AS31" s="313"/>
      <c r="AT31" s="31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80"/>
      <c r="C32" s="280"/>
      <c r="D32" s="281"/>
      <c r="E32" s="273"/>
      <c r="F32" s="274"/>
      <c r="G32" s="274"/>
      <c r="H32" s="274"/>
      <c r="I32" s="274"/>
      <c r="J32" s="233" t="e">
        <f>IF(AND('Mapa final'!#REF!="Baja",'Mapa final'!#REF!="Leve"),CONCATENATE("R",'Mapa final'!#REF!),"")</f>
        <v>#REF!</v>
      </c>
      <c r="K32" s="234"/>
      <c r="L32" s="234" t="e">
        <f>IF(AND('Mapa final'!#REF!="Baja",'Mapa final'!#REF!="Leve"),CONCATENATE("R",'Mapa final'!#REF!),"")</f>
        <v>#REF!</v>
      </c>
      <c r="M32" s="234"/>
      <c r="N32" s="234" t="e">
        <f>IF(AND('Mapa final'!#REF!="Baja",'Mapa final'!#REF!="Leve"),CONCATENATE("R",'Mapa final'!#REF!),"")</f>
        <v>#REF!</v>
      </c>
      <c r="O32" s="235"/>
      <c r="P32" s="243" t="e">
        <f>IF(AND('Mapa final'!#REF!="Baja",'Mapa final'!#REF!="Menor"),CONCATENATE("R",'Mapa final'!#REF!),"")</f>
        <v>#REF!</v>
      </c>
      <c r="Q32" s="243"/>
      <c r="R32" s="243" t="e">
        <f>IF(AND('Mapa final'!#REF!="Baja",'Mapa final'!#REF!="Menor"),CONCATENATE("R",'Mapa final'!#REF!),"")</f>
        <v>#REF!</v>
      </c>
      <c r="S32" s="243"/>
      <c r="T32" s="243" t="e">
        <f>IF(AND('Mapa final'!#REF!="Baja",'Mapa final'!#REF!="Menor"),CONCATENATE("R",'Mapa final'!#REF!),"")</f>
        <v>#REF!</v>
      </c>
      <c r="U32" s="244"/>
      <c r="V32" s="242" t="e">
        <f>IF(AND('Mapa final'!#REF!="Baja",'Mapa final'!#REF!="Moderado"),CONCATENATE("R",'Mapa final'!#REF!),"")</f>
        <v>#REF!</v>
      </c>
      <c r="W32" s="243"/>
      <c r="X32" s="243" t="e">
        <f>IF(AND('Mapa final'!#REF!="Baja",'Mapa final'!#REF!="Moderado"),CONCATENATE("R",'Mapa final'!#REF!),"")</f>
        <v>#REF!</v>
      </c>
      <c r="Y32" s="243"/>
      <c r="Z32" s="243" t="e">
        <f>IF(AND('Mapa final'!#REF!="Baja",'Mapa final'!#REF!="Moderado"),CONCATENATE("R",'Mapa final'!#REF!),"")</f>
        <v>#REF!</v>
      </c>
      <c r="AA32" s="244"/>
      <c r="AB32" s="260" t="e">
        <f>IF(AND('Mapa final'!#REF!="Baja",'Mapa final'!#REF!="Mayor"),CONCATENATE("R",'Mapa final'!#REF!),"")</f>
        <v>#REF!</v>
      </c>
      <c r="AC32" s="261"/>
      <c r="AD32" s="261" t="e">
        <f>IF(AND('Mapa final'!#REF!="Baja",'Mapa final'!#REF!="Mayor"),CONCATENATE("R",'Mapa final'!#REF!),"")</f>
        <v>#REF!</v>
      </c>
      <c r="AE32" s="261"/>
      <c r="AF32" s="261" t="e">
        <f>IF(AND('Mapa final'!#REF!="Baja",'Mapa final'!#REF!="Mayor"),CONCATENATE("R",'Mapa final'!#REF!),"")</f>
        <v>#REF!</v>
      </c>
      <c r="AG32" s="262"/>
      <c r="AH32" s="251" t="e">
        <f>IF(AND('Mapa final'!#REF!="Baja",'Mapa final'!#REF!="Catastrófico"),CONCATENATE("R",'Mapa final'!#REF!),"")</f>
        <v>#REF!</v>
      </c>
      <c r="AI32" s="252"/>
      <c r="AJ32" s="252" t="e">
        <f>IF(AND('Mapa final'!#REF!="Baja",'Mapa final'!#REF!="Catastrófico"),CONCATENATE("R",'Mapa final'!#REF!),"")</f>
        <v>#REF!</v>
      </c>
      <c r="AK32" s="252"/>
      <c r="AL32" s="252" t="e">
        <f>IF(AND('Mapa final'!#REF!="Baja",'Mapa final'!#REF!="Catastrófico"),CONCATENATE("R",'Mapa final'!#REF!),"")</f>
        <v>#REF!</v>
      </c>
      <c r="AM32" s="253"/>
      <c r="AN32" s="75"/>
      <c r="AO32" s="312"/>
      <c r="AP32" s="313"/>
      <c r="AQ32" s="313"/>
      <c r="AR32" s="313"/>
      <c r="AS32" s="313"/>
      <c r="AT32" s="31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80"/>
      <c r="C33" s="280"/>
      <c r="D33" s="281"/>
      <c r="E33" s="273"/>
      <c r="F33" s="274"/>
      <c r="G33" s="274"/>
      <c r="H33" s="274"/>
      <c r="I33" s="274"/>
      <c r="J33" s="233"/>
      <c r="K33" s="234"/>
      <c r="L33" s="234"/>
      <c r="M33" s="234"/>
      <c r="N33" s="234"/>
      <c r="O33" s="235"/>
      <c r="P33" s="243"/>
      <c r="Q33" s="243"/>
      <c r="R33" s="243"/>
      <c r="S33" s="243"/>
      <c r="T33" s="243"/>
      <c r="U33" s="244"/>
      <c r="V33" s="242"/>
      <c r="W33" s="243"/>
      <c r="X33" s="243"/>
      <c r="Y33" s="243"/>
      <c r="Z33" s="243"/>
      <c r="AA33" s="244"/>
      <c r="AB33" s="260"/>
      <c r="AC33" s="261"/>
      <c r="AD33" s="261"/>
      <c r="AE33" s="261"/>
      <c r="AF33" s="261"/>
      <c r="AG33" s="262"/>
      <c r="AH33" s="251"/>
      <c r="AI33" s="252"/>
      <c r="AJ33" s="252"/>
      <c r="AK33" s="252"/>
      <c r="AL33" s="252"/>
      <c r="AM33" s="253"/>
      <c r="AN33" s="75"/>
      <c r="AO33" s="312"/>
      <c r="AP33" s="313"/>
      <c r="AQ33" s="313"/>
      <c r="AR33" s="313"/>
      <c r="AS33" s="313"/>
      <c r="AT33" s="31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80"/>
      <c r="C34" s="280"/>
      <c r="D34" s="281"/>
      <c r="E34" s="273"/>
      <c r="F34" s="274"/>
      <c r="G34" s="274"/>
      <c r="H34" s="274"/>
      <c r="I34" s="274"/>
      <c r="J34" s="233" t="e">
        <f>IF(AND('Mapa final'!#REF!="Baja",'Mapa final'!#REF!="Leve"),CONCATENATE("R",'Mapa final'!#REF!),"")</f>
        <v>#REF!</v>
      </c>
      <c r="K34" s="234"/>
      <c r="L34" s="234" t="e">
        <f>IF(AND('Mapa final'!#REF!="Baja",'Mapa final'!#REF!="Leve"),CONCATENATE("R",'Mapa final'!#REF!),"")</f>
        <v>#REF!</v>
      </c>
      <c r="M34" s="234"/>
      <c r="N34" s="234" t="e">
        <f>IF(AND('Mapa final'!#REF!="Baja",'Mapa final'!#REF!="Leve"),CONCATENATE("R",'Mapa final'!#REF!),"")</f>
        <v>#REF!</v>
      </c>
      <c r="O34" s="235"/>
      <c r="P34" s="243" t="e">
        <f>IF(AND('Mapa final'!#REF!="Baja",'Mapa final'!#REF!="Menor"),CONCATENATE("R",'Mapa final'!#REF!),"")</f>
        <v>#REF!</v>
      </c>
      <c r="Q34" s="243"/>
      <c r="R34" s="243" t="e">
        <f>IF(AND('Mapa final'!#REF!="Baja",'Mapa final'!#REF!="Menor"),CONCATENATE("R",'Mapa final'!#REF!),"")</f>
        <v>#REF!</v>
      </c>
      <c r="S34" s="243"/>
      <c r="T34" s="243" t="e">
        <f>IF(AND('Mapa final'!#REF!="Baja",'Mapa final'!#REF!="Menor"),CONCATENATE("R",'Mapa final'!#REF!),"")</f>
        <v>#REF!</v>
      </c>
      <c r="U34" s="244"/>
      <c r="V34" s="242" t="e">
        <f>IF(AND('Mapa final'!#REF!="Baja",'Mapa final'!#REF!="Moderado"),CONCATENATE("R",'Mapa final'!#REF!),"")</f>
        <v>#REF!</v>
      </c>
      <c r="W34" s="243"/>
      <c r="X34" s="243" t="e">
        <f>IF(AND('Mapa final'!#REF!="Baja",'Mapa final'!#REF!="Moderado"),CONCATENATE("R",'Mapa final'!#REF!),"")</f>
        <v>#REF!</v>
      </c>
      <c r="Y34" s="243"/>
      <c r="Z34" s="243" t="e">
        <f>IF(AND('Mapa final'!#REF!="Baja",'Mapa final'!#REF!="Moderado"),CONCATENATE("R",'Mapa final'!#REF!),"")</f>
        <v>#REF!</v>
      </c>
      <c r="AA34" s="244"/>
      <c r="AB34" s="260" t="e">
        <f>IF(AND('Mapa final'!#REF!="Baja",'Mapa final'!#REF!="Mayor"),CONCATENATE("R",'Mapa final'!#REF!),"")</f>
        <v>#REF!</v>
      </c>
      <c r="AC34" s="261"/>
      <c r="AD34" s="261" t="e">
        <f>IF(AND('Mapa final'!#REF!="Baja",'Mapa final'!#REF!="Mayor"),CONCATENATE("R",'Mapa final'!#REF!),"")</f>
        <v>#REF!</v>
      </c>
      <c r="AE34" s="261"/>
      <c r="AF34" s="261" t="e">
        <f>IF(AND('Mapa final'!#REF!="Baja",'Mapa final'!#REF!="Mayor"),CONCATENATE("R",'Mapa final'!#REF!),"")</f>
        <v>#REF!</v>
      </c>
      <c r="AG34" s="262"/>
      <c r="AH34" s="251" t="e">
        <f>IF(AND('Mapa final'!#REF!="Baja",'Mapa final'!#REF!="Catastrófico"),CONCATENATE("R",'Mapa final'!#REF!),"")</f>
        <v>#REF!</v>
      </c>
      <c r="AI34" s="252"/>
      <c r="AJ34" s="252" t="e">
        <f>IF(AND('Mapa final'!#REF!="Baja",'Mapa final'!#REF!="Catastrófico"),CONCATENATE("R",'Mapa final'!#REF!),"")</f>
        <v>#REF!</v>
      </c>
      <c r="AK34" s="252"/>
      <c r="AL34" s="252" t="e">
        <f>IF(AND('Mapa final'!#REF!="Baja",'Mapa final'!#REF!="Catastrófico"),CONCATENATE("R",'Mapa final'!#REF!),"")</f>
        <v>#REF!</v>
      </c>
      <c r="AM34" s="253"/>
      <c r="AN34" s="75"/>
      <c r="AO34" s="312"/>
      <c r="AP34" s="313"/>
      <c r="AQ34" s="313"/>
      <c r="AR34" s="313"/>
      <c r="AS34" s="313"/>
      <c r="AT34" s="31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80"/>
      <c r="C35" s="280"/>
      <c r="D35" s="281"/>
      <c r="E35" s="273"/>
      <c r="F35" s="274"/>
      <c r="G35" s="274"/>
      <c r="H35" s="274"/>
      <c r="I35" s="274"/>
      <c r="J35" s="233"/>
      <c r="K35" s="234"/>
      <c r="L35" s="234"/>
      <c r="M35" s="234"/>
      <c r="N35" s="234"/>
      <c r="O35" s="235"/>
      <c r="P35" s="243"/>
      <c r="Q35" s="243"/>
      <c r="R35" s="243"/>
      <c r="S35" s="243"/>
      <c r="T35" s="243"/>
      <c r="U35" s="244"/>
      <c r="V35" s="242"/>
      <c r="W35" s="243"/>
      <c r="X35" s="243"/>
      <c r="Y35" s="243"/>
      <c r="Z35" s="243"/>
      <c r="AA35" s="244"/>
      <c r="AB35" s="260"/>
      <c r="AC35" s="261"/>
      <c r="AD35" s="261"/>
      <c r="AE35" s="261"/>
      <c r="AF35" s="261"/>
      <c r="AG35" s="262"/>
      <c r="AH35" s="251"/>
      <c r="AI35" s="252"/>
      <c r="AJ35" s="252"/>
      <c r="AK35" s="252"/>
      <c r="AL35" s="252"/>
      <c r="AM35" s="253"/>
      <c r="AN35" s="75"/>
      <c r="AO35" s="312"/>
      <c r="AP35" s="313"/>
      <c r="AQ35" s="313"/>
      <c r="AR35" s="313"/>
      <c r="AS35" s="313"/>
      <c r="AT35" s="314"/>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80"/>
      <c r="C36" s="280"/>
      <c r="D36" s="281"/>
      <c r="E36" s="273"/>
      <c r="F36" s="274"/>
      <c r="G36" s="274"/>
      <c r="H36" s="274"/>
      <c r="I36" s="274"/>
      <c r="J36" s="233" t="e">
        <f>IF(AND('Mapa final'!#REF!="Baja",'Mapa final'!#REF!="Leve"),CONCATENATE("R",'Mapa final'!#REF!),"")</f>
        <v>#REF!</v>
      </c>
      <c r="K36" s="234"/>
      <c r="L36" s="234" t="str">
        <f>IF(AND('Mapa final'!$L$16="Baja",'Mapa final'!$P$16="Leve"),CONCATENATE("R",'Mapa final'!$A$16),"")</f>
        <v/>
      </c>
      <c r="M36" s="234"/>
      <c r="N36" s="234" t="str">
        <f>IF(AND('Mapa final'!$L$18="Baja",'Mapa final'!$P$18="Leve"),CONCATENATE("R",'Mapa final'!$A$18),"")</f>
        <v/>
      </c>
      <c r="O36" s="235"/>
      <c r="P36" s="243" t="e">
        <f>IF(AND('Mapa final'!#REF!="Baja",'Mapa final'!#REF!="Menor"),CONCATENATE("R",'Mapa final'!#REF!),"")</f>
        <v>#REF!</v>
      </c>
      <c r="Q36" s="243"/>
      <c r="R36" s="243" t="str">
        <f>IF(AND('Mapa final'!$L$16="Baja",'Mapa final'!$P$16="Menor"),CONCATENATE("R",'Mapa final'!$A$16),"")</f>
        <v/>
      </c>
      <c r="S36" s="243"/>
      <c r="T36" s="243" t="str">
        <f>IF(AND('Mapa final'!$L$18="Baja",'Mapa final'!$P$18="Menor"),CONCATENATE("R",'Mapa final'!$A$18),"")</f>
        <v/>
      </c>
      <c r="U36" s="244"/>
      <c r="V36" s="242" t="e">
        <f>IF(AND('Mapa final'!#REF!="Baja",'Mapa final'!#REF!="Moderado"),CONCATENATE("R",'Mapa final'!#REF!),"")</f>
        <v>#REF!</v>
      </c>
      <c r="W36" s="243"/>
      <c r="X36" s="243" t="str">
        <f>IF(AND('Mapa final'!$L$16="Baja",'Mapa final'!$P$16="Moderado"),CONCATENATE("R",'Mapa final'!$A$16),"")</f>
        <v/>
      </c>
      <c r="Y36" s="243"/>
      <c r="Z36" s="243" t="str">
        <f>IF(AND('Mapa final'!$L$18="Baja",'Mapa final'!$P$18="Moderado"),CONCATENATE("R",'Mapa final'!$A$18),"")</f>
        <v/>
      </c>
      <c r="AA36" s="244"/>
      <c r="AB36" s="260" t="e">
        <f>IF(AND('Mapa final'!#REF!="Baja",'Mapa final'!#REF!="Mayor"),CONCATENATE("R",'Mapa final'!#REF!),"")</f>
        <v>#REF!</v>
      </c>
      <c r="AC36" s="261"/>
      <c r="AD36" s="261" t="str">
        <f>IF(AND('Mapa final'!$L$16="Baja",'Mapa final'!$P$16="Mayor"),CONCATENATE("R",'Mapa final'!$A$16),"")</f>
        <v/>
      </c>
      <c r="AE36" s="261"/>
      <c r="AF36" s="261" t="str">
        <f>IF(AND('Mapa final'!$L$18="Baja",'Mapa final'!$P$18="Mayor"),CONCATENATE("R",'Mapa final'!$A$18),"")</f>
        <v/>
      </c>
      <c r="AG36" s="262"/>
      <c r="AH36" s="251" t="e">
        <f>IF(AND('Mapa final'!#REF!="Baja",'Mapa final'!#REF!="Catastrófico"),CONCATENATE("R",'Mapa final'!#REF!),"")</f>
        <v>#REF!</v>
      </c>
      <c r="AI36" s="252"/>
      <c r="AJ36" s="252" t="str">
        <f>IF(AND('Mapa final'!$L$16="Baja",'Mapa final'!$P$16="Catastrófico"),CONCATENATE("R",'Mapa final'!$A$16),"")</f>
        <v/>
      </c>
      <c r="AK36" s="252"/>
      <c r="AL36" s="252" t="str">
        <f>IF(AND('Mapa final'!$L$18="Baja",'Mapa final'!$P$18="Catastrófico"),CONCATENATE("R",'Mapa final'!$A$18),"")</f>
        <v/>
      </c>
      <c r="AM36" s="253"/>
      <c r="AN36" s="75"/>
      <c r="AO36" s="312"/>
      <c r="AP36" s="313"/>
      <c r="AQ36" s="313"/>
      <c r="AR36" s="313"/>
      <c r="AS36" s="313"/>
      <c r="AT36" s="314"/>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80"/>
      <c r="C37" s="280"/>
      <c r="D37" s="281"/>
      <c r="E37" s="276"/>
      <c r="F37" s="277"/>
      <c r="G37" s="277"/>
      <c r="H37" s="277"/>
      <c r="I37" s="277"/>
      <c r="J37" s="236"/>
      <c r="K37" s="237"/>
      <c r="L37" s="237"/>
      <c r="M37" s="237"/>
      <c r="N37" s="237"/>
      <c r="O37" s="238"/>
      <c r="P37" s="246"/>
      <c r="Q37" s="246"/>
      <c r="R37" s="246"/>
      <c r="S37" s="246"/>
      <c r="T37" s="246"/>
      <c r="U37" s="247"/>
      <c r="V37" s="245"/>
      <c r="W37" s="246"/>
      <c r="X37" s="246"/>
      <c r="Y37" s="246"/>
      <c r="Z37" s="246"/>
      <c r="AA37" s="247"/>
      <c r="AB37" s="263"/>
      <c r="AC37" s="264"/>
      <c r="AD37" s="264"/>
      <c r="AE37" s="264"/>
      <c r="AF37" s="264"/>
      <c r="AG37" s="265"/>
      <c r="AH37" s="254"/>
      <c r="AI37" s="255"/>
      <c r="AJ37" s="255"/>
      <c r="AK37" s="255"/>
      <c r="AL37" s="255"/>
      <c r="AM37" s="256"/>
      <c r="AN37" s="75"/>
      <c r="AO37" s="315"/>
      <c r="AP37" s="316"/>
      <c r="AQ37" s="316"/>
      <c r="AR37" s="316"/>
      <c r="AS37" s="316"/>
      <c r="AT37" s="317"/>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80"/>
      <c r="C38" s="280"/>
      <c r="D38" s="281"/>
      <c r="E38" s="270" t="s">
        <v>112</v>
      </c>
      <c r="F38" s="271"/>
      <c r="G38" s="271"/>
      <c r="H38" s="271"/>
      <c r="I38" s="272"/>
      <c r="J38" s="239" t="e">
        <f>IF(AND('Mapa final'!#REF!="Muy Baja",'Mapa final'!#REF!="Leve"),CONCATENATE("R",'Mapa final'!#REF!),"")</f>
        <v>#REF!</v>
      </c>
      <c r="K38" s="240"/>
      <c r="L38" s="240" t="str">
        <f>IF(AND('Mapa final'!$L$11="Muy Baja",'Mapa final'!$P$11="Leve"),CONCATENATE("R",'Mapa final'!$A$11),"")</f>
        <v/>
      </c>
      <c r="M38" s="240"/>
      <c r="N38" s="240" t="e">
        <f>IF(AND('Mapa final'!#REF!="Muy Baja",'Mapa final'!#REF!="Leve"),CONCATENATE("R",'Mapa final'!#REF!),"")</f>
        <v>#REF!</v>
      </c>
      <c r="O38" s="241"/>
      <c r="P38" s="239" t="e">
        <f>IF(AND('Mapa final'!#REF!="Muy Baja",'Mapa final'!#REF!="Menor"),CONCATENATE("R",'Mapa final'!#REF!),"")</f>
        <v>#REF!</v>
      </c>
      <c r="Q38" s="240"/>
      <c r="R38" s="240" t="str">
        <f>IF(AND('Mapa final'!$L$11="Muy Baja",'Mapa final'!$P$11="Menor"),CONCATENATE("R",'Mapa final'!$A$11),"")</f>
        <v/>
      </c>
      <c r="S38" s="240"/>
      <c r="T38" s="240" t="e">
        <f>IF(AND('Mapa final'!#REF!="Muy Baja",'Mapa final'!#REF!="Menor"),CONCATENATE("R",'Mapa final'!#REF!),"")</f>
        <v>#REF!</v>
      </c>
      <c r="U38" s="241"/>
      <c r="V38" s="248" t="e">
        <f>IF(AND('Mapa final'!#REF!="Muy Baja",'Mapa final'!#REF!="Moderado"),CONCATENATE("R",'Mapa final'!#REF!),"")</f>
        <v>#REF!</v>
      </c>
      <c r="W38" s="249"/>
      <c r="X38" s="249" t="str">
        <f>IF(AND('Mapa final'!$L$11="Muy Baja",'Mapa final'!$P$11="Moderado"),CONCATENATE("R",'Mapa final'!$A$11),"")</f>
        <v/>
      </c>
      <c r="Y38" s="249"/>
      <c r="Z38" s="249" t="e">
        <f>IF(AND('Mapa final'!#REF!="Muy Baja",'Mapa final'!#REF!="Moderado"),CONCATENATE("R",'Mapa final'!#REF!),"")</f>
        <v>#REF!</v>
      </c>
      <c r="AA38" s="250"/>
      <c r="AB38" s="266" t="e">
        <f>IF(AND('Mapa final'!#REF!="Muy Baja",'Mapa final'!#REF!="Mayor"),CONCATENATE("R",'Mapa final'!#REF!),"")</f>
        <v>#REF!</v>
      </c>
      <c r="AC38" s="267"/>
      <c r="AD38" s="267" t="str">
        <f>IF(AND('Mapa final'!$L$11="Muy Baja",'Mapa final'!$P$11="Mayor"),CONCATENATE("R",'Mapa final'!$A$11),"")</f>
        <v/>
      </c>
      <c r="AE38" s="267"/>
      <c r="AF38" s="267" t="e">
        <f>IF(AND('Mapa final'!#REF!="Muy Baja",'Mapa final'!#REF!="Mayor"),CONCATENATE("R",'Mapa final'!#REF!),"")</f>
        <v>#REF!</v>
      </c>
      <c r="AG38" s="268"/>
      <c r="AH38" s="257" t="e">
        <f>IF(AND('Mapa final'!#REF!="Muy Baja",'Mapa final'!#REF!="Catastrófico"),CONCATENATE("R",'Mapa final'!#REF!),"")</f>
        <v>#REF!</v>
      </c>
      <c r="AI38" s="258"/>
      <c r="AJ38" s="258" t="str">
        <f>IF(AND('Mapa final'!$L$11="Muy Baja",'Mapa final'!$P$11="Catastrófico"),CONCATENATE("R",'Mapa final'!$A$11),"")</f>
        <v>R1</v>
      </c>
      <c r="AK38" s="258"/>
      <c r="AL38" s="258" t="e">
        <f>IF(AND('Mapa final'!#REF!="Muy Baja",'Mapa final'!#REF!="Catastrófico"),CONCATENATE("R",'Mapa final'!#REF!),"")</f>
        <v>#REF!</v>
      </c>
      <c r="AM38" s="259"/>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80"/>
      <c r="C39" s="280"/>
      <c r="D39" s="281"/>
      <c r="E39" s="273"/>
      <c r="F39" s="274"/>
      <c r="G39" s="274"/>
      <c r="H39" s="274"/>
      <c r="I39" s="275"/>
      <c r="J39" s="233"/>
      <c r="K39" s="234"/>
      <c r="L39" s="234"/>
      <c r="M39" s="234"/>
      <c r="N39" s="234"/>
      <c r="O39" s="235"/>
      <c r="P39" s="233"/>
      <c r="Q39" s="234"/>
      <c r="R39" s="234"/>
      <c r="S39" s="234"/>
      <c r="T39" s="234"/>
      <c r="U39" s="235"/>
      <c r="V39" s="242"/>
      <c r="W39" s="243"/>
      <c r="X39" s="243"/>
      <c r="Y39" s="243"/>
      <c r="Z39" s="243"/>
      <c r="AA39" s="244"/>
      <c r="AB39" s="260"/>
      <c r="AC39" s="261"/>
      <c r="AD39" s="261"/>
      <c r="AE39" s="261"/>
      <c r="AF39" s="261"/>
      <c r="AG39" s="262"/>
      <c r="AH39" s="251"/>
      <c r="AI39" s="252"/>
      <c r="AJ39" s="252"/>
      <c r="AK39" s="252"/>
      <c r="AL39" s="252"/>
      <c r="AM39" s="253"/>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80"/>
      <c r="C40" s="280"/>
      <c r="D40" s="281"/>
      <c r="E40" s="273"/>
      <c r="F40" s="274"/>
      <c r="G40" s="274"/>
      <c r="H40" s="274"/>
      <c r="I40" s="275"/>
      <c r="J40" s="233" t="e">
        <f>IF(AND('Mapa final'!#REF!="Muy Baja",'Mapa final'!#REF!="Leve"),CONCATENATE("R",'Mapa final'!#REF!),"")</f>
        <v>#REF!</v>
      </c>
      <c r="K40" s="234"/>
      <c r="L40" s="234" t="e">
        <f>IF(AND('Mapa final'!#REF!="Muy Baja",'Mapa final'!#REF!="Leve"),CONCATENATE("R",'Mapa final'!#REF!),"")</f>
        <v>#REF!</v>
      </c>
      <c r="M40" s="234"/>
      <c r="N40" s="234" t="e">
        <f>IF(AND('Mapa final'!#REF!="Muy Baja",'Mapa final'!#REF!="Leve"),CONCATENATE("R",'Mapa final'!#REF!),"")</f>
        <v>#REF!</v>
      </c>
      <c r="O40" s="235"/>
      <c r="P40" s="233" t="e">
        <f>IF(AND('Mapa final'!#REF!="Muy Baja",'Mapa final'!#REF!="Menor"),CONCATENATE("R",'Mapa final'!#REF!),"")</f>
        <v>#REF!</v>
      </c>
      <c r="Q40" s="234"/>
      <c r="R40" s="234" t="e">
        <f>IF(AND('Mapa final'!#REF!="Muy Baja",'Mapa final'!#REF!="Menor"),CONCATENATE("R",'Mapa final'!#REF!),"")</f>
        <v>#REF!</v>
      </c>
      <c r="S40" s="234"/>
      <c r="T40" s="234" t="e">
        <f>IF(AND('Mapa final'!#REF!="Muy Baja",'Mapa final'!#REF!="Menor"),CONCATENATE("R",'Mapa final'!#REF!),"")</f>
        <v>#REF!</v>
      </c>
      <c r="U40" s="235"/>
      <c r="V40" s="242" t="e">
        <f>IF(AND('Mapa final'!#REF!="Muy Baja",'Mapa final'!#REF!="Moderado"),CONCATENATE("R",'Mapa final'!#REF!),"")</f>
        <v>#REF!</v>
      </c>
      <c r="W40" s="243"/>
      <c r="X40" s="243" t="e">
        <f>IF(AND('Mapa final'!#REF!="Muy Baja",'Mapa final'!#REF!="Moderado"),CONCATENATE("R",'Mapa final'!#REF!),"")</f>
        <v>#REF!</v>
      </c>
      <c r="Y40" s="243"/>
      <c r="Z40" s="243" t="e">
        <f>IF(AND('Mapa final'!#REF!="Muy Baja",'Mapa final'!#REF!="Moderado"),CONCATENATE("R",'Mapa final'!#REF!),"")</f>
        <v>#REF!</v>
      </c>
      <c r="AA40" s="244"/>
      <c r="AB40" s="260" t="e">
        <f>IF(AND('Mapa final'!#REF!="Muy Baja",'Mapa final'!#REF!="Mayor"),CONCATENATE("R",'Mapa final'!#REF!),"")</f>
        <v>#REF!</v>
      </c>
      <c r="AC40" s="261"/>
      <c r="AD40" s="261" t="e">
        <f>IF(AND('Mapa final'!#REF!="Muy Baja",'Mapa final'!#REF!="Mayor"),CONCATENATE("R",'Mapa final'!#REF!),"")</f>
        <v>#REF!</v>
      </c>
      <c r="AE40" s="261"/>
      <c r="AF40" s="261" t="e">
        <f>IF(AND('Mapa final'!#REF!="Muy Baja",'Mapa final'!#REF!="Mayor"),CONCATENATE("R",'Mapa final'!#REF!),"")</f>
        <v>#REF!</v>
      </c>
      <c r="AG40" s="262"/>
      <c r="AH40" s="251" t="e">
        <f>IF(AND('Mapa final'!#REF!="Muy Baja",'Mapa final'!#REF!="Catastrófico"),CONCATENATE("R",'Mapa final'!#REF!),"")</f>
        <v>#REF!</v>
      </c>
      <c r="AI40" s="252"/>
      <c r="AJ40" s="252" t="e">
        <f>IF(AND('Mapa final'!#REF!="Muy Baja",'Mapa final'!#REF!="Catastrófico"),CONCATENATE("R",'Mapa final'!#REF!),"")</f>
        <v>#REF!</v>
      </c>
      <c r="AK40" s="252"/>
      <c r="AL40" s="252" t="e">
        <f>IF(AND('Mapa final'!#REF!="Muy Baja",'Mapa final'!#REF!="Catastrófico"),CONCATENATE("R",'Mapa final'!#REF!),"")</f>
        <v>#REF!</v>
      </c>
      <c r="AM40" s="253"/>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80"/>
      <c r="C41" s="280"/>
      <c r="D41" s="281"/>
      <c r="E41" s="273"/>
      <c r="F41" s="274"/>
      <c r="G41" s="274"/>
      <c r="H41" s="274"/>
      <c r="I41" s="275"/>
      <c r="J41" s="233"/>
      <c r="K41" s="234"/>
      <c r="L41" s="234"/>
      <c r="M41" s="234"/>
      <c r="N41" s="234"/>
      <c r="O41" s="235"/>
      <c r="P41" s="233"/>
      <c r="Q41" s="234"/>
      <c r="R41" s="234"/>
      <c r="S41" s="234"/>
      <c r="T41" s="234"/>
      <c r="U41" s="235"/>
      <c r="V41" s="242"/>
      <c r="W41" s="243"/>
      <c r="X41" s="243"/>
      <c r="Y41" s="243"/>
      <c r="Z41" s="243"/>
      <c r="AA41" s="244"/>
      <c r="AB41" s="260"/>
      <c r="AC41" s="261"/>
      <c r="AD41" s="261"/>
      <c r="AE41" s="261"/>
      <c r="AF41" s="261"/>
      <c r="AG41" s="262"/>
      <c r="AH41" s="251"/>
      <c r="AI41" s="252"/>
      <c r="AJ41" s="252"/>
      <c r="AK41" s="252"/>
      <c r="AL41" s="252"/>
      <c r="AM41" s="253"/>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80"/>
      <c r="C42" s="280"/>
      <c r="D42" s="281"/>
      <c r="E42" s="273"/>
      <c r="F42" s="274"/>
      <c r="G42" s="274"/>
      <c r="H42" s="274"/>
      <c r="I42" s="275"/>
      <c r="J42" s="233" t="e">
        <f>IF(AND('Mapa final'!#REF!="Muy Baja",'Mapa final'!#REF!="Leve"),CONCATENATE("R",'Mapa final'!#REF!),"")</f>
        <v>#REF!</v>
      </c>
      <c r="K42" s="234"/>
      <c r="L42" s="234" t="e">
        <f>IF(AND('Mapa final'!#REF!="Muy Baja",'Mapa final'!#REF!="Leve"),CONCATENATE("R",'Mapa final'!#REF!),"")</f>
        <v>#REF!</v>
      </c>
      <c r="M42" s="234"/>
      <c r="N42" s="234" t="e">
        <f>IF(AND('Mapa final'!#REF!="Muy Baja",'Mapa final'!#REF!="Leve"),CONCATENATE("R",'Mapa final'!#REF!),"")</f>
        <v>#REF!</v>
      </c>
      <c r="O42" s="235"/>
      <c r="P42" s="233" t="e">
        <f>IF(AND('Mapa final'!#REF!="Muy Baja",'Mapa final'!#REF!="Menor"),CONCATENATE("R",'Mapa final'!#REF!),"")</f>
        <v>#REF!</v>
      </c>
      <c r="Q42" s="234"/>
      <c r="R42" s="234" t="e">
        <f>IF(AND('Mapa final'!#REF!="Muy Baja",'Mapa final'!#REF!="Menor"),CONCATENATE("R",'Mapa final'!#REF!),"")</f>
        <v>#REF!</v>
      </c>
      <c r="S42" s="234"/>
      <c r="T42" s="234" t="e">
        <f>IF(AND('Mapa final'!#REF!="Muy Baja",'Mapa final'!#REF!="Menor"),CONCATENATE("R",'Mapa final'!#REF!),"")</f>
        <v>#REF!</v>
      </c>
      <c r="U42" s="235"/>
      <c r="V42" s="242" t="e">
        <f>IF(AND('Mapa final'!#REF!="Muy Baja",'Mapa final'!#REF!="Moderado"),CONCATENATE("R",'Mapa final'!#REF!),"")</f>
        <v>#REF!</v>
      </c>
      <c r="W42" s="243"/>
      <c r="X42" s="243" t="e">
        <f>IF(AND('Mapa final'!#REF!="Muy Baja",'Mapa final'!#REF!="Moderado"),CONCATENATE("R",'Mapa final'!#REF!),"")</f>
        <v>#REF!</v>
      </c>
      <c r="Y42" s="243"/>
      <c r="Z42" s="243" t="e">
        <f>IF(AND('Mapa final'!#REF!="Muy Baja",'Mapa final'!#REF!="Moderado"),CONCATENATE("R",'Mapa final'!#REF!),"")</f>
        <v>#REF!</v>
      </c>
      <c r="AA42" s="244"/>
      <c r="AB42" s="260" t="e">
        <f>IF(AND('Mapa final'!#REF!="Muy Baja",'Mapa final'!#REF!="Mayor"),CONCATENATE("R",'Mapa final'!#REF!),"")</f>
        <v>#REF!</v>
      </c>
      <c r="AC42" s="261"/>
      <c r="AD42" s="261" t="e">
        <f>IF(AND('Mapa final'!#REF!="Muy Baja",'Mapa final'!#REF!="Mayor"),CONCATENATE("R",'Mapa final'!#REF!),"")</f>
        <v>#REF!</v>
      </c>
      <c r="AE42" s="261"/>
      <c r="AF42" s="261" t="e">
        <f>IF(AND('Mapa final'!#REF!="Muy Baja",'Mapa final'!#REF!="Mayor"),CONCATENATE("R",'Mapa final'!#REF!),"")</f>
        <v>#REF!</v>
      </c>
      <c r="AG42" s="262"/>
      <c r="AH42" s="251" t="e">
        <f>IF(AND('Mapa final'!#REF!="Muy Baja",'Mapa final'!#REF!="Catastrófico"),CONCATENATE("R",'Mapa final'!#REF!),"")</f>
        <v>#REF!</v>
      </c>
      <c r="AI42" s="252"/>
      <c r="AJ42" s="252" t="e">
        <f>IF(AND('Mapa final'!#REF!="Muy Baja",'Mapa final'!#REF!="Catastrófico"),CONCATENATE("R",'Mapa final'!#REF!),"")</f>
        <v>#REF!</v>
      </c>
      <c r="AK42" s="252"/>
      <c r="AL42" s="252" t="e">
        <f>IF(AND('Mapa final'!#REF!="Muy Baja",'Mapa final'!#REF!="Catastrófico"),CONCATENATE("R",'Mapa final'!#REF!),"")</f>
        <v>#REF!</v>
      </c>
      <c r="AM42" s="253"/>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80"/>
      <c r="C43" s="280"/>
      <c r="D43" s="281"/>
      <c r="E43" s="273"/>
      <c r="F43" s="274"/>
      <c r="G43" s="274"/>
      <c r="H43" s="274"/>
      <c r="I43" s="275"/>
      <c r="J43" s="233"/>
      <c r="K43" s="234"/>
      <c r="L43" s="234"/>
      <c r="M43" s="234"/>
      <c r="N43" s="234"/>
      <c r="O43" s="235"/>
      <c r="P43" s="233"/>
      <c r="Q43" s="234"/>
      <c r="R43" s="234"/>
      <c r="S43" s="234"/>
      <c r="T43" s="234"/>
      <c r="U43" s="235"/>
      <c r="V43" s="242"/>
      <c r="W43" s="243"/>
      <c r="X43" s="243"/>
      <c r="Y43" s="243"/>
      <c r="Z43" s="243"/>
      <c r="AA43" s="244"/>
      <c r="AB43" s="260"/>
      <c r="AC43" s="261"/>
      <c r="AD43" s="261"/>
      <c r="AE43" s="261"/>
      <c r="AF43" s="261"/>
      <c r="AG43" s="262"/>
      <c r="AH43" s="251"/>
      <c r="AI43" s="252"/>
      <c r="AJ43" s="252"/>
      <c r="AK43" s="252"/>
      <c r="AL43" s="252"/>
      <c r="AM43" s="253"/>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80"/>
      <c r="C44" s="280"/>
      <c r="D44" s="281"/>
      <c r="E44" s="273"/>
      <c r="F44" s="274"/>
      <c r="G44" s="274"/>
      <c r="H44" s="274"/>
      <c r="I44" s="275"/>
      <c r="J44" s="233" t="e">
        <f>IF(AND('Mapa final'!#REF!="Muy Baja",'Mapa final'!#REF!="Leve"),CONCATENATE("R",'Mapa final'!#REF!),"")</f>
        <v>#REF!</v>
      </c>
      <c r="K44" s="234"/>
      <c r="L44" s="234" t="str">
        <f>IF(AND('Mapa final'!$L$16="Muy Baja",'Mapa final'!$P$16="Leve"),CONCATENATE("R",'Mapa final'!$A$16),"")</f>
        <v/>
      </c>
      <c r="M44" s="234"/>
      <c r="N44" s="234" t="str">
        <f>IF(AND('Mapa final'!$L$18="Muy Baja",'Mapa final'!$P$18="Leve"),CONCATENATE("R",'Mapa final'!$A$18),"")</f>
        <v/>
      </c>
      <c r="O44" s="235"/>
      <c r="P44" s="233" t="e">
        <f>IF(AND('Mapa final'!#REF!="Muy Baja",'Mapa final'!#REF!="Menor"),CONCATENATE("R",'Mapa final'!#REF!),"")</f>
        <v>#REF!</v>
      </c>
      <c r="Q44" s="234"/>
      <c r="R44" s="234" t="str">
        <f>IF(AND('Mapa final'!$L$16="Muy Baja",'Mapa final'!$P$16="Menor"),CONCATENATE("R",'Mapa final'!$A$16),"")</f>
        <v/>
      </c>
      <c r="S44" s="234"/>
      <c r="T44" s="234" t="str">
        <f>IF(AND('Mapa final'!$L$18="Muy Baja",'Mapa final'!$P$18="Menor"),CONCATENATE("R",'Mapa final'!$A$18),"")</f>
        <v/>
      </c>
      <c r="U44" s="235"/>
      <c r="V44" s="242" t="e">
        <f>IF(AND('Mapa final'!#REF!="Muy Baja",'Mapa final'!#REF!="Moderado"),CONCATENATE("R",'Mapa final'!#REF!),"")</f>
        <v>#REF!</v>
      </c>
      <c r="W44" s="243"/>
      <c r="X44" s="243" t="str">
        <f>IF(AND('Mapa final'!$L$16="Muy Baja",'Mapa final'!$P$16="Moderado"),CONCATENATE("R",'Mapa final'!$A$16),"")</f>
        <v/>
      </c>
      <c r="Y44" s="243"/>
      <c r="Z44" s="243" t="str">
        <f>IF(AND('Mapa final'!$L$18="Muy Baja",'Mapa final'!$P$18="Moderado"),CONCATENATE("R",'Mapa final'!$A$18),"")</f>
        <v/>
      </c>
      <c r="AA44" s="244"/>
      <c r="AB44" s="260" t="e">
        <f>IF(AND('Mapa final'!#REF!="Muy Baja",'Mapa final'!#REF!="Mayor"),CONCATENATE("R",'Mapa final'!#REF!),"")</f>
        <v>#REF!</v>
      </c>
      <c r="AC44" s="261"/>
      <c r="AD44" s="261" t="str">
        <f>IF(AND('Mapa final'!$L$16="Muy Baja",'Mapa final'!$P$16="Mayor"),CONCATENATE("R",'Mapa final'!$A$16),"")</f>
        <v/>
      </c>
      <c r="AE44" s="261"/>
      <c r="AF44" s="261" t="str">
        <f>IF(AND('Mapa final'!$L$18="Muy Baja",'Mapa final'!$P$18="Mayor"),CONCATENATE("R",'Mapa final'!$A$18),"")</f>
        <v/>
      </c>
      <c r="AG44" s="262"/>
      <c r="AH44" s="251" t="e">
        <f>IF(AND('Mapa final'!#REF!="Muy Baja",'Mapa final'!#REF!="Catastrófico"),CONCATENATE("R",'Mapa final'!#REF!),"")</f>
        <v>#REF!</v>
      </c>
      <c r="AI44" s="252"/>
      <c r="AJ44" s="252" t="str">
        <f>IF(AND('Mapa final'!$L$16="Muy Baja",'Mapa final'!$P$16="Catastrófico"),CONCATENATE("R",'Mapa final'!$A$16),"")</f>
        <v/>
      </c>
      <c r="AK44" s="252"/>
      <c r="AL44" s="252" t="str">
        <f>IF(AND('Mapa final'!$L$18="Muy Baja",'Mapa final'!$P$18="Catastrófico"),CONCATENATE("R",'Mapa final'!$A$18),"")</f>
        <v/>
      </c>
      <c r="AM44" s="253"/>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80"/>
      <c r="C45" s="280"/>
      <c r="D45" s="281"/>
      <c r="E45" s="276"/>
      <c r="F45" s="277"/>
      <c r="G45" s="277"/>
      <c r="H45" s="277"/>
      <c r="I45" s="278"/>
      <c r="J45" s="236"/>
      <c r="K45" s="237"/>
      <c r="L45" s="237"/>
      <c r="M45" s="237"/>
      <c r="N45" s="237"/>
      <c r="O45" s="238"/>
      <c r="P45" s="236"/>
      <c r="Q45" s="237"/>
      <c r="R45" s="237"/>
      <c r="S45" s="237"/>
      <c r="T45" s="237"/>
      <c r="U45" s="238"/>
      <c r="V45" s="245"/>
      <c r="W45" s="246"/>
      <c r="X45" s="246"/>
      <c r="Y45" s="246"/>
      <c r="Z45" s="246"/>
      <c r="AA45" s="247"/>
      <c r="AB45" s="263"/>
      <c r="AC45" s="264"/>
      <c r="AD45" s="264"/>
      <c r="AE45" s="264"/>
      <c r="AF45" s="264"/>
      <c r="AG45" s="265"/>
      <c r="AH45" s="254"/>
      <c r="AI45" s="255"/>
      <c r="AJ45" s="255"/>
      <c r="AK45" s="255"/>
      <c r="AL45" s="255"/>
      <c r="AM45" s="256"/>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70" t="s">
        <v>111</v>
      </c>
      <c r="K46" s="271"/>
      <c r="L46" s="271"/>
      <c r="M46" s="271"/>
      <c r="N46" s="271"/>
      <c r="O46" s="272"/>
      <c r="P46" s="270" t="s">
        <v>110</v>
      </c>
      <c r="Q46" s="271"/>
      <c r="R46" s="271"/>
      <c r="S46" s="271"/>
      <c r="T46" s="271"/>
      <c r="U46" s="272"/>
      <c r="V46" s="270" t="s">
        <v>109</v>
      </c>
      <c r="W46" s="271"/>
      <c r="X46" s="271"/>
      <c r="Y46" s="271"/>
      <c r="Z46" s="271"/>
      <c r="AA46" s="272"/>
      <c r="AB46" s="270" t="s">
        <v>108</v>
      </c>
      <c r="AC46" s="279"/>
      <c r="AD46" s="271"/>
      <c r="AE46" s="271"/>
      <c r="AF46" s="271"/>
      <c r="AG46" s="272"/>
      <c r="AH46" s="270" t="s">
        <v>107</v>
      </c>
      <c r="AI46" s="271"/>
      <c r="AJ46" s="271"/>
      <c r="AK46" s="271"/>
      <c r="AL46" s="271"/>
      <c r="AM46" s="272"/>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73"/>
      <c r="K47" s="274"/>
      <c r="L47" s="274"/>
      <c r="M47" s="274"/>
      <c r="N47" s="274"/>
      <c r="O47" s="275"/>
      <c r="P47" s="273"/>
      <c r="Q47" s="274"/>
      <c r="R47" s="274"/>
      <c r="S47" s="274"/>
      <c r="T47" s="274"/>
      <c r="U47" s="275"/>
      <c r="V47" s="273"/>
      <c r="W47" s="274"/>
      <c r="X47" s="274"/>
      <c r="Y47" s="274"/>
      <c r="Z47" s="274"/>
      <c r="AA47" s="275"/>
      <c r="AB47" s="273"/>
      <c r="AC47" s="274"/>
      <c r="AD47" s="274"/>
      <c r="AE47" s="274"/>
      <c r="AF47" s="274"/>
      <c r="AG47" s="275"/>
      <c r="AH47" s="273"/>
      <c r="AI47" s="274"/>
      <c r="AJ47" s="274"/>
      <c r="AK47" s="274"/>
      <c r="AL47" s="274"/>
      <c r="AM47" s="2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73"/>
      <c r="K48" s="274"/>
      <c r="L48" s="274"/>
      <c r="M48" s="274"/>
      <c r="N48" s="274"/>
      <c r="O48" s="275"/>
      <c r="P48" s="273"/>
      <c r="Q48" s="274"/>
      <c r="R48" s="274"/>
      <c r="S48" s="274"/>
      <c r="T48" s="274"/>
      <c r="U48" s="275"/>
      <c r="V48" s="273"/>
      <c r="W48" s="274"/>
      <c r="X48" s="274"/>
      <c r="Y48" s="274"/>
      <c r="Z48" s="274"/>
      <c r="AA48" s="275"/>
      <c r="AB48" s="273"/>
      <c r="AC48" s="274"/>
      <c r="AD48" s="274"/>
      <c r="AE48" s="274"/>
      <c r="AF48" s="274"/>
      <c r="AG48" s="275"/>
      <c r="AH48" s="273"/>
      <c r="AI48" s="274"/>
      <c r="AJ48" s="274"/>
      <c r="AK48" s="274"/>
      <c r="AL48" s="274"/>
      <c r="AM48" s="2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73"/>
      <c r="K49" s="274"/>
      <c r="L49" s="274"/>
      <c r="M49" s="274"/>
      <c r="N49" s="274"/>
      <c r="O49" s="275"/>
      <c r="P49" s="273"/>
      <c r="Q49" s="274"/>
      <c r="R49" s="274"/>
      <c r="S49" s="274"/>
      <c r="T49" s="274"/>
      <c r="U49" s="275"/>
      <c r="V49" s="273"/>
      <c r="W49" s="274"/>
      <c r="X49" s="274"/>
      <c r="Y49" s="274"/>
      <c r="Z49" s="274"/>
      <c r="AA49" s="275"/>
      <c r="AB49" s="273"/>
      <c r="AC49" s="274"/>
      <c r="AD49" s="274"/>
      <c r="AE49" s="274"/>
      <c r="AF49" s="274"/>
      <c r="AG49" s="275"/>
      <c r="AH49" s="273"/>
      <c r="AI49" s="274"/>
      <c r="AJ49" s="274"/>
      <c r="AK49" s="274"/>
      <c r="AL49" s="274"/>
      <c r="AM49" s="2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73"/>
      <c r="K50" s="274"/>
      <c r="L50" s="274"/>
      <c r="M50" s="274"/>
      <c r="N50" s="274"/>
      <c r="O50" s="275"/>
      <c r="P50" s="273"/>
      <c r="Q50" s="274"/>
      <c r="R50" s="274"/>
      <c r="S50" s="274"/>
      <c r="T50" s="274"/>
      <c r="U50" s="275"/>
      <c r="V50" s="273"/>
      <c r="W50" s="274"/>
      <c r="X50" s="274"/>
      <c r="Y50" s="274"/>
      <c r="Z50" s="274"/>
      <c r="AA50" s="275"/>
      <c r="AB50" s="273"/>
      <c r="AC50" s="274"/>
      <c r="AD50" s="274"/>
      <c r="AE50" s="274"/>
      <c r="AF50" s="274"/>
      <c r="AG50" s="275"/>
      <c r="AH50" s="273"/>
      <c r="AI50" s="274"/>
      <c r="AJ50" s="274"/>
      <c r="AK50" s="274"/>
      <c r="AL50" s="274"/>
      <c r="AM50" s="2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76"/>
      <c r="K51" s="277"/>
      <c r="L51" s="277"/>
      <c r="M51" s="277"/>
      <c r="N51" s="277"/>
      <c r="O51" s="278"/>
      <c r="P51" s="276"/>
      <c r="Q51" s="277"/>
      <c r="R51" s="277"/>
      <c r="S51" s="277"/>
      <c r="T51" s="277"/>
      <c r="U51" s="278"/>
      <c r="V51" s="276"/>
      <c r="W51" s="277"/>
      <c r="X51" s="277"/>
      <c r="Y51" s="277"/>
      <c r="Z51" s="277"/>
      <c r="AA51" s="278"/>
      <c r="AB51" s="276"/>
      <c r="AC51" s="277"/>
      <c r="AD51" s="277"/>
      <c r="AE51" s="277"/>
      <c r="AF51" s="277"/>
      <c r="AG51" s="278"/>
      <c r="AH51" s="276"/>
      <c r="AI51" s="277"/>
      <c r="AJ51" s="277"/>
      <c r="AK51" s="277"/>
      <c r="AL51" s="277"/>
      <c r="AM51" s="278"/>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47" t="s">
        <v>157</v>
      </c>
      <c r="C2" s="348"/>
      <c r="D2" s="348"/>
      <c r="E2" s="348"/>
      <c r="F2" s="348"/>
      <c r="G2" s="348"/>
      <c r="H2" s="348"/>
      <c r="I2" s="348"/>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48"/>
      <c r="C3" s="348"/>
      <c r="D3" s="348"/>
      <c r="E3" s="348"/>
      <c r="F3" s="348"/>
      <c r="G3" s="348"/>
      <c r="H3" s="348"/>
      <c r="I3" s="348"/>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48"/>
      <c r="C4" s="348"/>
      <c r="D4" s="348"/>
      <c r="E4" s="348"/>
      <c r="F4" s="348"/>
      <c r="G4" s="348"/>
      <c r="H4" s="348"/>
      <c r="I4" s="348"/>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80" t="s">
        <v>4</v>
      </c>
      <c r="C6" s="280"/>
      <c r="D6" s="281"/>
      <c r="E6" s="318" t="s">
        <v>115</v>
      </c>
      <c r="F6" s="319"/>
      <c r="G6" s="319"/>
      <c r="H6" s="319"/>
      <c r="I6" s="320"/>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38" t="s">
        <v>78</v>
      </c>
      <c r="AP6" s="339"/>
      <c r="AQ6" s="339"/>
      <c r="AR6" s="339"/>
      <c r="AS6" s="339"/>
      <c r="AT6" s="340"/>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80"/>
      <c r="C7" s="280"/>
      <c r="D7" s="281"/>
      <c r="E7" s="321"/>
      <c r="F7" s="322"/>
      <c r="G7" s="322"/>
      <c r="H7" s="322"/>
      <c r="I7" s="323"/>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41"/>
      <c r="AP7" s="342"/>
      <c r="AQ7" s="342"/>
      <c r="AR7" s="342"/>
      <c r="AS7" s="342"/>
      <c r="AT7" s="343"/>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80"/>
      <c r="C8" s="280"/>
      <c r="D8" s="281"/>
      <c r="E8" s="321"/>
      <c r="F8" s="322"/>
      <c r="G8" s="322"/>
      <c r="H8" s="322"/>
      <c r="I8" s="323"/>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41"/>
      <c r="AP8" s="342"/>
      <c r="AQ8" s="342"/>
      <c r="AR8" s="342"/>
      <c r="AS8" s="342"/>
      <c r="AT8" s="343"/>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80"/>
      <c r="C9" s="280"/>
      <c r="D9" s="281"/>
      <c r="E9" s="321"/>
      <c r="F9" s="322"/>
      <c r="G9" s="322"/>
      <c r="H9" s="322"/>
      <c r="I9" s="323"/>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41"/>
      <c r="AP9" s="342"/>
      <c r="AQ9" s="342"/>
      <c r="AR9" s="342"/>
      <c r="AS9" s="342"/>
      <c r="AT9" s="343"/>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80"/>
      <c r="C10" s="280"/>
      <c r="D10" s="281"/>
      <c r="E10" s="321"/>
      <c r="F10" s="322"/>
      <c r="G10" s="322"/>
      <c r="H10" s="322"/>
      <c r="I10" s="323"/>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41"/>
      <c r="AP10" s="342"/>
      <c r="AQ10" s="342"/>
      <c r="AR10" s="342"/>
      <c r="AS10" s="342"/>
      <c r="AT10" s="343"/>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80"/>
      <c r="C11" s="280"/>
      <c r="D11" s="281"/>
      <c r="E11" s="321"/>
      <c r="F11" s="322"/>
      <c r="G11" s="322"/>
      <c r="H11" s="322"/>
      <c r="I11" s="323"/>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41"/>
      <c r="AP11" s="342"/>
      <c r="AQ11" s="342"/>
      <c r="AR11" s="342"/>
      <c r="AS11" s="342"/>
      <c r="AT11" s="343"/>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80"/>
      <c r="C12" s="280"/>
      <c r="D12" s="281"/>
      <c r="E12" s="321"/>
      <c r="F12" s="322"/>
      <c r="G12" s="322"/>
      <c r="H12" s="322"/>
      <c r="I12" s="323"/>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41"/>
      <c r="AP12" s="342"/>
      <c r="AQ12" s="342"/>
      <c r="AR12" s="342"/>
      <c r="AS12" s="342"/>
      <c r="AT12" s="343"/>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80"/>
      <c r="C13" s="280"/>
      <c r="D13" s="281"/>
      <c r="E13" s="321"/>
      <c r="F13" s="322"/>
      <c r="G13" s="322"/>
      <c r="H13" s="322"/>
      <c r="I13" s="323"/>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41"/>
      <c r="AP13" s="342"/>
      <c r="AQ13" s="342"/>
      <c r="AR13" s="342"/>
      <c r="AS13" s="342"/>
      <c r="AT13" s="343"/>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80"/>
      <c r="C14" s="280"/>
      <c r="D14" s="281"/>
      <c r="E14" s="321"/>
      <c r="F14" s="322"/>
      <c r="G14" s="322"/>
      <c r="H14" s="322"/>
      <c r="I14" s="323"/>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41"/>
      <c r="AP14" s="342"/>
      <c r="AQ14" s="342"/>
      <c r="AR14" s="342"/>
      <c r="AS14" s="342"/>
      <c r="AT14" s="34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80"/>
      <c r="C15" s="280"/>
      <c r="D15" s="281"/>
      <c r="E15" s="324"/>
      <c r="F15" s="325"/>
      <c r="G15" s="325"/>
      <c r="H15" s="325"/>
      <c r="I15" s="326"/>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44"/>
      <c r="AP15" s="345"/>
      <c r="AQ15" s="345"/>
      <c r="AR15" s="345"/>
      <c r="AS15" s="345"/>
      <c r="AT15" s="34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80"/>
      <c r="C16" s="280"/>
      <c r="D16" s="281"/>
      <c r="E16" s="318" t="s">
        <v>114</v>
      </c>
      <c r="F16" s="319"/>
      <c r="G16" s="319"/>
      <c r="H16" s="319"/>
      <c r="I16" s="319"/>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28" t="s">
        <v>79</v>
      </c>
      <c r="AP16" s="329"/>
      <c r="AQ16" s="329"/>
      <c r="AR16" s="329"/>
      <c r="AS16" s="329"/>
      <c r="AT16" s="330"/>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80"/>
      <c r="C17" s="280"/>
      <c r="D17" s="281"/>
      <c r="E17" s="337"/>
      <c r="F17" s="322"/>
      <c r="G17" s="322"/>
      <c r="H17" s="322"/>
      <c r="I17" s="322"/>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31"/>
      <c r="AP17" s="332"/>
      <c r="AQ17" s="332"/>
      <c r="AR17" s="332"/>
      <c r="AS17" s="332"/>
      <c r="AT17" s="333"/>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80"/>
      <c r="C18" s="280"/>
      <c r="D18" s="281"/>
      <c r="E18" s="321"/>
      <c r="F18" s="322"/>
      <c r="G18" s="322"/>
      <c r="H18" s="322"/>
      <c r="I18" s="322"/>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31"/>
      <c r="AP18" s="332"/>
      <c r="AQ18" s="332"/>
      <c r="AR18" s="332"/>
      <c r="AS18" s="332"/>
      <c r="AT18" s="333"/>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80"/>
      <c r="C19" s="280"/>
      <c r="D19" s="281"/>
      <c r="E19" s="321"/>
      <c r="F19" s="322"/>
      <c r="G19" s="322"/>
      <c r="H19" s="322"/>
      <c r="I19" s="322"/>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31"/>
      <c r="AP19" s="332"/>
      <c r="AQ19" s="332"/>
      <c r="AR19" s="332"/>
      <c r="AS19" s="332"/>
      <c r="AT19" s="333"/>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80"/>
      <c r="C20" s="280"/>
      <c r="D20" s="281"/>
      <c r="E20" s="321"/>
      <c r="F20" s="322"/>
      <c r="G20" s="322"/>
      <c r="H20" s="322"/>
      <c r="I20" s="322"/>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31"/>
      <c r="AP20" s="332"/>
      <c r="AQ20" s="332"/>
      <c r="AR20" s="332"/>
      <c r="AS20" s="332"/>
      <c r="AT20" s="333"/>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80"/>
      <c r="C21" s="280"/>
      <c r="D21" s="281"/>
      <c r="E21" s="321"/>
      <c r="F21" s="322"/>
      <c r="G21" s="322"/>
      <c r="H21" s="322"/>
      <c r="I21" s="322"/>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31"/>
      <c r="AP21" s="332"/>
      <c r="AQ21" s="332"/>
      <c r="AR21" s="332"/>
      <c r="AS21" s="332"/>
      <c r="AT21" s="333"/>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80"/>
      <c r="C22" s="280"/>
      <c r="D22" s="281"/>
      <c r="E22" s="321"/>
      <c r="F22" s="322"/>
      <c r="G22" s="322"/>
      <c r="H22" s="322"/>
      <c r="I22" s="322"/>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31"/>
      <c r="AP22" s="332"/>
      <c r="AQ22" s="332"/>
      <c r="AR22" s="332"/>
      <c r="AS22" s="332"/>
      <c r="AT22" s="333"/>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80"/>
      <c r="C23" s="280"/>
      <c r="D23" s="281"/>
      <c r="E23" s="321"/>
      <c r="F23" s="322"/>
      <c r="G23" s="322"/>
      <c r="H23" s="322"/>
      <c r="I23" s="322"/>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31"/>
      <c r="AP23" s="332"/>
      <c r="AQ23" s="332"/>
      <c r="AR23" s="332"/>
      <c r="AS23" s="332"/>
      <c r="AT23" s="333"/>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80"/>
      <c r="C24" s="280"/>
      <c r="D24" s="281"/>
      <c r="E24" s="321"/>
      <c r="F24" s="322"/>
      <c r="G24" s="322"/>
      <c r="H24" s="322"/>
      <c r="I24" s="322"/>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31"/>
      <c r="AP24" s="332"/>
      <c r="AQ24" s="332"/>
      <c r="AR24" s="332"/>
      <c r="AS24" s="332"/>
      <c r="AT24" s="333"/>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80"/>
      <c r="C25" s="280"/>
      <c r="D25" s="281"/>
      <c r="E25" s="324"/>
      <c r="F25" s="325"/>
      <c r="G25" s="325"/>
      <c r="H25" s="325"/>
      <c r="I25" s="325"/>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34"/>
      <c r="AP25" s="335"/>
      <c r="AQ25" s="335"/>
      <c r="AR25" s="335"/>
      <c r="AS25" s="335"/>
      <c r="AT25" s="336"/>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80"/>
      <c r="C26" s="280"/>
      <c r="D26" s="281"/>
      <c r="E26" s="318" t="s">
        <v>116</v>
      </c>
      <c r="F26" s="319"/>
      <c r="G26" s="319"/>
      <c r="H26" s="319"/>
      <c r="I26" s="320"/>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58" t="s">
        <v>80</v>
      </c>
      <c r="AP26" s="359"/>
      <c r="AQ26" s="359"/>
      <c r="AR26" s="359"/>
      <c r="AS26" s="359"/>
      <c r="AT26" s="360"/>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80"/>
      <c r="C27" s="280"/>
      <c r="D27" s="281"/>
      <c r="E27" s="337"/>
      <c r="F27" s="322"/>
      <c r="G27" s="322"/>
      <c r="H27" s="322"/>
      <c r="I27" s="323"/>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61"/>
      <c r="AP27" s="362"/>
      <c r="AQ27" s="362"/>
      <c r="AR27" s="362"/>
      <c r="AS27" s="362"/>
      <c r="AT27" s="363"/>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80"/>
      <c r="C28" s="280"/>
      <c r="D28" s="281"/>
      <c r="E28" s="321"/>
      <c r="F28" s="322"/>
      <c r="G28" s="322"/>
      <c r="H28" s="322"/>
      <c r="I28" s="323"/>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61"/>
      <c r="AP28" s="362"/>
      <c r="AQ28" s="362"/>
      <c r="AR28" s="362"/>
      <c r="AS28" s="362"/>
      <c r="AT28" s="363"/>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80"/>
      <c r="C29" s="280"/>
      <c r="D29" s="281"/>
      <c r="E29" s="321"/>
      <c r="F29" s="322"/>
      <c r="G29" s="322"/>
      <c r="H29" s="322"/>
      <c r="I29" s="323"/>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61"/>
      <c r="AP29" s="362"/>
      <c r="AQ29" s="362"/>
      <c r="AR29" s="362"/>
      <c r="AS29" s="362"/>
      <c r="AT29" s="363"/>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80"/>
      <c r="C30" s="280"/>
      <c r="D30" s="281"/>
      <c r="E30" s="321"/>
      <c r="F30" s="322"/>
      <c r="G30" s="322"/>
      <c r="H30" s="322"/>
      <c r="I30" s="323"/>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61"/>
      <c r="AP30" s="362"/>
      <c r="AQ30" s="362"/>
      <c r="AR30" s="362"/>
      <c r="AS30" s="362"/>
      <c r="AT30" s="363"/>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80"/>
      <c r="C31" s="280"/>
      <c r="D31" s="281"/>
      <c r="E31" s="321"/>
      <c r="F31" s="322"/>
      <c r="G31" s="322"/>
      <c r="H31" s="322"/>
      <c r="I31" s="323"/>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61"/>
      <c r="AP31" s="362"/>
      <c r="AQ31" s="362"/>
      <c r="AR31" s="362"/>
      <c r="AS31" s="362"/>
      <c r="AT31" s="363"/>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80"/>
      <c r="C32" s="280"/>
      <c r="D32" s="281"/>
      <c r="E32" s="321"/>
      <c r="F32" s="322"/>
      <c r="G32" s="322"/>
      <c r="H32" s="322"/>
      <c r="I32" s="323"/>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61"/>
      <c r="AP32" s="362"/>
      <c r="AQ32" s="362"/>
      <c r="AR32" s="362"/>
      <c r="AS32" s="362"/>
      <c r="AT32" s="363"/>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80"/>
      <c r="C33" s="280"/>
      <c r="D33" s="281"/>
      <c r="E33" s="321"/>
      <c r="F33" s="322"/>
      <c r="G33" s="322"/>
      <c r="H33" s="322"/>
      <c r="I33" s="323"/>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61"/>
      <c r="AP33" s="362"/>
      <c r="AQ33" s="362"/>
      <c r="AR33" s="362"/>
      <c r="AS33" s="362"/>
      <c r="AT33" s="363"/>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80"/>
      <c r="C34" s="280"/>
      <c r="D34" s="281"/>
      <c r="E34" s="321"/>
      <c r="F34" s="322"/>
      <c r="G34" s="322"/>
      <c r="H34" s="322"/>
      <c r="I34" s="323"/>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61"/>
      <c r="AP34" s="362"/>
      <c r="AQ34" s="362"/>
      <c r="AR34" s="362"/>
      <c r="AS34" s="362"/>
      <c r="AT34" s="363"/>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80"/>
      <c r="C35" s="280"/>
      <c r="D35" s="281"/>
      <c r="E35" s="324"/>
      <c r="F35" s="325"/>
      <c r="G35" s="325"/>
      <c r="H35" s="325"/>
      <c r="I35" s="326"/>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64"/>
      <c r="AP35" s="365"/>
      <c r="AQ35" s="365"/>
      <c r="AR35" s="365"/>
      <c r="AS35" s="365"/>
      <c r="AT35" s="366"/>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80"/>
      <c r="C36" s="280"/>
      <c r="D36" s="281"/>
      <c r="E36" s="318" t="s">
        <v>113</v>
      </c>
      <c r="F36" s="319"/>
      <c r="G36" s="319"/>
      <c r="H36" s="319"/>
      <c r="I36" s="319"/>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49" t="s">
        <v>81</v>
      </c>
      <c r="AP36" s="350"/>
      <c r="AQ36" s="350"/>
      <c r="AR36" s="350"/>
      <c r="AS36" s="350"/>
      <c r="AT36" s="351"/>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80"/>
      <c r="C37" s="280"/>
      <c r="D37" s="281"/>
      <c r="E37" s="337"/>
      <c r="F37" s="322"/>
      <c r="G37" s="322"/>
      <c r="H37" s="322"/>
      <c r="I37" s="322"/>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final'!$AD$12="Baja",'Mapa final'!$AF$12="Menor"),CONCATENATE("R2C",'Mapa final'!$S$12),"")</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
      </c>
      <c r="W37" s="60" t="str">
        <f>IF(AND('Mapa final'!$AD$12="Baja",'Mapa final'!$AF$12="Moderado"),CONCATENATE("R2C",'Mapa final'!$S$12),"")</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52"/>
      <c r="AP37" s="353"/>
      <c r="AQ37" s="353"/>
      <c r="AR37" s="353"/>
      <c r="AS37" s="353"/>
      <c r="AT37" s="354"/>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80"/>
      <c r="C38" s="280"/>
      <c r="D38" s="281"/>
      <c r="E38" s="321"/>
      <c r="F38" s="322"/>
      <c r="G38" s="322"/>
      <c r="H38" s="322"/>
      <c r="I38" s="322"/>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52"/>
      <c r="AP38" s="353"/>
      <c r="AQ38" s="353"/>
      <c r="AR38" s="353"/>
      <c r="AS38" s="353"/>
      <c r="AT38" s="354"/>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80"/>
      <c r="C39" s="280"/>
      <c r="D39" s="281"/>
      <c r="E39" s="321"/>
      <c r="F39" s="322"/>
      <c r="G39" s="322"/>
      <c r="H39" s="322"/>
      <c r="I39" s="322"/>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52"/>
      <c r="AP39" s="353"/>
      <c r="AQ39" s="353"/>
      <c r="AR39" s="353"/>
      <c r="AS39" s="353"/>
      <c r="AT39" s="354"/>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80"/>
      <c r="C40" s="280"/>
      <c r="D40" s="281"/>
      <c r="E40" s="321"/>
      <c r="F40" s="322"/>
      <c r="G40" s="322"/>
      <c r="H40" s="322"/>
      <c r="I40" s="322"/>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52"/>
      <c r="AP40" s="353"/>
      <c r="AQ40" s="353"/>
      <c r="AR40" s="353"/>
      <c r="AS40" s="353"/>
      <c r="AT40" s="354"/>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80"/>
      <c r="C41" s="280"/>
      <c r="D41" s="281"/>
      <c r="E41" s="321"/>
      <c r="F41" s="322"/>
      <c r="G41" s="322"/>
      <c r="H41" s="322"/>
      <c r="I41" s="322"/>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52"/>
      <c r="AP41" s="353"/>
      <c r="AQ41" s="353"/>
      <c r="AR41" s="353"/>
      <c r="AS41" s="353"/>
      <c r="AT41" s="354"/>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80"/>
      <c r="C42" s="280"/>
      <c r="D42" s="281"/>
      <c r="E42" s="321"/>
      <c r="F42" s="322"/>
      <c r="G42" s="322"/>
      <c r="H42" s="322"/>
      <c r="I42" s="322"/>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52"/>
      <c r="AP42" s="353"/>
      <c r="AQ42" s="353"/>
      <c r="AR42" s="353"/>
      <c r="AS42" s="353"/>
      <c r="AT42" s="354"/>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80"/>
      <c r="C43" s="280"/>
      <c r="D43" s="281"/>
      <c r="E43" s="321"/>
      <c r="F43" s="322"/>
      <c r="G43" s="322"/>
      <c r="H43" s="322"/>
      <c r="I43" s="322"/>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52"/>
      <c r="AP43" s="353"/>
      <c r="AQ43" s="353"/>
      <c r="AR43" s="353"/>
      <c r="AS43" s="353"/>
      <c r="AT43" s="354"/>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80"/>
      <c r="C44" s="280"/>
      <c r="D44" s="281"/>
      <c r="E44" s="321"/>
      <c r="F44" s="322"/>
      <c r="G44" s="322"/>
      <c r="H44" s="322"/>
      <c r="I44" s="322"/>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52"/>
      <c r="AP44" s="353"/>
      <c r="AQ44" s="353"/>
      <c r="AR44" s="353"/>
      <c r="AS44" s="353"/>
      <c r="AT44" s="354"/>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80"/>
      <c r="C45" s="280"/>
      <c r="D45" s="281"/>
      <c r="E45" s="324"/>
      <c r="F45" s="325"/>
      <c r="G45" s="325"/>
      <c r="H45" s="325"/>
      <c r="I45" s="325"/>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55"/>
      <c r="AP45" s="356"/>
      <c r="AQ45" s="356"/>
      <c r="AR45" s="356"/>
      <c r="AS45" s="356"/>
      <c r="AT45" s="357"/>
    </row>
    <row r="46" spans="1:80" ht="46.5" customHeight="1" x14ac:dyDescent="0.35">
      <c r="A46" s="75"/>
      <c r="B46" s="280"/>
      <c r="C46" s="280"/>
      <c r="D46" s="281"/>
      <c r="E46" s="318" t="s">
        <v>112</v>
      </c>
      <c r="F46" s="319"/>
      <c r="G46" s="319"/>
      <c r="H46" s="319"/>
      <c r="I46" s="320"/>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80"/>
      <c r="C47" s="280"/>
      <c r="D47" s="281"/>
      <c r="E47" s="337"/>
      <c r="F47" s="322"/>
      <c r="G47" s="322"/>
      <c r="H47" s="322"/>
      <c r="I47" s="323"/>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final'!$AD$12="Muy Baja",'Mapa final'!$AF$12="Moderado"),CONCATENATE("R2C",'Mapa final'!$S$12),"")</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R2C1</v>
      </c>
      <c r="AI47" s="48" t="str">
        <f>IF(AND('Mapa final'!$AD$12="Muy Baja",'Mapa final'!$AF$12="Catastrófico"),CONCATENATE("R2C",'Mapa final'!$S$12),"")</f>
        <v>R2C1</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80"/>
      <c r="C48" s="280"/>
      <c r="D48" s="281"/>
      <c r="E48" s="337"/>
      <c r="F48" s="322"/>
      <c r="G48" s="322"/>
      <c r="H48" s="322"/>
      <c r="I48" s="323"/>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80"/>
      <c r="C49" s="280"/>
      <c r="D49" s="281"/>
      <c r="E49" s="321"/>
      <c r="F49" s="322"/>
      <c r="G49" s="322"/>
      <c r="H49" s="322"/>
      <c r="I49" s="323"/>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80"/>
      <c r="C50" s="280"/>
      <c r="D50" s="281"/>
      <c r="E50" s="321"/>
      <c r="F50" s="322"/>
      <c r="G50" s="322"/>
      <c r="H50" s="322"/>
      <c r="I50" s="323"/>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80"/>
      <c r="C51" s="280"/>
      <c r="D51" s="281"/>
      <c r="E51" s="321"/>
      <c r="F51" s="322"/>
      <c r="G51" s="322"/>
      <c r="H51" s="322"/>
      <c r="I51" s="323"/>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80"/>
      <c r="C52" s="280"/>
      <c r="D52" s="281"/>
      <c r="E52" s="321"/>
      <c r="F52" s="322"/>
      <c r="G52" s="322"/>
      <c r="H52" s="322"/>
      <c r="I52" s="323"/>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80"/>
      <c r="C53" s="280"/>
      <c r="D53" s="281"/>
      <c r="E53" s="321"/>
      <c r="F53" s="322"/>
      <c r="G53" s="322"/>
      <c r="H53" s="322"/>
      <c r="I53" s="323"/>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80"/>
      <c r="C54" s="280"/>
      <c r="D54" s="281"/>
      <c r="E54" s="321"/>
      <c r="F54" s="322"/>
      <c r="G54" s="322"/>
      <c r="H54" s="322"/>
      <c r="I54" s="323"/>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80"/>
      <c r="C55" s="280"/>
      <c r="D55" s="281"/>
      <c r="E55" s="324"/>
      <c r="F55" s="325"/>
      <c r="G55" s="325"/>
      <c r="H55" s="325"/>
      <c r="I55" s="326"/>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18" t="s">
        <v>111</v>
      </c>
      <c r="K56" s="319"/>
      <c r="L56" s="319"/>
      <c r="M56" s="319"/>
      <c r="N56" s="319"/>
      <c r="O56" s="320"/>
      <c r="P56" s="318" t="s">
        <v>110</v>
      </c>
      <c r="Q56" s="319"/>
      <c r="R56" s="319"/>
      <c r="S56" s="319"/>
      <c r="T56" s="319"/>
      <c r="U56" s="320"/>
      <c r="V56" s="318" t="s">
        <v>109</v>
      </c>
      <c r="W56" s="319"/>
      <c r="X56" s="319"/>
      <c r="Y56" s="319"/>
      <c r="Z56" s="319"/>
      <c r="AA56" s="320"/>
      <c r="AB56" s="318" t="s">
        <v>108</v>
      </c>
      <c r="AC56" s="327"/>
      <c r="AD56" s="319"/>
      <c r="AE56" s="319"/>
      <c r="AF56" s="319"/>
      <c r="AG56" s="320"/>
      <c r="AH56" s="318" t="s">
        <v>107</v>
      </c>
      <c r="AI56" s="319"/>
      <c r="AJ56" s="319"/>
      <c r="AK56" s="319"/>
      <c r="AL56" s="319"/>
      <c r="AM56" s="320"/>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21"/>
      <c r="K57" s="322"/>
      <c r="L57" s="322"/>
      <c r="M57" s="322"/>
      <c r="N57" s="322"/>
      <c r="O57" s="323"/>
      <c r="P57" s="321"/>
      <c r="Q57" s="322"/>
      <c r="R57" s="322"/>
      <c r="S57" s="322"/>
      <c r="T57" s="322"/>
      <c r="U57" s="323"/>
      <c r="V57" s="321"/>
      <c r="W57" s="322"/>
      <c r="X57" s="322"/>
      <c r="Y57" s="322"/>
      <c r="Z57" s="322"/>
      <c r="AA57" s="323"/>
      <c r="AB57" s="321"/>
      <c r="AC57" s="322"/>
      <c r="AD57" s="322"/>
      <c r="AE57" s="322"/>
      <c r="AF57" s="322"/>
      <c r="AG57" s="323"/>
      <c r="AH57" s="321"/>
      <c r="AI57" s="322"/>
      <c r="AJ57" s="322"/>
      <c r="AK57" s="322"/>
      <c r="AL57" s="322"/>
      <c r="AM57" s="323"/>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21"/>
      <c r="K58" s="322"/>
      <c r="L58" s="322"/>
      <c r="M58" s="322"/>
      <c r="N58" s="322"/>
      <c r="O58" s="323"/>
      <c r="P58" s="321"/>
      <c r="Q58" s="322"/>
      <c r="R58" s="322"/>
      <c r="S58" s="322"/>
      <c r="T58" s="322"/>
      <c r="U58" s="323"/>
      <c r="V58" s="321"/>
      <c r="W58" s="322"/>
      <c r="X58" s="322"/>
      <c r="Y58" s="322"/>
      <c r="Z58" s="322"/>
      <c r="AA58" s="323"/>
      <c r="AB58" s="321"/>
      <c r="AC58" s="322"/>
      <c r="AD58" s="322"/>
      <c r="AE58" s="322"/>
      <c r="AF58" s="322"/>
      <c r="AG58" s="323"/>
      <c r="AH58" s="321"/>
      <c r="AI58" s="322"/>
      <c r="AJ58" s="322"/>
      <c r="AK58" s="322"/>
      <c r="AL58" s="322"/>
      <c r="AM58" s="323"/>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21"/>
      <c r="K59" s="322"/>
      <c r="L59" s="322"/>
      <c r="M59" s="322"/>
      <c r="N59" s="322"/>
      <c r="O59" s="323"/>
      <c r="P59" s="321"/>
      <c r="Q59" s="322"/>
      <c r="R59" s="322"/>
      <c r="S59" s="322"/>
      <c r="T59" s="322"/>
      <c r="U59" s="323"/>
      <c r="V59" s="321"/>
      <c r="W59" s="322"/>
      <c r="X59" s="322"/>
      <c r="Y59" s="322"/>
      <c r="Z59" s="322"/>
      <c r="AA59" s="323"/>
      <c r="AB59" s="321"/>
      <c r="AC59" s="322"/>
      <c r="AD59" s="322"/>
      <c r="AE59" s="322"/>
      <c r="AF59" s="322"/>
      <c r="AG59" s="323"/>
      <c r="AH59" s="321"/>
      <c r="AI59" s="322"/>
      <c r="AJ59" s="322"/>
      <c r="AK59" s="322"/>
      <c r="AL59" s="322"/>
      <c r="AM59" s="323"/>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21"/>
      <c r="K60" s="322"/>
      <c r="L60" s="322"/>
      <c r="M60" s="322"/>
      <c r="N60" s="322"/>
      <c r="O60" s="323"/>
      <c r="P60" s="321"/>
      <c r="Q60" s="322"/>
      <c r="R60" s="322"/>
      <c r="S60" s="322"/>
      <c r="T60" s="322"/>
      <c r="U60" s="323"/>
      <c r="V60" s="321"/>
      <c r="W60" s="322"/>
      <c r="X60" s="322"/>
      <c r="Y60" s="322"/>
      <c r="Z60" s="322"/>
      <c r="AA60" s="323"/>
      <c r="AB60" s="321"/>
      <c r="AC60" s="322"/>
      <c r="AD60" s="322"/>
      <c r="AE60" s="322"/>
      <c r="AF60" s="322"/>
      <c r="AG60" s="323"/>
      <c r="AH60" s="321"/>
      <c r="AI60" s="322"/>
      <c r="AJ60" s="322"/>
      <c r="AK60" s="322"/>
      <c r="AL60" s="322"/>
      <c r="AM60" s="323"/>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24"/>
      <c r="K61" s="325"/>
      <c r="L61" s="325"/>
      <c r="M61" s="325"/>
      <c r="N61" s="325"/>
      <c r="O61" s="326"/>
      <c r="P61" s="324"/>
      <c r="Q61" s="325"/>
      <c r="R61" s="325"/>
      <c r="S61" s="325"/>
      <c r="T61" s="325"/>
      <c r="U61" s="326"/>
      <c r="V61" s="324"/>
      <c r="W61" s="325"/>
      <c r="X61" s="325"/>
      <c r="Y61" s="325"/>
      <c r="Z61" s="325"/>
      <c r="AA61" s="326"/>
      <c r="AB61" s="324"/>
      <c r="AC61" s="325"/>
      <c r="AD61" s="325"/>
      <c r="AE61" s="325"/>
      <c r="AF61" s="325"/>
      <c r="AG61" s="326"/>
      <c r="AH61" s="324"/>
      <c r="AI61" s="325"/>
      <c r="AJ61" s="325"/>
      <c r="AK61" s="325"/>
      <c r="AL61" s="325"/>
      <c r="AM61" s="326"/>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67" t="s">
        <v>54</v>
      </c>
      <c r="C1" s="367"/>
      <c r="D1" s="367"/>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68" t="s">
        <v>62</v>
      </c>
      <c r="C1" s="368"/>
      <c r="D1" s="368"/>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69" t="s">
        <v>77</v>
      </c>
      <c r="C1" s="370"/>
      <c r="D1" s="370"/>
      <c r="E1" s="370"/>
      <c r="F1" s="371"/>
    </row>
    <row r="2" spans="2:6" ht="16.5" thickBot="1" x14ac:dyDescent="0.3">
      <c r="B2" s="81"/>
      <c r="C2" s="81"/>
      <c r="D2" s="81"/>
      <c r="E2" s="81"/>
      <c r="F2" s="81"/>
    </row>
    <row r="3" spans="2:6" ht="16.5" thickBot="1" x14ac:dyDescent="0.25">
      <c r="B3" s="373" t="s">
        <v>63</v>
      </c>
      <c r="C3" s="374"/>
      <c r="D3" s="374"/>
      <c r="E3" s="93" t="s">
        <v>64</v>
      </c>
      <c r="F3" s="94" t="s">
        <v>65</v>
      </c>
    </row>
    <row r="4" spans="2:6" ht="31.5" x14ac:dyDescent="0.2">
      <c r="B4" s="375" t="s">
        <v>66</v>
      </c>
      <c r="C4" s="377" t="s">
        <v>13</v>
      </c>
      <c r="D4" s="82" t="s">
        <v>14</v>
      </c>
      <c r="E4" s="83" t="s">
        <v>67</v>
      </c>
      <c r="F4" s="84">
        <v>0.25</v>
      </c>
    </row>
    <row r="5" spans="2:6" ht="47.25" x14ac:dyDescent="0.2">
      <c r="B5" s="376"/>
      <c r="C5" s="378"/>
      <c r="D5" s="85" t="s">
        <v>15</v>
      </c>
      <c r="E5" s="86" t="s">
        <v>68</v>
      </c>
      <c r="F5" s="87">
        <v>0.15</v>
      </c>
    </row>
    <row r="6" spans="2:6" ht="47.25" x14ac:dyDescent="0.2">
      <c r="B6" s="376"/>
      <c r="C6" s="378"/>
      <c r="D6" s="85" t="s">
        <v>16</v>
      </c>
      <c r="E6" s="86" t="s">
        <v>69</v>
      </c>
      <c r="F6" s="87">
        <v>0.1</v>
      </c>
    </row>
    <row r="7" spans="2:6" ht="63" x14ac:dyDescent="0.2">
      <c r="B7" s="376"/>
      <c r="C7" s="378" t="s">
        <v>17</v>
      </c>
      <c r="D7" s="85" t="s">
        <v>10</v>
      </c>
      <c r="E7" s="86" t="s">
        <v>70</v>
      </c>
      <c r="F7" s="87">
        <v>0.25</v>
      </c>
    </row>
    <row r="8" spans="2:6" ht="31.5" x14ac:dyDescent="0.2">
      <c r="B8" s="376"/>
      <c r="C8" s="378"/>
      <c r="D8" s="85" t="s">
        <v>9</v>
      </c>
      <c r="E8" s="86" t="s">
        <v>71</v>
      </c>
      <c r="F8" s="87">
        <v>0.15</v>
      </c>
    </row>
    <row r="9" spans="2:6" ht="47.25" x14ac:dyDescent="0.2">
      <c r="B9" s="376" t="s">
        <v>159</v>
      </c>
      <c r="C9" s="378" t="s">
        <v>18</v>
      </c>
      <c r="D9" s="85" t="s">
        <v>19</v>
      </c>
      <c r="E9" s="86" t="s">
        <v>72</v>
      </c>
      <c r="F9" s="88" t="s">
        <v>73</v>
      </c>
    </row>
    <row r="10" spans="2:6" ht="63" x14ac:dyDescent="0.2">
      <c r="B10" s="376"/>
      <c r="C10" s="378"/>
      <c r="D10" s="85" t="s">
        <v>20</v>
      </c>
      <c r="E10" s="86" t="s">
        <v>74</v>
      </c>
      <c r="F10" s="88" t="s">
        <v>73</v>
      </c>
    </row>
    <row r="11" spans="2:6" ht="47.25" x14ac:dyDescent="0.2">
      <c r="B11" s="376"/>
      <c r="C11" s="378" t="s">
        <v>21</v>
      </c>
      <c r="D11" s="85" t="s">
        <v>22</v>
      </c>
      <c r="E11" s="86" t="s">
        <v>75</v>
      </c>
      <c r="F11" s="88" t="s">
        <v>73</v>
      </c>
    </row>
    <row r="12" spans="2:6" ht="47.25" x14ac:dyDescent="0.2">
      <c r="B12" s="376"/>
      <c r="C12" s="378"/>
      <c r="D12" s="85" t="s">
        <v>23</v>
      </c>
      <c r="E12" s="86" t="s">
        <v>76</v>
      </c>
      <c r="F12" s="88" t="s">
        <v>73</v>
      </c>
    </row>
    <row r="13" spans="2:6" ht="31.5" x14ac:dyDescent="0.2">
      <c r="B13" s="376"/>
      <c r="C13" s="378" t="s">
        <v>24</v>
      </c>
      <c r="D13" s="85" t="s">
        <v>118</v>
      </c>
      <c r="E13" s="86" t="s">
        <v>121</v>
      </c>
      <c r="F13" s="88" t="s">
        <v>73</v>
      </c>
    </row>
    <row r="14" spans="2:6" ht="32.25" thickBot="1" x14ac:dyDescent="0.25">
      <c r="B14" s="379"/>
      <c r="C14" s="380"/>
      <c r="D14" s="89" t="s">
        <v>119</v>
      </c>
      <c r="E14" s="90" t="s">
        <v>120</v>
      </c>
      <c r="F14" s="91" t="s">
        <v>73</v>
      </c>
    </row>
    <row r="15" spans="2:6" ht="49.5" customHeight="1" x14ac:dyDescent="0.2">
      <c r="B15" s="372" t="s">
        <v>156</v>
      </c>
      <c r="C15" s="372"/>
      <c r="D15" s="372"/>
      <c r="E15" s="372"/>
      <c r="F15" s="372"/>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2024-01-31T16:39:21Z</dcterms:modified>
</cp:coreProperties>
</file>