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H:\CONTRATOS\ETITC\2025\Riesgos 2025\"/>
    </mc:Choice>
  </mc:AlternateContent>
  <xr:revisionPtr revIDLastSave="0" documentId="13_ncr:1_{09F6DAAC-4444-4896-B8E1-AF9F5EEC80C0}" xr6:coauthVersionLast="36" xr6:coauthVersionMax="36" xr10:uidLastSave="{00000000-0000-0000-0000-000000000000}"/>
  <bookViews>
    <workbookView showSheetTabs="0" xWindow="0" yWindow="0" windowWidth="3390" windowHeight="5385" tabRatio="882" activeTab="8"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7" r:id="rId24"/>
  </pivotCaches>
</workbook>
</file>

<file path=xl/calcChain.xml><?xml version="1.0" encoding="utf-8"?>
<calcChain xmlns="http://schemas.openxmlformats.org/spreadsheetml/2006/main">
  <c r="AI16" i="1" l="1"/>
  <c r="AI18" i="1"/>
  <c r="AI17" i="1"/>
  <c r="R16" i="1"/>
  <c r="R17" i="1"/>
  <c r="R18" i="1"/>
  <c r="Q16" i="1"/>
  <c r="Q17" i="1"/>
  <c r="Q21" i="1" l="1"/>
  <c r="R21" i="1" s="1"/>
  <c r="AA21" i="1"/>
  <c r="AM21" i="1" s="1"/>
  <c r="AL21" i="1" s="1"/>
  <c r="AD21" i="1"/>
  <c r="AI21" i="1"/>
  <c r="AJ21" i="1" s="1"/>
  <c r="Q22" i="1"/>
  <c r="R22" i="1" s="1"/>
  <c r="AA22" i="1"/>
  <c r="AM22" i="1" s="1"/>
  <c r="AL22" i="1" s="1"/>
  <c r="AD22" i="1"/>
  <c r="AI22" i="1"/>
  <c r="AJ22" i="1" s="1"/>
  <c r="AN21" i="1" l="1"/>
  <c r="AN22" i="1"/>
  <c r="AK22" i="1"/>
  <c r="AK21" i="1"/>
  <c r="L41" i="19" l="1"/>
  <c r="AI24" i="1" l="1"/>
  <c r="AI23" i="1"/>
  <c r="AI20" i="1"/>
  <c r="AI19" i="1"/>
  <c r="AA16" i="1" l="1"/>
  <c r="AD16" i="1"/>
  <c r="AA17" i="1"/>
  <c r="AD17" i="1"/>
  <c r="Q18" i="1"/>
  <c r="AA18" i="1"/>
  <c r="AD18" i="1"/>
  <c r="Q19" i="1"/>
  <c r="R19" i="1" s="1"/>
  <c r="AA19" i="1"/>
  <c r="AJ19" i="1" s="1"/>
  <c r="AD19" i="1"/>
  <c r="Q20" i="1"/>
  <c r="R20" i="1" s="1"/>
  <c r="AA20" i="1"/>
  <c r="AD20" i="1"/>
  <c r="Q23" i="1"/>
  <c r="R23" i="1" s="1"/>
  <c r="AA23" i="1"/>
  <c r="AD23" i="1"/>
  <c r="Q24" i="1"/>
  <c r="AA24" i="1"/>
  <c r="AM24" i="1" s="1"/>
  <c r="AL24" i="1" s="1"/>
  <c r="AD24" i="1"/>
  <c r="AD15" i="1"/>
  <c r="AA15" i="1"/>
  <c r="Q15" i="1"/>
  <c r="AJ23" i="1" l="1"/>
  <c r="AK23" i="1"/>
  <c r="AM23" i="1"/>
  <c r="AL23" i="1" s="1"/>
  <c r="AM19" i="1"/>
  <c r="AL19" i="1" s="1"/>
  <c r="AN19" i="1" s="1"/>
  <c r="AJ20" i="1"/>
  <c r="AK20" i="1"/>
  <c r="AM20" i="1"/>
  <c r="AL20" i="1" s="1"/>
  <c r="AK19" i="1"/>
  <c r="R24" i="1"/>
  <c r="R15" i="1"/>
  <c r="AI15" i="1" s="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49" i="18"/>
  <c r="N49" i="18"/>
  <c r="P49" i="18"/>
  <c r="R49" i="18"/>
  <c r="T49" i="18"/>
  <c r="V49" i="18"/>
  <c r="X49" i="18"/>
  <c r="Z49" i="18"/>
  <c r="AB49" i="18"/>
  <c r="AD49" i="18"/>
  <c r="AF49" i="18"/>
  <c r="AH49" i="18"/>
  <c r="AJ49" i="18"/>
  <c r="AL49" i="18"/>
  <c r="AN49" i="18"/>
  <c r="AN47" i="18"/>
  <c r="AH47" i="18"/>
  <c r="AB47" i="18"/>
  <c r="V47" i="18"/>
  <c r="P47" i="18"/>
  <c r="N47" i="18"/>
  <c r="N45" i="18"/>
  <c r="P45" i="18"/>
  <c r="P43" i="18"/>
  <c r="N43" i="18"/>
  <c r="L41" i="18"/>
  <c r="N41" i="18"/>
  <c r="P41" i="18"/>
  <c r="R41" i="18"/>
  <c r="T41" i="18"/>
  <c r="V41" i="18"/>
  <c r="X41" i="18"/>
  <c r="Z41" i="18"/>
  <c r="AB41" i="18"/>
  <c r="AD41" i="18"/>
  <c r="AF41" i="18"/>
  <c r="AH41" i="18"/>
  <c r="AJ41" i="18"/>
  <c r="AL41" i="18"/>
  <c r="AN41" i="18"/>
  <c r="AN39" i="18"/>
  <c r="AH39" i="18"/>
  <c r="AB39" i="18"/>
  <c r="V39" i="18"/>
  <c r="P39" i="18"/>
  <c r="N39" i="18"/>
  <c r="N37" i="18"/>
  <c r="P37" i="18"/>
  <c r="P35" i="18"/>
  <c r="N35" i="18"/>
  <c r="AN33" i="18"/>
  <c r="AL33" i="18"/>
  <c r="AJ33" i="18"/>
  <c r="AH33" i="18"/>
  <c r="AF33" i="18"/>
  <c r="AD33" i="18"/>
  <c r="AB33" i="18"/>
  <c r="Z33" i="18"/>
  <c r="X33" i="18"/>
  <c r="V33" i="18"/>
  <c r="T33" i="18"/>
  <c r="R33" i="18"/>
  <c r="P33" i="18"/>
  <c r="N33" i="18"/>
  <c r="L33" i="18"/>
  <c r="N31" i="18"/>
  <c r="P31" i="18"/>
  <c r="V31" i="18"/>
  <c r="AB31" i="18"/>
  <c r="AH31" i="18"/>
  <c r="AN31" i="18"/>
  <c r="P29" i="18"/>
  <c r="N29"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N23" i="1" l="1"/>
  <c r="AK17" i="1"/>
  <c r="AJ17" i="1"/>
  <c r="AN20" i="1"/>
  <c r="AJ18" i="1"/>
  <c r="AK18" i="1"/>
  <c r="AJ24" i="1"/>
  <c r="AN24" i="1" s="1"/>
  <c r="AK24" i="1"/>
  <c r="AK15" i="1"/>
  <c r="AJ15" i="1"/>
  <c r="AN13" i="18"/>
  <c r="AN29" i="18"/>
  <c r="AN37" i="18"/>
  <c r="AN21" i="18"/>
  <c r="AN45" i="18"/>
  <c r="AJ16" i="1" l="1"/>
  <c r="AK16" i="1"/>
  <c r="H10" i="27"/>
  <c r="G29" i="27" s="1"/>
  <c r="H9" i="27"/>
  <c r="H8" i="27"/>
  <c r="F29" i="27"/>
  <c r="E29" i="27"/>
  <c r="Q29" i="1" l="1"/>
  <c r="F221" i="13" l="1"/>
  <c r="F211" i="13"/>
  <c r="F212" i="13"/>
  <c r="F213" i="13"/>
  <c r="F214" i="13"/>
  <c r="F215" i="13"/>
  <c r="F216" i="13"/>
  <c r="F217" i="13"/>
  <c r="F218" i="13"/>
  <c r="F219" i="13"/>
  <c r="F220" i="13"/>
  <c r="F210" i="13"/>
  <c r="B221" i="13" a="1"/>
  <c r="B221" i="13" l="1"/>
  <c r="H210" i="13" l="1"/>
  <c r="B223" i="13" l="1"/>
  <c r="B222" i="13"/>
  <c r="AD53" i="19" l="1"/>
  <c r="X23" i="19"/>
  <c r="AJ13" i="19"/>
  <c r="X13" i="19"/>
  <c r="R43" i="19"/>
  <c r="R33" i="19"/>
  <c r="R53" i="19"/>
  <c r="R23" i="19"/>
  <c r="AD13" i="19"/>
  <c r="X53" i="19"/>
  <c r="AJ43" i="19"/>
  <c r="L43" i="19"/>
  <c r="L33" i="19"/>
  <c r="L53" i="19"/>
  <c r="AJ33" i="19"/>
  <c r="AJ23" i="19"/>
  <c r="L23" i="19"/>
  <c r="X33" i="19"/>
  <c r="AD43" i="19"/>
  <c r="AD33" i="19"/>
  <c r="AJ53" i="19"/>
  <c r="AD23" i="19"/>
  <c r="X43" i="19"/>
  <c r="R13" i="19"/>
  <c r="L13" i="19"/>
  <c r="AC53" i="19"/>
  <c r="W43" i="19"/>
  <c r="W33" i="19"/>
  <c r="W23" i="19"/>
  <c r="W53" i="19"/>
  <c r="AI13" i="19"/>
  <c r="Q43" i="19"/>
  <c r="Q33" i="19"/>
  <c r="K13" i="19"/>
  <c r="Q53" i="19"/>
  <c r="Q23" i="19"/>
  <c r="AC13" i="19"/>
  <c r="AI43" i="19"/>
  <c r="K43" i="19"/>
  <c r="K33" i="19"/>
  <c r="K23" i="19"/>
  <c r="K53" i="19"/>
  <c r="AI33" i="19"/>
  <c r="AI23" i="19"/>
  <c r="AC23" i="19"/>
  <c r="W13" i="19"/>
  <c r="AC43" i="19"/>
  <c r="AC33" i="19"/>
  <c r="Q13" i="19"/>
  <c r="AI53" i="19"/>
  <c r="P52" i="19"/>
  <c r="AH42" i="19"/>
  <c r="AH32" i="19"/>
  <c r="AB12" i="19"/>
  <c r="P12" i="19"/>
  <c r="AH52" i="19"/>
  <c r="P42" i="19"/>
  <c r="P32" i="19"/>
  <c r="AH22" i="19"/>
  <c r="P22" i="19"/>
  <c r="AN12" i="19"/>
  <c r="V22" i="19"/>
  <c r="AB52" i="19"/>
  <c r="AB42" i="19"/>
  <c r="AB32" i="19"/>
  <c r="AB22" i="19"/>
  <c r="AH12" i="19"/>
  <c r="V12" i="19"/>
  <c r="AN42" i="19"/>
  <c r="AN32" i="19"/>
  <c r="AN52" i="19"/>
  <c r="V52" i="19"/>
  <c r="V42" i="19"/>
  <c r="V32" i="19"/>
  <c r="AN22" i="19"/>
  <c r="U52" i="19"/>
  <c r="U22" i="19"/>
  <c r="O12" i="19"/>
  <c r="O52" i="19"/>
  <c r="AG42" i="19"/>
  <c r="AG32" i="19"/>
  <c r="AG52" i="19"/>
  <c r="O42" i="19"/>
  <c r="O32" i="19"/>
  <c r="AG22" i="19"/>
  <c r="U12" i="19"/>
  <c r="AM12" i="19"/>
  <c r="AA22" i="19"/>
  <c r="U32" i="19"/>
  <c r="O22" i="19"/>
  <c r="AA52" i="19"/>
  <c r="AA42" i="19"/>
  <c r="AA32" i="19"/>
  <c r="AG12" i="19"/>
  <c r="U42" i="19"/>
  <c r="AM42" i="19"/>
  <c r="AM32" i="19"/>
  <c r="AA12" i="19"/>
  <c r="AM52" i="19"/>
  <c r="AM22" i="19"/>
  <c r="T16" i="1" l="1"/>
  <c r="U16" i="1" s="1"/>
  <c r="AL35" i="18" s="1"/>
  <c r="T21" i="1"/>
  <c r="U21" i="1" s="1"/>
  <c r="T17" i="1"/>
  <c r="U17" i="1" s="1"/>
  <c r="AH27" i="18" s="1"/>
  <c r="T18" i="1"/>
  <c r="U18" i="1" s="1"/>
  <c r="AD29" i="18" s="1"/>
  <c r="T19" i="1"/>
  <c r="U19" i="1" s="1"/>
  <c r="T20" i="1"/>
  <c r="U20" i="1" s="1"/>
  <c r="T23" i="1"/>
  <c r="U23" i="1" s="1"/>
  <c r="T24" i="1"/>
  <c r="U24" i="1" s="1"/>
  <c r="T22" i="1"/>
  <c r="U22" i="1" s="1"/>
  <c r="T15" i="1"/>
  <c r="U15" i="1" s="1"/>
  <c r="AD35" i="18" s="1"/>
  <c r="W17" i="1" l="1"/>
  <c r="V17" i="1"/>
  <c r="AM17" i="1" s="1"/>
  <c r="AL17" i="1" s="1"/>
  <c r="V19" i="18"/>
  <c r="AN19" i="18"/>
  <c r="AH19" i="18"/>
  <c r="AB11" i="18"/>
  <c r="AB19" i="18"/>
  <c r="AN43" i="18"/>
  <c r="V43" i="18"/>
  <c r="V35" i="18"/>
  <c r="P27" i="18"/>
  <c r="AN27" i="18"/>
  <c r="AH35" i="18"/>
  <c r="AB43" i="18"/>
  <c r="AN35" i="18"/>
  <c r="AN11" i="18"/>
  <c r="V11" i="18"/>
  <c r="V27" i="18"/>
  <c r="AB35" i="18"/>
  <c r="AB27" i="18"/>
  <c r="AH11" i="18"/>
  <c r="AH43" i="18"/>
  <c r="V16" i="1"/>
  <c r="AM16" i="1" s="1"/>
  <c r="AL16" i="1" s="1"/>
  <c r="AJ42" i="19" s="1"/>
  <c r="W16" i="1"/>
  <c r="T19" i="18"/>
  <c r="T27" i="18"/>
  <c r="AL43" i="18"/>
  <c r="AF11" i="18"/>
  <c r="Z43" i="18"/>
  <c r="T35" i="18"/>
  <c r="Z27" i="18"/>
  <c r="AF43" i="18"/>
  <c r="AF27" i="18"/>
  <c r="AL27" i="18"/>
  <c r="Z11" i="18"/>
  <c r="Z19" i="18"/>
  <c r="T11" i="18"/>
  <c r="AF19" i="18"/>
  <c r="AL19" i="18"/>
  <c r="AF35" i="18"/>
  <c r="T43" i="18"/>
  <c r="AL11" i="18"/>
  <c r="Z35" i="18"/>
  <c r="V22" i="1"/>
  <c r="W22" i="1"/>
  <c r="AL39" i="18"/>
  <c r="AF31" i="18"/>
  <c r="Z23" i="18"/>
  <c r="T47" i="18"/>
  <c r="W24" i="1"/>
  <c r="AL15" i="18"/>
  <c r="T15" i="18"/>
  <c r="V24" i="1"/>
  <c r="Z31" i="18"/>
  <c r="AF39" i="18"/>
  <c r="AL31" i="18"/>
  <c r="AL23" i="18"/>
  <c r="Z15" i="18"/>
  <c r="AF23" i="18"/>
  <c r="T31" i="18"/>
  <c r="Z47" i="18"/>
  <c r="T39" i="18"/>
  <c r="Z39" i="18"/>
  <c r="T23" i="18"/>
  <c r="AL47" i="18"/>
  <c r="AF47" i="18"/>
  <c r="AF15" i="18"/>
  <c r="AB37" i="18"/>
  <c r="V20" i="1"/>
  <c r="AH45" i="18"/>
  <c r="V45" i="18"/>
  <c r="V29" i="18"/>
  <c r="V37" i="18"/>
  <c r="AB13" i="18"/>
  <c r="AH37" i="18"/>
  <c r="V21" i="18"/>
  <c r="AH21" i="18"/>
  <c r="W20" i="1"/>
  <c r="AB45" i="18"/>
  <c r="V13" i="18"/>
  <c r="AH29" i="18"/>
  <c r="AH13" i="18"/>
  <c r="AB29" i="18"/>
  <c r="AB21" i="18"/>
  <c r="AD15" i="18"/>
  <c r="R23" i="18"/>
  <c r="AD47" i="18"/>
  <c r="L47" i="18"/>
  <c r="L39" i="18"/>
  <c r="AJ47" i="18"/>
  <c r="AD39" i="18"/>
  <c r="W23" i="1"/>
  <c r="AJ39" i="18"/>
  <c r="AD31" i="18"/>
  <c r="X39" i="18"/>
  <c r="R31" i="18"/>
  <c r="R15" i="18"/>
  <c r="X15" i="18"/>
  <c r="AJ31" i="18"/>
  <c r="V23" i="1"/>
  <c r="R39" i="18"/>
  <c r="L31" i="18"/>
  <c r="L15" i="18"/>
  <c r="X47" i="18"/>
  <c r="AJ15" i="18"/>
  <c r="AD23" i="18"/>
  <c r="L23" i="18"/>
  <c r="R47" i="18"/>
  <c r="X31" i="18"/>
  <c r="AJ23" i="18"/>
  <c r="X23" i="18"/>
  <c r="T37" i="18"/>
  <c r="AL13" i="18"/>
  <c r="AL37" i="18"/>
  <c r="T29" i="18"/>
  <c r="AF21" i="18"/>
  <c r="T13" i="18"/>
  <c r="AF13" i="18"/>
  <c r="AL45" i="18"/>
  <c r="AL21" i="18"/>
  <c r="Z21" i="18"/>
  <c r="W19" i="1"/>
  <c r="Z29" i="18"/>
  <c r="AF37" i="18"/>
  <c r="Z37" i="18"/>
  <c r="Z13" i="18"/>
  <c r="T45" i="18"/>
  <c r="T21" i="18"/>
  <c r="AF29" i="18"/>
  <c r="AL29" i="18"/>
  <c r="V19" i="1"/>
  <c r="AF45" i="18"/>
  <c r="Z45" i="18"/>
  <c r="X37" i="18"/>
  <c r="AD37" i="18"/>
  <c r="AJ21" i="18"/>
  <c r="R37" i="18"/>
  <c r="L29" i="18"/>
  <c r="L37" i="18"/>
  <c r="R21" i="18"/>
  <c r="X45" i="18"/>
  <c r="AD45" i="18"/>
  <c r="AD21" i="18"/>
  <c r="X13" i="18"/>
  <c r="AJ29" i="18"/>
  <c r="AJ37" i="18"/>
  <c r="R45" i="18"/>
  <c r="L21" i="18"/>
  <c r="R13" i="18"/>
  <c r="W18" i="1"/>
  <c r="L13" i="18"/>
  <c r="AD13" i="18"/>
  <c r="AJ13" i="18"/>
  <c r="V18" i="1"/>
  <c r="AM18" i="1" s="1"/>
  <c r="AL18" i="1" s="1"/>
  <c r="AF32" i="19" s="1"/>
  <c r="X21" i="18"/>
  <c r="AJ45" i="18"/>
  <c r="L45" i="18"/>
  <c r="R29" i="18"/>
  <c r="X29" i="18"/>
  <c r="R19" i="18"/>
  <c r="R43" i="18"/>
  <c r="L43" i="18"/>
  <c r="X43" i="18"/>
  <c r="X35" i="18"/>
  <c r="W15" i="1"/>
  <c r="X27" i="18"/>
  <c r="AD19" i="18"/>
  <c r="R35" i="18"/>
  <c r="L35" i="18"/>
  <c r="R27" i="18"/>
  <c r="R11" i="18"/>
  <c r="AD11" i="18"/>
  <c r="X19" i="18"/>
  <c r="L19" i="18"/>
  <c r="V15" i="1"/>
  <c r="AM15" i="1" s="1"/>
  <c r="AL15" i="1" s="1"/>
  <c r="AD27" i="18"/>
  <c r="AD43" i="18"/>
  <c r="X11" i="18"/>
  <c r="AJ19" i="18"/>
  <c r="AJ43" i="18"/>
  <c r="AJ35" i="18"/>
  <c r="AJ27" i="18"/>
  <c r="L11" i="18"/>
  <c r="L27" i="18"/>
  <c r="AJ11" i="18"/>
  <c r="V21" i="1"/>
  <c r="W21" i="1"/>
  <c r="AN18" i="1" l="1"/>
  <c r="M42" i="19"/>
  <c r="N12" i="19"/>
  <c r="AL12" i="19"/>
  <c r="T52" i="19"/>
  <c r="N52" i="19"/>
  <c r="Z12" i="19"/>
  <c r="AL32" i="19"/>
  <c r="T22" i="19"/>
  <c r="AF52" i="19"/>
  <c r="Z52" i="19"/>
  <c r="AL52" i="19"/>
  <c r="AL42" i="19"/>
  <c r="Z42" i="19"/>
  <c r="T42" i="19"/>
  <c r="N42" i="19"/>
  <c r="Z32" i="19"/>
  <c r="Z22" i="19"/>
  <c r="T32" i="19"/>
  <c r="N32" i="19"/>
  <c r="T12" i="19"/>
  <c r="AL22" i="19"/>
  <c r="AF22" i="19"/>
  <c r="AF12" i="19"/>
  <c r="N22" i="19"/>
  <c r="AF42" i="19"/>
  <c r="AK32" i="19"/>
  <c r="M52" i="19"/>
  <c r="L42" i="19"/>
  <c r="AK22" i="19"/>
  <c r="M12" i="19"/>
  <c r="AN17" i="1"/>
  <c r="S12" i="19"/>
  <c r="AK42" i="19"/>
  <c r="AK52" i="19"/>
  <c r="AE52" i="19"/>
  <c r="S42" i="19"/>
  <c r="S22" i="19"/>
  <c r="AE12" i="19"/>
  <c r="AE22" i="19"/>
  <c r="M32" i="19"/>
  <c r="M22" i="19"/>
  <c r="S52" i="19"/>
  <c r="S32" i="19"/>
  <c r="AK12" i="19"/>
  <c r="AE32" i="19"/>
  <c r="AE42" i="19"/>
  <c r="AN16" i="1"/>
  <c r="L52" i="19"/>
  <c r="AJ22" i="19"/>
  <c r="X12" i="19"/>
  <c r="R22" i="19"/>
  <c r="X42" i="19"/>
  <c r="L32" i="19"/>
  <c r="L12" i="19"/>
  <c r="R32" i="19"/>
  <c r="AD42" i="19"/>
  <c r="X22" i="19"/>
  <c r="R12" i="19"/>
  <c r="AJ12" i="19"/>
  <c r="R42" i="19"/>
  <c r="AD22" i="19"/>
  <c r="X32" i="19"/>
  <c r="AD52" i="19"/>
  <c r="AD32" i="19"/>
  <c r="L22" i="19"/>
  <c r="AJ32" i="19"/>
  <c r="AJ52" i="19"/>
  <c r="X52" i="19"/>
  <c r="R52" i="19"/>
  <c r="AD12" i="19"/>
  <c r="K32" i="19"/>
  <c r="K12" i="19"/>
  <c r="AI42" i="19"/>
  <c r="AI32" i="19"/>
  <c r="AC12" i="19"/>
  <c r="AI22" i="19"/>
  <c r="W32" i="19"/>
  <c r="AN15" i="1"/>
  <c r="AI52" i="19"/>
  <c r="Q42" i="19"/>
  <c r="K42" i="19"/>
  <c r="Q32" i="19"/>
  <c r="W42" i="19"/>
  <c r="W22" i="19"/>
  <c r="Q12" i="19"/>
  <c r="Q52" i="19"/>
  <c r="W52" i="19"/>
  <c r="AC22" i="19"/>
  <c r="AC32" i="19"/>
  <c r="K52" i="19"/>
  <c r="AI12" i="19"/>
  <c r="AC52" i="19"/>
  <c r="K22" i="19"/>
  <c r="AC42" i="19"/>
  <c r="Q22" i="19"/>
  <c r="W1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<sst xmlns="http://schemas.openxmlformats.org/spreadsheetml/2006/main" count="711" uniqueCount="433">
  <si>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</si>
  <si>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</si>
  <si>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</si>
  <si>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</si>
  <si>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</si>
  <si>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</si>
  <si>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</si>
  <si>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</si>
  <si>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</si>
  <si>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</si>
  <si>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</si>
  <si>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</si>
  <si>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</si>
  <si>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</si>
  <si>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</si>
  <si>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</si>
  <si>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</si>
  <si>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</si>
  <si>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</si>
  <si>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</si>
  <si>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</si>
  <si>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</si>
  <si>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</si>
  <si>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</si>
  <si>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</si>
  <si>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</si>
  <si>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</si>
  <si>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</si>
  <si>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</si>
  <si>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</si>
  <si>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</si>
  <si>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</si>
  <si>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</si>
  <si>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</si>
  <si>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</si>
  <si>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</si>
  <si>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</si>
  <si>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</si>
  <si>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</si>
  <si>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</si>
  <si>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</si>
  <si>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</si>
  <si>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</si>
  <si>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</si>
  <si>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</si>
  <si>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</si>
  <si>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</si>
  <si>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</si>
  <si>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</si>
  <si>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</si>
  <si>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</si>
  <si>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</si>
  <si>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</si>
  <si>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</si>
  <si>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</si>
  <si>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</si>
  <si>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</si>
  <si>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</si>
  <si>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</si>
  <si>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</si>
  <si>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</si>
  <si>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</si>
  <si>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</si>
  <si>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</si>
  <si>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</si>
  <si>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</si>
  <si>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</si>
  <si>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</si>
  <si>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</si>
  <si>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</si>
  <si>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</si>
  <si>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</si>
  <si>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</si>
  <si>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</si>
  <si>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</si>
  <si>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</si>
  <si>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</si>
  <si>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</si>
  <si>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</si>
  <si>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</si>
  <si>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</si>
  <si>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</si>
  <si>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</si>
  <si>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</si>
  <si>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</si>
  <si>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</si>
  <si>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</si>
  <si>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</si>
  <si>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</si>
  <si>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</si>
  <si>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</si>
  <si>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</si>
  <si>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</si>
  <si>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</si>
  <si>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</si>
  <si>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</si>
  <si>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</si>
  <si>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</si>
  <si>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</si>
  <si>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</si>
  <si>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</si>
  <si>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</si>
  <si>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</si>
  <si>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</si>
  <si>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</si>
  <si>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</si>
  <si>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</si>
  <si>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</si>
  <si>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</si>
  <si>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</si>
  <si>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</si>
  <si>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</si>
  <si>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</si>
  <si>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</si>
  <si>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</si>
  <si>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</si>
  <si>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</si>
  <si>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</si>
  <si>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</si>
  <si>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</si>
  <si>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</si>
  <si>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</si>
  <si>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</si>
  <si>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</si>
  <si>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</si>
  <si>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</si>
  <si>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</si>
  <si>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</si>
  <si>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</si>
  <si>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</si>
  <si>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</si>
  <si>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</si>
  <si>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</si>
  <si>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</si>
  <si>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</si>
  <si>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</si>
  <si>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</si>
  <si>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</si>
  <si>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</si>
  <si>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</si>
  <si>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</si>
  <si>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</si>
  <si>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</si>
  <si>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</si>
  <si>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</si>
  <si>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</si>
  <si>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</si>
  <si>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</si>
  <si>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</si>
  <si>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</si>
  <si>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</si>
  <si>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</si>
  <si>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</si>
  <si>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</si>
  <si>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</si>
  <si>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</si>
  <si>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</si>
  <si>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</si>
  <si>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</si>
  <si>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</si>
  <si>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</si>
  <si>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</si>
  <si>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</si>
  <si>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</si>
  <si>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</si>
  <si>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</si>
  <si>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</si>
  <si>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</si>
  <si>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</si>
  <si>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</si>
  <si>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</si>
  <si>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</si>
  <si>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</si>
  <si>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</si>
  <si>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</si>
  <si>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</si>
  <si>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</si>
  <si>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</si>
  <si>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</si>
  <si>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</si>
  <si>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</si>
  <si>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</si>
  <si>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</si>
  <si>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</si>
  <si>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</si>
  <si>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</si>
  <si>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</si>
  <si>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</si>
  <si>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</si>
  <si>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</si>
  <si>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</si>
  <si>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</si>
  <si>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</si>
  <si>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</si>
  <si>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</si>
  <si>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</si>
  <si>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</si>
  <si>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</si>
  <si>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</si>
  <si>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</si>
  <si>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</si>
  <si>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</si>
  <si>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</si>
  <si>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</si>
  <si>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</si>
  <si>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</si>
  <si>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</si>
  <si>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</si>
  <si>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</si>
  <si>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</si>
  <si>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</si>
  <si>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</si>
  <si>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</si>
  <si>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</si>
  <si>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</si>
  <si>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</si>
  <si>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</si>
  <si>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</si>
  <si>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</si>
  <si>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</si>
  <si>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</si>
  <si>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</si>
  <si>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</si>
  <si>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</si>
  <si>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</si>
  <si>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</si>
  <si>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</si>
  <si>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</si>
  <si>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</si>
  <si>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</si>
  <si>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</si>
  <si>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</si>
  <si>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</si>
  <si>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</si>
  <si>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</si>
  <si>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</si>
  <si>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</si>
  <si>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</si>
  <si>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</si>
  <si>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</si>
  <si>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</si>
  <si>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</si>
  <si>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</si>
  <si>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</si>
  <si>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</si>
  <si>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</si>
  <si>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</si>
  <si>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</si>
  <si>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</si>
  <si>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</si>
  <si>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</si>
  <si>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</si>
  <si>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</si>
  <si>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</si>
  <si>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</si>
  <si>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</si>
  <si>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</si>
  <si>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</si>
  <si>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</si>
  <si>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</si>
  <si>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</si>
  <si>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</si>
  <si>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</si>
  <si>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</si>
  <si>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</si>
  <si>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</si>
  <si>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</si>
  <si>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</si>
  <si>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</si>
  <si>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</si>
  <si>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</si>
  <si>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</si>
  <si>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</si>
  <si>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</si>
  <si>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</si>
  <si>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</si>
  <si>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</si>
  <si>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</si>
  <si>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</si>
  <si>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</si>
  <si>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</si>
  <si>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</si>
  <si>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</si>
  <si>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</si>
  <si>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</si>
  <si>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</si>
  <si>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</si>
  <si>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</si>
  <si>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</si>
  <si>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</si>
  <si>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</si>
  <si>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</si>
  <si>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</si>
  <si>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</si>
  <si>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</si>
  <si>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</si>
  <si>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</si>
  <si>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</si>
  <si>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</si>
  <si>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</si>
  <si>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</si>
  <si>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</si>
  <si>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</si>
  <si>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</si>
  <si>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</si>
  <si>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</si>
  <si>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</si>
  <si>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</si>
  <si>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</si>
  <si>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</si>
  <si>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</si>
  <si>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</si>
  <si>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</si>
  <si>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</si>
  <si>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</si>
  <si>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</si>
  <si>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</si>
  <si>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</si>
  <si>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</si>
  <si>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</si>
  <si>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</si>
  <si>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</si>
  <si>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</si>
  <si>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</si>
  <si>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</si>
  <si>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</si>
  <si>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</si>
  <si>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</si>
  <si>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</si>
  <si>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</si>
  <si>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</si>
  <si>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</si>
  <si>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</si>
  <si>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</si>
  <si>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</si>
  <si>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</si>
  <si>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</si>
  <si>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</si>
  <si>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</si>
  <si>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</si>
  <si>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</si>
  <si>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</si>
  <si>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</si>
  <si>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</si>
  <si>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</si>
  <si>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</si>
  <si>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</si>
  <si>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</si>
  <si>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</si>
  <si>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</si>
  <si>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</si>
  <si>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</si>
  <si>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</si>
  <si>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</si>
  <si>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</si>
  <si>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</si>
  <si>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</si>
  <si>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</si>
  <si>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</si>
  <si>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</si>
  <si>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</si>
  <si>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</si>
  <si>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</si>
  <si>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</si>
  <si>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</si>
  <si>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</si>
  <si>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</si>
  <si>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</si>
  <si>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</si>
  <si>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</si>
  <si>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</si>
  <si>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</si>
  <si>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</si>
  <si>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</si>
  <si>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</si>
  <si>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</si>
  <si>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</si>
  <si>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</si>
  <si>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</si>
  <si>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</si>
  <si>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</si>
  <si>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</si>
  <si>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</si>
  <si>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</si>
  <si>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</si>
  <si>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</si>
  <si>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</si>
  <si>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</si>
  <si>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</si>
  <si>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</si>
  <si>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</si>
  <si>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</si>
  <si>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</si>
  <si>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</si>
  <si>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</si>
  <si>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Jurídico - Disciplinario</t>
  </si>
  <si>
    <t>Líder de Proceso</t>
  </si>
  <si>
    <t>Se actualizó formato a versión No 8</t>
  </si>
  <si>
    <t>GESTIÓN DE ADQUISICIONES</t>
  </si>
  <si>
    <t xml:space="preserve">Apoyar la  adquisición de bienes y servicios requeridos por la Escuela Tecnológica Instituto Técnico Central. </t>
  </si>
  <si>
    <t>Apoyo a las áreas de la Escuela Tecnológica Instituto Técnico Central para la selección objetiva, para la adquisición de bienes y/o servicios con el uso de las herramientas
públicas de contratación.</t>
  </si>
  <si>
    <t>Evaluación subjetiva en la verificación de los requisitos contractuales. Inadecuada aplicación de la normatividad vigente, manual de contratación y procedimientos asociados.</t>
  </si>
  <si>
    <t>Falta de rigurosidad en la aplicación de los parámetros establecidos por Colombia Compra Eficiente para la publicación de la información contractual.</t>
  </si>
  <si>
    <t>Desconocimiento de lo dispuesto en la normatividad relacionada con supervisión de contratos</t>
  </si>
  <si>
    <t>Casos de fuerza mayor o caso fortuito</t>
  </si>
  <si>
    <t xml:space="preserve">Inadecuada adjudicacion del proceso de selección del contrato </t>
  </si>
  <si>
    <t>Posibilidad de afectación económica y reputacional por inadecuada adjudicacion del proceso de selección del contrato debido a evaluación subjetiva de requisitos contractuales por inaplicación de norma.</t>
  </si>
  <si>
    <t>Incumplimiento en la publicación de información contractual dentro de los términos establecidos por la ley</t>
  </si>
  <si>
    <t>Posibilidad de afectación económica y reputacional por incumplimiento en la publicación de información contractual dentro de los términos establecidos por la ley debido a falta de rigurosidad en la aplicación de los parámetros establecidos por Colombia Compra Eficiente para la publicación de la información contractual.</t>
  </si>
  <si>
    <t xml:space="preserve">inadecuada supervisión en el seguimiento de la ejecución de los contratos/convenios de acuerdo con la normatividad legal vigente
</t>
  </si>
  <si>
    <t>Posibilidad de afectación económica y reputacional por inadecuada supervisión en el seguimiento de la ejecución de los contratos/convenios de acuerdo con la normatividad legal vigente debido a desconocimiento de lo dispuesto en la normatividad relacionada con supervisión de contratos</t>
  </si>
  <si>
    <t>Incumplimiento en la prestación de los servicios tercerizados</t>
  </si>
  <si>
    <t>Posibilidad de afectación económica y reputacional por incumplimiento en la prestación de los servicios tercerizados, debido a casos de fuerza mayor o caso fortuito.</t>
  </si>
  <si>
    <t>De acuerdo al calendario contractual, los integrantes del Comité evaluador cada vez que evalúan serán los encargados de verificar el cumplimiento de los proponentes en cada proceso de acuerdo a la lista de chequeo dispuesta para cada modalidad contractual, así como verificar el marco normativo aplicable para realizar la contratación, teniendo en cuenta los criterios técnicos, económicos y jurídicos que aplican para cada modalidad de contratación, con la finalidad de verificar el lleno de requisitos legales, económicos y técnicos de los proponentes para ser adjudicatarios del proceso de contratación. 
En caso de que los evaluadores del proceso no puedan evaluar por la complejidad del proceso contractual, se adendará y modificará el proceso contractual.</t>
  </si>
  <si>
    <t>Informes de evaluación parcial y denifitivo de los procesos de contratación, y acta de aprobación de los informes por parte del Comité de Contratación.
Adenda del proceso contractual cuando aplique.
Informe del Comité de Contratación.</t>
  </si>
  <si>
    <t>El profesional o contratista asignado en la estructuración del proceso de contratación, cada vez que se publique un proceso contractual, debe establecer un cronograma por cada proceso de contratación y hacer seguimiento al mismo, así como notificar a los supervisores una vez inicie el contrato, con el fin de que el supervisor inicie el seguimiento técnico, financiero y legal del contrato, así como la publicación oportuna de la información contractual.
En caso de que la plataforma no esté en funcionamiento, la entidad sacará impresiones de las actuaciones contractuales y las publicará en los tres días hábiles siguientes para cumplir con el principio de publicidad. De igual modo, si el calendario establecido inicialmente no se puede cumplir (bien sea por solicitud del adjudicatario del contrato, o de oficio) se realizará una adenda al proceso contractual.</t>
  </si>
  <si>
    <t>Informe presentado en los comités de contratación.
Correos electrónicos de notificación a los supervisores.
Adenda de los procesos, en los casos que aplique.</t>
  </si>
  <si>
    <t>Los profesionales especializados del área de Contratación semestralmente deben realizar y evalúar capacitaciones en las cuales se explique y se ahonde sobre las funciones del supervisor, las modalidades de contratación y las etapas contractuales. Adicionalmente, verificar que la documentación de ejecución del contrato/ convenio se encuentra publicado en la plataforma SECOP II, con el fin de fortalecer las funciones de supervisores de contratos y convenios.
En el caso de que los resultados de la evaluación promedio de los asistentes a la capacitación sea menor a 50 puntos, el área de Contratación solicitará al área de Talento Humano, incluir información sobre las funciones del supervisor, las modalidades de contratación y las etapas contractuales en el campus virtual de inducción y reinducción, para el fortalecimiento de conocimientos.</t>
  </si>
  <si>
    <t>Listados de asistencia y soportes de evaluación.
Correos electrónicos en los cuales se indique al supervisor las acciones a tomar una vez puesto en ejecución el contrato. 
Actualización del campus virtual de inducción y reinducción, cuando aplique.</t>
  </si>
  <si>
    <t>El supervisor o apoyo a la supervisión de los contratos de servicios tercerizados, cada vez que existan novedades, debe realizar solicitud a la empresa pertinente para asegurar la prestación del servicio, con el objetivo de garantizar la prestación permanente de los servicios tercerizados.
Debido a la naturaleza del control, no aplica decisión sobre la desviación, ya que la empresa pertinente debe garantizar la prestación continúa del servicio.</t>
  </si>
  <si>
    <t>Como soporte de la ejecución del control resultan los correos electrónicos enviados por parte del supervisor o el apoyo a la supervisión a la empresa prestadora del servicio, notificando sobre la novedad, y solicitando la subsanación pertinente.</t>
  </si>
  <si>
    <t>Procedimientos:
- GAD-PC-03 Contratación directa 
- Mínima cuantía 
- Concurso de méritos
- Selección abreviada
- GAD-PC-04 Menor Cuantía 
- Licitación pública
- GAD-PC-05 Subasta 
- Adquisición por Tienda Virtual del Estado Colombiano 
Nota: No todos los procedimientos se encuentran codificados, ya que el área de Calidad no los ha enviado para publicación.</t>
  </si>
  <si>
    <t>Procedimientos:
- GAD-PC-03 Contratación directa 
- Mínima cuantía 
- Concurso de méritos
- Selección abreviada
- GAD-PC-04 Menor Cuantía 
- Licitación pública
- GAD-PC-05 Subasta 
- Adquisición por Tienda Virtual del Estado Colombiano 
- GAD-PC-06 Modificaciones contractuales 
- GAD-PC-07 Supervisión e interventoría de contratos 
- GAD-PC-08 Liquidación contractual
Nota: No todos los procedimientos se encuentran codificados, ya que el área de Calidad no los ha enviado para publicación.</t>
  </si>
  <si>
    <t xml:space="preserve">Procedimiento:
GAD-PC-07 Supervisión e interventoría de contratos </t>
  </si>
  <si>
    <t>No se encuentra documentado</t>
  </si>
  <si>
    <t>1. Contratación Directa. Certificación de idoneidad de los contratistas de prestación de servicios profesionales y de apoyo a la gestión 
2. Contratación de mínima, menor y mayor cuantía, evaluación parcial y definitiva por parte del comité evaluador designado para cada modalidad de contratación</t>
  </si>
  <si>
    <t>Líder del área requirente del bien o servicio 
Integrantes del comité evaluador</t>
  </si>
  <si>
    <t>Capacitar a los supervisores de contratos y convenios.</t>
  </si>
  <si>
    <t>Lider del proceso de adquisiciones - Profesional Especializada Jurídica Contratación</t>
  </si>
  <si>
    <t>Comunicar a la empresa prestadora del servicio tercerizado, en el caso de identificar alguna novedad</t>
  </si>
  <si>
    <t>Supervisor o apoyo de la supervisión del contrato de servicio tercerizado</t>
  </si>
  <si>
    <r>
      <rPr>
        <b/>
        <sz val="14"/>
        <rFont val="Arial"/>
        <family val="2"/>
      </rPr>
      <t>LIDER DEL PROCESO:</t>
    </r>
    <r>
      <rPr>
        <sz val="14"/>
        <rFont val="Arial"/>
        <family val="2"/>
      </rPr>
      <t xml:space="preserve">  Profesional de area</t>
    </r>
  </si>
  <si>
    <t xml:space="preserve">Profesional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</si>
</sst>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2"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4"/>
      <name val="Arial"/>
      <family val="2"/>
    </font>
    <font>
      <b/>
      <sz val="14"/>
      <name val="Arial"/>
      <family val="2"/>
    </font>
    <font>
      <b/>
      <sz val="12"/>
      <color theme="0"/>
      <name val="Arial Black"/>
      <family val="2"/>
    </font>
    <font>
      <sz val="12"/>
      <color theme="0"/>
      <name val="Arial Black"/>
      <family val="2"/>
    </font>
    <font>
      <sz val="11"/>
      <color theme="1"/>
      <name val="Arial Narrow"/>
      <family val="2"/>
    </font>
    <font>
      <sz val="11"/>
      <color theme="9"/>
      <name val="Arial"/>
      <family val="2"/>
    </font>
    <font>
      <sz val="10"/>
      <color theme="1"/>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33">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17" fillId="11" borderId="0" xfId="0" applyFont="1" applyFill="1" applyBorder="1" applyAlignment="1" applyProtection="1">
      <alignment horizontal="center" vertical="center" wrapText="1" readingOrder="1"/>
      <protection hidden="1"/>
    </xf>
    <xf numFmtId="0" fontId="17" fillId="13" borderId="0" xfId="0" applyFont="1" applyFill="1" applyBorder="1" applyAlignment="1" applyProtection="1">
      <alignment horizontal="center" wrapText="1" readingOrder="1"/>
      <protection hidden="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7" fillId="16" borderId="21" xfId="0" applyFont="1" applyFill="1" applyBorder="1" applyAlignment="1">
      <alignment horizontal="center" vertical="center" wrapText="1"/>
    </xf>
    <xf numFmtId="0" fontId="66" fillId="0" borderId="21" xfId="0" applyFont="1" applyBorder="1" applyAlignment="1">
      <alignment vertical="center" wrapText="1"/>
    </xf>
    <xf numFmtId="0" fontId="66" fillId="0" borderId="21" xfId="0" applyFont="1" applyBorder="1" applyAlignment="1" applyProtection="1">
      <alignment vertical="center" wrapText="1"/>
      <protection locked="0"/>
    </xf>
    <xf numFmtId="164" fontId="99" fillId="0" borderId="21" xfId="1" applyNumberFormat="1" applyFont="1" applyBorder="1" applyAlignment="1">
      <alignment horizontal="center" vertical="center"/>
    </xf>
    <xf numFmtId="9" fontId="99" fillId="0" borderId="21" xfId="1" applyFont="1" applyBorder="1" applyAlignment="1">
      <alignment horizontal="center" vertical="center" wrapText="1"/>
    </xf>
    <xf numFmtId="164" fontId="66" fillId="0" borderId="21" xfId="1" applyNumberFormat="1" applyFont="1" applyBorder="1" applyAlignment="1">
      <alignment horizontal="center" vertical="top" wrapText="1"/>
    </xf>
    <xf numFmtId="0" fontId="99" fillId="0" borderId="21" xfId="0" applyFont="1" applyBorder="1" applyAlignment="1" applyProtection="1">
      <alignment horizontal="center" vertical="center" wrapText="1"/>
      <protection locked="0"/>
    </xf>
    <xf numFmtId="0" fontId="66" fillId="0" borderId="110" xfId="0" applyFont="1" applyBorder="1" applyAlignment="1" applyProtection="1">
      <alignment horizontal="center" vertical="center" wrapText="1"/>
      <protection locked="0"/>
    </xf>
    <xf numFmtId="9" fontId="66" fillId="0" borderId="11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14" fontId="66" fillId="0" borderId="110" xfId="0" applyNumberFormat="1" applyFont="1" applyBorder="1" applyAlignment="1" applyProtection="1">
      <alignment horizontal="center" vertical="center" wrapText="1"/>
      <protection locked="0"/>
    </xf>
    <xf numFmtId="0" fontId="99" fillId="0" borderId="110" xfId="0" applyFont="1" applyBorder="1" applyAlignment="1" applyProtection="1">
      <alignment vertical="center" wrapText="1"/>
      <protection locked="0"/>
    </xf>
    <xf numFmtId="14" fontId="66" fillId="0" borderId="110" xfId="0" applyNumberFormat="1" applyFont="1" applyBorder="1" applyAlignment="1" applyProtection="1">
      <alignment vertical="center" wrapText="1"/>
      <protection locked="0"/>
    </xf>
    <xf numFmtId="0" fontId="66" fillId="0" borderId="110" xfId="0" applyFont="1" applyBorder="1" applyAlignment="1" applyProtection="1">
      <alignment horizontal="center" vertical="center" wrapText="1"/>
      <protection hidden="1"/>
    </xf>
    <xf numFmtId="0" fontId="66" fillId="0" borderId="110" xfId="0" applyFont="1" applyBorder="1" applyAlignment="1" applyProtection="1">
      <alignment horizontal="center" vertical="center" textRotation="90" wrapText="1"/>
      <protection locked="0"/>
    </xf>
    <xf numFmtId="164" fontId="66" fillId="0" borderId="110" xfId="1" applyNumberFormat="1" applyFont="1" applyBorder="1" applyAlignment="1">
      <alignment horizontal="center" vertical="top" wrapText="1"/>
    </xf>
    <xf numFmtId="0" fontId="77" fillId="0" borderId="110"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vertical="center" wrapText="1"/>
      <protection locked="0"/>
    </xf>
    <xf numFmtId="0" fontId="66" fillId="0" borderId="110" xfId="0" applyFont="1" applyBorder="1" applyAlignment="1">
      <alignment horizontal="center" vertical="center" wrapText="1"/>
    </xf>
    <xf numFmtId="0" fontId="99"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wrapText="1"/>
      <protection locked="0"/>
    </xf>
    <xf numFmtId="0" fontId="99" fillId="0" borderId="21" xfId="0" applyFont="1" applyBorder="1" applyAlignment="1" applyProtection="1">
      <alignment horizontal="left" vertical="top"/>
      <protection locked="0"/>
    </xf>
    <xf numFmtId="0" fontId="99" fillId="0" borderId="21" xfId="0" applyFont="1" applyBorder="1" applyAlignment="1">
      <alignment horizontal="left" vertical="top"/>
    </xf>
    <xf numFmtId="0" fontId="46" fillId="0" borderId="21" xfId="0" applyFont="1" applyBorder="1" applyAlignment="1" applyProtection="1">
      <alignment horizontal="left" vertical="top" wrapText="1"/>
      <protection locked="0"/>
    </xf>
    <xf numFmtId="0" fontId="101" fillId="0" borderId="21" xfId="0" applyFont="1" applyBorder="1" applyAlignment="1" applyProtection="1">
      <alignment horizontal="left" vertical="top" wrapText="1"/>
      <protection locked="0"/>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0" fillId="0" borderId="112" xfId="0" applyBorder="1" applyAlignment="1">
      <alignment horizontal="left" wrapText="1"/>
    </xf>
    <xf numFmtId="0" fontId="0" fillId="0" borderId="112" xfId="0" applyBorder="1" applyAlignment="1">
      <alignment horizontal="left"/>
    </xf>
    <xf numFmtId="0" fontId="98" fillId="19" borderId="68" xfId="0" applyFont="1" applyFill="1" applyBorder="1" applyAlignment="1">
      <alignment horizontal="center" vertical="center" wrapText="1"/>
    </xf>
    <xf numFmtId="0" fontId="98" fillId="19" borderId="69"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88" fillId="16" borderId="21" xfId="0" applyFont="1" applyFill="1" applyBorder="1" applyAlignment="1">
      <alignment horizontal="center" vertical="center" textRotation="90"/>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88" fillId="19" borderId="21" xfId="0" applyFont="1" applyFill="1" applyBorder="1" applyAlignment="1">
      <alignment horizontal="center" vertical="center" wrapText="1"/>
    </xf>
    <xf numFmtId="0" fontId="88" fillId="16" borderId="21" xfId="0" applyFont="1" applyFill="1" applyBorder="1" applyAlignment="1">
      <alignment horizontal="center" vertical="center" wrapText="1"/>
    </xf>
    <xf numFmtId="0" fontId="88" fillId="16" borderId="21" xfId="0" applyFont="1" applyFill="1" applyBorder="1" applyAlignment="1">
      <alignment horizontal="center" vertical="center"/>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55" fillId="0" borderId="68"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6" borderId="64" xfId="0" applyFont="1" applyFill="1" applyBorder="1" applyAlignment="1">
      <alignment horizontal="center" vertical="center"/>
    </xf>
    <xf numFmtId="0" fontId="88" fillId="16" borderId="57" xfId="0" applyFont="1" applyFill="1" applyBorder="1" applyAlignment="1">
      <alignment horizontal="center" vertical="center"/>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2" fillId="0" borderId="21" xfId="0" applyFont="1" applyBorder="1" applyAlignment="1" applyProtection="1">
      <alignment horizontal="center" vertical="center"/>
      <protection locked="0"/>
    </xf>
    <xf numFmtId="0" fontId="88" fillId="16" borderId="21" xfId="0" applyFont="1" applyFill="1" applyBorder="1" applyAlignment="1">
      <alignment horizontal="center" vertical="center" textRotation="90" wrapText="1"/>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22" xfId="0" applyFont="1" applyFill="1" applyBorder="1" applyAlignment="1">
      <alignment horizontal="center" vertical="center"/>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59" fillId="0" borderId="70" xfId="0" applyFont="1" applyBorder="1" applyAlignment="1">
      <alignment horizontal="center" vertical="center" wrapText="1"/>
    </xf>
    <xf numFmtId="0" fontId="60" fillId="0" borderId="70" xfId="0" applyFont="1" applyBorder="1" applyAlignment="1">
      <alignment horizontal="center" vertical="center" wrapText="1"/>
    </xf>
    <xf numFmtId="0" fontId="96" fillId="0" borderId="68" xfId="0" applyFont="1" applyBorder="1" applyAlignment="1">
      <alignment horizontal="left" vertical="center" wrapText="1"/>
    </xf>
    <xf numFmtId="0" fontId="96" fillId="0" borderId="67" xfId="0" applyFont="1" applyBorder="1" applyAlignment="1">
      <alignment horizontal="left" vertical="center" wrapText="1"/>
    </xf>
    <xf numFmtId="0" fontId="96" fillId="0" borderId="69" xfId="0" applyFont="1" applyBorder="1" applyAlignment="1">
      <alignment horizontal="left" vertical="center" wrapText="1"/>
    </xf>
    <xf numFmtId="0" fontId="95" fillId="0" borderId="21" xfId="0" applyFont="1" applyBorder="1" applyAlignment="1">
      <alignment horizontal="left" vertical="center" wrapText="1"/>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23" fillId="0" borderId="0" xfId="0" applyFont="1" applyAlignment="1">
      <alignment horizontal="center" vertical="center" wrapText="1"/>
    </xf>
    <xf numFmtId="0" fontId="18" fillId="5" borderId="7"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5" fillId="0" borderId="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7" xfId="0" applyFont="1" applyBorder="1" applyAlignment="1">
      <alignment horizontal="center" vertical="center" wrapText="1"/>
    </xf>
    <xf numFmtId="0" fontId="15" fillId="0" borderId="0" xfId="0" applyFont="1" applyBorder="1" applyAlignment="1">
      <alignment horizontal="center" vertical="center"/>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6" fillId="25" borderId="0" xfId="0" applyFont="1" applyFill="1" applyAlignment="1">
      <alignment horizontal="center" vertical="center" wrapText="1" readingOrder="1"/>
    </xf>
    <xf numFmtId="0" fontId="62" fillId="0" borderId="0" xfId="0" applyFont="1" applyAlignment="1">
      <alignment horizontal="center"/>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wrapText="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40" fillId="0" borderId="0" xfId="0" applyFont="1" applyBorder="1" applyAlignment="1">
      <alignment horizontal="center" vertical="center"/>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99" fillId="0" borderId="21" xfId="0" applyFont="1" applyBorder="1" applyAlignment="1" applyProtection="1">
      <alignment vertical="top" wrapText="1"/>
      <protection locked="0"/>
    </xf>
    <xf numFmtId="0" fontId="1" fillId="0" borderId="21" xfId="0" applyFont="1" applyBorder="1" applyAlignment="1" applyProtection="1">
      <alignment vertical="top" wrapText="1"/>
      <protection locked="0"/>
    </xf>
    <xf numFmtId="0" fontId="99" fillId="0" borderId="21" xfId="0" applyFont="1" applyBorder="1" applyAlignment="1" applyProtection="1">
      <alignment vertical="top"/>
      <protection locked="0"/>
    </xf>
    <xf numFmtId="0" fontId="77" fillId="0" borderId="21" xfId="0" applyFont="1" applyBorder="1" applyAlignment="1" applyProtection="1">
      <alignment vertical="center" wrapText="1"/>
      <protection hidden="1"/>
    </xf>
    <xf numFmtId="9" fontId="66" fillId="0" borderId="21" xfId="0" applyNumberFormat="1" applyFont="1" applyBorder="1" applyAlignment="1" applyProtection="1">
      <alignment vertical="center" wrapText="1"/>
      <protection hidden="1"/>
    </xf>
    <xf numFmtId="0" fontId="93" fillId="0" borderId="68" xfId="0" applyFont="1" applyBorder="1" applyAlignment="1">
      <alignment horizontal="left" vertical="center" wrapText="1"/>
    </xf>
    <xf numFmtId="0" fontId="1" fillId="0" borderId="21" xfId="0" applyFont="1" applyBorder="1" applyAlignment="1" applyProtection="1">
      <alignment horizontal="center" vertical="center" wrapText="1"/>
      <protection locked="0"/>
    </xf>
    <xf numFmtId="0" fontId="99" fillId="0" borderId="21" xfId="0" applyFont="1" applyBorder="1" applyAlignment="1" applyProtection="1">
      <alignment horizontal="center" vertical="center"/>
      <protection locked="0"/>
    </xf>
    <xf numFmtId="0" fontId="66" fillId="0" borderId="21" xfId="0" applyFont="1" applyBorder="1" applyAlignment="1" applyProtection="1">
      <alignment horizontal="center" vertical="center"/>
      <protection locked="0"/>
    </xf>
    <xf numFmtId="0" fontId="99" fillId="0" borderId="21" xfId="0" applyFont="1" applyBorder="1" applyAlignment="1">
      <alignment vertical="center"/>
    </xf>
    <xf numFmtId="0" fontId="101" fillId="0" borderId="21" xfId="0" applyFont="1" applyBorder="1" applyAlignment="1" applyProtection="1">
      <alignment vertical="center" wrapText="1"/>
      <protection locked="0"/>
    </xf>
    <xf numFmtId="0" fontId="99" fillId="0" borderId="21" xfId="0" applyFont="1" applyBorder="1" applyAlignment="1">
      <alignment horizontal="center" vertical="center"/>
    </xf>
    <xf numFmtId="0" fontId="101" fillId="0" borderId="21" xfId="0" applyFont="1" applyBorder="1" applyAlignment="1" applyProtection="1">
      <alignment horizontal="center" vertical="center" wrapText="1"/>
      <protection locked="0"/>
    </xf>
    <xf numFmtId="0" fontId="101" fillId="0" borderId="21" xfId="0" applyFont="1" applyBorder="1" applyAlignment="1" applyProtection="1">
      <alignment horizontal="center" vertical="top" wrapText="1"/>
      <protection locked="0"/>
    </xf>
    <xf numFmtId="0" fontId="101" fillId="0" borderId="110" xfId="0" applyFont="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5</xdr:col>
      <xdr:colOff>904874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8</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ay\Downloads\GSI-CA-FO-0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opLeftCell="A1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49" t="s">
        <v>267</v>
      </c>
      <c r="C2" s="250"/>
      <c r="D2" s="240" t="s">
        <v>205</v>
      </c>
      <c r="E2" s="241"/>
      <c r="F2" s="241"/>
      <c r="G2" s="241"/>
      <c r="H2" s="241"/>
      <c r="I2" s="241"/>
      <c r="J2" s="241"/>
      <c r="K2" s="241"/>
      <c r="L2" s="242"/>
      <c r="M2" s="255" t="s">
        <v>390</v>
      </c>
      <c r="N2" s="256"/>
    </row>
    <row r="3" spans="2:14" ht="29.25" customHeight="1" x14ac:dyDescent="0.25">
      <c r="B3" s="251"/>
      <c r="C3" s="252"/>
      <c r="D3" s="243"/>
      <c r="E3" s="244"/>
      <c r="F3" s="244"/>
      <c r="G3" s="244"/>
      <c r="H3" s="244"/>
      <c r="I3" s="244"/>
      <c r="J3" s="244"/>
      <c r="K3" s="244"/>
      <c r="L3" s="245"/>
      <c r="M3" s="257" t="s">
        <v>264</v>
      </c>
      <c r="N3" s="258"/>
    </row>
    <row r="4" spans="2:14" ht="29.25" customHeight="1" x14ac:dyDescent="0.25">
      <c r="B4" s="251"/>
      <c r="C4" s="252"/>
      <c r="D4" s="243"/>
      <c r="E4" s="244"/>
      <c r="F4" s="244"/>
      <c r="G4" s="244"/>
      <c r="H4" s="244"/>
      <c r="I4" s="244"/>
      <c r="J4" s="244"/>
      <c r="K4" s="244"/>
      <c r="L4" s="245"/>
      <c r="M4" s="257" t="s">
        <v>389</v>
      </c>
      <c r="N4" s="258"/>
    </row>
    <row r="5" spans="2:14" ht="29.25" customHeight="1" thickBot="1" x14ac:dyDescent="0.3">
      <c r="B5" s="253"/>
      <c r="C5" s="254"/>
      <c r="D5" s="246"/>
      <c r="E5" s="247"/>
      <c r="F5" s="247"/>
      <c r="G5" s="247"/>
      <c r="H5" s="247"/>
      <c r="I5" s="247"/>
      <c r="J5" s="247"/>
      <c r="K5" s="247"/>
      <c r="L5" s="248"/>
      <c r="M5" s="259" t="s">
        <v>245</v>
      </c>
      <c r="N5" s="260"/>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39" t="s">
        <v>309</v>
      </c>
      <c r="E31" s="239"/>
      <c r="N31" s="138"/>
    </row>
    <row r="32" spans="2:14" x14ac:dyDescent="0.25">
      <c r="B32" s="137"/>
      <c r="D32" s="239"/>
      <c r="E32" s="239"/>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21" t="s">
        <v>162</v>
      </c>
      <c r="C2" s="522"/>
      <c r="D2" s="522"/>
      <c r="E2" s="522"/>
      <c r="F2" s="522"/>
      <c r="G2" s="522"/>
      <c r="H2" s="523"/>
      <c r="J2" s="151" t="s">
        <v>274</v>
      </c>
    </row>
    <row r="3" spans="2:10" ht="20.25" x14ac:dyDescent="0.25">
      <c r="B3" s="70"/>
      <c r="C3" s="71"/>
      <c r="D3" s="71"/>
      <c r="E3" s="71"/>
      <c r="F3" s="71"/>
      <c r="G3" s="71"/>
      <c r="H3" s="72"/>
      <c r="J3" s="151"/>
    </row>
    <row r="4" spans="2:10" ht="63" customHeight="1" x14ac:dyDescent="0.25">
      <c r="B4" s="524" t="s">
        <v>305</v>
      </c>
      <c r="C4" s="525"/>
      <c r="D4" s="525"/>
      <c r="E4" s="525"/>
      <c r="F4" s="525"/>
      <c r="G4" s="525"/>
      <c r="H4" s="526"/>
    </row>
    <row r="5" spans="2:10" ht="63" customHeight="1" x14ac:dyDescent="0.25">
      <c r="B5" s="527"/>
      <c r="C5" s="528"/>
      <c r="D5" s="528"/>
      <c r="E5" s="528"/>
      <c r="F5" s="528"/>
      <c r="G5" s="528"/>
      <c r="H5" s="529"/>
    </row>
    <row r="6" spans="2:10" ht="16.5" x14ac:dyDescent="0.25">
      <c r="B6" s="530" t="s">
        <v>160</v>
      </c>
      <c r="C6" s="531"/>
      <c r="D6" s="531"/>
      <c r="E6" s="531"/>
      <c r="F6" s="531"/>
      <c r="G6" s="531"/>
      <c r="H6" s="532"/>
    </row>
    <row r="7" spans="2:10" ht="95.25" customHeight="1" x14ac:dyDescent="0.25">
      <c r="B7" s="540" t="s">
        <v>165</v>
      </c>
      <c r="C7" s="541"/>
      <c r="D7" s="541"/>
      <c r="E7" s="541"/>
      <c r="F7" s="541"/>
      <c r="G7" s="541"/>
      <c r="H7" s="542"/>
    </row>
    <row r="8" spans="2:10" ht="16.5" x14ac:dyDescent="0.25">
      <c r="B8" s="106"/>
      <c r="C8" s="107"/>
      <c r="D8" s="107"/>
      <c r="E8" s="107"/>
      <c r="F8" s="107"/>
      <c r="G8" s="107"/>
      <c r="H8" s="108"/>
    </row>
    <row r="9" spans="2:10" ht="16.5" customHeight="1" x14ac:dyDescent="0.25">
      <c r="B9" s="533" t="s">
        <v>293</v>
      </c>
      <c r="C9" s="534"/>
      <c r="D9" s="534"/>
      <c r="E9" s="534"/>
      <c r="F9" s="534"/>
      <c r="G9" s="534"/>
      <c r="H9" s="535"/>
    </row>
    <row r="10" spans="2:10" ht="44.25" customHeight="1" x14ac:dyDescent="0.25">
      <c r="B10" s="533"/>
      <c r="C10" s="534"/>
      <c r="D10" s="534"/>
      <c r="E10" s="534"/>
      <c r="F10" s="534"/>
      <c r="G10" s="534"/>
      <c r="H10" s="535"/>
    </row>
    <row r="11" spans="2:10" ht="15.75" thickBot="1" x14ac:dyDescent="0.3">
      <c r="B11" s="95"/>
      <c r="C11" s="98"/>
      <c r="D11" s="103"/>
      <c r="E11" s="104"/>
      <c r="F11" s="104"/>
      <c r="G11" s="105"/>
      <c r="H11" s="99"/>
    </row>
    <row r="12" spans="2:10" ht="15.75" thickTop="1" x14ac:dyDescent="0.25">
      <c r="B12" s="95"/>
      <c r="C12" s="536" t="s">
        <v>161</v>
      </c>
      <c r="D12" s="537"/>
      <c r="E12" s="538" t="s">
        <v>198</v>
      </c>
      <c r="F12" s="539"/>
      <c r="G12" s="98"/>
      <c r="H12" s="99"/>
    </row>
    <row r="13" spans="2:10" ht="35.25" customHeight="1" x14ac:dyDescent="0.25">
      <c r="B13" s="95"/>
      <c r="C13" s="543" t="s">
        <v>192</v>
      </c>
      <c r="D13" s="544"/>
      <c r="E13" s="545" t="s">
        <v>197</v>
      </c>
      <c r="F13" s="546"/>
      <c r="G13" s="98"/>
      <c r="H13" s="99"/>
    </row>
    <row r="14" spans="2:10" ht="17.25" customHeight="1" x14ac:dyDescent="0.25">
      <c r="B14" s="95"/>
      <c r="C14" s="543" t="s">
        <v>193</v>
      </c>
      <c r="D14" s="544"/>
      <c r="E14" s="545" t="s">
        <v>195</v>
      </c>
      <c r="F14" s="546"/>
      <c r="G14" s="98"/>
      <c r="H14" s="99"/>
    </row>
    <row r="15" spans="2:10" ht="19.5" customHeight="1" x14ac:dyDescent="0.25">
      <c r="B15" s="95"/>
      <c r="C15" s="543" t="s">
        <v>194</v>
      </c>
      <c r="D15" s="544"/>
      <c r="E15" s="545" t="s">
        <v>196</v>
      </c>
      <c r="F15" s="546"/>
      <c r="G15" s="98"/>
      <c r="H15" s="99"/>
    </row>
    <row r="16" spans="2:10" ht="69.75" customHeight="1" x14ac:dyDescent="0.25">
      <c r="B16" s="95"/>
      <c r="C16" s="543" t="s">
        <v>163</v>
      </c>
      <c r="D16" s="544"/>
      <c r="E16" s="545" t="s">
        <v>164</v>
      </c>
      <c r="F16" s="546"/>
      <c r="G16" s="98"/>
      <c r="H16" s="99"/>
    </row>
    <row r="17" spans="2:8" ht="34.5" customHeight="1" x14ac:dyDescent="0.25">
      <c r="B17" s="95"/>
      <c r="C17" s="547" t="s">
        <v>2</v>
      </c>
      <c r="D17" s="548"/>
      <c r="E17" s="549" t="s">
        <v>199</v>
      </c>
      <c r="F17" s="550"/>
      <c r="G17" s="98"/>
      <c r="H17" s="99"/>
    </row>
    <row r="18" spans="2:8" ht="27.75" customHeight="1" x14ac:dyDescent="0.25">
      <c r="B18" s="95"/>
      <c r="C18" s="547" t="s">
        <v>3</v>
      </c>
      <c r="D18" s="548"/>
      <c r="E18" s="549" t="s">
        <v>200</v>
      </c>
      <c r="F18" s="550"/>
      <c r="G18" s="98"/>
      <c r="H18" s="99"/>
    </row>
    <row r="19" spans="2:8" ht="28.5" customHeight="1" x14ac:dyDescent="0.25">
      <c r="B19" s="95"/>
      <c r="C19" s="547" t="s">
        <v>41</v>
      </c>
      <c r="D19" s="548"/>
      <c r="E19" s="549" t="s">
        <v>201</v>
      </c>
      <c r="F19" s="550"/>
      <c r="G19" s="98"/>
      <c r="H19" s="99"/>
    </row>
    <row r="20" spans="2:8" ht="72.75" customHeight="1" x14ac:dyDescent="0.25">
      <c r="B20" s="95"/>
      <c r="C20" s="547" t="s">
        <v>1</v>
      </c>
      <c r="D20" s="548"/>
      <c r="E20" s="549" t="s">
        <v>202</v>
      </c>
      <c r="F20" s="550"/>
      <c r="G20" s="98"/>
      <c r="H20" s="99"/>
    </row>
    <row r="21" spans="2:8" ht="64.5" customHeight="1" x14ac:dyDescent="0.25">
      <c r="B21" s="95"/>
      <c r="C21" s="547" t="s">
        <v>49</v>
      </c>
      <c r="D21" s="548"/>
      <c r="E21" s="549" t="s">
        <v>167</v>
      </c>
      <c r="F21" s="550"/>
      <c r="G21" s="98"/>
      <c r="H21" s="99"/>
    </row>
    <row r="22" spans="2:8" ht="71.25" customHeight="1" x14ac:dyDescent="0.25">
      <c r="B22" s="95"/>
      <c r="C22" s="547" t="s">
        <v>166</v>
      </c>
      <c r="D22" s="548"/>
      <c r="E22" s="549" t="s">
        <v>168</v>
      </c>
      <c r="F22" s="550"/>
      <c r="G22" s="98"/>
      <c r="H22" s="99"/>
    </row>
    <row r="23" spans="2:8" ht="55.5" customHeight="1" x14ac:dyDescent="0.25">
      <c r="B23" s="95"/>
      <c r="C23" s="554" t="s">
        <v>169</v>
      </c>
      <c r="D23" s="555"/>
      <c r="E23" s="549" t="s">
        <v>170</v>
      </c>
      <c r="F23" s="550"/>
      <c r="G23" s="98"/>
      <c r="H23" s="99"/>
    </row>
    <row r="24" spans="2:8" ht="42" customHeight="1" x14ac:dyDescent="0.25">
      <c r="B24" s="95"/>
      <c r="C24" s="554" t="s">
        <v>47</v>
      </c>
      <c r="D24" s="555"/>
      <c r="E24" s="549" t="s">
        <v>171</v>
      </c>
      <c r="F24" s="550"/>
      <c r="G24" s="98"/>
      <c r="H24" s="99"/>
    </row>
    <row r="25" spans="2:8" ht="59.25" customHeight="1" x14ac:dyDescent="0.25">
      <c r="B25" s="95"/>
      <c r="C25" s="554" t="s">
        <v>159</v>
      </c>
      <c r="D25" s="555"/>
      <c r="E25" s="549" t="s">
        <v>172</v>
      </c>
      <c r="F25" s="550"/>
      <c r="G25" s="98"/>
      <c r="H25" s="99"/>
    </row>
    <row r="26" spans="2:8" ht="23.25" customHeight="1" x14ac:dyDescent="0.25">
      <c r="B26" s="95"/>
      <c r="C26" s="554" t="s">
        <v>12</v>
      </c>
      <c r="D26" s="555"/>
      <c r="E26" s="549" t="s">
        <v>173</v>
      </c>
      <c r="F26" s="550"/>
      <c r="G26" s="98"/>
      <c r="H26" s="99"/>
    </row>
    <row r="27" spans="2:8" ht="30.75" customHeight="1" x14ac:dyDescent="0.25">
      <c r="B27" s="95"/>
      <c r="C27" s="554" t="s">
        <v>177</v>
      </c>
      <c r="D27" s="555"/>
      <c r="E27" s="549" t="s">
        <v>174</v>
      </c>
      <c r="F27" s="550"/>
      <c r="G27" s="98"/>
      <c r="H27" s="99"/>
    </row>
    <row r="28" spans="2:8" ht="35.25" customHeight="1" x14ac:dyDescent="0.25">
      <c r="B28" s="95"/>
      <c r="C28" s="554" t="s">
        <v>178</v>
      </c>
      <c r="D28" s="555"/>
      <c r="E28" s="549" t="s">
        <v>175</v>
      </c>
      <c r="F28" s="550"/>
      <c r="G28" s="98"/>
      <c r="H28" s="99"/>
    </row>
    <row r="29" spans="2:8" ht="33" customHeight="1" x14ac:dyDescent="0.25">
      <c r="B29" s="95"/>
      <c r="C29" s="554" t="s">
        <v>178</v>
      </c>
      <c r="D29" s="555"/>
      <c r="E29" s="549" t="s">
        <v>175</v>
      </c>
      <c r="F29" s="550"/>
      <c r="G29" s="98"/>
      <c r="H29" s="99"/>
    </row>
    <row r="30" spans="2:8" ht="30" customHeight="1" x14ac:dyDescent="0.25">
      <c r="B30" s="95"/>
      <c r="C30" s="554" t="s">
        <v>179</v>
      </c>
      <c r="D30" s="555"/>
      <c r="E30" s="549" t="s">
        <v>176</v>
      </c>
      <c r="F30" s="550"/>
      <c r="G30" s="98"/>
      <c r="H30" s="99"/>
    </row>
    <row r="31" spans="2:8" ht="35.25" customHeight="1" x14ac:dyDescent="0.25">
      <c r="B31" s="95"/>
      <c r="C31" s="554" t="s">
        <v>180</v>
      </c>
      <c r="D31" s="555"/>
      <c r="E31" s="549" t="s">
        <v>181</v>
      </c>
      <c r="F31" s="550"/>
      <c r="G31" s="98"/>
      <c r="H31" s="99"/>
    </row>
    <row r="32" spans="2:8" ht="31.5" customHeight="1" x14ac:dyDescent="0.25">
      <c r="B32" s="95"/>
      <c r="C32" s="554" t="s">
        <v>182</v>
      </c>
      <c r="D32" s="555"/>
      <c r="E32" s="549" t="s">
        <v>183</v>
      </c>
      <c r="F32" s="550"/>
      <c r="G32" s="98"/>
      <c r="H32" s="99"/>
    </row>
    <row r="33" spans="2:8" ht="35.25" customHeight="1" x14ac:dyDescent="0.25">
      <c r="B33" s="95"/>
      <c r="C33" s="554" t="s">
        <v>184</v>
      </c>
      <c r="D33" s="555"/>
      <c r="E33" s="549" t="s">
        <v>185</v>
      </c>
      <c r="F33" s="550"/>
      <c r="G33" s="98"/>
      <c r="H33" s="99"/>
    </row>
    <row r="34" spans="2:8" ht="59.25" customHeight="1" x14ac:dyDescent="0.25">
      <c r="B34" s="95"/>
      <c r="C34" s="554" t="s">
        <v>186</v>
      </c>
      <c r="D34" s="555"/>
      <c r="E34" s="549" t="s">
        <v>187</v>
      </c>
      <c r="F34" s="550"/>
      <c r="G34" s="98"/>
      <c r="H34" s="99"/>
    </row>
    <row r="35" spans="2:8" ht="29.25" customHeight="1" x14ac:dyDescent="0.25">
      <c r="B35" s="95"/>
      <c r="C35" s="554" t="s">
        <v>29</v>
      </c>
      <c r="D35" s="555"/>
      <c r="E35" s="549" t="s">
        <v>188</v>
      </c>
      <c r="F35" s="550"/>
      <c r="G35" s="98"/>
      <c r="H35" s="99"/>
    </row>
    <row r="36" spans="2:8" ht="82.5" customHeight="1" x14ac:dyDescent="0.25">
      <c r="B36" s="95"/>
      <c r="C36" s="554" t="s">
        <v>190</v>
      </c>
      <c r="D36" s="555"/>
      <c r="E36" s="549" t="s">
        <v>189</v>
      </c>
      <c r="F36" s="550"/>
      <c r="G36" s="98"/>
      <c r="H36" s="99"/>
    </row>
    <row r="37" spans="2:8" ht="46.5" customHeight="1" x14ac:dyDescent="0.25">
      <c r="B37" s="95"/>
      <c r="C37" s="554" t="s">
        <v>38</v>
      </c>
      <c r="D37" s="555"/>
      <c r="E37" s="549" t="s">
        <v>191</v>
      </c>
      <c r="F37" s="550"/>
      <c r="G37" s="98"/>
      <c r="H37" s="99"/>
    </row>
    <row r="38" spans="2:8" ht="6.75" customHeight="1" thickBot="1" x14ac:dyDescent="0.3">
      <c r="B38" s="95"/>
      <c r="C38" s="556"/>
      <c r="D38" s="557"/>
      <c r="E38" s="558"/>
      <c r="F38" s="559"/>
      <c r="G38" s="98"/>
      <c r="H38" s="99"/>
    </row>
    <row r="39" spans="2:8" ht="15.75" thickTop="1" x14ac:dyDescent="0.25">
      <c r="B39" s="95"/>
      <c r="C39" s="96"/>
      <c r="D39" s="96"/>
      <c r="E39" s="97"/>
      <c r="F39" s="97"/>
      <c r="G39" s="98"/>
      <c r="H39" s="99"/>
    </row>
    <row r="40" spans="2:8" ht="21" customHeight="1" x14ac:dyDescent="0.25">
      <c r="B40" s="551" t="s">
        <v>294</v>
      </c>
      <c r="C40" s="552"/>
      <c r="D40" s="552"/>
      <c r="E40" s="552"/>
      <c r="F40" s="552"/>
      <c r="G40" s="552"/>
      <c r="H40" s="553"/>
    </row>
    <row r="41" spans="2:8" ht="20.25" customHeight="1" x14ac:dyDescent="0.25">
      <c r="B41" s="551" t="s">
        <v>295</v>
      </c>
      <c r="C41" s="552"/>
      <c r="D41" s="552"/>
      <c r="E41" s="552"/>
      <c r="F41" s="552"/>
      <c r="G41" s="552"/>
      <c r="H41" s="553"/>
    </row>
    <row r="42" spans="2:8" ht="20.25" customHeight="1" x14ac:dyDescent="0.25">
      <c r="B42" s="551" t="s">
        <v>296</v>
      </c>
      <c r="C42" s="552"/>
      <c r="D42" s="552"/>
      <c r="E42" s="552"/>
      <c r="F42" s="552"/>
      <c r="G42" s="552"/>
      <c r="H42" s="553"/>
    </row>
    <row r="43" spans="2:8" ht="20.25" customHeight="1" x14ac:dyDescent="0.25">
      <c r="B43" s="551" t="s">
        <v>297</v>
      </c>
      <c r="C43" s="552"/>
      <c r="D43" s="552"/>
      <c r="E43" s="552"/>
      <c r="F43" s="552"/>
      <c r="G43" s="552"/>
      <c r="H43" s="553"/>
    </row>
    <row r="44" spans="2:8" ht="15" customHeight="1" x14ac:dyDescent="0.25">
      <c r="B44" s="551" t="s">
        <v>298</v>
      </c>
      <c r="C44" s="552"/>
      <c r="D44" s="552"/>
      <c r="E44" s="552"/>
      <c r="F44" s="552"/>
      <c r="G44" s="552"/>
      <c r="H44" s="553"/>
    </row>
    <row r="45" spans="2:8" ht="15.75" thickBot="1" x14ac:dyDescent="0.3">
      <c r="B45" s="100"/>
      <c r="C45" s="101"/>
      <c r="D45" s="101"/>
      <c r="E45" s="101"/>
      <c r="F45" s="101"/>
      <c r="G45" s="101"/>
      <c r="H45" s="102"/>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560" t="s">
        <v>251</v>
      </c>
      <c r="C2" s="561" t="s">
        <v>205</v>
      </c>
      <c r="D2" s="562"/>
      <c r="E2" s="562"/>
      <c r="F2" s="562"/>
      <c r="G2" s="562"/>
      <c r="H2" s="562"/>
      <c r="I2" s="562"/>
      <c r="J2" s="267" t="s">
        <v>250</v>
      </c>
      <c r="K2" s="256"/>
    </row>
    <row r="3" spans="2:11" ht="15" customHeight="1" x14ac:dyDescent="0.25">
      <c r="B3" s="514"/>
      <c r="C3" s="563"/>
      <c r="D3" s="564"/>
      <c r="E3" s="564"/>
      <c r="F3" s="564"/>
      <c r="G3" s="564"/>
      <c r="H3" s="564"/>
      <c r="I3" s="564"/>
      <c r="J3" s="268" t="s">
        <v>264</v>
      </c>
      <c r="K3" s="258"/>
    </row>
    <row r="4" spans="2:11" ht="15" customHeight="1" x14ac:dyDescent="0.25">
      <c r="B4" s="514"/>
      <c r="C4" s="563"/>
      <c r="D4" s="564"/>
      <c r="E4" s="564"/>
      <c r="F4" s="564"/>
      <c r="G4" s="564"/>
      <c r="H4" s="564"/>
      <c r="I4" s="564"/>
      <c r="J4" s="268" t="s">
        <v>263</v>
      </c>
      <c r="K4" s="258" t="s">
        <v>263</v>
      </c>
    </row>
    <row r="5" spans="2:11" ht="15" customHeight="1" thickBot="1" x14ac:dyDescent="0.3">
      <c r="B5" s="515"/>
      <c r="C5" s="565"/>
      <c r="D5" s="566"/>
      <c r="E5" s="566"/>
      <c r="F5" s="566"/>
      <c r="G5" s="566"/>
      <c r="H5" s="566"/>
      <c r="I5" s="566"/>
      <c r="J5" s="269" t="s">
        <v>245</v>
      </c>
      <c r="K5" s="260" t="s">
        <v>245</v>
      </c>
    </row>
    <row r="6" spans="2:11" ht="15.75" thickBot="1" x14ac:dyDescent="0.3"/>
    <row r="7" spans="2:11" customFormat="1" ht="15.75" thickBot="1" x14ac:dyDescent="0.3">
      <c r="B7" s="567" t="s">
        <v>246</v>
      </c>
      <c r="C7" s="568"/>
      <c r="D7" s="569" t="s">
        <v>252</v>
      </c>
      <c r="E7" s="570"/>
      <c r="F7" s="569" t="s">
        <v>253</v>
      </c>
      <c r="G7" s="571"/>
      <c r="H7" s="571"/>
      <c r="I7" s="571"/>
      <c r="J7" s="571"/>
      <c r="K7" s="572"/>
    </row>
    <row r="8" spans="2:11" customFormat="1" ht="18" customHeight="1" thickBot="1" x14ac:dyDescent="0.3">
      <c r="B8" s="573"/>
      <c r="C8" s="574"/>
      <c r="D8" s="575">
        <v>1</v>
      </c>
      <c r="E8" s="576"/>
      <c r="F8" s="577"/>
      <c r="G8" s="577"/>
      <c r="H8" s="577"/>
      <c r="I8" s="577"/>
      <c r="J8" s="577"/>
      <c r="K8" s="578"/>
    </row>
    <row r="9" spans="2:11" customFormat="1" ht="18" customHeight="1" thickBot="1" x14ac:dyDescent="0.3">
      <c r="B9" s="573"/>
      <c r="C9" s="574"/>
      <c r="D9" s="575">
        <v>2</v>
      </c>
      <c r="E9" s="576"/>
      <c r="F9" s="577"/>
      <c r="G9" s="577"/>
      <c r="H9" s="577"/>
      <c r="I9" s="577"/>
      <c r="J9" s="577"/>
      <c r="K9" s="578"/>
    </row>
    <row r="10" spans="2:11" customFormat="1" ht="18" customHeight="1" thickBot="1" x14ac:dyDescent="0.3">
      <c r="B10" s="573"/>
      <c r="C10" s="574"/>
      <c r="D10" s="575">
        <v>3</v>
      </c>
      <c r="E10" s="576"/>
      <c r="F10" s="577"/>
      <c r="G10" s="577"/>
      <c r="H10" s="577"/>
      <c r="I10" s="577"/>
      <c r="J10" s="577"/>
      <c r="K10" s="578"/>
    </row>
    <row r="11" spans="2:11" customFormat="1" ht="18" customHeight="1" thickBot="1" x14ac:dyDescent="0.3">
      <c r="B11" s="573"/>
      <c r="C11" s="574"/>
      <c r="D11" s="575">
        <v>4</v>
      </c>
      <c r="E11" s="576"/>
      <c r="F11" s="577"/>
      <c r="G11" s="577"/>
      <c r="H11" s="577"/>
      <c r="I11" s="577"/>
      <c r="J11" s="577"/>
      <c r="K11" s="578"/>
    </row>
    <row r="12" spans="2:11" customFormat="1" ht="18" customHeight="1" thickBot="1" x14ac:dyDescent="0.3">
      <c r="B12" s="573"/>
      <c r="C12" s="574"/>
      <c r="D12" s="575">
        <v>5</v>
      </c>
      <c r="E12" s="576"/>
      <c r="F12" s="577"/>
      <c r="G12" s="577"/>
      <c r="H12" s="577"/>
      <c r="I12" s="577"/>
      <c r="J12" s="577"/>
      <c r="K12" s="578"/>
    </row>
    <row r="13" spans="2:11" customFormat="1" ht="18" customHeight="1" thickBot="1" x14ac:dyDescent="0.3">
      <c r="B13" s="573"/>
      <c r="C13" s="574"/>
      <c r="D13" s="575">
        <v>6</v>
      </c>
      <c r="E13" s="576"/>
      <c r="F13" s="577"/>
      <c r="G13" s="577"/>
      <c r="H13" s="577"/>
      <c r="I13" s="577"/>
      <c r="J13" s="577"/>
      <c r="K13" s="578"/>
    </row>
    <row r="14" spans="2:11" customFormat="1" ht="18" customHeight="1" thickBot="1" x14ac:dyDescent="0.3">
      <c r="B14" s="573"/>
      <c r="C14" s="574"/>
      <c r="D14" s="575">
        <v>7</v>
      </c>
      <c r="E14" s="576"/>
      <c r="F14" s="577"/>
      <c r="G14" s="577"/>
      <c r="H14" s="577"/>
      <c r="I14" s="577"/>
      <c r="J14" s="577"/>
      <c r="K14" s="578"/>
    </row>
    <row r="15" spans="2:11" customFormat="1" ht="18" customHeight="1" thickBot="1" x14ac:dyDescent="0.3">
      <c r="B15" s="573">
        <v>45352</v>
      </c>
      <c r="C15" s="574"/>
      <c r="D15" s="575">
        <v>8</v>
      </c>
      <c r="E15" s="576"/>
      <c r="F15" s="577" t="s">
        <v>265</v>
      </c>
      <c r="G15" s="577"/>
      <c r="H15" s="577"/>
      <c r="I15" s="577"/>
      <c r="J15" s="577"/>
      <c r="K15" s="578"/>
    </row>
    <row r="16" spans="2:11" customFormat="1" ht="15.75" customHeight="1" thickBot="1" x14ac:dyDescent="0.3">
      <c r="B16" s="579"/>
      <c r="C16" s="579"/>
      <c r="D16" s="579"/>
      <c r="E16" s="579"/>
      <c r="F16" s="579"/>
      <c r="G16" s="579"/>
      <c r="H16" s="579"/>
      <c r="I16" s="579"/>
      <c r="J16" s="579"/>
      <c r="K16" s="579"/>
    </row>
    <row r="17" spans="2:12" customFormat="1" ht="15.75" customHeight="1" thickBot="1" x14ac:dyDescent="0.3">
      <c r="B17" s="580" t="s">
        <v>254</v>
      </c>
      <c r="C17" s="581"/>
      <c r="D17" s="581"/>
      <c r="E17" s="582"/>
      <c r="F17" s="583" t="s">
        <v>255</v>
      </c>
      <c r="G17" s="584"/>
      <c r="H17" s="585"/>
      <c r="I17" s="586" t="s">
        <v>256</v>
      </c>
      <c r="J17" s="587"/>
      <c r="K17" s="582"/>
    </row>
    <row r="18" spans="2:12" customFormat="1" ht="27" customHeight="1" x14ac:dyDescent="0.25">
      <c r="B18" s="588"/>
      <c r="C18" s="589"/>
      <c r="D18" s="589"/>
      <c r="E18" s="589"/>
      <c r="F18" s="589"/>
      <c r="G18" s="589"/>
      <c r="H18" s="589"/>
      <c r="I18" s="590"/>
      <c r="J18" s="590"/>
      <c r="K18" s="591"/>
    </row>
    <row r="19" spans="2:12" customFormat="1" ht="15" customHeight="1" x14ac:dyDescent="0.25">
      <c r="B19" s="593" t="s">
        <v>257</v>
      </c>
      <c r="C19" s="594"/>
      <c r="D19" s="594"/>
      <c r="E19" s="594"/>
      <c r="F19" s="595" t="s">
        <v>258</v>
      </c>
      <c r="G19" s="595"/>
      <c r="H19" s="596"/>
      <c r="I19" s="595" t="s">
        <v>258</v>
      </c>
      <c r="J19" s="595"/>
      <c r="K19" s="596"/>
    </row>
    <row r="20" spans="2:12" customFormat="1" ht="22.5" customHeight="1" thickBot="1" x14ac:dyDescent="0.3">
      <c r="B20" s="597" t="s">
        <v>259</v>
      </c>
      <c r="C20" s="598"/>
      <c r="D20" s="598"/>
      <c r="E20" s="598"/>
      <c r="F20" s="598" t="s">
        <v>260</v>
      </c>
      <c r="G20" s="598"/>
      <c r="H20" s="599"/>
      <c r="I20" s="598" t="s">
        <v>260</v>
      </c>
      <c r="J20" s="598"/>
      <c r="K20" s="599"/>
    </row>
    <row r="21" spans="2:12" customFormat="1" ht="9" customHeight="1" thickBot="1" x14ac:dyDescent="0.3">
      <c r="B21" s="600"/>
      <c r="C21" s="600"/>
      <c r="D21" s="600"/>
      <c r="E21" s="600"/>
      <c r="F21" s="600"/>
      <c r="G21" s="600"/>
      <c r="H21" s="600"/>
      <c r="I21" s="600"/>
      <c r="J21" s="600"/>
      <c r="K21" s="600"/>
    </row>
    <row r="22" spans="2:12" customFormat="1" ht="15.75" thickBot="1" x14ac:dyDescent="0.3">
      <c r="B22" s="601" t="s">
        <v>207</v>
      </c>
      <c r="C22" s="602"/>
      <c r="D22" s="603"/>
      <c r="E22" s="131" t="s">
        <v>208</v>
      </c>
      <c r="F22" s="601" t="s">
        <v>209</v>
      </c>
      <c r="G22" s="603"/>
      <c r="H22" s="132" t="s">
        <v>210</v>
      </c>
      <c r="I22" s="601" t="s">
        <v>211</v>
      </c>
      <c r="J22" s="603"/>
      <c r="K22" s="133">
        <v>1</v>
      </c>
    </row>
    <row r="23" spans="2:12" ht="8.25" customHeight="1" x14ac:dyDescent="0.25"/>
    <row r="24" spans="2:12" x14ac:dyDescent="0.25">
      <c r="B24" s="592" t="s">
        <v>261</v>
      </c>
      <c r="C24" s="592"/>
      <c r="D24" s="592"/>
      <c r="E24" s="592"/>
      <c r="F24" s="592"/>
      <c r="G24" s="592"/>
      <c r="H24" s="592"/>
      <c r="I24" s="592"/>
      <c r="J24" s="592"/>
      <c r="K24" s="592"/>
      <c r="L24" s="592"/>
    </row>
    <row r="25" spans="2:12" x14ac:dyDescent="0.25">
      <c r="B25" s="592" t="s">
        <v>262</v>
      </c>
      <c r="C25" s="592"/>
      <c r="D25" s="592"/>
      <c r="E25" s="592"/>
      <c r="F25" s="592"/>
      <c r="G25" s="592"/>
      <c r="H25" s="592"/>
      <c r="I25" s="592"/>
      <c r="J25" s="592"/>
      <c r="K25" s="592"/>
      <c r="L25" s="592"/>
    </row>
    <row r="26" spans="2:12" ht="9" customHeight="1" x14ac:dyDescent="0.25"/>
  </sheetData>
  <mergeCells count="52">
    <mergeCell ref="F11:K11"/>
    <mergeCell ref="B12:C12"/>
    <mergeCell ref="D12:E12"/>
    <mergeCell ref="F12:K12"/>
    <mergeCell ref="B14:C14"/>
    <mergeCell ref="D14:E14"/>
    <mergeCell ref="F14:K14"/>
    <mergeCell ref="D13:E13"/>
    <mergeCell ref="F13:K13"/>
    <mergeCell ref="B11:C11"/>
    <mergeCell ref="D11:E11"/>
    <mergeCell ref="B25:L25"/>
    <mergeCell ref="B19:E19"/>
    <mergeCell ref="F19:H19"/>
    <mergeCell ref="I19:K19"/>
    <mergeCell ref="B20:E20"/>
    <mergeCell ref="F20:H20"/>
    <mergeCell ref="I20:K20"/>
    <mergeCell ref="B21:K21"/>
    <mergeCell ref="B22:D22"/>
    <mergeCell ref="F22:G22"/>
    <mergeCell ref="I22:J22"/>
    <mergeCell ref="B24:L24"/>
    <mergeCell ref="B16:K16"/>
    <mergeCell ref="B17:E17"/>
    <mergeCell ref="F17:H17"/>
    <mergeCell ref="I17:K17"/>
    <mergeCell ref="B18:E18"/>
    <mergeCell ref="F18:H18"/>
    <mergeCell ref="I18:K18"/>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2:B5"/>
    <mergeCell ref="C2:I5"/>
    <mergeCell ref="J2:K2"/>
    <mergeCell ref="J3:K3"/>
    <mergeCell ref="J4:K4"/>
    <mergeCell ref="J5:K5"/>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604" t="s">
        <v>54</v>
      </c>
      <c r="C1" s="604"/>
      <c r="D1" s="604"/>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605" t="s">
        <v>62</v>
      </c>
      <c r="C1" s="605"/>
      <c r="D1" s="605"/>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67.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e" cm="1">
        <f t="array" aca="1" ref="B221:B223" ca="1">_xlfn.UNIQUE(Tabla1[[#All],[Criterios]])</f>
        <v>#NAME?</v>
      </c>
      <c r="C221" s="18"/>
      <c r="E221" t="s">
        <v>117</v>
      </c>
      <c r="F221" t="str">
        <f t="shared" si="0"/>
        <v xml:space="preserve">     El riesgo afecta la imagen de la entidad a nivel nacional, con efecto publicitarios sostenible a nivel país</v>
      </c>
    </row>
    <row r="222" spans="1:8" x14ac:dyDescent="0.25">
      <c r="A222" s="69"/>
      <c r="B222" s="18" t="e">
        <f ca="1"/>
        <v>#NAME?</v>
      </c>
      <c r="C222" s="18"/>
    </row>
    <row r="223" spans="1:8" x14ac:dyDescent="0.25">
      <c r="B223" s="18" t="e">
        <f ca="1"/>
        <v>#NAME?</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606" t="s">
        <v>77</v>
      </c>
      <c r="C1" s="607"/>
      <c r="D1" s="607"/>
      <c r="E1" s="607"/>
      <c r="F1" s="608"/>
    </row>
    <row r="2" spans="2:6" ht="16.5" thickBot="1" x14ac:dyDescent="0.3">
      <c r="B2" s="75"/>
      <c r="C2" s="75"/>
      <c r="D2" s="75"/>
      <c r="E2" s="75"/>
      <c r="F2" s="75"/>
    </row>
    <row r="3" spans="2:6" ht="16.5" thickBot="1" x14ac:dyDescent="0.25">
      <c r="B3" s="610" t="s">
        <v>63</v>
      </c>
      <c r="C3" s="611"/>
      <c r="D3" s="611"/>
      <c r="E3" s="87" t="s">
        <v>64</v>
      </c>
      <c r="F3" s="88" t="s">
        <v>65</v>
      </c>
    </row>
    <row r="4" spans="2:6" ht="31.5" x14ac:dyDescent="0.2">
      <c r="B4" s="612" t="s">
        <v>66</v>
      </c>
      <c r="C4" s="614" t="s">
        <v>13</v>
      </c>
      <c r="D4" s="76" t="s">
        <v>14</v>
      </c>
      <c r="E4" s="77" t="s">
        <v>67</v>
      </c>
      <c r="F4" s="78">
        <v>0.25</v>
      </c>
    </row>
    <row r="5" spans="2:6" ht="47.25" x14ac:dyDescent="0.2">
      <c r="B5" s="613"/>
      <c r="C5" s="615"/>
      <c r="D5" s="79" t="s">
        <v>15</v>
      </c>
      <c r="E5" s="80" t="s">
        <v>68</v>
      </c>
      <c r="F5" s="81">
        <v>0.15</v>
      </c>
    </row>
    <row r="6" spans="2:6" ht="47.25" x14ac:dyDescent="0.2">
      <c r="B6" s="613"/>
      <c r="C6" s="615"/>
      <c r="D6" s="79" t="s">
        <v>16</v>
      </c>
      <c r="E6" s="80" t="s">
        <v>69</v>
      </c>
      <c r="F6" s="81">
        <v>0.1</v>
      </c>
    </row>
    <row r="7" spans="2:6" ht="63" x14ac:dyDescent="0.2">
      <c r="B7" s="613"/>
      <c r="C7" s="615" t="s">
        <v>17</v>
      </c>
      <c r="D7" s="79" t="s">
        <v>10</v>
      </c>
      <c r="E7" s="80" t="s">
        <v>70</v>
      </c>
      <c r="F7" s="81">
        <v>0.25</v>
      </c>
    </row>
    <row r="8" spans="2:6" ht="31.5" x14ac:dyDescent="0.2">
      <c r="B8" s="613"/>
      <c r="C8" s="615"/>
      <c r="D8" s="79" t="s">
        <v>9</v>
      </c>
      <c r="E8" s="80" t="s">
        <v>71</v>
      </c>
      <c r="F8" s="81">
        <v>0.15</v>
      </c>
    </row>
    <row r="9" spans="2:6" ht="47.25" x14ac:dyDescent="0.2">
      <c r="B9" s="613" t="s">
        <v>158</v>
      </c>
      <c r="C9" s="615" t="s">
        <v>18</v>
      </c>
      <c r="D9" s="79" t="s">
        <v>19</v>
      </c>
      <c r="E9" s="80" t="s">
        <v>72</v>
      </c>
      <c r="F9" s="82" t="s">
        <v>73</v>
      </c>
    </row>
    <row r="10" spans="2:6" ht="63" x14ac:dyDescent="0.2">
      <c r="B10" s="613"/>
      <c r="C10" s="615"/>
      <c r="D10" s="79" t="s">
        <v>20</v>
      </c>
      <c r="E10" s="80" t="s">
        <v>74</v>
      </c>
      <c r="F10" s="82" t="s">
        <v>73</v>
      </c>
    </row>
    <row r="11" spans="2:6" ht="47.25" x14ac:dyDescent="0.2">
      <c r="B11" s="613"/>
      <c r="C11" s="615" t="s">
        <v>21</v>
      </c>
      <c r="D11" s="79" t="s">
        <v>22</v>
      </c>
      <c r="E11" s="80" t="s">
        <v>75</v>
      </c>
      <c r="F11" s="82" t="s">
        <v>73</v>
      </c>
    </row>
    <row r="12" spans="2:6" ht="47.25" x14ac:dyDescent="0.2">
      <c r="B12" s="613"/>
      <c r="C12" s="615"/>
      <c r="D12" s="79" t="s">
        <v>23</v>
      </c>
      <c r="E12" s="80" t="s">
        <v>76</v>
      </c>
      <c r="F12" s="82" t="s">
        <v>73</v>
      </c>
    </row>
    <row r="13" spans="2:6" ht="31.5" x14ac:dyDescent="0.2">
      <c r="B13" s="613"/>
      <c r="C13" s="615" t="s">
        <v>24</v>
      </c>
      <c r="D13" s="79" t="s">
        <v>118</v>
      </c>
      <c r="E13" s="80" t="s">
        <v>121</v>
      </c>
      <c r="F13" s="82" t="s">
        <v>73</v>
      </c>
    </row>
    <row r="14" spans="2:6" ht="32.25" thickBot="1" x14ac:dyDescent="0.25">
      <c r="B14" s="616"/>
      <c r="C14" s="617"/>
      <c r="D14" s="83" t="s">
        <v>119</v>
      </c>
      <c r="E14" s="84" t="s">
        <v>120</v>
      </c>
      <c r="F14" s="85" t="s">
        <v>73</v>
      </c>
    </row>
    <row r="15" spans="2:6" ht="49.5" customHeight="1" x14ac:dyDescent="0.2">
      <c r="B15" s="609" t="s">
        <v>155</v>
      </c>
      <c r="C15" s="609"/>
      <c r="D15" s="609"/>
      <c r="E15" s="609"/>
      <c r="F15" s="609"/>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82" t="s">
        <v>244</v>
      </c>
      <c r="C2" s="283"/>
      <c r="D2" s="270" t="s">
        <v>300</v>
      </c>
      <c r="E2" s="267" t="s">
        <v>377</v>
      </c>
      <c r="F2" s="256"/>
    </row>
    <row r="3" spans="1:8" ht="19.5" customHeight="1" x14ac:dyDescent="0.25">
      <c r="B3" s="251"/>
      <c r="C3" s="284"/>
      <c r="D3" s="271"/>
      <c r="E3" s="268" t="s">
        <v>264</v>
      </c>
      <c r="F3" s="258"/>
    </row>
    <row r="4" spans="1:8" ht="19.5" customHeight="1" x14ac:dyDescent="0.25">
      <c r="B4" s="251"/>
      <c r="C4" s="284"/>
      <c r="D4" s="271"/>
      <c r="E4" s="268" t="s">
        <v>389</v>
      </c>
      <c r="F4" s="258"/>
    </row>
    <row r="5" spans="1:8" ht="19.5" customHeight="1" thickBot="1" x14ac:dyDescent="0.3">
      <c r="A5" t="s">
        <v>266</v>
      </c>
      <c r="B5" s="253"/>
      <c r="C5" s="285"/>
      <c r="D5" s="272"/>
      <c r="E5" s="269" t="s">
        <v>245</v>
      </c>
      <c r="F5" s="260"/>
    </row>
    <row r="6" spans="1:8" ht="15.75" thickBot="1" x14ac:dyDescent="0.3"/>
    <row r="7" spans="1:8" x14ac:dyDescent="0.25">
      <c r="B7" s="273" t="s">
        <v>299</v>
      </c>
      <c r="C7" s="276" t="s">
        <v>268</v>
      </c>
      <c r="D7" s="277"/>
      <c r="E7" s="263" t="s">
        <v>270</v>
      </c>
      <c r="F7" s="264"/>
    </row>
    <row r="8" spans="1:8" ht="15.75" thickBot="1" x14ac:dyDescent="0.3">
      <c r="B8" s="274"/>
      <c r="C8" s="278"/>
      <c r="D8" s="279"/>
      <c r="E8" s="265"/>
      <c r="F8" s="266"/>
      <c r="H8" s="156">
        <f>+COUNTA($E$10:$E$28)</f>
        <v>0</v>
      </c>
    </row>
    <row r="9" spans="1:8" ht="15.75" thickBot="1" x14ac:dyDescent="0.3">
      <c r="B9" s="275"/>
      <c r="C9" s="280" t="s">
        <v>269</v>
      </c>
      <c r="D9" s="281"/>
      <c r="E9" s="153" t="s">
        <v>271</v>
      </c>
      <c r="F9" s="153" t="s">
        <v>272</v>
      </c>
      <c r="H9" s="156">
        <f>+COUNTA($F$10:$F$28)</f>
        <v>0</v>
      </c>
    </row>
    <row r="10" spans="1:8" ht="15.75" thickBot="1" x14ac:dyDescent="0.3">
      <c r="B10" s="152">
        <v>1</v>
      </c>
      <c r="C10" s="261" t="s">
        <v>273</v>
      </c>
      <c r="D10" s="262"/>
      <c r="E10" s="148"/>
      <c r="F10" s="149"/>
      <c r="H10" s="156">
        <f>+COUNTA($E$10:$E$28)-COUNTA(F10:F28)</f>
        <v>0</v>
      </c>
    </row>
    <row r="11" spans="1:8" ht="15.75" thickBot="1" x14ac:dyDescent="0.3">
      <c r="B11" s="152">
        <v>2</v>
      </c>
      <c r="C11" s="261" t="s">
        <v>275</v>
      </c>
      <c r="D11" s="262" t="s">
        <v>275</v>
      </c>
      <c r="E11" s="148"/>
      <c r="F11" s="149"/>
      <c r="H11" s="157"/>
    </row>
    <row r="12" spans="1:8" ht="15.75" thickBot="1" x14ac:dyDescent="0.3">
      <c r="B12" s="152">
        <v>3</v>
      </c>
      <c r="C12" s="261" t="s">
        <v>276</v>
      </c>
      <c r="D12" s="262" t="s">
        <v>276</v>
      </c>
      <c r="E12" s="148"/>
      <c r="F12" s="149"/>
    </row>
    <row r="13" spans="1:8" ht="15.75" thickBot="1" x14ac:dyDescent="0.3">
      <c r="B13" s="152">
        <v>4</v>
      </c>
      <c r="C13" s="261" t="s">
        <v>388</v>
      </c>
      <c r="D13" s="262" t="s">
        <v>277</v>
      </c>
      <c r="E13" s="148"/>
      <c r="F13" s="149"/>
    </row>
    <row r="14" spans="1:8" ht="15.75" thickBot="1" x14ac:dyDescent="0.3">
      <c r="B14" s="152">
        <v>5</v>
      </c>
      <c r="C14" s="261" t="s">
        <v>278</v>
      </c>
      <c r="D14" s="262" t="s">
        <v>278</v>
      </c>
      <c r="E14" s="148"/>
      <c r="F14" s="149"/>
    </row>
    <row r="15" spans="1:8" ht="15.75" thickBot="1" x14ac:dyDescent="0.3">
      <c r="B15" s="152">
        <v>6</v>
      </c>
      <c r="C15" s="261" t="s">
        <v>279</v>
      </c>
      <c r="D15" s="262" t="s">
        <v>279</v>
      </c>
      <c r="E15" s="148"/>
      <c r="F15" s="149"/>
    </row>
    <row r="16" spans="1:8" ht="15.75" thickBot="1" x14ac:dyDescent="0.3">
      <c r="B16" s="152">
        <v>7</v>
      </c>
      <c r="C16" s="261" t="s">
        <v>280</v>
      </c>
      <c r="D16" s="262" t="s">
        <v>280</v>
      </c>
      <c r="E16" s="148"/>
      <c r="F16" s="149"/>
    </row>
    <row r="17" spans="2:7" ht="28.5" customHeight="1" thickBot="1" x14ac:dyDescent="0.3">
      <c r="B17" s="152">
        <v>8</v>
      </c>
      <c r="C17" s="261" t="s">
        <v>281</v>
      </c>
      <c r="D17" s="262" t="s">
        <v>281</v>
      </c>
      <c r="E17" s="148"/>
      <c r="F17" s="149"/>
    </row>
    <row r="18" spans="2:7" ht="18.75" customHeight="1" thickBot="1" x14ac:dyDescent="0.3">
      <c r="B18" s="152">
        <v>9</v>
      </c>
      <c r="C18" s="261" t="s">
        <v>282</v>
      </c>
      <c r="D18" s="262" t="s">
        <v>282</v>
      </c>
      <c r="E18" s="148"/>
      <c r="F18" s="149"/>
    </row>
    <row r="19" spans="2:7" ht="15.75" thickBot="1" x14ac:dyDescent="0.3">
      <c r="B19" s="152">
        <v>10</v>
      </c>
      <c r="C19" s="261" t="s">
        <v>283</v>
      </c>
      <c r="D19" s="262" t="s">
        <v>283</v>
      </c>
      <c r="E19" s="148"/>
      <c r="F19" s="149"/>
    </row>
    <row r="20" spans="2:7" ht="15.75" thickBot="1" x14ac:dyDescent="0.3">
      <c r="B20" s="152">
        <v>11</v>
      </c>
      <c r="C20" s="261" t="s">
        <v>284</v>
      </c>
      <c r="D20" s="262" t="s">
        <v>284</v>
      </c>
      <c r="E20" s="148"/>
      <c r="F20" s="149"/>
    </row>
    <row r="21" spans="2:7" ht="15.75" thickBot="1" x14ac:dyDescent="0.3">
      <c r="B21" s="152">
        <v>12</v>
      </c>
      <c r="C21" s="261" t="s">
        <v>285</v>
      </c>
      <c r="D21" s="262" t="s">
        <v>285</v>
      </c>
      <c r="E21" s="148"/>
      <c r="F21" s="149"/>
    </row>
    <row r="22" spans="2:7" ht="15.75" thickBot="1" x14ac:dyDescent="0.3">
      <c r="B22" s="152">
        <v>13</v>
      </c>
      <c r="C22" s="261" t="s">
        <v>286</v>
      </c>
      <c r="D22" s="262" t="s">
        <v>286</v>
      </c>
      <c r="E22" s="148"/>
      <c r="F22" s="149"/>
    </row>
    <row r="23" spans="2:7" ht="15.75" thickBot="1" x14ac:dyDescent="0.3">
      <c r="B23" s="152">
        <v>14</v>
      </c>
      <c r="C23" s="261" t="s">
        <v>287</v>
      </c>
      <c r="D23" s="262" t="s">
        <v>287</v>
      </c>
      <c r="E23" s="148"/>
      <c r="F23" s="149"/>
    </row>
    <row r="24" spans="2:7" ht="15.75" thickBot="1" x14ac:dyDescent="0.3">
      <c r="B24" s="152">
        <v>15</v>
      </c>
      <c r="C24" s="261" t="s">
        <v>288</v>
      </c>
      <c r="D24" s="262" t="s">
        <v>288</v>
      </c>
      <c r="E24" s="148"/>
      <c r="F24" s="149"/>
    </row>
    <row r="25" spans="2:7" ht="15.75" thickBot="1" x14ac:dyDescent="0.3">
      <c r="B25" s="152">
        <v>16</v>
      </c>
      <c r="C25" s="261" t="s">
        <v>289</v>
      </c>
      <c r="D25" s="262" t="s">
        <v>289</v>
      </c>
      <c r="E25" s="148"/>
      <c r="F25" s="149"/>
    </row>
    <row r="26" spans="2:7" ht="15.75" thickBot="1" x14ac:dyDescent="0.3">
      <c r="B26" s="152">
        <v>17</v>
      </c>
      <c r="C26" s="261" t="s">
        <v>290</v>
      </c>
      <c r="D26" s="262" t="s">
        <v>290</v>
      </c>
      <c r="E26" s="148"/>
      <c r="F26" s="149"/>
    </row>
    <row r="27" spans="2:7" ht="15.75" thickBot="1" x14ac:dyDescent="0.3">
      <c r="B27" s="152">
        <v>18</v>
      </c>
      <c r="C27" s="261" t="s">
        <v>291</v>
      </c>
      <c r="D27" s="262" t="s">
        <v>291</v>
      </c>
      <c r="E27" s="148"/>
      <c r="F27" s="149"/>
    </row>
    <row r="28" spans="2:7" ht="15.75" thickBot="1" x14ac:dyDescent="0.3">
      <c r="B28" s="152">
        <v>19</v>
      </c>
      <c r="C28" s="261" t="s">
        <v>292</v>
      </c>
      <c r="D28" s="262"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2:D12"/>
    <mergeCell ref="D2:D5"/>
    <mergeCell ref="B7:B9"/>
    <mergeCell ref="C7:D8"/>
    <mergeCell ref="C9:D9"/>
    <mergeCell ref="C11:D11"/>
    <mergeCell ref="B2:C5"/>
    <mergeCell ref="C10:D10"/>
    <mergeCell ref="E7:F8"/>
    <mergeCell ref="E2:F2"/>
    <mergeCell ref="E3:F3"/>
    <mergeCell ref="E4:F4"/>
    <mergeCell ref="E5:F5"/>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s>
  <conditionalFormatting sqref="G29">
    <cfRule type="cellIs" dxfId="32" priority="1" stopIfTrue="1" operator="equal">
      <formula>"Catastrófico"</formula>
    </cfRule>
    <cfRule type="cellIs" dxfId="31" priority="2" stopIfTrue="1" operator="equal">
      <formula>"Moderado"</formula>
    </cfRule>
    <cfRule type="cellIs" dxfId="30"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31"/>
  <sheetViews>
    <sheetView showGridLines="0" zoomScale="50" zoomScaleNormal="50" workbookViewId="0">
      <pane ySplit="10" topLeftCell="A11" activePane="bottomLeft" state="frozen"/>
      <selection pane="bottomLeft"/>
    </sheetView>
  </sheetViews>
  <sheetFormatPr baseColWidth="10" defaultColWidth="11.42578125" defaultRowHeight="14.25" x14ac:dyDescent="0.2"/>
  <cols>
    <col min="1" max="1" width="11.42578125" style="181"/>
    <col min="2" max="2" width="3" style="181" customWidth="1"/>
    <col min="3" max="3" width="2.5703125" style="181" customWidth="1"/>
    <col min="4" max="4" width="4.7109375" style="182" customWidth="1"/>
    <col min="5" max="5" width="14.7109375" style="182" customWidth="1"/>
    <col min="6" max="6" width="15.42578125" style="182" customWidth="1"/>
    <col min="7" max="7" width="18.5703125" style="182" customWidth="1"/>
    <col min="8" max="8" width="12" style="182" customWidth="1"/>
    <col min="9" max="9" width="37" style="182" customWidth="1"/>
    <col min="10" max="10" width="16.28515625" style="182" hidden="1" customWidth="1"/>
    <col min="11" max="11" width="25.5703125" style="182" customWidth="1"/>
    <col min="12" max="12" width="57.5703125" style="181" customWidth="1"/>
    <col min="13" max="13" width="23.5703125" style="183" customWidth="1"/>
    <col min="14" max="15" width="19" style="183" customWidth="1"/>
    <col min="16" max="16" width="17.7109375" style="181" customWidth="1"/>
    <col min="17" max="17" width="16.42578125" style="181" customWidth="1"/>
    <col min="18" max="18" width="6.28515625" style="181" bestFit="1" customWidth="1"/>
    <col min="19" max="19" width="34.42578125" style="181" customWidth="1"/>
    <col min="20" max="20" width="33.5703125" style="181" customWidth="1"/>
    <col min="21" max="21" width="17.42578125" style="181" customWidth="1"/>
    <col min="22" max="22" width="6.28515625" style="181" bestFit="1" customWidth="1"/>
    <col min="23" max="23" width="16" style="181" customWidth="1"/>
    <col min="24" max="24" width="5.7109375" style="181" customWidth="1"/>
    <col min="25" max="25" width="80.7109375" style="181" customWidth="1"/>
    <col min="26" max="26" width="69.5703125" style="181" customWidth="1"/>
    <col min="27" max="27" width="15.140625" style="181" bestFit="1" customWidth="1"/>
    <col min="28" max="28" width="6.7109375" style="181" customWidth="1"/>
    <col min="29" max="29" width="5" style="181" customWidth="1"/>
    <col min="30" max="30" width="5.42578125" style="181" customWidth="1"/>
    <col min="31" max="31" width="7.140625" style="181" customWidth="1"/>
    <col min="32" max="32" width="6.7109375" style="181" customWidth="1"/>
    <col min="33" max="33" width="7.42578125" style="181" customWidth="1"/>
    <col min="34" max="34" width="64.28515625" style="181" customWidth="1"/>
    <col min="35" max="35" width="13.7109375" style="181" customWidth="1"/>
    <col min="36" max="36" width="8.7109375" style="181" customWidth="1"/>
    <col min="37" max="37" width="10.42578125" style="181" customWidth="1"/>
    <col min="38" max="38" width="9.28515625" style="181" customWidth="1"/>
    <col min="39" max="39" width="9.140625" style="181" customWidth="1"/>
    <col min="40" max="40" width="8.42578125" style="181" customWidth="1"/>
    <col min="41" max="41" width="7.28515625" style="181" customWidth="1"/>
    <col min="42" max="42" width="33.85546875" style="181" customWidth="1"/>
    <col min="43" max="43" width="28.42578125" style="181" customWidth="1"/>
    <col min="44" max="44" width="16.7109375" style="181" customWidth="1"/>
    <col min="45" max="45" width="14.7109375" style="181" customWidth="1"/>
    <col min="46" max="46" width="18.42578125" style="181" customWidth="1"/>
    <col min="47" max="47" width="21" style="181" customWidth="1"/>
    <col min="48" max="48" width="14.140625" style="181" customWidth="1"/>
    <col min="49" max="49" width="17.7109375" style="181" customWidth="1"/>
    <col min="50" max="51" width="20.7109375" style="181" customWidth="1"/>
    <col min="52" max="52" width="15.42578125" style="181" customWidth="1"/>
    <col min="53" max="53" width="19.5703125" style="181" customWidth="1"/>
    <col min="54" max="54" width="17.28515625" style="181" customWidth="1"/>
    <col min="55" max="16384" width="11.42578125" style="181"/>
  </cols>
  <sheetData>
    <row r="1" spans="1:80" ht="15" thickBot="1" x14ac:dyDescent="0.25"/>
    <row r="2" spans="1:80" ht="27.75" customHeight="1" x14ac:dyDescent="0.2">
      <c r="D2" s="324" t="s">
        <v>301</v>
      </c>
      <c r="E2" s="325"/>
      <c r="F2" s="325"/>
      <c r="G2" s="325"/>
      <c r="H2" s="325"/>
      <c r="I2" s="330" t="s">
        <v>205</v>
      </c>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15" t="s">
        <v>377</v>
      </c>
      <c r="BB2" s="316"/>
    </row>
    <row r="3" spans="1:80" ht="27.75" customHeight="1" x14ac:dyDescent="0.2">
      <c r="D3" s="326"/>
      <c r="E3" s="327"/>
      <c r="F3" s="327"/>
      <c r="G3" s="327"/>
      <c r="H3" s="327"/>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17" t="s">
        <v>242</v>
      </c>
      <c r="BB3" s="317"/>
    </row>
    <row r="4" spans="1:80" ht="27.75" customHeight="1" x14ac:dyDescent="0.2">
      <c r="D4" s="326"/>
      <c r="E4" s="327"/>
      <c r="F4" s="327"/>
      <c r="G4" s="327"/>
      <c r="H4" s="327"/>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c r="AP4" s="330"/>
      <c r="AQ4" s="330"/>
      <c r="AR4" s="330"/>
      <c r="AS4" s="330"/>
      <c r="AT4" s="330"/>
      <c r="AU4" s="330"/>
      <c r="AV4" s="330"/>
      <c r="AW4" s="330"/>
      <c r="AX4" s="330"/>
      <c r="AY4" s="330"/>
      <c r="AZ4" s="330"/>
      <c r="BA4" s="317" t="s">
        <v>389</v>
      </c>
      <c r="BB4" s="317"/>
    </row>
    <row r="5" spans="1:80" ht="27.75" customHeight="1" thickBot="1" x14ac:dyDescent="0.25">
      <c r="D5" s="328"/>
      <c r="E5" s="329"/>
      <c r="F5" s="329"/>
      <c r="G5" s="329"/>
      <c r="H5" s="329"/>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0"/>
      <c r="AQ5" s="330"/>
      <c r="AR5" s="330"/>
      <c r="AS5" s="330"/>
      <c r="AT5" s="330"/>
      <c r="AU5" s="330"/>
      <c r="AV5" s="330"/>
      <c r="AW5" s="330"/>
      <c r="AX5" s="330"/>
      <c r="AY5" s="330"/>
      <c r="AZ5" s="330"/>
      <c r="BA5" s="317" t="s">
        <v>206</v>
      </c>
      <c r="BB5" s="317"/>
    </row>
    <row r="6" spans="1:80" ht="13.9" customHeight="1" x14ac:dyDescent="0.25">
      <c r="D6" s="119"/>
      <c r="E6" s="120"/>
      <c r="F6" s="120"/>
      <c r="G6" s="120"/>
      <c r="H6" s="120"/>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22"/>
      <c r="BB6" s="121"/>
    </row>
    <row r="7" spans="1:80" ht="26.25" customHeight="1" x14ac:dyDescent="0.2">
      <c r="D7" s="295" t="s">
        <v>42</v>
      </c>
      <c r="E7" s="296"/>
      <c r="F7" s="296"/>
      <c r="G7" s="297"/>
      <c r="H7" s="298" t="s">
        <v>398</v>
      </c>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c r="AZ7" s="299"/>
      <c r="BA7" s="299"/>
      <c r="BB7" s="300"/>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row>
    <row r="8" spans="1:80" ht="54" customHeight="1" x14ac:dyDescent="0.2">
      <c r="D8" s="295" t="s">
        <v>129</v>
      </c>
      <c r="E8" s="296"/>
      <c r="F8" s="296"/>
      <c r="G8" s="297"/>
      <c r="H8" s="298" t="s">
        <v>399</v>
      </c>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300"/>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row>
    <row r="9" spans="1:80" ht="24" customHeight="1" x14ac:dyDescent="0.2">
      <c r="D9" s="295" t="s">
        <v>43</v>
      </c>
      <c r="E9" s="296"/>
      <c r="F9" s="296"/>
      <c r="G9" s="297"/>
      <c r="H9" s="623" t="s">
        <v>400</v>
      </c>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300"/>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row>
    <row r="10" spans="1:80" s="186" customFormat="1" ht="24" customHeight="1" x14ac:dyDescent="0.2">
      <c r="D10" s="187"/>
      <c r="E10" s="188"/>
      <c r="F10" s="189"/>
      <c r="G10" s="189"/>
      <c r="H10" s="187"/>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1"/>
      <c r="AW10" s="191"/>
      <c r="AX10" s="191"/>
      <c r="AY10" s="191"/>
      <c r="AZ10" s="191"/>
      <c r="BA10" s="191"/>
      <c r="BB10" s="191"/>
    </row>
    <row r="11" spans="1:80" s="186" customFormat="1" ht="24" customHeight="1" x14ac:dyDescent="0.25">
      <c r="A11" s="293" t="s">
        <v>266</v>
      </c>
      <c r="B11" s="293"/>
      <c r="C11" s="294"/>
      <c r="D11" s="302" t="s">
        <v>304</v>
      </c>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4" t="s">
        <v>302</v>
      </c>
      <c r="AW11" s="305"/>
      <c r="AX11" s="305"/>
      <c r="AY11" s="306"/>
      <c r="AZ11" s="307" t="s">
        <v>303</v>
      </c>
      <c r="BA11" s="308"/>
      <c r="BB11" s="309"/>
    </row>
    <row r="12" spans="1:80" ht="15.75" x14ac:dyDescent="0.2">
      <c r="D12" s="312" t="s">
        <v>137</v>
      </c>
      <c r="E12" s="312"/>
      <c r="F12" s="312"/>
      <c r="G12" s="312"/>
      <c r="H12" s="312"/>
      <c r="I12" s="334"/>
      <c r="J12" s="334"/>
      <c r="K12" s="334"/>
      <c r="L12" s="334"/>
      <c r="M12" s="334"/>
      <c r="N12" s="334"/>
      <c r="O12" s="334"/>
      <c r="P12" s="334"/>
      <c r="Q12" s="334" t="s">
        <v>138</v>
      </c>
      <c r="R12" s="334"/>
      <c r="S12" s="334"/>
      <c r="T12" s="334"/>
      <c r="U12" s="334"/>
      <c r="V12" s="334"/>
      <c r="W12" s="334"/>
      <c r="X12" s="334" t="s">
        <v>139</v>
      </c>
      <c r="Y12" s="334"/>
      <c r="Z12" s="334"/>
      <c r="AA12" s="334"/>
      <c r="AB12" s="334"/>
      <c r="AC12" s="334"/>
      <c r="AD12" s="334"/>
      <c r="AE12" s="334"/>
      <c r="AF12" s="334"/>
      <c r="AG12" s="334"/>
      <c r="AH12" s="290" t="s">
        <v>18</v>
      </c>
      <c r="AI12" s="334" t="s">
        <v>140</v>
      </c>
      <c r="AJ12" s="334"/>
      <c r="AK12" s="334"/>
      <c r="AL12" s="334"/>
      <c r="AM12" s="334"/>
      <c r="AN12" s="334"/>
      <c r="AO12" s="334"/>
      <c r="AP12" s="320" t="s">
        <v>34</v>
      </c>
      <c r="AQ12" s="321"/>
      <c r="AR12" s="321"/>
      <c r="AS12" s="321"/>
      <c r="AT12" s="321"/>
      <c r="AU12" s="321"/>
      <c r="AV12" s="321"/>
      <c r="AW12" s="321"/>
      <c r="AX12" s="321"/>
      <c r="AY12" s="321"/>
      <c r="AZ12" s="321"/>
      <c r="BA12" s="321"/>
      <c r="BB12" s="321"/>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row>
    <row r="13" spans="1:80" ht="16.5" customHeight="1" x14ac:dyDescent="0.2">
      <c r="D13" s="301" t="s">
        <v>0</v>
      </c>
      <c r="E13" s="311" t="s">
        <v>311</v>
      </c>
      <c r="F13" s="192"/>
      <c r="G13" s="192"/>
      <c r="H13" s="312" t="s">
        <v>224</v>
      </c>
      <c r="I13" s="311" t="s">
        <v>307</v>
      </c>
      <c r="J13" s="193"/>
      <c r="K13" s="311" t="s">
        <v>308</v>
      </c>
      <c r="L13" s="312" t="s">
        <v>1</v>
      </c>
      <c r="M13" s="332" t="s">
        <v>49</v>
      </c>
      <c r="N13" s="288" t="s">
        <v>392</v>
      </c>
      <c r="O13" s="289"/>
      <c r="P13" s="311" t="s">
        <v>133</v>
      </c>
      <c r="Q13" s="311" t="s">
        <v>33</v>
      </c>
      <c r="R13" s="312" t="s">
        <v>5</v>
      </c>
      <c r="S13" s="311" t="s">
        <v>86</v>
      </c>
      <c r="T13" s="311" t="s">
        <v>91</v>
      </c>
      <c r="U13" s="311" t="s">
        <v>44</v>
      </c>
      <c r="V13" s="312" t="s">
        <v>5</v>
      </c>
      <c r="W13" s="311" t="s">
        <v>47</v>
      </c>
      <c r="X13" s="331" t="s">
        <v>11</v>
      </c>
      <c r="Y13" s="311" t="s">
        <v>159</v>
      </c>
      <c r="Z13" s="311" t="s">
        <v>204</v>
      </c>
      <c r="AA13" s="311" t="s">
        <v>12</v>
      </c>
      <c r="AB13" s="311" t="s">
        <v>8</v>
      </c>
      <c r="AC13" s="311"/>
      <c r="AD13" s="311"/>
      <c r="AE13" s="311"/>
      <c r="AF13" s="311"/>
      <c r="AG13" s="311"/>
      <c r="AH13" s="291"/>
      <c r="AI13" s="331" t="s">
        <v>136</v>
      </c>
      <c r="AJ13" s="331" t="s">
        <v>45</v>
      </c>
      <c r="AK13" s="331" t="s">
        <v>5</v>
      </c>
      <c r="AL13" s="331" t="s">
        <v>46</v>
      </c>
      <c r="AM13" s="331" t="s">
        <v>5</v>
      </c>
      <c r="AN13" s="331" t="s">
        <v>48</v>
      </c>
      <c r="AO13" s="331" t="s">
        <v>29</v>
      </c>
      <c r="AP13" s="311" t="s">
        <v>34</v>
      </c>
      <c r="AQ13" s="311" t="s">
        <v>35</v>
      </c>
      <c r="AR13" s="311" t="s">
        <v>36</v>
      </c>
      <c r="AS13" s="311" t="s">
        <v>37</v>
      </c>
      <c r="AT13" s="311" t="s">
        <v>212</v>
      </c>
      <c r="AU13" s="311" t="s">
        <v>38</v>
      </c>
      <c r="AV13" s="322" t="s">
        <v>37</v>
      </c>
      <c r="AW13" s="313" t="s">
        <v>213</v>
      </c>
      <c r="AX13" s="313" t="s">
        <v>38</v>
      </c>
      <c r="AY13" s="318" t="s">
        <v>243</v>
      </c>
      <c r="AZ13" s="310" t="s">
        <v>37</v>
      </c>
      <c r="BA13" s="310" t="s">
        <v>214</v>
      </c>
      <c r="BB13" s="310" t="s">
        <v>38</v>
      </c>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row>
    <row r="14" spans="1:80" s="197" customFormat="1" ht="94.5" customHeight="1" x14ac:dyDescent="0.25">
      <c r="A14" s="194"/>
      <c r="B14" s="194"/>
      <c r="C14" s="194"/>
      <c r="D14" s="301"/>
      <c r="E14" s="311"/>
      <c r="F14" s="192" t="s">
        <v>2</v>
      </c>
      <c r="G14" s="193" t="s">
        <v>317</v>
      </c>
      <c r="H14" s="312"/>
      <c r="I14" s="311"/>
      <c r="J14" s="193" t="s">
        <v>367</v>
      </c>
      <c r="K14" s="311"/>
      <c r="L14" s="312"/>
      <c r="M14" s="333"/>
      <c r="N14" s="214" t="s">
        <v>240</v>
      </c>
      <c r="O14" s="214" t="s">
        <v>241</v>
      </c>
      <c r="P14" s="311"/>
      <c r="Q14" s="311"/>
      <c r="R14" s="312"/>
      <c r="S14" s="311"/>
      <c r="T14" s="311"/>
      <c r="U14" s="312"/>
      <c r="V14" s="312"/>
      <c r="W14" s="311"/>
      <c r="X14" s="331"/>
      <c r="Y14" s="311"/>
      <c r="Z14" s="311"/>
      <c r="AA14" s="311"/>
      <c r="AB14" s="195" t="s">
        <v>13</v>
      </c>
      <c r="AC14" s="195" t="s">
        <v>17</v>
      </c>
      <c r="AD14" s="195" t="s">
        <v>28</v>
      </c>
      <c r="AE14" s="195" t="s">
        <v>18</v>
      </c>
      <c r="AF14" s="195" t="s">
        <v>21</v>
      </c>
      <c r="AG14" s="195" t="s">
        <v>24</v>
      </c>
      <c r="AH14" s="292"/>
      <c r="AI14" s="331"/>
      <c r="AJ14" s="331"/>
      <c r="AK14" s="331"/>
      <c r="AL14" s="331"/>
      <c r="AM14" s="331"/>
      <c r="AN14" s="331"/>
      <c r="AO14" s="331"/>
      <c r="AP14" s="311"/>
      <c r="AQ14" s="311"/>
      <c r="AR14" s="311"/>
      <c r="AS14" s="311"/>
      <c r="AT14" s="311"/>
      <c r="AU14" s="311"/>
      <c r="AV14" s="323"/>
      <c r="AW14" s="314"/>
      <c r="AX14" s="314"/>
      <c r="AY14" s="319"/>
      <c r="AZ14" s="310"/>
      <c r="BA14" s="310"/>
      <c r="BB14" s="310"/>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row>
    <row r="15" spans="1:80" s="198" customFormat="1" ht="172.5" customHeight="1" x14ac:dyDescent="0.25">
      <c r="D15" s="232">
        <v>1</v>
      </c>
      <c r="E15" s="232" t="s">
        <v>216</v>
      </c>
      <c r="F15" s="199" t="s">
        <v>132</v>
      </c>
      <c r="G15" s="199" t="s">
        <v>313</v>
      </c>
      <c r="H15" s="199" t="s">
        <v>227</v>
      </c>
      <c r="I15" s="220" t="s">
        <v>401</v>
      </c>
      <c r="J15" s="200"/>
      <c r="K15" s="220" t="s">
        <v>405</v>
      </c>
      <c r="L15" s="624" t="s">
        <v>406</v>
      </c>
      <c r="M15" s="200" t="s">
        <v>122</v>
      </c>
      <c r="N15" s="200" t="s">
        <v>233</v>
      </c>
      <c r="O15" s="626" t="s">
        <v>238</v>
      </c>
      <c r="P15" s="625">
        <v>15</v>
      </c>
      <c r="Q15" s="621" t="str">
        <f>IF(P15&lt;=0,"",IF(P15&lt;=2,"Muy Baja",IF(P15&lt;=24,"Baja",IF(P15&lt;=500,"Media",IF(P15&lt;=5000,"Alta","Muy Alta")))))</f>
        <v>Baja</v>
      </c>
      <c r="R15" s="622">
        <f>IF(Q15="","",IF(Q15="Muy Baja",0.2,IF(Q15="Baja",0.4,IF(Q15="Media",0.6,IF(Q15="Alta",0.8,IF(Q15="Muy Alta",1,))))))</f>
        <v>0.4</v>
      </c>
      <c r="S15" s="203" t="s">
        <v>152</v>
      </c>
      <c r="T15" s="202" t="str">
        <f ca="1">IF(NOT(ISERROR(MATCH(S15,'[2]Tabla Impacto'!$B$221:$B$223,0))),'[2]Tabla Impacto'!$F$223&amp;"Por favor no seleccionar los criterios de impacto(Afectación Económica o presupuestal y Pérdida Reputacional)",S15)</f>
        <v xml:space="preserve">     El riesgo afecta la imagen de de la entidad con efecto publicitario sostenido a nivel de sector administrativo, nivel departamental o municipal</v>
      </c>
      <c r="U15" s="223" t="str">
        <f ca="1">IF(OR(T15='[3]Tabla Impacto'!$C$11,T15='[3]Tabla Impacto'!$D$11),"Leve",IF(OR(T15='[3]Tabla Impacto'!$C$12,T15='[3]Tabla Impacto'!$D$12),"Menor",IF(OR(T15='[3]Tabla Impacto'!$C$13,T15='[3]Tabla Impacto'!$D$13),"Moderado",IF(OR(T15='[3]Tabla Impacto'!$C$14,T15='[3]Tabla Impacto'!$D$14),"Mayor",IF(OR(T15='[3]Tabla Impacto'!$C$15,T15='[3]Tabla Impacto'!$D$15),"Catastrófico","")))))</f>
        <v>Mayor</v>
      </c>
      <c r="V15" s="202">
        <f ca="1">IF(U15="","",IF(U15="Leve",0.2,IF(U15="Menor",0.4,IF(U15="Moderado",0.6,IF(U15="Mayor",0.8,IF(U15="Catastrófico",1,))))))</f>
        <v>0.8</v>
      </c>
      <c r="W15" s="201"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Alto</v>
      </c>
      <c r="X15" s="627">
        <v>1</v>
      </c>
      <c r="Y15" s="628" t="s">
        <v>413</v>
      </c>
      <c r="Z15" s="628" t="s">
        <v>414</v>
      </c>
      <c r="AA15" s="227" t="str">
        <f>IF(OR(AB15="Preventivo",AB15="Detectivo"),"Probabilidad",IF(AB15="Correctivo","Impacto",""))</f>
        <v>Probabilidad</v>
      </c>
      <c r="AB15" s="228" t="s">
        <v>14</v>
      </c>
      <c r="AC15" s="228" t="s">
        <v>9</v>
      </c>
      <c r="AD15" s="222" t="str">
        <f>IF(AND(AB15="Preventivo",AC15="Automático"),"50%",IF(AND(AB15="Preventivo",AC15="Manual"),"40%",IF(AND(AB15="Detectivo",AC15="Automático"),"40%",IF(AND(AB15="Detectivo",AC15="Manual"),"30%",IF(AND(AB15="Correctivo",AC15="Automático"),"35%",IF(AND(AB15="Correctivo",AC15="Manual"),"25%",""))))))</f>
        <v>40%</v>
      </c>
      <c r="AE15" s="228" t="s">
        <v>19</v>
      </c>
      <c r="AF15" s="228" t="s">
        <v>22</v>
      </c>
      <c r="AG15" s="228" t="s">
        <v>118</v>
      </c>
      <c r="AH15" s="632" t="s">
        <v>421</v>
      </c>
      <c r="AI15" s="229">
        <f>IFERROR(IF(AA15="Probabilidad",(R15-(+R15*AD15)),IF(AA15="Impacto",R15,"")),"")</f>
        <v>0.24</v>
      </c>
      <c r="AJ15" s="230" t="str">
        <f>IFERROR(IF(AI15="","",IF(AI15&lt;=0.2,"Muy Baja",IF(AI15&lt;=0.4,"Baja",IF(AI15&lt;=0.6,"Media",IF(AI15&lt;=0.8,"Alta","Muy Alta"))))),"")</f>
        <v>Baja</v>
      </c>
      <c r="AK15" s="222">
        <f t="shared" ref="AK15" si="0">+AI15</f>
        <v>0.24</v>
      </c>
      <c r="AL15" s="230" t="str">
        <f ca="1">IFERROR(IF(AM15="","",IF(AM15&lt;=0.2,"Leve",IF(AM15&lt;=0.4,"Menor",IF(AM15&lt;=0.6,"Moderado",IF(AM15&lt;=0.8,"Mayor","Catastrófico"))))),"")</f>
        <v>Mayor</v>
      </c>
      <c r="AM15" s="222">
        <f ca="1">IFERROR(IF(AA15="Impacto",(V15-(+V15*AD15)),IF(AA15="Probabilidad",V15,"")),"")</f>
        <v>0.8</v>
      </c>
      <c r="AN15" s="230" t="str">
        <f t="shared" ref="AN15" ca="1" si="1">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Alto</v>
      </c>
      <c r="AO15" s="228" t="s">
        <v>134</v>
      </c>
      <c r="AP15" s="225" t="s">
        <v>425</v>
      </c>
      <c r="AQ15" s="225" t="s">
        <v>426</v>
      </c>
      <c r="AR15" s="226">
        <v>45687</v>
      </c>
      <c r="AS15" s="224"/>
      <c r="AT15" s="221"/>
      <c r="AU15" s="221"/>
      <c r="AV15" s="224"/>
      <c r="AW15" s="221"/>
      <c r="AX15" s="221"/>
      <c r="AY15" s="221"/>
      <c r="AZ15" s="224"/>
      <c r="BA15" s="221"/>
      <c r="BB15" s="221"/>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row>
    <row r="16" spans="1:80" s="198" customFormat="1" ht="190.5" customHeight="1" x14ac:dyDescent="0.25">
      <c r="D16" s="199">
        <v>2</v>
      </c>
      <c r="E16" s="199" t="s">
        <v>219</v>
      </c>
      <c r="F16" s="199" t="s">
        <v>132</v>
      </c>
      <c r="G16" s="199" t="s">
        <v>313</v>
      </c>
      <c r="H16" s="199" t="s">
        <v>227</v>
      </c>
      <c r="I16" s="220" t="s">
        <v>402</v>
      </c>
      <c r="J16" s="200"/>
      <c r="K16" s="220" t="s">
        <v>407</v>
      </c>
      <c r="L16" s="624" t="s">
        <v>408</v>
      </c>
      <c r="M16" s="200" t="s">
        <v>122</v>
      </c>
      <c r="N16" s="200" t="s">
        <v>235</v>
      </c>
      <c r="O16" s="626" t="s">
        <v>235</v>
      </c>
      <c r="P16" s="625">
        <v>20</v>
      </c>
      <c r="Q16" s="621" t="str">
        <f t="shared" ref="Q16:Q17" si="2">IF(P16&lt;=0,"",IF(P16&lt;=2,"Muy Baja",IF(P16&lt;=24,"Baja",IF(P16&lt;=500,"Media",IF(P16&lt;=5000,"Alta","Muy Alta")))))</f>
        <v>Baja</v>
      </c>
      <c r="R16" s="622">
        <f t="shared" ref="R16:R18" si="3">IF(Q16="","",IF(Q16="Muy Baja",0.2,IF(Q16="Baja",0.4,IF(Q16="Media",0.6,IF(Q16="Alta",0.8,IF(Q16="Muy Alta",1,))))))</f>
        <v>0.4</v>
      </c>
      <c r="S16" s="203" t="s">
        <v>153</v>
      </c>
      <c r="T16" s="202" t="str">
        <f ca="1">IF(NOT(ISERROR(MATCH(S16,'[2]Tabla Impacto'!$B$221:$B$223,0))),'[2]Tabla Impacto'!$F$223&amp;"Por favor no seleccionar los criterios de impacto(Afectación Económica o presupuestal y Pérdida Reputacional)",S16)</f>
        <v xml:space="preserve">     El riesgo afecta la imagen de la entidad a nivel nacional, con efecto publicitarios sostenible a nivel país</v>
      </c>
      <c r="U16" s="223" t="str">
        <f ca="1">IF(OR(T16='[3]Tabla Impacto'!$C$11,T16='[3]Tabla Impacto'!$D$11),"Leve",IF(OR(T16='[3]Tabla Impacto'!$C$12,T16='[3]Tabla Impacto'!$D$12),"Menor",IF(OR(T16='[3]Tabla Impacto'!$C$13,T16='[3]Tabla Impacto'!$D$13),"Moderado",IF(OR(T16='[3]Tabla Impacto'!$C$14,T16='[3]Tabla Impacto'!$D$14),"Mayor",IF(OR(T16='[3]Tabla Impacto'!$C$15,T16='[3]Tabla Impacto'!$D$15),"Catastrófico","")))))</f>
        <v>Catastrófico</v>
      </c>
      <c r="V16" s="202">
        <f t="shared" ref="V16:V17" ca="1" si="4">IF(U16="","",IF(U16="Leve",0.2,IF(U16="Menor",0.4,IF(U16="Moderado",0.6,IF(U16="Mayor",0.8,IF(U16="Catastrófico",1,))))))</f>
        <v>1</v>
      </c>
      <c r="W16" s="201" t="str">
        <f t="shared" ref="W16:W17" ca="1" si="5">IF(OR(AND(Q16="Muy Baja",U16="Leve"),AND(Q16="Muy Baja",U16="Menor"),AND(Q16="Baja",U16="Leve")),"Bajo",IF(OR(AND(Q16="Muy baja",U16="Moderado"),AND(Q16="Baja",U16="Menor"),AND(Q16="Baja",U16="Moderado"),AND(Q16="Media",U16="Leve"),AND(Q16="Media",U16="Menor"),AND(Q16="Media",U16="Moderado"),AND(Q16="Alta",U16="Leve"),AND(Q16="Alta",U16="Menor")),"Moderado",IF(OR(AND(Q16="Muy Baja",U16="Mayor"),AND(Q16="Baja",U16="Mayor"),AND(Q16="Media",U16="Mayor"),AND(Q16="Alta",U16="Moderado"),AND(Q16="Alta",U16="Mayor"),AND(Q16="Muy Alta",U16="Leve"),AND(Q16="Muy Alta",U16="Menor"),AND(Q16="Muy Alta",U16="Moderado"),AND(Q16="Muy Alta",U16="Mayor")),"Alto",IF(OR(AND(Q16="Muy Baja",U16="Catastrófico"),AND(Q16="Baja",U16="Catastrófico"),AND(Q16="Media",U16="Catastrófico"),AND(Q16="Alta",U16="Catastrófico"),AND(Q16="Muy Alta",U16="Catastrófico")),"Extremo",""))))</f>
        <v>Extremo</v>
      </c>
      <c r="X16" s="629">
        <v>1</v>
      </c>
      <c r="Y16" s="630" t="s">
        <v>415</v>
      </c>
      <c r="Z16" s="220" t="s">
        <v>416</v>
      </c>
      <c r="AA16" s="204" t="str">
        <f t="shared" ref="AA16:AA24" si="6">IF(OR(AB16="Preventivo",AB16="Detectivo"),"Probabilidad",IF(AB16="Correctivo","Impacto",""))</f>
        <v>Probabilidad</v>
      </c>
      <c r="AB16" s="228" t="s">
        <v>14</v>
      </c>
      <c r="AC16" s="228" t="s">
        <v>9</v>
      </c>
      <c r="AD16" s="202" t="str">
        <f t="shared" ref="AD16:AD24" si="7">IF(AND(AB16="Preventivo",AC16="Automático"),"50%",IF(AND(AB16="Preventivo",AC16="Manual"),"40%",IF(AND(AB16="Detectivo",AC16="Automático"),"40%",IF(AND(AB16="Detectivo",AC16="Manual"),"30%",IF(AND(AB16="Correctivo",AC16="Automático"),"35%",IF(AND(AB16="Correctivo",AC16="Manual"),"25%",""))))))</f>
        <v>40%</v>
      </c>
      <c r="AE16" s="228" t="s">
        <v>19</v>
      </c>
      <c r="AF16" s="228" t="s">
        <v>22</v>
      </c>
      <c r="AG16" s="228" t="s">
        <v>118</v>
      </c>
      <c r="AH16" s="630" t="s">
        <v>422</v>
      </c>
      <c r="AI16" s="229">
        <f>IFERROR(IF(AA16="Probabilidad",(R16-(+R16*AD16)),IF(AA16="Impacto",R16,"")),"")</f>
        <v>0.24</v>
      </c>
      <c r="AJ16" s="206" t="str">
        <f t="shared" ref="AJ16:AJ24" si="8">IFERROR(IF(AI16="","",IF(AI16&lt;=0.2,"Muy Baja",IF(AI16&lt;=0.4,"Baja",IF(AI16&lt;=0.6,"Media",IF(AI16&lt;=0.8,"Alta","Muy Alta"))))),"")</f>
        <v>Baja</v>
      </c>
      <c r="AK16" s="202">
        <f t="shared" ref="AK16:AK24" si="9">+AI16</f>
        <v>0.24</v>
      </c>
      <c r="AL16" s="206" t="str">
        <f t="shared" ref="AL16:AL24" ca="1" si="10">IFERROR(IF(AM16="","",IF(AM16&lt;=0.2,"Leve",IF(AM16&lt;=0.4,"Menor",IF(AM16&lt;=0.6,"Moderado",IF(AM16&lt;=0.8,"Mayor","Catastrófico"))))),"")</f>
        <v>Catastrófico</v>
      </c>
      <c r="AM16" s="202">
        <f t="shared" ref="AM16:AM24" ca="1" si="11">IFERROR(IF(AA16="Impacto",(V16-(+V16*AD16)),IF(AA16="Probabilidad",V16,"")),"")</f>
        <v>1</v>
      </c>
      <c r="AN16" s="206" t="str">
        <f t="shared" ref="AN16:AN24" ca="1" si="12">IFERROR(IF(OR(AND(AJ16="Muy Baja",AL16="Leve"),AND(AJ16="Muy Baja",AL16="Menor"),AND(AJ16="Baja",AL16="Leve")),"Bajo",IF(OR(AND(AJ16="Muy baja",AL16="Moderado"),AND(AJ16="Baja",AL16="Menor"),AND(AJ16="Baja",AL16="Moderado"),AND(AJ16="Media",AL16="Leve"),AND(AJ16="Media",AL16="Menor"),AND(AJ16="Media",AL16="Moderado"),AND(AJ16="Alta",AL16="Leve"),AND(AJ16="Alta",AL16="Menor")),"Moderado",IF(OR(AND(AJ16="Muy Baja",AL16="Mayor"),AND(AJ16="Baja",AL16="Mayor"),AND(AJ16="Media",AL16="Mayor"),AND(AJ16="Alta",AL16="Moderado"),AND(AJ16="Alta",AL16="Mayor"),AND(AJ16="Muy Alta",AL16="Leve"),AND(AJ16="Muy Alta",AL16="Menor"),AND(AJ16="Muy Alta",AL16="Moderado"),AND(AJ16="Muy Alta",AL16="Mayor")),"Alto",IF(OR(AND(AJ16="Muy Baja",AL16="Catastrófico"),AND(AJ16="Baja",AL16="Catastrófico"),AND(AJ16="Media",AL16="Catastrófico"),AND(AJ16="Alta",AL16="Catastrófico"),AND(AJ16="Muy Alta",AL16="Catastrófico")),"Extremo","")))),"")</f>
        <v>Extremo</v>
      </c>
      <c r="AO16" s="205" t="s">
        <v>134</v>
      </c>
      <c r="AP16" s="220" t="s">
        <v>427</v>
      </c>
      <c r="AQ16" s="220" t="s">
        <v>428</v>
      </c>
      <c r="AR16" s="226">
        <v>45687</v>
      </c>
      <c r="AS16" s="207"/>
      <c r="AT16" s="200"/>
      <c r="AU16" s="200"/>
      <c r="AV16" s="207"/>
      <c r="AW16" s="200"/>
      <c r="AX16" s="200"/>
      <c r="AY16" s="200"/>
      <c r="AZ16" s="207"/>
      <c r="BA16" s="200"/>
      <c r="BB16" s="200"/>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row>
    <row r="17" spans="4:80" s="198" customFormat="1" ht="180" customHeight="1" x14ac:dyDescent="0.25">
      <c r="D17" s="199">
        <v>3</v>
      </c>
      <c r="E17" s="199" t="s">
        <v>219</v>
      </c>
      <c r="F17" s="199" t="s">
        <v>132</v>
      </c>
      <c r="G17" s="199" t="s">
        <v>313</v>
      </c>
      <c r="H17" s="199" t="s">
        <v>227</v>
      </c>
      <c r="I17" s="220" t="s">
        <v>403</v>
      </c>
      <c r="J17" s="200"/>
      <c r="K17" s="220" t="s">
        <v>409</v>
      </c>
      <c r="L17" s="624" t="s">
        <v>410</v>
      </c>
      <c r="M17" s="200" t="s">
        <v>122</v>
      </c>
      <c r="N17" s="200" t="s">
        <v>233</v>
      </c>
      <c r="O17" s="626" t="s">
        <v>235</v>
      </c>
      <c r="P17" s="625">
        <v>29</v>
      </c>
      <c r="Q17" s="621" t="str">
        <f t="shared" si="2"/>
        <v>Media</v>
      </c>
      <c r="R17" s="622">
        <f t="shared" si="3"/>
        <v>0.6</v>
      </c>
      <c r="S17" s="203" t="s">
        <v>152</v>
      </c>
      <c r="T17" s="202" t="str">
        <f ca="1">IF(NOT(ISERROR(MATCH(S17,'[2]Tabla Impacto'!$B$221:$B$223,0))),'[2]Tabla Impacto'!$F$223&amp;"Por favor no seleccionar los criterios de impacto(Afectación Económica o presupuestal y Pérdida Reputacional)",S17)</f>
        <v xml:space="preserve">     El riesgo afecta la imagen de de la entidad con efecto publicitario sostenido a nivel de sector administrativo, nivel departamental o municipal</v>
      </c>
      <c r="U17" s="223" t="str">
        <f ca="1">IF(OR(T17='[3]Tabla Impacto'!$C$11,T17='[3]Tabla Impacto'!$D$11),"Leve",IF(OR(T17='[3]Tabla Impacto'!$C$12,T17='[3]Tabla Impacto'!$D$12),"Menor",IF(OR(T17='[3]Tabla Impacto'!$C$13,T17='[3]Tabla Impacto'!$D$13),"Moderado",IF(OR(T17='[3]Tabla Impacto'!$C$14,T17='[3]Tabla Impacto'!$D$14),"Mayor",IF(OR(T17='[3]Tabla Impacto'!$C$15,T17='[3]Tabla Impacto'!$D$15),"Catastrófico","")))))</f>
        <v>Mayor</v>
      </c>
      <c r="V17" s="202">
        <f t="shared" ca="1" si="4"/>
        <v>0.8</v>
      </c>
      <c r="W17" s="201" t="str">
        <f t="shared" ca="1" si="5"/>
        <v>Alto</v>
      </c>
      <c r="X17" s="629">
        <v>1</v>
      </c>
      <c r="Y17" s="631" t="s">
        <v>417</v>
      </c>
      <c r="Z17" s="630" t="s">
        <v>418</v>
      </c>
      <c r="AA17" s="204" t="str">
        <f t="shared" si="6"/>
        <v>Probabilidad</v>
      </c>
      <c r="AB17" s="205" t="s">
        <v>15</v>
      </c>
      <c r="AC17" s="205" t="s">
        <v>9</v>
      </c>
      <c r="AD17" s="202" t="str">
        <f t="shared" si="7"/>
        <v>30%</v>
      </c>
      <c r="AE17" s="228" t="s">
        <v>19</v>
      </c>
      <c r="AF17" s="228" t="s">
        <v>22</v>
      </c>
      <c r="AG17" s="228" t="s">
        <v>118</v>
      </c>
      <c r="AH17" s="630" t="s">
        <v>423</v>
      </c>
      <c r="AI17" s="229">
        <f t="shared" ref="AI16:AI18" si="13">IFERROR(IF(AA17="Probabilidad",(R17-(+R17*AD17)),IF(AA17="Impacto",R17,"")),"")</f>
        <v>0.42</v>
      </c>
      <c r="AJ17" s="206" t="str">
        <f t="shared" si="8"/>
        <v>Media</v>
      </c>
      <c r="AK17" s="202">
        <f t="shared" si="9"/>
        <v>0.42</v>
      </c>
      <c r="AL17" s="206" t="str">
        <f t="shared" ref="AL17" ca="1" si="14">IFERROR(IF(AM17="","",IF(AM17&lt;=0.2,"Leve",IF(AM17&lt;=0.4,"Menor",IF(AM17&lt;=0.6,"Moderado",IF(AM17&lt;=0.8,"Mayor","Catastrófico"))))),"")</f>
        <v>Mayor</v>
      </c>
      <c r="AM17" s="202">
        <f t="shared" ref="AM17" ca="1" si="15">IFERROR(IF(AA17="Impacto",(V17-(+V17*AD17)),IF(AA17="Probabilidad",V17,"")),"")</f>
        <v>0.8</v>
      </c>
      <c r="AN17" s="206" t="str">
        <f t="shared" ref="AN17" ca="1" si="16">IFERROR(IF(OR(AND(AJ17="Muy Baja",AL17="Leve"),AND(AJ17="Muy Baja",AL17="Menor"),AND(AJ17="Baja",AL17="Leve")),"Bajo",IF(OR(AND(AJ17="Muy baja",AL17="Moderado"),AND(AJ17="Baja",AL17="Menor"),AND(AJ17="Baja",AL17="Moderado"),AND(AJ17="Media",AL17="Leve"),AND(AJ17="Media",AL17="Menor"),AND(AJ17="Media",AL17="Moderado"),AND(AJ17="Alta",AL17="Leve"),AND(AJ17="Alta",AL17="Menor")),"Moderado",IF(OR(AND(AJ17="Muy Baja",AL17="Mayor"),AND(AJ17="Baja",AL17="Mayor"),AND(AJ17="Media",AL17="Mayor"),AND(AJ17="Alta",AL17="Moderado"),AND(AJ17="Alta",AL17="Mayor"),AND(AJ17="Muy Alta",AL17="Leve"),AND(AJ17="Muy Alta",AL17="Menor"),AND(AJ17="Muy Alta",AL17="Moderado"),AND(AJ17="Muy Alta",AL17="Mayor")),"Alto",IF(OR(AND(AJ17="Muy Baja",AL17="Catastrófico"),AND(AJ17="Baja",AL17="Catastrófico"),AND(AJ17="Media",AL17="Catastrófico"),AND(AJ17="Alta",AL17="Catastrófico"),AND(AJ17="Muy Alta",AL17="Catastrófico")),"Extremo","")))),"")</f>
        <v>Alto</v>
      </c>
      <c r="AO17" s="205" t="s">
        <v>134</v>
      </c>
      <c r="AP17" s="220" t="s">
        <v>427</v>
      </c>
      <c r="AQ17" s="220" t="s">
        <v>428</v>
      </c>
      <c r="AR17" s="226">
        <v>45687</v>
      </c>
      <c r="AS17" s="207"/>
      <c r="AT17" s="200"/>
      <c r="AU17" s="200"/>
      <c r="AV17" s="207"/>
      <c r="AW17" s="200"/>
      <c r="AX17" s="200"/>
      <c r="AY17" s="200"/>
      <c r="AZ17" s="207"/>
      <c r="BA17" s="200"/>
      <c r="BB17" s="200"/>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row>
    <row r="18" spans="4:80" s="198" customFormat="1" ht="180" customHeight="1" x14ac:dyDescent="0.25">
      <c r="D18" s="199">
        <v>4</v>
      </c>
      <c r="E18" s="199" t="s">
        <v>219</v>
      </c>
      <c r="F18" s="199" t="s">
        <v>132</v>
      </c>
      <c r="G18" s="199" t="s">
        <v>313</v>
      </c>
      <c r="H18" s="199" t="s">
        <v>227</v>
      </c>
      <c r="I18" s="220" t="s">
        <v>404</v>
      </c>
      <c r="J18" s="200"/>
      <c r="K18" s="220" t="s">
        <v>411</v>
      </c>
      <c r="L18" s="624" t="s">
        <v>412</v>
      </c>
      <c r="M18" s="200" t="s">
        <v>127</v>
      </c>
      <c r="N18" s="200" t="s">
        <v>233</v>
      </c>
      <c r="O18" s="626" t="s">
        <v>235</v>
      </c>
      <c r="P18" s="625">
        <v>365</v>
      </c>
      <c r="Q18" s="201" t="str">
        <f t="shared" ref="Q18:Q24" si="17">IF(P18&lt;=0,"",IF(P18&lt;=2,"Muy Baja",IF(P18&lt;=24,"Baja",IF(P18&lt;=500,"Media",IF(P18&lt;=5000,"Alta","Muy Alta")))))</f>
        <v>Media</v>
      </c>
      <c r="R18" s="622">
        <f t="shared" si="3"/>
        <v>0.6</v>
      </c>
      <c r="S18" s="203" t="s">
        <v>152</v>
      </c>
      <c r="T18" s="202" t="str">
        <f ca="1">IF(NOT(ISERROR(MATCH(S18,'[2]Tabla Impacto'!$B$221:$B$223,0))),'[2]Tabla Impacto'!$F$223&amp;"Por favor no seleccionar los criterios de impacto(Afectación Económica o presupuestal y Pérdida Reputacional)",S18)</f>
        <v xml:space="preserve">     El riesgo afecta la imagen de de la entidad con efecto publicitario sostenido a nivel de sector administrativo, nivel departamental o municipal</v>
      </c>
      <c r="U18" s="223" t="str">
        <f ca="1">IF(OR(T18='[3]Tabla Impacto'!$C$11,T18='[3]Tabla Impacto'!$D$11),"Leve",IF(OR(T18='[3]Tabla Impacto'!$C$12,T18='[3]Tabla Impacto'!$D$12),"Menor",IF(OR(T18='[3]Tabla Impacto'!$C$13,T18='[3]Tabla Impacto'!$D$13),"Moderado",IF(OR(T18='[3]Tabla Impacto'!$C$14,T18='[3]Tabla Impacto'!$D$14),"Mayor",IF(OR(T18='[3]Tabla Impacto'!$C$15,T18='[3]Tabla Impacto'!$D$15),"Catastrófico","")))))</f>
        <v>Mayor</v>
      </c>
      <c r="V18" s="202">
        <f t="shared" ref="V18:V24" ca="1" si="18">IF(U18="","",IF(U18="Leve",0.2,IF(U18="Menor",0.4,IF(U18="Moderado",0.6,IF(U18="Mayor",0.8,IF(U18="Catastrófico",1,))))))</f>
        <v>0.8</v>
      </c>
      <c r="W18" s="201" t="str">
        <f t="shared" ref="W18:W24" ca="1" si="19">IF(OR(AND(Q18="Muy Baja",U18="Leve"),AND(Q18="Muy Baja",U18="Menor"),AND(Q18="Baja",U18="Leve")),"Bajo",IF(OR(AND(Q18="Muy baja",U18="Moderado"),AND(Q18="Baja",U18="Menor"),AND(Q18="Baja",U18="Moderado"),AND(Q18="Media",U18="Leve"),AND(Q18="Media",U18="Menor"),AND(Q18="Media",U18="Moderado"),AND(Q18="Alta",U18="Leve"),AND(Q18="Alta",U18="Menor")),"Moderado",IF(OR(AND(Q18="Muy Baja",U18="Mayor"),AND(Q18="Baja",U18="Mayor"),AND(Q18="Media",U18="Mayor"),AND(Q18="Alta",U18="Moderado"),AND(Q18="Alta",U18="Mayor"),AND(Q18="Muy Alta",U18="Leve"),AND(Q18="Muy Alta",U18="Menor"),AND(Q18="Muy Alta",U18="Moderado"),AND(Q18="Muy Alta",U18="Mayor")),"Alto",IF(OR(AND(Q18="Muy Baja",U18="Catastrófico"),AND(Q18="Baja",U18="Catastrófico"),AND(Q18="Media",U18="Catastrófico"),AND(Q18="Alta",U18="Catastrófico"),AND(Q18="Muy Alta",U18="Catastrófico")),"Extremo",""))))</f>
        <v>Alto</v>
      </c>
      <c r="X18" s="629">
        <v>1</v>
      </c>
      <c r="Y18" s="630" t="s">
        <v>419</v>
      </c>
      <c r="Z18" s="630" t="s">
        <v>420</v>
      </c>
      <c r="AA18" s="204" t="str">
        <f t="shared" si="6"/>
        <v>Probabilidad</v>
      </c>
      <c r="AB18" s="205" t="s">
        <v>15</v>
      </c>
      <c r="AC18" s="205" t="s">
        <v>9</v>
      </c>
      <c r="AD18" s="202" t="str">
        <f t="shared" si="7"/>
        <v>30%</v>
      </c>
      <c r="AE18" s="205" t="s">
        <v>19</v>
      </c>
      <c r="AF18" s="205" t="s">
        <v>22</v>
      </c>
      <c r="AG18" s="205" t="s">
        <v>118</v>
      </c>
      <c r="AH18" s="630" t="s">
        <v>424</v>
      </c>
      <c r="AI18" s="219">
        <f t="shared" si="13"/>
        <v>0.42</v>
      </c>
      <c r="AJ18" s="206" t="str">
        <f t="shared" si="8"/>
        <v>Media</v>
      </c>
      <c r="AK18" s="202">
        <f t="shared" si="9"/>
        <v>0.42</v>
      </c>
      <c r="AL18" s="206" t="str">
        <f t="shared" ca="1" si="10"/>
        <v>Mayor</v>
      </c>
      <c r="AM18" s="202">
        <f t="shared" ca="1" si="11"/>
        <v>0.8</v>
      </c>
      <c r="AN18" s="206" t="str">
        <f t="shared" ca="1" si="12"/>
        <v>Alto</v>
      </c>
      <c r="AO18" s="205" t="s">
        <v>134</v>
      </c>
      <c r="AP18" s="220" t="s">
        <v>429</v>
      </c>
      <c r="AQ18" s="220" t="s">
        <v>430</v>
      </c>
      <c r="AR18" s="231">
        <v>45687</v>
      </c>
      <c r="AS18" s="207"/>
      <c r="AT18" s="200"/>
      <c r="AU18" s="200"/>
      <c r="AV18" s="207"/>
      <c r="AW18" s="200"/>
      <c r="AX18" s="200"/>
      <c r="AY18" s="200"/>
      <c r="AZ18" s="207"/>
      <c r="BA18" s="200"/>
      <c r="BB18" s="200"/>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row>
    <row r="19" spans="4:80" s="198" customFormat="1" ht="60" hidden="1" customHeight="1" x14ac:dyDescent="0.25">
      <c r="D19" s="199">
        <v>5</v>
      </c>
      <c r="E19" s="199"/>
      <c r="F19" s="215"/>
      <c r="G19" s="215"/>
      <c r="H19" s="199"/>
      <c r="I19" s="618"/>
      <c r="J19" s="200"/>
      <c r="K19" s="618"/>
      <c r="L19" s="619"/>
      <c r="M19" s="216"/>
      <c r="N19" s="200"/>
      <c r="O19" s="200"/>
      <c r="P19" s="620"/>
      <c r="Q19" s="201" t="str">
        <f t="shared" si="17"/>
        <v/>
      </c>
      <c r="R19" s="202" t="str">
        <f t="shared" ref="R18:R24" si="20">IF(Q19="","",IF(Q19="Muy Baja",0.2,IF(Q19="Baja",0.4,IF(Q19="Media",0.6,IF(Q19="Alta",0.8,IF(Q19="Muy Alta",1,))))))</f>
        <v/>
      </c>
      <c r="S19" s="203"/>
      <c r="T19" s="622">
        <f ca="1">IF(NOT(ISERROR(MATCH(S19,'[2]Tabla Impacto'!$B$221:$B$223,0))),'[2]Tabla Impacto'!$F$223&amp;"Por favor no seleccionar los criterios de impacto(Afectación Económica o presupuestal y Pérdida Reputacional)",S19)</f>
        <v>0</v>
      </c>
      <c r="U19" s="223" t="str">
        <f ca="1">IF(OR(T19='[3]Tabla Impacto'!$C$11,T19='[3]Tabla Impacto'!$D$11),"Leve",IF(OR(T19='[3]Tabla Impacto'!$C$12,T19='[3]Tabla Impacto'!$D$12),"Menor",IF(OR(T19='[3]Tabla Impacto'!$C$13,T19='[3]Tabla Impacto'!$D$13),"Moderado",IF(OR(T19='[3]Tabla Impacto'!$C$14,T19='[3]Tabla Impacto'!$D$14),"Mayor",IF(OR(T19='[3]Tabla Impacto'!$C$15,T19='[3]Tabla Impacto'!$D$15),"Catastrófico","")))))</f>
        <v/>
      </c>
      <c r="V19" s="202" t="str">
        <f t="shared" ca="1" si="18"/>
        <v/>
      </c>
      <c r="W19" s="201" t="str">
        <f t="shared" ca="1" si="19"/>
        <v/>
      </c>
      <c r="X19" s="236"/>
      <c r="Y19" s="237"/>
      <c r="Z19" s="238"/>
      <c r="AA19" s="204" t="str">
        <f t="shared" si="6"/>
        <v/>
      </c>
      <c r="AB19" s="205"/>
      <c r="AC19" s="205"/>
      <c r="AD19" s="202" t="str">
        <f t="shared" si="7"/>
        <v/>
      </c>
      <c r="AE19" s="205"/>
      <c r="AF19" s="205"/>
      <c r="AG19" s="205"/>
      <c r="AH19" s="200"/>
      <c r="AI19" s="217" t="str">
        <f t="shared" ref="AI19" si="21">IFERROR(IF(AB19="Probabilidad",(S19-(+S19*AE19)),IF(AB19="Impacto",S19,"")),"")</f>
        <v/>
      </c>
      <c r="AJ19" s="206" t="str">
        <f t="shared" si="8"/>
        <v/>
      </c>
      <c r="AK19" s="202" t="str">
        <f t="shared" si="9"/>
        <v/>
      </c>
      <c r="AL19" s="206" t="str">
        <f t="shared" si="10"/>
        <v/>
      </c>
      <c r="AM19" s="202" t="str">
        <f t="shared" si="11"/>
        <v/>
      </c>
      <c r="AN19" s="206" t="str">
        <f t="shared" si="12"/>
        <v/>
      </c>
      <c r="AO19" s="205"/>
      <c r="AP19" s="200"/>
      <c r="AQ19" s="200"/>
      <c r="AR19" s="207"/>
      <c r="AS19" s="207"/>
      <c r="AT19" s="200"/>
      <c r="AU19" s="200"/>
      <c r="AV19" s="207"/>
      <c r="AW19" s="200"/>
      <c r="AX19" s="200"/>
      <c r="AY19" s="200"/>
      <c r="AZ19" s="207"/>
      <c r="BA19" s="200"/>
      <c r="BB19" s="200"/>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row>
    <row r="20" spans="4:80" s="198" customFormat="1" ht="60" hidden="1" customHeight="1" x14ac:dyDescent="0.25">
      <c r="D20" s="199">
        <v>6</v>
      </c>
      <c r="E20" s="199"/>
      <c r="F20" s="215"/>
      <c r="G20" s="215"/>
      <c r="H20" s="199"/>
      <c r="I20" s="233"/>
      <c r="J20" s="200"/>
      <c r="K20" s="233"/>
      <c r="L20" s="234"/>
      <c r="M20" s="216"/>
      <c r="N20" s="200"/>
      <c r="O20" s="200"/>
      <c r="P20" s="235"/>
      <c r="Q20" s="201" t="str">
        <f t="shared" si="17"/>
        <v/>
      </c>
      <c r="R20" s="202" t="str">
        <f t="shared" si="20"/>
        <v/>
      </c>
      <c r="S20" s="203"/>
      <c r="T20" s="622">
        <f ca="1">IF(NOT(ISERROR(MATCH(S20,'[2]Tabla Impacto'!$B$221:$B$223,0))),'[2]Tabla Impacto'!$F$223&amp;"Por favor no seleccionar los criterios de impacto(Afectación Económica o presupuestal y Pérdida Reputacional)",S20)</f>
        <v>0</v>
      </c>
      <c r="U20" s="223" t="str">
        <f ca="1">IF(OR(T20='[3]Tabla Impacto'!$C$11,T20='[3]Tabla Impacto'!$D$11),"Leve",IF(OR(T20='[3]Tabla Impacto'!$C$12,T20='[3]Tabla Impacto'!$D$12),"Menor",IF(OR(T20='[3]Tabla Impacto'!$C$13,T20='[3]Tabla Impacto'!$D$13),"Moderado",IF(OR(T20='[3]Tabla Impacto'!$C$14,T20='[3]Tabla Impacto'!$D$14),"Mayor",IF(OR(T20='[3]Tabla Impacto'!$C$15,T20='[3]Tabla Impacto'!$D$15),"Catastrófico","")))))</f>
        <v/>
      </c>
      <c r="V20" s="202" t="str">
        <f t="shared" ca="1" si="18"/>
        <v/>
      </c>
      <c r="W20" s="201" t="str">
        <f t="shared" ca="1" si="19"/>
        <v/>
      </c>
      <c r="X20" s="236"/>
      <c r="Y20" s="237"/>
      <c r="Z20" s="238"/>
      <c r="AA20" s="204" t="str">
        <f t="shared" si="6"/>
        <v/>
      </c>
      <c r="AB20" s="205"/>
      <c r="AC20" s="205"/>
      <c r="AD20" s="202" t="str">
        <f t="shared" si="7"/>
        <v/>
      </c>
      <c r="AE20" s="205"/>
      <c r="AF20" s="205"/>
      <c r="AG20" s="205"/>
      <c r="AH20" s="200"/>
      <c r="AI20" s="218" t="str">
        <f>IFERROR(IF(AND(AB19="Probabilidad",AB20="Probabilidad"),(AK19-(+AK19*AE20)),IF(AB20="Probabilidad",(T19-(+T19*AE20)),IF(AB20="Impacto",AK19,""))),"")</f>
        <v/>
      </c>
      <c r="AJ20" s="206" t="str">
        <f t="shared" si="8"/>
        <v/>
      </c>
      <c r="AK20" s="202" t="str">
        <f t="shared" si="9"/>
        <v/>
      </c>
      <c r="AL20" s="206" t="str">
        <f t="shared" si="10"/>
        <v/>
      </c>
      <c r="AM20" s="202" t="str">
        <f t="shared" si="11"/>
        <v/>
      </c>
      <c r="AN20" s="206" t="str">
        <f t="shared" si="12"/>
        <v/>
      </c>
      <c r="AO20" s="205"/>
      <c r="AP20" s="200"/>
      <c r="AQ20" s="200"/>
      <c r="AR20" s="207"/>
      <c r="AS20" s="207"/>
      <c r="AT20" s="200"/>
      <c r="AU20" s="200"/>
      <c r="AV20" s="207"/>
      <c r="AW20" s="200"/>
      <c r="AX20" s="200"/>
      <c r="AY20" s="200"/>
      <c r="AZ20" s="207"/>
      <c r="BA20" s="200"/>
      <c r="BB20" s="200"/>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row>
    <row r="21" spans="4:80" s="198" customFormat="1" ht="60" hidden="1" customHeight="1" x14ac:dyDescent="0.25">
      <c r="D21" s="199">
        <v>7</v>
      </c>
      <c r="E21" s="199"/>
      <c r="F21" s="215"/>
      <c r="G21" s="215"/>
      <c r="H21" s="199"/>
      <c r="I21" s="618"/>
      <c r="J21" s="200"/>
      <c r="K21" s="618"/>
      <c r="L21" s="619"/>
      <c r="M21" s="216"/>
      <c r="N21" s="200"/>
      <c r="O21" s="200"/>
      <c r="P21" s="620"/>
      <c r="Q21" s="201" t="str">
        <f t="shared" ref="Q21:Q22" si="22">IF(P21&lt;=0,"",IF(P21&lt;=2,"Muy Baja",IF(P21&lt;=24,"Baja",IF(P21&lt;=500,"Media",IF(P21&lt;=5000,"Alta","Muy Alta")))))</f>
        <v/>
      </c>
      <c r="R21" s="202" t="str">
        <f t="shared" ref="R21:R22" si="23">IF(Q21="","",IF(Q21="Muy Baja",0.2,IF(Q21="Baja",0.4,IF(Q21="Media",0.6,IF(Q21="Alta",0.8,IF(Q21="Muy Alta",1,))))))</f>
        <v/>
      </c>
      <c r="S21" s="203"/>
      <c r="T21" s="622">
        <f ca="1">IF(NOT(ISERROR(MATCH(S21,'[2]Tabla Impacto'!$B$221:$B$223,0))),'[2]Tabla Impacto'!$F$223&amp;"Por favor no seleccionar los criterios de impacto(Afectación Económica o presupuestal y Pérdida Reputacional)",S21)</f>
        <v>0</v>
      </c>
      <c r="U21" s="223" t="str">
        <f ca="1">IF(OR(T21='[3]Tabla Impacto'!$C$11,T21='[3]Tabla Impacto'!$D$11),"Leve",IF(OR(T21='[3]Tabla Impacto'!$C$12,T21='[3]Tabla Impacto'!$D$12),"Menor",IF(OR(T21='[3]Tabla Impacto'!$C$13,T21='[3]Tabla Impacto'!$D$13),"Moderado",IF(OR(T21='[3]Tabla Impacto'!$C$14,T21='[3]Tabla Impacto'!$D$14),"Mayor",IF(OR(T21='[3]Tabla Impacto'!$C$15,T21='[3]Tabla Impacto'!$D$15),"Catastrófico","")))))</f>
        <v/>
      </c>
      <c r="V21" s="202" t="str">
        <f t="shared" ref="V21:V22" ca="1" si="24">IF(U21="","",IF(U21="Leve",0.2,IF(U21="Menor",0.4,IF(U21="Moderado",0.6,IF(U21="Mayor",0.8,IF(U21="Catastrófico",1,))))))</f>
        <v/>
      </c>
      <c r="W21" s="201" t="str">
        <f t="shared" ref="W21:W22" ca="1" si="25">IF(OR(AND(Q21="Muy Baja",U21="Leve"),AND(Q21="Muy Baja",U21="Menor"),AND(Q21="Baja",U21="Leve")),"Bajo",IF(OR(AND(Q21="Muy baja",U21="Moderado"),AND(Q21="Baja",U21="Menor"),AND(Q21="Baja",U21="Moderado"),AND(Q21="Media",U21="Leve"),AND(Q21="Media",U21="Menor"),AND(Q21="Media",U21="Moderado"),AND(Q21="Alta",U21="Leve"),AND(Q21="Alta",U21="Menor")),"Moderado",IF(OR(AND(Q21="Muy Baja",U21="Mayor"),AND(Q21="Baja",U21="Mayor"),AND(Q21="Media",U21="Mayor"),AND(Q21="Alta",U21="Moderado"),AND(Q21="Alta",U21="Mayor"),AND(Q21="Muy Alta",U21="Leve"),AND(Q21="Muy Alta",U21="Menor"),AND(Q21="Muy Alta",U21="Moderado"),AND(Q21="Muy Alta",U21="Mayor")),"Alto",IF(OR(AND(Q21="Muy Baja",U21="Catastrófico"),AND(Q21="Baja",U21="Catastrófico"),AND(Q21="Media",U21="Catastrófico"),AND(Q21="Alta",U21="Catastrófico"),AND(Q21="Muy Alta",U21="Catastrófico")),"Extremo",""))))</f>
        <v/>
      </c>
      <c r="X21" s="236"/>
      <c r="Y21" s="237"/>
      <c r="Z21" s="238"/>
      <c r="AA21" s="204" t="str">
        <f t="shared" ref="AA21:AA22" si="26">IF(OR(AB21="Preventivo",AB21="Detectivo"),"Probabilidad",IF(AB21="Correctivo","Impacto",""))</f>
        <v/>
      </c>
      <c r="AB21" s="205"/>
      <c r="AC21" s="205"/>
      <c r="AD21" s="202" t="str">
        <f t="shared" ref="AD21:AD22" si="27">IF(AND(AB21="Preventivo",AC21="Automático"),"50%",IF(AND(AB21="Preventivo",AC21="Manual"),"40%",IF(AND(AB21="Detectivo",AC21="Automático"),"40%",IF(AND(AB21="Detectivo",AC21="Manual"),"30%",IF(AND(AB21="Correctivo",AC21="Automático"),"35%",IF(AND(AB21="Correctivo",AC21="Manual"),"25%",""))))))</f>
        <v/>
      </c>
      <c r="AE21" s="205"/>
      <c r="AF21" s="205"/>
      <c r="AG21" s="205"/>
      <c r="AH21" s="200"/>
      <c r="AI21" s="218" t="str">
        <f t="shared" ref="AI21:AI22" si="28">IFERROR(IF(AND(AB20="Probabilidad",AB21="Probabilidad"),(AK20-(+AK20*AE21)),IF(AB21="Probabilidad",(T20-(+T20*AE21)),IF(AB21="Impacto",AK20,""))),"")</f>
        <v/>
      </c>
      <c r="AJ21" s="206" t="str">
        <f t="shared" ref="AJ21:AJ22" si="29">IFERROR(IF(AI21="","",IF(AI21&lt;=0.2,"Muy Baja",IF(AI21&lt;=0.4,"Baja",IF(AI21&lt;=0.6,"Media",IF(AI21&lt;=0.8,"Alta","Muy Alta"))))),"")</f>
        <v/>
      </c>
      <c r="AK21" s="202" t="str">
        <f t="shared" ref="AK21:AK22" si="30">+AI21</f>
        <v/>
      </c>
      <c r="AL21" s="206" t="str">
        <f t="shared" ref="AL21:AL22" si="31">IFERROR(IF(AM21="","",IF(AM21&lt;=0.2,"Leve",IF(AM21&lt;=0.4,"Menor",IF(AM21&lt;=0.6,"Moderado",IF(AM21&lt;=0.8,"Mayor","Catastrófico"))))),"")</f>
        <v/>
      </c>
      <c r="AM21" s="202" t="str">
        <f t="shared" ref="AM21:AM22" si="32">IFERROR(IF(AA21="Impacto",(V21-(+V21*AD21)),IF(AA21="Probabilidad",V21,"")),"")</f>
        <v/>
      </c>
      <c r="AN21" s="206" t="str">
        <f t="shared" ref="AN21:AN22" si="33">IFERROR(IF(OR(AND(AJ21="Muy Baja",AL21="Leve"),AND(AJ21="Muy Baja",AL21="Menor"),AND(AJ21="Baja",AL21="Leve")),"Bajo",IF(OR(AND(AJ21="Muy baja",AL21="Moderado"),AND(AJ21="Baja",AL21="Menor"),AND(AJ21="Baja",AL21="Moderado"),AND(AJ21="Media",AL21="Leve"),AND(AJ21="Media",AL21="Menor"),AND(AJ21="Media",AL21="Moderado"),AND(AJ21="Alta",AL21="Leve"),AND(AJ21="Alta",AL21="Menor")),"Moderado",IF(OR(AND(AJ21="Muy Baja",AL21="Mayor"),AND(AJ21="Baja",AL21="Mayor"),AND(AJ21="Media",AL21="Mayor"),AND(AJ21="Alta",AL21="Moderado"),AND(AJ21="Alta",AL21="Mayor"),AND(AJ21="Muy Alta",AL21="Leve"),AND(AJ21="Muy Alta",AL21="Menor"),AND(AJ21="Muy Alta",AL21="Moderado"),AND(AJ21="Muy Alta",AL21="Mayor")),"Alto",IF(OR(AND(AJ21="Muy Baja",AL21="Catastrófico"),AND(AJ21="Baja",AL21="Catastrófico"),AND(AJ21="Media",AL21="Catastrófico"),AND(AJ21="Alta",AL21="Catastrófico"),AND(AJ21="Muy Alta",AL21="Catastrófico")),"Extremo","")))),"")</f>
        <v/>
      </c>
      <c r="AO21" s="205"/>
      <c r="AP21" s="200"/>
      <c r="AQ21" s="200"/>
      <c r="AR21" s="207"/>
      <c r="AS21" s="207"/>
      <c r="AT21" s="200"/>
      <c r="AU21" s="200"/>
      <c r="AV21" s="207"/>
      <c r="AW21" s="200"/>
      <c r="AX21" s="200"/>
      <c r="AY21" s="200"/>
      <c r="AZ21" s="207"/>
      <c r="BA21" s="200"/>
      <c r="BB21" s="200"/>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row>
    <row r="22" spans="4:80" s="198" customFormat="1" ht="60" hidden="1" customHeight="1" x14ac:dyDescent="0.25">
      <c r="D22" s="199">
        <v>8</v>
      </c>
      <c r="E22" s="199"/>
      <c r="F22" s="215"/>
      <c r="G22" s="215"/>
      <c r="H22" s="199"/>
      <c r="I22" s="618"/>
      <c r="J22" s="200"/>
      <c r="K22" s="618"/>
      <c r="L22" s="619"/>
      <c r="M22" s="216"/>
      <c r="N22" s="200"/>
      <c r="O22" s="200"/>
      <c r="P22" s="620"/>
      <c r="Q22" s="201" t="str">
        <f t="shared" si="22"/>
        <v/>
      </c>
      <c r="R22" s="202" t="str">
        <f t="shared" si="23"/>
        <v/>
      </c>
      <c r="S22" s="203"/>
      <c r="T22" s="202">
        <f ca="1">IF(NOT(ISERROR(MATCH(S22,'[2]Tabla Impacto'!$B$221:$B$223,0))),'[2]Tabla Impacto'!$F$223&amp;"Por favor no seleccionar los criterios de impacto(Afectación Económica o presupuestal y Pérdida Reputacional)",S22)</f>
        <v>0</v>
      </c>
      <c r="U22" s="223" t="str">
        <f ca="1">IF(OR(T22='[3]Tabla Impacto'!$C$11,T22='[3]Tabla Impacto'!$D$11),"Leve",IF(OR(T22='[3]Tabla Impacto'!$C$12,T22='[3]Tabla Impacto'!$D$12),"Menor",IF(OR(T22='[3]Tabla Impacto'!$C$13,T22='[3]Tabla Impacto'!$D$13),"Moderado",IF(OR(T22='[3]Tabla Impacto'!$C$14,T22='[3]Tabla Impacto'!$D$14),"Mayor",IF(OR(T22='[3]Tabla Impacto'!$C$15,T22='[3]Tabla Impacto'!$D$15),"Catastrófico","")))))</f>
        <v/>
      </c>
      <c r="V22" s="202" t="str">
        <f t="shared" ca="1" si="24"/>
        <v/>
      </c>
      <c r="W22" s="201" t="str">
        <f t="shared" ca="1" si="25"/>
        <v/>
      </c>
      <c r="X22" s="236"/>
      <c r="Y22" s="237"/>
      <c r="Z22" s="238"/>
      <c r="AA22" s="204" t="str">
        <f t="shared" si="26"/>
        <v/>
      </c>
      <c r="AB22" s="205"/>
      <c r="AC22" s="205"/>
      <c r="AD22" s="202" t="str">
        <f t="shared" si="27"/>
        <v/>
      </c>
      <c r="AE22" s="205"/>
      <c r="AF22" s="205"/>
      <c r="AG22" s="205"/>
      <c r="AH22" s="200"/>
      <c r="AI22" s="218" t="str">
        <f t="shared" si="28"/>
        <v/>
      </c>
      <c r="AJ22" s="206" t="str">
        <f t="shared" si="29"/>
        <v/>
      </c>
      <c r="AK22" s="202" t="str">
        <f t="shared" si="30"/>
        <v/>
      </c>
      <c r="AL22" s="206" t="str">
        <f t="shared" si="31"/>
        <v/>
      </c>
      <c r="AM22" s="202" t="str">
        <f t="shared" si="32"/>
        <v/>
      </c>
      <c r="AN22" s="206" t="str">
        <f t="shared" si="33"/>
        <v/>
      </c>
      <c r="AO22" s="205"/>
      <c r="AP22" s="200"/>
      <c r="AQ22" s="200"/>
      <c r="AR22" s="207"/>
      <c r="AS22" s="207"/>
      <c r="AT22" s="200"/>
      <c r="AU22" s="200"/>
      <c r="AV22" s="207"/>
      <c r="AW22" s="200"/>
      <c r="AX22" s="200"/>
      <c r="AY22" s="200"/>
      <c r="AZ22" s="207"/>
      <c r="BA22" s="200"/>
      <c r="BB22" s="200"/>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row>
    <row r="23" spans="4:80" s="198" customFormat="1" ht="60" hidden="1" customHeight="1" x14ac:dyDescent="0.25">
      <c r="D23" s="199">
        <v>9</v>
      </c>
      <c r="E23" s="199"/>
      <c r="F23" s="215"/>
      <c r="G23" s="215"/>
      <c r="H23" s="199"/>
      <c r="I23" s="233"/>
      <c r="J23" s="200"/>
      <c r="K23" s="233"/>
      <c r="L23" s="234"/>
      <c r="M23" s="216"/>
      <c r="N23" s="200"/>
      <c r="O23" s="200"/>
      <c r="P23" s="235"/>
      <c r="Q23" s="201" t="str">
        <f t="shared" si="17"/>
        <v/>
      </c>
      <c r="R23" s="202" t="str">
        <f t="shared" si="20"/>
        <v/>
      </c>
      <c r="S23" s="203"/>
      <c r="T23" s="202">
        <f ca="1">IF(NOT(ISERROR(MATCH(S23,'[2]Tabla Impacto'!$B$221:$B$223,0))),'[2]Tabla Impacto'!$F$223&amp;"Por favor no seleccionar los criterios de impacto(Afectación Económica o presupuestal y Pérdida Reputacional)",S23)</f>
        <v>0</v>
      </c>
      <c r="U23" s="223" t="str">
        <f ca="1">IF(OR(T23='[3]Tabla Impacto'!$C$11,T23='[3]Tabla Impacto'!$D$11),"Leve",IF(OR(T23='[3]Tabla Impacto'!$C$12,T23='[3]Tabla Impacto'!$D$12),"Menor",IF(OR(T23='[3]Tabla Impacto'!$C$13,T23='[3]Tabla Impacto'!$D$13),"Moderado",IF(OR(T23='[3]Tabla Impacto'!$C$14,T23='[3]Tabla Impacto'!$D$14),"Mayor",IF(OR(T23='[3]Tabla Impacto'!$C$15,T23='[3]Tabla Impacto'!$D$15),"Catastrófico","")))))</f>
        <v/>
      </c>
      <c r="V23" s="202" t="str">
        <f t="shared" ca="1" si="18"/>
        <v/>
      </c>
      <c r="W23" s="201" t="str">
        <f t="shared" ca="1" si="19"/>
        <v/>
      </c>
      <c r="X23" s="236"/>
      <c r="Y23" s="237"/>
      <c r="Z23" s="238"/>
      <c r="AA23" s="204" t="str">
        <f t="shared" si="6"/>
        <v/>
      </c>
      <c r="AB23" s="205"/>
      <c r="AC23" s="205"/>
      <c r="AD23" s="202" t="str">
        <f t="shared" si="7"/>
        <v/>
      </c>
      <c r="AE23" s="205"/>
      <c r="AF23" s="205"/>
      <c r="AG23" s="205"/>
      <c r="AH23" s="200"/>
      <c r="AI23" s="217" t="str">
        <f t="shared" ref="AI23" si="34">IFERROR(IF(AB23="Probabilidad",(S23-(+S23*AE23)),IF(AB23="Impacto",S23,"")),"")</f>
        <v/>
      </c>
      <c r="AJ23" s="206" t="str">
        <f t="shared" si="8"/>
        <v/>
      </c>
      <c r="AK23" s="202" t="str">
        <f t="shared" si="9"/>
        <v/>
      </c>
      <c r="AL23" s="206" t="str">
        <f t="shared" si="10"/>
        <v/>
      </c>
      <c r="AM23" s="202" t="str">
        <f t="shared" si="11"/>
        <v/>
      </c>
      <c r="AN23" s="206" t="str">
        <f t="shared" si="12"/>
        <v/>
      </c>
      <c r="AO23" s="205"/>
      <c r="AP23" s="200"/>
      <c r="AQ23" s="200"/>
      <c r="AR23" s="207"/>
      <c r="AS23" s="207"/>
      <c r="AT23" s="200"/>
      <c r="AU23" s="200"/>
      <c r="AV23" s="207"/>
      <c r="AW23" s="200"/>
      <c r="AX23" s="200"/>
      <c r="AY23" s="200"/>
      <c r="AZ23" s="207"/>
      <c r="BA23" s="200"/>
      <c r="BB23" s="200"/>
      <c r="BC23" s="208"/>
      <c r="BD23" s="208"/>
      <c r="BE23" s="208"/>
      <c r="BF23" s="208"/>
      <c r="BG23" s="208"/>
      <c r="BH23" s="208"/>
      <c r="BI23" s="208"/>
      <c r="BJ23" s="208"/>
      <c r="BK23" s="208"/>
      <c r="BL23" s="208"/>
      <c r="BM23" s="208"/>
      <c r="BN23" s="208"/>
      <c r="BO23" s="208"/>
      <c r="BP23" s="208"/>
      <c r="BQ23" s="208"/>
      <c r="BR23" s="208"/>
      <c r="BS23" s="208"/>
      <c r="BT23" s="208"/>
      <c r="BU23" s="208"/>
      <c r="BV23" s="208"/>
      <c r="BW23" s="208"/>
      <c r="BX23" s="208"/>
      <c r="BY23" s="208"/>
      <c r="BZ23" s="208"/>
      <c r="CA23" s="208"/>
      <c r="CB23" s="208"/>
    </row>
    <row r="24" spans="4:80" s="198" customFormat="1" ht="60" hidden="1" customHeight="1" x14ac:dyDescent="0.25">
      <c r="D24" s="199">
        <v>10</v>
      </c>
      <c r="E24" s="199"/>
      <c r="F24" s="215"/>
      <c r="G24" s="215"/>
      <c r="H24" s="199"/>
      <c r="I24" s="233"/>
      <c r="J24" s="200"/>
      <c r="K24" s="233"/>
      <c r="L24" s="234"/>
      <c r="M24" s="216"/>
      <c r="N24" s="200"/>
      <c r="O24" s="200"/>
      <c r="P24" s="235"/>
      <c r="Q24" s="201" t="str">
        <f t="shared" si="17"/>
        <v/>
      </c>
      <c r="R24" s="202" t="str">
        <f t="shared" si="20"/>
        <v/>
      </c>
      <c r="S24" s="203"/>
      <c r="T24" s="202">
        <f ca="1">IF(NOT(ISERROR(MATCH(S24,'[2]Tabla Impacto'!$B$221:$B$223,0))),'[2]Tabla Impacto'!$F$223&amp;"Por favor no seleccionar los criterios de impacto(Afectación Económica o presupuestal y Pérdida Reputacional)",S24)</f>
        <v>0</v>
      </c>
      <c r="U24" s="223" t="str">
        <f ca="1">IF(OR(T24='[3]Tabla Impacto'!$C$11,T24='[3]Tabla Impacto'!$D$11),"Leve",IF(OR(T24='[3]Tabla Impacto'!$C$12,T24='[3]Tabla Impacto'!$D$12),"Menor",IF(OR(T24='[3]Tabla Impacto'!$C$13,T24='[3]Tabla Impacto'!$D$13),"Moderado",IF(OR(T24='[3]Tabla Impacto'!$C$14,T24='[3]Tabla Impacto'!$D$14),"Mayor",IF(OR(T24='[3]Tabla Impacto'!$C$15,T24='[3]Tabla Impacto'!$D$15),"Catastrófico","")))))</f>
        <v/>
      </c>
      <c r="V24" s="202" t="str">
        <f t="shared" ca="1" si="18"/>
        <v/>
      </c>
      <c r="W24" s="201" t="str">
        <f t="shared" ca="1" si="19"/>
        <v/>
      </c>
      <c r="X24" s="236"/>
      <c r="Y24" s="237"/>
      <c r="Z24" s="238"/>
      <c r="AA24" s="204" t="str">
        <f t="shared" si="6"/>
        <v/>
      </c>
      <c r="AB24" s="205"/>
      <c r="AC24" s="205"/>
      <c r="AD24" s="202" t="str">
        <f t="shared" si="7"/>
        <v/>
      </c>
      <c r="AE24" s="205"/>
      <c r="AF24" s="205"/>
      <c r="AG24" s="205"/>
      <c r="AH24" s="200"/>
      <c r="AI24" s="218" t="str">
        <f>IFERROR(IF(AND(AB23="Probabilidad",AB24="Probabilidad"),(AK23-(+AK23*AE24)),IF(AB24="Probabilidad",(T23-(+T23*AE24)),IF(AB24="Impacto",AK23,""))),"")</f>
        <v/>
      </c>
      <c r="AJ24" s="206" t="str">
        <f t="shared" si="8"/>
        <v/>
      </c>
      <c r="AK24" s="202" t="str">
        <f t="shared" si="9"/>
        <v/>
      </c>
      <c r="AL24" s="206" t="str">
        <f t="shared" si="10"/>
        <v/>
      </c>
      <c r="AM24" s="202" t="str">
        <f t="shared" si="11"/>
        <v/>
      </c>
      <c r="AN24" s="206" t="str">
        <f t="shared" si="12"/>
        <v/>
      </c>
      <c r="AO24" s="205"/>
      <c r="AP24" s="200"/>
      <c r="AQ24" s="200"/>
      <c r="AR24" s="207"/>
      <c r="AS24" s="207"/>
      <c r="AT24" s="200"/>
      <c r="AU24" s="200"/>
      <c r="AV24" s="207"/>
      <c r="AW24" s="200"/>
      <c r="AX24" s="200"/>
      <c r="AY24" s="200"/>
      <c r="AZ24" s="207"/>
      <c r="BA24" s="200"/>
      <c r="BB24" s="200"/>
      <c r="BC24" s="208"/>
      <c r="BD24" s="208"/>
      <c r="BE24" s="208"/>
      <c r="BF24" s="208"/>
      <c r="BG24" s="208"/>
      <c r="BH24" s="208"/>
      <c r="BI24" s="208"/>
      <c r="BJ24" s="208"/>
      <c r="BK24" s="208"/>
      <c r="BL24" s="208"/>
      <c r="BM24" s="208"/>
      <c r="BN24" s="208"/>
      <c r="BO24" s="208"/>
      <c r="BP24" s="208"/>
      <c r="BQ24" s="208"/>
      <c r="BR24" s="208"/>
      <c r="BS24" s="208"/>
      <c r="BT24" s="208"/>
      <c r="BU24" s="208"/>
      <c r="BV24" s="208"/>
      <c r="BW24" s="208"/>
      <c r="BX24" s="208"/>
      <c r="BY24" s="208"/>
      <c r="BZ24" s="208"/>
      <c r="CA24" s="208"/>
      <c r="CB24" s="208"/>
    </row>
    <row r="25" spans="4:80" ht="49.5" customHeight="1" x14ac:dyDescent="0.2">
      <c r="D25" s="209"/>
      <c r="E25" s="210"/>
      <c r="F25" s="210"/>
      <c r="G25" s="210"/>
      <c r="H25" s="210"/>
      <c r="I25" s="335" t="s">
        <v>393</v>
      </c>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5"/>
      <c r="AQ25" s="335"/>
      <c r="AR25" s="335"/>
      <c r="AS25" s="335"/>
      <c r="AT25" s="335"/>
      <c r="AU25" s="336"/>
    </row>
    <row r="27" spans="4:80" ht="15.75" x14ac:dyDescent="0.2">
      <c r="D27" s="109"/>
      <c r="E27" s="110"/>
      <c r="F27" s="110"/>
      <c r="G27" s="110"/>
      <c r="H27" s="110"/>
      <c r="I27" s="110"/>
      <c r="J27" s="110"/>
      <c r="K27" s="110"/>
      <c r="L27" s="110"/>
      <c r="M27" s="181"/>
      <c r="N27" s="181"/>
      <c r="O27" s="181"/>
      <c r="Q27" s="111"/>
      <c r="R27" s="110"/>
      <c r="S27" s="110"/>
      <c r="T27" s="110"/>
      <c r="U27" s="110"/>
      <c r="V27" s="110"/>
      <c r="W27" s="110"/>
      <c r="X27" s="110"/>
      <c r="Y27" s="110"/>
      <c r="Z27" s="110"/>
      <c r="AA27" s="112"/>
      <c r="AB27" s="112"/>
      <c r="AC27" s="110"/>
      <c r="AD27" s="110"/>
      <c r="AE27" s="110"/>
      <c r="AF27" s="110"/>
      <c r="AG27" s="110"/>
      <c r="AH27" s="110"/>
      <c r="AI27" s="110"/>
      <c r="AJ27" s="110"/>
      <c r="AK27" s="110"/>
      <c r="AL27" s="110"/>
      <c r="AM27" s="110"/>
      <c r="AN27" s="110"/>
      <c r="AO27" s="113"/>
      <c r="AP27" s="113"/>
      <c r="AQ27" s="110"/>
      <c r="AR27" s="110"/>
      <c r="AS27" s="110"/>
      <c r="AT27" s="110"/>
      <c r="AU27" s="110"/>
      <c r="AV27" s="110"/>
      <c r="AW27" s="110"/>
    </row>
    <row r="28" spans="4:80" ht="18" x14ac:dyDescent="0.2">
      <c r="D28" s="342" t="s">
        <v>431</v>
      </c>
      <c r="E28" s="342"/>
      <c r="F28" s="342"/>
      <c r="G28" s="342"/>
      <c r="H28" s="342"/>
      <c r="I28" s="342"/>
      <c r="J28" s="342"/>
      <c r="K28" s="342"/>
      <c r="L28" s="342"/>
      <c r="M28" s="181"/>
      <c r="N28" s="181"/>
      <c r="O28" s="181"/>
      <c r="P28" s="339" t="s">
        <v>391</v>
      </c>
      <c r="Q28" s="340"/>
      <c r="R28" s="340"/>
      <c r="S28" s="341"/>
      <c r="T28" s="110"/>
      <c r="U28" s="110"/>
      <c r="V28" s="110"/>
      <c r="W28" s="110"/>
      <c r="X28" s="110"/>
      <c r="Y28" s="110"/>
      <c r="Z28" s="113"/>
      <c r="AA28" s="112"/>
      <c r="AB28" s="112"/>
      <c r="AC28" s="110"/>
      <c r="AD28" s="112"/>
      <c r="AE28" s="112"/>
      <c r="AF28" s="110"/>
      <c r="AG28" s="110"/>
      <c r="AH28" s="110"/>
      <c r="AI28" s="110"/>
      <c r="AJ28" s="110"/>
      <c r="AK28" s="110"/>
      <c r="AL28" s="110"/>
      <c r="AM28" s="110"/>
      <c r="AN28" s="110"/>
      <c r="AO28" s="110"/>
      <c r="AP28" s="110"/>
      <c r="AQ28" s="110"/>
      <c r="AR28" s="110"/>
      <c r="AS28" s="110"/>
      <c r="AT28" s="110"/>
      <c r="AU28" s="110"/>
      <c r="AV28" s="110"/>
      <c r="AW28" s="110"/>
    </row>
    <row r="29" spans="4:80" ht="15" thickBot="1" x14ac:dyDescent="0.25">
      <c r="D29" s="181"/>
      <c r="E29" s="181"/>
      <c r="F29" s="181"/>
      <c r="G29" s="181"/>
      <c r="H29" s="181"/>
      <c r="I29" s="181"/>
      <c r="J29" s="181"/>
      <c r="K29" s="181"/>
      <c r="M29" s="181"/>
      <c r="N29" s="181"/>
      <c r="O29" s="181"/>
      <c r="Q29" s="183" t="str">
        <f>+IFERROR(VLOOKUP(M29,$M$184:$Q$188,3,FALSE)*VLOOKUP(P29,$P$184:$Q$188,3,FALSE),"")</f>
        <v/>
      </c>
      <c r="AA29" s="183"/>
      <c r="AB29" s="211"/>
      <c r="AD29" s="211"/>
      <c r="AE29" s="211"/>
      <c r="AF29" s="212"/>
      <c r="AG29" s="212"/>
      <c r="AH29" s="212"/>
      <c r="AI29" s="212"/>
      <c r="AJ29" s="212"/>
      <c r="AK29" s="114"/>
      <c r="AL29" s="114"/>
      <c r="AM29" s="212"/>
      <c r="AN29" s="213"/>
      <c r="AR29" s="212"/>
      <c r="AT29" s="212"/>
      <c r="AV29" s="212"/>
    </row>
    <row r="30" spans="4:80" ht="17.45" customHeight="1" thickTop="1" thickBot="1" x14ac:dyDescent="0.25">
      <c r="D30" s="337" t="s">
        <v>207</v>
      </c>
      <c r="E30" s="337"/>
      <c r="F30" s="337"/>
      <c r="G30" s="337"/>
      <c r="H30" s="337"/>
      <c r="I30" s="337"/>
      <c r="J30" s="337"/>
      <c r="K30" s="337"/>
      <c r="L30" s="180" t="s">
        <v>208</v>
      </c>
      <c r="M30" s="337" t="s">
        <v>209</v>
      </c>
      <c r="N30" s="337"/>
      <c r="O30" s="337"/>
      <c r="P30" s="337"/>
      <c r="Q30" s="337"/>
      <c r="R30" s="337"/>
      <c r="S30" s="337"/>
      <c r="T30" s="118"/>
      <c r="U30" s="338" t="s">
        <v>210</v>
      </c>
      <c r="V30" s="338"/>
      <c r="W30" s="338"/>
      <c r="X30" s="337" t="s">
        <v>211</v>
      </c>
      <c r="Y30" s="337"/>
      <c r="Z30" s="337"/>
      <c r="AA30" s="337"/>
      <c r="AB30" s="338">
        <v>1</v>
      </c>
      <c r="AC30" s="338"/>
      <c r="AD30" s="338"/>
      <c r="AE30" s="338"/>
      <c r="AF30" s="117"/>
      <c r="AG30" s="117"/>
      <c r="AH30" s="117"/>
      <c r="AI30" s="117"/>
      <c r="AJ30" s="117"/>
      <c r="AK30" s="117"/>
      <c r="AL30" s="117"/>
      <c r="AM30" s="117"/>
      <c r="AN30" s="117"/>
      <c r="AO30" s="117"/>
      <c r="AP30" s="117"/>
      <c r="AQ30" s="117"/>
      <c r="AR30" s="117"/>
      <c r="AS30" s="117"/>
      <c r="AT30" s="117"/>
      <c r="AU30" s="117"/>
      <c r="AV30" s="117"/>
      <c r="AW30" s="115"/>
    </row>
    <row r="31" spans="4:80" ht="36.75" customHeight="1" thickTop="1" x14ac:dyDescent="0.25">
      <c r="D31" s="286" t="s">
        <v>394</v>
      </c>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row>
  </sheetData>
  <dataConsolidate/>
  <mergeCells count="72">
    <mergeCell ref="AI12:AO12"/>
    <mergeCell ref="AB13:AG13"/>
    <mergeCell ref="V13:V14"/>
    <mergeCell ref="X30:AA30"/>
    <mergeCell ref="AB30:AE30"/>
    <mergeCell ref="D30:K30"/>
    <mergeCell ref="P28:S28"/>
    <mergeCell ref="M30:S30"/>
    <mergeCell ref="U30:W30"/>
    <mergeCell ref="D28:L28"/>
    <mergeCell ref="X12:AG12"/>
    <mergeCell ref="X13:X14"/>
    <mergeCell ref="Y13:Y14"/>
    <mergeCell ref="D2:H5"/>
    <mergeCell ref="I2:AZ5"/>
    <mergeCell ref="H7:BB7"/>
    <mergeCell ref="AO13:AO14"/>
    <mergeCell ref="AN13:AN14"/>
    <mergeCell ref="AM13:AM14"/>
    <mergeCell ref="AI13:AI14"/>
    <mergeCell ref="Z13:Z14"/>
    <mergeCell ref="M13:M14"/>
    <mergeCell ref="D12:P12"/>
    <mergeCell ref="Q12:W12"/>
    <mergeCell ref="L13:L14"/>
    <mergeCell ref="K13:K14"/>
    <mergeCell ref="I13:I14"/>
    <mergeCell ref="S13:S14"/>
    <mergeCell ref="T13:T14"/>
    <mergeCell ref="D7:G7"/>
    <mergeCell ref="W13:W14"/>
    <mergeCell ref="AU13:AU14"/>
    <mergeCell ref="AT13:AT14"/>
    <mergeCell ref="AS13:AS14"/>
    <mergeCell ref="AR13:AR14"/>
    <mergeCell ref="AQ13:AQ14"/>
    <mergeCell ref="AL13:AL14"/>
    <mergeCell ref="BA2:BB2"/>
    <mergeCell ref="BA3:BB3"/>
    <mergeCell ref="BA4:BB4"/>
    <mergeCell ref="BA5:BB5"/>
    <mergeCell ref="AY13:AY14"/>
    <mergeCell ref="AP12:BB12"/>
    <mergeCell ref="BA13:BA14"/>
    <mergeCell ref="BB13:BB14"/>
    <mergeCell ref="AV13:AV14"/>
    <mergeCell ref="AW13:AW14"/>
    <mergeCell ref="AP13:AP14"/>
    <mergeCell ref="D31:AE31"/>
    <mergeCell ref="N13:O13"/>
    <mergeCell ref="AH12:AH14"/>
    <mergeCell ref="A11:C11"/>
    <mergeCell ref="D8:G8"/>
    <mergeCell ref="D9:G9"/>
    <mergeCell ref="H9:BB9"/>
    <mergeCell ref="H8:BB8"/>
    <mergeCell ref="D13:D14"/>
    <mergeCell ref="D11:AU11"/>
    <mergeCell ref="AV11:AY11"/>
    <mergeCell ref="AZ11:BB11"/>
    <mergeCell ref="AZ13:AZ14"/>
    <mergeCell ref="E13:E14"/>
    <mergeCell ref="AA13:AA14"/>
    <mergeCell ref="H13:H14"/>
    <mergeCell ref="AX13:AX14"/>
    <mergeCell ref="I25:AU25"/>
    <mergeCell ref="AJ13:AJ14"/>
    <mergeCell ref="AK13:AK14"/>
    <mergeCell ref="P13:P14"/>
    <mergeCell ref="Q13:Q14"/>
    <mergeCell ref="R13:R14"/>
    <mergeCell ref="U13:U14"/>
  </mergeCells>
  <conditionalFormatting sqref="AJ15:AJ24 Q15:Q24">
    <cfRule type="cellIs" dxfId="29" priority="62" operator="equal">
      <formula>"Muy Alta"</formula>
    </cfRule>
    <cfRule type="cellIs" dxfId="28" priority="63" operator="equal">
      <formula>"Alta"</formula>
    </cfRule>
    <cfRule type="cellIs" dxfId="27" priority="64" operator="equal">
      <formula>"Media"</formula>
    </cfRule>
    <cfRule type="cellIs" dxfId="26" priority="65" operator="equal">
      <formula>"Baja"</formula>
    </cfRule>
    <cfRule type="cellIs" dxfId="25" priority="66" operator="equal">
      <formula>"Muy Baja"</formula>
    </cfRule>
  </conditionalFormatting>
  <conditionalFormatting sqref="T15:T24">
    <cfRule type="containsText" dxfId="24" priority="38" operator="containsText" text="❌">
      <formula>NOT(ISERROR(SEARCH("❌",T15)))</formula>
    </cfRule>
  </conditionalFormatting>
  <conditionalFormatting sqref="AN15:AN24 W15:W24">
    <cfRule type="cellIs" dxfId="23" priority="53" operator="equal">
      <formula>"Extremo"</formula>
    </cfRule>
    <cfRule type="cellIs" dxfId="22" priority="54" operator="equal">
      <formula>"Alto"</formula>
    </cfRule>
    <cfRule type="cellIs" dxfId="21" priority="55" operator="equal">
      <formula>"Moderado"</formula>
    </cfRule>
    <cfRule type="cellIs" dxfId="20" priority="56" operator="equal">
      <formula>"Bajo"</formula>
    </cfRule>
  </conditionalFormatting>
  <conditionalFormatting sqref="AK27:AK29">
    <cfRule type="cellIs" dxfId="19" priority="26" stopIfTrue="1" operator="equal">
      <formula>#REF!</formula>
    </cfRule>
    <cfRule type="cellIs" dxfId="18" priority="27" operator="equal">
      <formula>#REF!</formula>
    </cfRule>
    <cfRule type="cellIs" dxfId="17" priority="28" operator="equal">
      <formula>#REF!</formula>
    </cfRule>
  </conditionalFormatting>
  <conditionalFormatting sqref="AL15:AL24">
    <cfRule type="cellIs" dxfId="16" priority="43" operator="equal">
      <formula>"Catastrófico"</formula>
    </cfRule>
    <cfRule type="cellIs" dxfId="15" priority="44" operator="equal">
      <formula>"Mayor"</formula>
    </cfRule>
    <cfRule type="cellIs" dxfId="14" priority="45" operator="equal">
      <formula>"Moderado"</formula>
    </cfRule>
    <cfRule type="cellIs" dxfId="13" priority="46" operator="equal">
      <formula>"Menor"</formula>
    </cfRule>
    <cfRule type="cellIs" dxfId="12" priority="47" operator="equal">
      <formula>"Leve"</formula>
    </cfRule>
  </conditionalFormatting>
  <conditionalFormatting sqref="AL27:AL29">
    <cfRule type="cellIs" dxfId="11" priority="29" stopIfTrue="1" operator="equal">
      <formula>#REF!</formula>
    </cfRule>
    <cfRule type="cellIs" dxfId="10" priority="30" stopIfTrue="1" operator="equal">
      <formula>#REF!</formula>
    </cfRule>
    <cfRule type="cellIs" dxfId="9" priority="31" stopIfTrue="1" operator="equal">
      <formula>#REF!</formula>
    </cfRule>
  </conditionalFormatting>
  <conditionalFormatting sqref="U15:U24">
    <cfRule type="cellIs" dxfId="8" priority="1" operator="equal">
      <formula>"Catastrófico"</formula>
    </cfRule>
    <cfRule type="cellIs" dxfId="7" priority="2" operator="equal">
      <formula>"Mayor"</formula>
    </cfRule>
    <cfRule type="cellIs" dxfId="6" priority="3" operator="equal">
      <formula>"Moderado"</formula>
    </cfRule>
    <cfRule type="cellIs" dxfId="5" priority="4" operator="equal">
      <formula>"Menor"</formula>
    </cfRule>
    <cfRule type="cellIs" dxfId="4" priority="5" operator="equal">
      <formula>"Leve"</formula>
    </cfRule>
  </conditionalFormatting>
  <dataValidations count="6">
    <dataValidation type="list" allowBlank="1" showInputMessage="1" showErrorMessage="1" sqref="L27" xr:uid="{61DF7E04-DE5E-4FE1-A38F-8A138AA87D58}">
      <formula1>$L$184:$L$193</formula1>
    </dataValidation>
    <dataValidation type="list" allowBlank="1" showInputMessage="1" showErrorMessage="1" sqref="L29 AK29:AL29" xr:uid="{66A41BD7-B090-4403-937D-0435537D31DA}">
      <formula1>#REF!</formula1>
    </dataValidation>
    <dataValidation type="list" allowBlank="1" showInputMessage="1" showErrorMessage="1" sqref="AA29" xr:uid="{3BD557FD-BAB0-4660-A45C-D7AACD9880D7}">
      <formula1>$S$184:$S$185</formula1>
    </dataValidation>
    <dataValidation type="list" allowBlank="1" showInputMessage="1" showErrorMessage="1" sqref="P29" xr:uid="{6EC8CB42-9310-43CD-8FAB-388F6EFE7B5E}">
      <formula1>$P$184:$P$188</formula1>
    </dataValidation>
    <dataValidation type="list" allowBlank="1" showInputMessage="1" showErrorMessage="1" sqref="M29:O29" xr:uid="{681E5490-2B09-494D-9B90-359A2E8F22F3}">
      <formula1>$M$184:$M$188</formula1>
    </dataValidation>
    <dataValidation type="list" allowBlank="1" showInputMessage="1" showErrorMessage="1" sqref="AV29 AT29 AR29 AB29 AD29:AJ29" xr:uid="{208EF431-1729-4D5C-B151-F6757CBBD462}">
      <formula1>$AR$184:$AR$191</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3">
        <x14:dataValidation type="list" allowBlank="1" showInputMessage="1" showErrorMessage="1" xr:uid="{5E056D49-2A01-4844-9657-EAFD8E3B5A80}">
          <x14:formula1>
            <xm:f>'Opciones Tratamiento'!$B$13:$B$19</xm:f>
          </x14:formula1>
          <xm:sqref>M15:M24</xm:sqref>
        </x14:dataValidation>
        <x14:dataValidation type="list" allowBlank="1" showInputMessage="1" showErrorMessage="1" xr:uid="{EF0C0067-1765-4F11-A967-1A801D325D81}">
          <x14:formula1>
            <xm:f>'Tabla Impacto'!$F$210:$F$221</xm:f>
          </x14:formula1>
          <xm:sqref>S15:S24</xm:sqref>
        </x14:dataValidation>
        <x14:dataValidation type="custom" allowBlank="1" showInputMessage="1" showErrorMessage="1" error="Recuerde que las acciones se generan bajo la medida de mitigar el riesgo" xr:uid="{7ED48018-4235-4B97-8418-73E7BBDB0232}">
          <x14:formula1>
            <xm:f>IF(OR(AO19='Opciones Tratamiento'!$B$2,AO19='Opciones Tratamiento'!$B$3,AO19='Opciones Tratamiento'!$B$4),ISBLANK(AO19),ISTEXT(AO19))</xm:f>
          </x14:formula1>
          <xm:sqref>AP19:AP24</xm:sqref>
        </x14:dataValidation>
        <x14:dataValidation type="custom" allowBlank="1" showInputMessage="1" showErrorMessage="1" error="Recuerde que las acciones se generan bajo la medida de mitigar el riesgo" xr:uid="{B9F9F086-C384-4D55-BBDC-46D063DF530B}">
          <x14:formula1>
            <xm:f>IF(OR(AO19='Opciones Tratamiento'!$B$2,AO19='Opciones Tratamiento'!$B$3,AO19='Opciones Tratamiento'!$B$4),ISBLANK(AO19),ISTEXT(AO19))</xm:f>
          </x14:formula1>
          <xm:sqref>AQ19:AQ24</xm:sqref>
        </x14:dataValidation>
        <x14:dataValidation type="custom" allowBlank="1" showInputMessage="1" showErrorMessage="1" error="Recuerde que las acciones se generan bajo la medida de mitigar el riesgo" xr:uid="{E3EDE35C-AB25-4047-9423-56EED39EADE9}">
          <x14:formula1>
            <xm:f>IF(OR(AO15='Opciones Tratamiento'!$B$2,AO15='Opciones Tratamiento'!$B$3,AO15='Opciones Tratamiento'!$B$4),ISBLANK(AO15),ISTEXT(AO15))</xm:f>
          </x14:formula1>
          <xm:sqref>AR15:AR24</xm:sqref>
        </x14:dataValidation>
        <x14:dataValidation type="list" allowBlank="1" showInputMessage="1" showErrorMessage="1" xr:uid="{9E41A0A5-9033-48F4-A523-E78EEE31291B}">
          <x14:formula1>
            <xm:f>Listas!$B$2:$B$7</xm:f>
          </x14:formula1>
          <xm:sqref>H15:H24</xm:sqref>
        </x14:dataValidation>
        <x14:dataValidation type="list" allowBlank="1" showInputMessage="1" showErrorMessage="1" xr:uid="{E1211B7A-6A4E-4A48-9C6D-50DFE53A34CF}">
          <x14:formula1>
            <xm:f>Listas!$C$2:$C$6</xm:f>
          </x14:formula1>
          <xm:sqref>N15:N24</xm:sqref>
        </x14:dataValidation>
        <x14:dataValidation type="list" allowBlank="1" showInputMessage="1" showErrorMessage="1" xr:uid="{B88BA28A-2600-4BF8-8D1C-1591DFA3694A}">
          <x14:formula1>
            <xm:f>Listas!$D$2:$D$5</xm:f>
          </x14:formula1>
          <xm:sqref>O15:O24</xm:sqref>
        </x14:dataValidation>
        <x14:dataValidation type="list" allowBlank="1" showInputMessage="1" showErrorMessage="1" xr:uid="{C1C18457-6497-4468-A0EC-5756D2A505AB}">
          <x14:formula1>
            <xm:f>Hoja2!$B$3:$B$18</xm:f>
          </x14:formula1>
          <xm:sqref>E15:E24</xm:sqref>
        </x14:dataValidation>
        <x14:dataValidation type="list" allowBlank="1" showInputMessage="1" showErrorMessage="1" xr:uid="{30B1B799-4F7E-4DF0-8163-3420DCED9D9B}">
          <x14:formula1>
            <xm:f>Hoja2!$D$3:$D$21</xm:f>
          </x14:formula1>
          <xm:sqref>F15:F24</xm:sqref>
        </x14:dataValidation>
        <x14:dataValidation type="list" allowBlank="1" showInputMessage="1" showErrorMessage="1" xr:uid="{4543C4BE-F1CB-4CCC-8B32-CEE48E0F43C3}">
          <x14:formula1>
            <xm:f>Hoja2!$E$3:$E$23</xm:f>
          </x14:formula1>
          <xm:sqref>G15:G24</xm:sqref>
        </x14:dataValidation>
        <x14:dataValidation type="list" allowBlank="1" showInputMessage="1" showErrorMessage="1" xr:uid="{FFA9F3EB-8AAC-4371-8BA9-EA5BFF31F870}">
          <x14:formula1>
            <xm:f>'Opciones Tratamiento'!$B$9:$B$10</xm:f>
          </x14:formula1>
          <xm:sqref>AX15:AY24 BB15:BB24 AU15:AU24</xm:sqref>
        </x14:dataValidation>
        <x14:dataValidation type="list" allowBlank="1" showInputMessage="1" showErrorMessage="1" xr:uid="{2F8B922F-A596-4F43-8DB5-EB88E0211184}">
          <x14:formula1>
            <xm:f>'Tabla Valoración controles'!$D$4:$D$6</xm:f>
          </x14:formula1>
          <xm:sqref>AB15:AB24</xm:sqref>
        </x14:dataValidation>
        <x14:dataValidation type="list" allowBlank="1" showInputMessage="1" showErrorMessage="1" xr:uid="{DC38EDB2-F7BD-4E7B-9DDA-3C58EAD78CC5}">
          <x14:formula1>
            <xm:f>'Tabla Valoración controles'!$D$7:$D$8</xm:f>
          </x14:formula1>
          <xm:sqref>AC15:AC24</xm:sqref>
        </x14:dataValidation>
        <x14:dataValidation type="list" allowBlank="1" showInputMessage="1" showErrorMessage="1" xr:uid="{D75AC793-23AB-4ECB-AA93-972ACC7C18B9}">
          <x14:formula1>
            <xm:f>'Tabla Valoración controles'!$D$9:$D$10</xm:f>
          </x14:formula1>
          <xm:sqref>AE15:AE24</xm:sqref>
        </x14:dataValidation>
        <x14:dataValidation type="list" allowBlank="1" showInputMessage="1" showErrorMessage="1" xr:uid="{7CEE6D34-E894-4B07-9738-58E7887FE090}">
          <x14:formula1>
            <xm:f>'Tabla Valoración controles'!$D$11:$D$12</xm:f>
          </x14:formula1>
          <xm:sqref>AF15:AF24</xm:sqref>
        </x14:dataValidation>
        <x14:dataValidation type="list" allowBlank="1" showInputMessage="1" showErrorMessage="1" xr:uid="{B39FB738-8E70-4C89-BE00-31B6F6BC10CA}">
          <x14:formula1>
            <xm:f>'Tabla Valoración controles'!$D$13:$D$14</xm:f>
          </x14:formula1>
          <xm:sqref>AG15:AG24</xm:sqref>
        </x14:dataValidation>
        <x14:dataValidation type="list" allowBlank="1" showInputMessage="1" showErrorMessage="1" xr:uid="{BCC5CE02-71F3-4D30-B2B6-0BC8D084AB56}">
          <x14:formula1>
            <xm:f>'Opciones Tratamiento'!$B$2:$B$5</xm:f>
          </x14:formula1>
          <xm:sqref>AO15:AO24</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AV15:AV24 AS15:AS24</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AW15:AW24 AZ15:AZ24 AT15:AT24</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BA15:BA24</xm:sqref>
        </x14:dataValidation>
        <x14:dataValidation type="custom" allowBlank="1" showInputMessage="1" showErrorMessage="1" error="Recuerde que las acciones se generan bajo la medida de mitigar el riesgo" xr:uid="{BB14A135-ACB2-4C73-9E49-D26029FD76AB}">
          <x14:formula1>
            <xm:f>IF(OR(AN15='[mapaderiesgosadquisiones24.xlsx]Opciones Tratamiento'!#REF!,AN15='[mapaderiesgosadquisiones24.xlsx]Opciones Tratamiento'!#REF!,AN15='[mapaderiesgosadquisiones24.xlsx]Opciones Tratamiento'!#REF!),ISBLANK(AN15),ISTEXT(AN15))</xm:f>
          </x14:formula1>
          <xm:sqref>AQ16:AQ18</xm:sqref>
        </x14:dataValidation>
        <x14:dataValidation type="custom" allowBlank="1" showInputMessage="1" showErrorMessage="1" error="Recuerde que las acciones se generan bajo la medida de mitigar el riesgo" xr:uid="{7849FC3A-5CD7-4B6B-B4EB-0BEEED13BC21}">
          <x14:formula1>
            <xm:f>IF(OR(AN16='[mapaderiesgosadquisiones24.xlsx]Opciones Tratamiento'!#REF!,AN16='[mapaderiesgosadquisiones24.xlsx]Opciones Tratamiento'!#REF!,AN16='[mapaderiesgosadquisiones24.xlsx]Opciones Tratamiento'!#REF!),ISBLANK(AN16),ISTEXT(AN16))</xm:f>
          </x14:formula1>
          <xm:sqref>AP16:AP18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8" sqref="D8"/>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43" t="s">
        <v>137</v>
      </c>
      <c r="C1" s="343"/>
      <c r="D1" s="343"/>
      <c r="E1" s="343"/>
      <c r="F1" s="343"/>
      <c r="G1" s="343"/>
      <c r="H1" s="343"/>
      <c r="I1" s="343"/>
      <c r="J1" s="343"/>
      <c r="L1" s="343" t="s">
        <v>139</v>
      </c>
      <c r="M1" s="343"/>
      <c r="N1" s="343"/>
      <c r="O1" s="343"/>
      <c r="P1" s="343"/>
      <c r="Q1" s="343"/>
      <c r="R1" s="343"/>
    </row>
    <row r="2" spans="2:18" ht="50.25" customHeight="1" x14ac:dyDescent="0.25">
      <c r="B2" s="175" t="s">
        <v>378</v>
      </c>
      <c r="C2" s="175" t="s">
        <v>382</v>
      </c>
      <c r="D2" s="174" t="s">
        <v>2</v>
      </c>
      <c r="E2" s="174" t="s">
        <v>317</v>
      </c>
      <c r="F2" s="174" t="s">
        <v>366</v>
      </c>
      <c r="G2" s="175" t="s">
        <v>368</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383</v>
      </c>
      <c r="D3" s="116" t="s">
        <v>131</v>
      </c>
      <c r="E3" s="116" t="s">
        <v>313</v>
      </c>
      <c r="F3" t="s">
        <v>225</v>
      </c>
      <c r="G3" s="116"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6" t="s">
        <v>130</v>
      </c>
      <c r="E4" s="116" t="s">
        <v>314</v>
      </c>
      <c r="F4" t="s">
        <v>218</v>
      </c>
      <c r="G4" s="116"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6" t="s">
        <v>132</v>
      </c>
      <c r="E5" s="116" t="s">
        <v>315</v>
      </c>
      <c r="F5" t="s">
        <v>226</v>
      </c>
      <c r="G5" s="116" t="s">
        <v>125</v>
      </c>
      <c r="I5" t="s">
        <v>231</v>
      </c>
      <c r="J5" t="s">
        <v>238</v>
      </c>
      <c r="L5" s="2" t="s">
        <v>16</v>
      </c>
      <c r="P5" s="2" t="s">
        <v>27</v>
      </c>
      <c r="Q5" s="2" t="s">
        <v>30</v>
      </c>
    </row>
    <row r="6" spans="2:18" ht="24.75" customHeight="1" x14ac:dyDescent="0.25">
      <c r="B6" s="18" t="s">
        <v>218</v>
      </c>
      <c r="C6" s="18" t="s">
        <v>386</v>
      </c>
      <c r="D6" s="116" t="s">
        <v>312</v>
      </c>
      <c r="E6" t="s">
        <v>374</v>
      </c>
      <c r="F6" t="s">
        <v>227</v>
      </c>
      <c r="G6" s="116" t="s">
        <v>123</v>
      </c>
      <c r="I6" t="s">
        <v>233</v>
      </c>
      <c r="J6" t="s">
        <v>316</v>
      </c>
      <c r="Q6" s="2" t="s">
        <v>134</v>
      </c>
    </row>
    <row r="7" spans="2:18" ht="26.25" customHeight="1" x14ac:dyDescent="0.25">
      <c r="B7" s="18" t="s">
        <v>222</v>
      </c>
      <c r="C7" s="18" t="s">
        <v>387</v>
      </c>
      <c r="D7" s="116" t="s">
        <v>395</v>
      </c>
      <c r="F7" t="s">
        <v>228</v>
      </c>
      <c r="G7" s="116" t="s">
        <v>124</v>
      </c>
      <c r="I7" t="s">
        <v>371</v>
      </c>
      <c r="Q7" s="2" t="s">
        <v>135</v>
      </c>
    </row>
    <row r="8" spans="2:18" ht="30" x14ac:dyDescent="0.25">
      <c r="B8" s="18" t="s">
        <v>310</v>
      </c>
      <c r="C8" s="18"/>
      <c r="D8" s="116"/>
      <c r="F8" t="s">
        <v>229</v>
      </c>
      <c r="G8" s="116" t="s">
        <v>126</v>
      </c>
      <c r="I8" s="116" t="s">
        <v>372</v>
      </c>
    </row>
    <row r="9" spans="2:18" ht="31.5" customHeight="1" x14ac:dyDescent="0.25">
      <c r="B9" s="18" t="s">
        <v>381</v>
      </c>
      <c r="C9" s="18"/>
      <c r="D9" s="116"/>
      <c r="G9" s="116" t="s">
        <v>127</v>
      </c>
      <c r="I9" t="s">
        <v>373</v>
      </c>
    </row>
    <row r="10" spans="2:18" x14ac:dyDescent="0.25">
      <c r="B10" s="18" t="s">
        <v>220</v>
      </c>
      <c r="C10" s="18"/>
      <c r="D10" s="116"/>
      <c r="I10" t="s">
        <v>374</v>
      </c>
    </row>
    <row r="11" spans="2:18" x14ac:dyDescent="0.25">
      <c r="B11" s="18" t="s">
        <v>379</v>
      </c>
      <c r="C11" s="18"/>
      <c r="D11" s="116"/>
    </row>
    <row r="12" spans="2:18" x14ac:dyDescent="0.25">
      <c r="B12" s="18" t="s">
        <v>380</v>
      </c>
      <c r="C12" s="18"/>
      <c r="I12" t="s">
        <v>374</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44" t="s">
        <v>318</v>
      </c>
      <c r="D2" s="345"/>
    </row>
    <row r="3" spans="3:4" x14ac:dyDescent="0.25">
      <c r="C3" s="346"/>
      <c r="D3" s="347"/>
    </row>
    <row r="4" spans="3:4" ht="15.75" thickBot="1" x14ac:dyDescent="0.3">
      <c r="C4" s="158" t="s">
        <v>319</v>
      </c>
      <c r="D4" s="159" t="s">
        <v>320</v>
      </c>
    </row>
    <row r="5" spans="3:4" ht="30" customHeight="1" x14ac:dyDescent="0.25">
      <c r="C5" s="160" t="s">
        <v>321</v>
      </c>
      <c r="D5" s="161">
        <v>1</v>
      </c>
    </row>
    <row r="6" spans="3:4" ht="28.5" customHeight="1" x14ac:dyDescent="0.25">
      <c r="C6" s="162" t="s">
        <v>322</v>
      </c>
      <c r="D6" s="163">
        <v>1</v>
      </c>
    </row>
    <row r="7" spans="3:4" ht="28.5" customHeight="1" x14ac:dyDescent="0.25">
      <c r="C7" s="164" t="s">
        <v>323</v>
      </c>
      <c r="D7" s="163">
        <v>1</v>
      </c>
    </row>
    <row r="8" spans="3:4" ht="28.5" customHeight="1" x14ac:dyDescent="0.25">
      <c r="C8" s="164" t="s">
        <v>324</v>
      </c>
      <c r="D8" s="163">
        <v>1</v>
      </c>
    </row>
    <row r="9" spans="3:4" ht="18.600000000000001" customHeight="1" x14ac:dyDescent="0.25">
      <c r="C9" s="164" t="s">
        <v>325</v>
      </c>
      <c r="D9" s="163">
        <v>1</v>
      </c>
    </row>
    <row r="10" spans="3:4" ht="28.5" customHeight="1" x14ac:dyDescent="0.25">
      <c r="C10" s="164" t="s">
        <v>326</v>
      </c>
      <c r="D10" s="163">
        <v>1</v>
      </c>
    </row>
    <row r="11" spans="3:4" ht="21" customHeight="1" x14ac:dyDescent="0.25">
      <c r="C11" s="162" t="s">
        <v>327</v>
      </c>
      <c r="D11" s="163">
        <v>1</v>
      </c>
    </row>
    <row r="12" spans="3:4" ht="21" customHeight="1" x14ac:dyDescent="0.25">
      <c r="C12" s="162" t="s">
        <v>328</v>
      </c>
      <c r="D12" s="163">
        <v>1</v>
      </c>
    </row>
    <row r="13" spans="3:4" ht="21.6" customHeight="1" x14ac:dyDescent="0.25">
      <c r="C13" s="162" t="s">
        <v>329</v>
      </c>
      <c r="D13" s="163">
        <v>1</v>
      </c>
    </row>
    <row r="14" spans="3:4" ht="28.5" customHeight="1" x14ac:dyDescent="0.25">
      <c r="C14" s="162" t="s">
        <v>330</v>
      </c>
      <c r="D14" s="163">
        <v>1</v>
      </c>
    </row>
    <row r="15" spans="3:4" ht="22.5" customHeight="1" x14ac:dyDescent="0.25">
      <c r="C15" s="165"/>
      <c r="D15" s="163">
        <v>1</v>
      </c>
    </row>
    <row r="16" spans="3:4" ht="28.5" customHeight="1" x14ac:dyDescent="0.25">
      <c r="C16" s="166" t="s">
        <v>331</v>
      </c>
      <c r="D16" s="167"/>
    </row>
    <row r="17" spans="3:4" ht="28.5" customHeight="1" x14ac:dyDescent="0.25">
      <c r="C17" s="160" t="s">
        <v>332</v>
      </c>
      <c r="D17" s="163">
        <v>1</v>
      </c>
    </row>
    <row r="18" spans="3:4" ht="28.5" customHeight="1" x14ac:dyDescent="0.25">
      <c r="C18" s="160" t="s">
        <v>333</v>
      </c>
      <c r="D18" s="163">
        <v>1</v>
      </c>
    </row>
    <row r="19" spans="3:4" ht="28.5" customHeight="1" x14ac:dyDescent="0.25">
      <c r="C19" s="160" t="s">
        <v>334</v>
      </c>
      <c r="D19" s="163">
        <v>1</v>
      </c>
    </row>
    <row r="20" spans="3:4" ht="28.5" customHeight="1" x14ac:dyDescent="0.25">
      <c r="C20" s="162" t="s">
        <v>335</v>
      </c>
      <c r="D20" s="163">
        <v>1</v>
      </c>
    </row>
    <row r="21" spans="3:4" ht="28.5" customHeight="1" x14ac:dyDescent="0.25">
      <c r="C21" s="160" t="s">
        <v>336</v>
      </c>
      <c r="D21" s="163">
        <v>1</v>
      </c>
    </row>
    <row r="22" spans="3:4" ht="28.5" customHeight="1" x14ac:dyDescent="0.25">
      <c r="C22" s="168" t="s">
        <v>337</v>
      </c>
      <c r="D22" s="163">
        <v>1</v>
      </c>
    </row>
    <row r="23" spans="3:4" ht="28.5" customHeight="1" x14ac:dyDescent="0.25">
      <c r="C23" s="160" t="s">
        <v>338</v>
      </c>
      <c r="D23" s="163">
        <v>1</v>
      </c>
    </row>
    <row r="24" spans="3:4" ht="28.5" customHeight="1" x14ac:dyDescent="0.25">
      <c r="C24" s="160" t="s">
        <v>339</v>
      </c>
      <c r="D24" s="163">
        <v>1</v>
      </c>
    </row>
    <row r="25" spans="3:4" ht="28.5" customHeight="1" x14ac:dyDescent="0.25">
      <c r="C25" s="165"/>
      <c r="D25" s="163">
        <v>1</v>
      </c>
    </row>
    <row r="26" spans="3:4" ht="28.5" customHeight="1" x14ac:dyDescent="0.25">
      <c r="C26" s="165"/>
      <c r="D26" s="163">
        <v>1</v>
      </c>
    </row>
    <row r="27" spans="3:4" ht="28.5" customHeight="1" x14ac:dyDescent="0.25">
      <c r="C27" s="166" t="s">
        <v>340</v>
      </c>
      <c r="D27" s="169"/>
    </row>
    <row r="28" spans="3:4" ht="28.5" customHeight="1" x14ac:dyDescent="0.25">
      <c r="C28" s="164" t="s">
        <v>341</v>
      </c>
      <c r="D28" s="163">
        <v>1</v>
      </c>
    </row>
    <row r="29" spans="3:4" ht="28.5" customHeight="1" x14ac:dyDescent="0.25">
      <c r="C29" s="164" t="s">
        <v>342</v>
      </c>
      <c r="D29" s="163">
        <v>1</v>
      </c>
    </row>
    <row r="30" spans="3:4" ht="28.5" customHeight="1" x14ac:dyDescent="0.25">
      <c r="C30" s="164" t="s">
        <v>343</v>
      </c>
      <c r="D30" s="163">
        <v>1</v>
      </c>
    </row>
    <row r="31" spans="3:4" ht="28.5" customHeight="1" x14ac:dyDescent="0.25">
      <c r="C31" s="164" t="s">
        <v>344</v>
      </c>
      <c r="D31" s="163">
        <v>1</v>
      </c>
    </row>
    <row r="32" spans="3:4" ht="28.5" customHeight="1" x14ac:dyDescent="0.25">
      <c r="C32" s="164" t="s">
        <v>345</v>
      </c>
      <c r="D32" s="163">
        <v>1</v>
      </c>
    </row>
    <row r="33" spans="3:4" ht="28.5" customHeight="1" x14ac:dyDescent="0.25">
      <c r="C33" s="170" t="s">
        <v>346</v>
      </c>
      <c r="D33" s="163">
        <v>1</v>
      </c>
    </row>
    <row r="34" spans="3:4" ht="28.5" customHeight="1" x14ac:dyDescent="0.25">
      <c r="C34" s="162" t="s">
        <v>347</v>
      </c>
      <c r="D34" s="163">
        <v>1</v>
      </c>
    </row>
    <row r="35" spans="3:4" ht="28.5" customHeight="1" x14ac:dyDescent="0.25">
      <c r="C35" s="164" t="s">
        <v>348</v>
      </c>
      <c r="D35" s="163">
        <v>1</v>
      </c>
    </row>
    <row r="36" spans="3:4" ht="28.5" customHeight="1" x14ac:dyDescent="0.25">
      <c r="C36" s="164" t="s">
        <v>349</v>
      </c>
      <c r="D36" s="163">
        <v>1</v>
      </c>
    </row>
    <row r="37" spans="3:4" ht="28.5" customHeight="1" x14ac:dyDescent="0.25">
      <c r="C37" s="164" t="s">
        <v>350</v>
      </c>
      <c r="D37" s="163">
        <v>1</v>
      </c>
    </row>
    <row r="38" spans="3:4" ht="28.5" customHeight="1" x14ac:dyDescent="0.25">
      <c r="C38" s="162" t="s">
        <v>351</v>
      </c>
      <c r="D38" s="163">
        <v>1</v>
      </c>
    </row>
    <row r="39" spans="3:4" ht="28.5" customHeight="1" x14ac:dyDescent="0.25">
      <c r="C39" s="170" t="s">
        <v>352</v>
      </c>
      <c r="D39" s="163">
        <v>1</v>
      </c>
    </row>
    <row r="40" spans="3:4" ht="28.5" customHeight="1" x14ac:dyDescent="0.25">
      <c r="C40" s="170" t="s">
        <v>353</v>
      </c>
      <c r="D40" s="163">
        <v>1</v>
      </c>
    </row>
    <row r="41" spans="3:4" ht="28.5" customHeight="1" x14ac:dyDescent="0.25">
      <c r="C41" s="170" t="s">
        <v>354</v>
      </c>
      <c r="D41" s="163">
        <v>1</v>
      </c>
    </row>
    <row r="42" spans="3:4" ht="28.5" customHeight="1" x14ac:dyDescent="0.25">
      <c r="C42" s="170" t="s">
        <v>355</v>
      </c>
      <c r="D42" s="163">
        <v>1</v>
      </c>
    </row>
    <row r="43" spans="3:4" ht="28.5" customHeight="1" x14ac:dyDescent="0.25">
      <c r="C43" s="171"/>
      <c r="D43" s="163"/>
    </row>
    <row r="44" spans="3:4" ht="28.5" customHeight="1" x14ac:dyDescent="0.25">
      <c r="C44" s="171"/>
      <c r="D44" s="163"/>
    </row>
    <row r="45" spans="3:4" ht="28.5" customHeight="1" x14ac:dyDescent="0.25">
      <c r="C45" s="166" t="s">
        <v>356</v>
      </c>
      <c r="D45" s="169"/>
    </row>
    <row r="46" spans="3:4" ht="28.5" customHeight="1" x14ac:dyDescent="0.25">
      <c r="C46" s="170" t="s">
        <v>357</v>
      </c>
      <c r="D46" s="163">
        <v>1</v>
      </c>
    </row>
    <row r="47" spans="3:4" ht="28.5" customHeight="1" x14ac:dyDescent="0.25">
      <c r="C47" s="170" t="s">
        <v>358</v>
      </c>
      <c r="D47" s="163">
        <v>1</v>
      </c>
    </row>
    <row r="48" spans="3:4" ht="28.5" customHeight="1" x14ac:dyDescent="0.25">
      <c r="C48" s="170" t="s">
        <v>359</v>
      </c>
      <c r="D48" s="163">
        <v>1</v>
      </c>
    </row>
    <row r="49" spans="3:4" ht="28.5" customHeight="1" x14ac:dyDescent="0.25">
      <c r="C49" s="170" t="s">
        <v>360</v>
      </c>
      <c r="D49" s="163">
        <v>1</v>
      </c>
    </row>
    <row r="50" spans="3:4" ht="28.5" customHeight="1" x14ac:dyDescent="0.25">
      <c r="C50" s="172" t="s">
        <v>361</v>
      </c>
      <c r="D50" s="163">
        <v>1</v>
      </c>
    </row>
    <row r="51" spans="3:4" ht="28.5" customHeight="1" x14ac:dyDescent="0.25">
      <c r="C51" s="172" t="s">
        <v>362</v>
      </c>
      <c r="D51" s="163">
        <v>1</v>
      </c>
    </row>
    <row r="52" spans="3:4" ht="28.5" customHeight="1" x14ac:dyDescent="0.25">
      <c r="C52" s="172" t="s">
        <v>363</v>
      </c>
      <c r="D52" s="163">
        <v>1</v>
      </c>
    </row>
    <row r="53" spans="3:4" ht="28.5" customHeight="1" x14ac:dyDescent="0.25">
      <c r="C53" s="160" t="s">
        <v>364</v>
      </c>
      <c r="D53" s="163">
        <v>1</v>
      </c>
    </row>
    <row r="54" spans="3:4" ht="28.5" customHeight="1" x14ac:dyDescent="0.25">
      <c r="C54" s="160" t="s">
        <v>365</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8" activePane="bottomLeft" state="frozen"/>
      <selection pane="bottomLeft"/>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413" t="s">
        <v>251</v>
      </c>
      <c r="E2" s="414"/>
      <c r="F2" s="414"/>
      <c r="G2" s="414"/>
      <c r="H2" s="414"/>
      <c r="I2" s="414"/>
      <c r="J2" s="414"/>
      <c r="K2" s="415"/>
      <c r="L2" s="404" t="s">
        <v>205</v>
      </c>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6"/>
      <c r="AP2" s="267" t="s">
        <v>250</v>
      </c>
      <c r="AQ2" s="401"/>
      <c r="AR2" s="401"/>
      <c r="AS2" s="401"/>
      <c r="AT2" s="401"/>
      <c r="AU2" s="401"/>
      <c r="AV2" s="256"/>
    </row>
    <row r="3" spans="1:101" x14ac:dyDescent="0.25">
      <c r="D3" s="416"/>
      <c r="E3" s="417"/>
      <c r="F3" s="417"/>
      <c r="G3" s="417"/>
      <c r="H3" s="417"/>
      <c r="I3" s="417"/>
      <c r="J3" s="417"/>
      <c r="K3" s="418"/>
      <c r="L3" s="407"/>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9"/>
      <c r="AP3" s="268" t="s">
        <v>264</v>
      </c>
      <c r="AQ3" s="402"/>
      <c r="AR3" s="402"/>
      <c r="AS3" s="402"/>
      <c r="AT3" s="402"/>
      <c r="AU3" s="402"/>
      <c r="AV3" s="258"/>
    </row>
    <row r="4" spans="1:101" x14ac:dyDescent="0.25">
      <c r="D4" s="416"/>
      <c r="E4" s="417"/>
      <c r="F4" s="417"/>
      <c r="G4" s="417"/>
      <c r="H4" s="417"/>
      <c r="I4" s="417"/>
      <c r="J4" s="417"/>
      <c r="K4" s="418"/>
      <c r="L4" s="407"/>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9"/>
      <c r="AP4" s="268" t="s">
        <v>389</v>
      </c>
      <c r="AQ4" s="402" t="s">
        <v>263</v>
      </c>
      <c r="AR4" s="402"/>
      <c r="AS4" s="402"/>
      <c r="AT4" s="402"/>
      <c r="AU4" s="402"/>
      <c r="AV4" s="258"/>
    </row>
    <row r="5" spans="1:101" ht="15.75" thickBot="1" x14ac:dyDescent="0.3">
      <c r="D5" s="419"/>
      <c r="E5" s="420"/>
      <c r="F5" s="420"/>
      <c r="G5" s="420"/>
      <c r="H5" s="420"/>
      <c r="I5" s="420"/>
      <c r="J5" s="420"/>
      <c r="K5" s="421"/>
      <c r="L5" s="410"/>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1"/>
      <c r="AN5" s="411"/>
      <c r="AO5" s="412"/>
      <c r="AP5" s="269" t="s">
        <v>245</v>
      </c>
      <c r="AQ5" s="403" t="s">
        <v>245</v>
      </c>
      <c r="AR5" s="403"/>
      <c r="AS5" s="403"/>
      <c r="AT5" s="403"/>
      <c r="AU5" s="403"/>
      <c r="AV5" s="260"/>
    </row>
    <row r="7" spans="1:101" ht="18" customHeight="1" x14ac:dyDescent="0.25">
      <c r="C7" s="69"/>
      <c r="D7" s="348" t="s">
        <v>157</v>
      </c>
      <c r="E7" s="348"/>
      <c r="F7" s="348"/>
      <c r="G7" s="348"/>
      <c r="H7" s="348"/>
      <c r="I7" s="348"/>
      <c r="J7" s="348"/>
      <c r="K7" s="348"/>
      <c r="L7" s="460" t="s">
        <v>2</v>
      </c>
      <c r="M7" s="460"/>
      <c r="N7" s="460"/>
      <c r="O7" s="460"/>
      <c r="P7" s="460"/>
      <c r="Q7" s="460"/>
      <c r="R7" s="460"/>
      <c r="S7" s="460"/>
      <c r="T7" s="460"/>
      <c r="U7" s="460"/>
      <c r="V7" s="460"/>
      <c r="W7" s="460"/>
      <c r="X7" s="460"/>
      <c r="Y7" s="460"/>
      <c r="Z7" s="460"/>
      <c r="AA7" s="460"/>
      <c r="AB7" s="460"/>
      <c r="AC7" s="460"/>
      <c r="AD7" s="460"/>
      <c r="AE7" s="460"/>
      <c r="AF7" s="460"/>
      <c r="AG7" s="460"/>
      <c r="AH7" s="460"/>
      <c r="AI7" s="460"/>
      <c r="AJ7" s="460"/>
      <c r="AK7" s="460"/>
      <c r="AL7" s="460"/>
      <c r="AM7" s="460"/>
      <c r="AN7" s="460"/>
      <c r="AO7" s="460"/>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293" t="s">
        <v>266</v>
      </c>
      <c r="B8" s="293"/>
      <c r="C8" s="294"/>
      <c r="D8" s="348"/>
      <c r="E8" s="348"/>
      <c r="F8" s="348"/>
      <c r="G8" s="348"/>
      <c r="H8" s="348"/>
      <c r="I8" s="348"/>
      <c r="J8" s="348"/>
      <c r="K8" s="348"/>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0"/>
      <c r="AM8" s="460"/>
      <c r="AN8" s="460"/>
      <c r="AO8" s="460"/>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348"/>
      <c r="E9" s="348"/>
      <c r="F9" s="348"/>
      <c r="G9" s="348"/>
      <c r="H9" s="348"/>
      <c r="I9" s="348"/>
      <c r="J9" s="348"/>
      <c r="K9" s="348"/>
      <c r="L9" s="460"/>
      <c r="M9" s="460"/>
      <c r="N9" s="460"/>
      <c r="O9" s="460"/>
      <c r="P9" s="460"/>
      <c r="Q9" s="460"/>
      <c r="R9" s="460"/>
      <c r="S9" s="460"/>
      <c r="T9" s="460"/>
      <c r="U9" s="460"/>
      <c r="V9" s="460"/>
      <c r="W9" s="460"/>
      <c r="X9" s="460"/>
      <c r="Y9" s="460"/>
      <c r="Z9" s="460"/>
      <c r="AA9" s="460"/>
      <c r="AB9" s="460"/>
      <c r="AC9" s="460"/>
      <c r="AD9" s="460"/>
      <c r="AE9" s="460"/>
      <c r="AF9" s="460"/>
      <c r="AG9" s="460"/>
      <c r="AH9" s="460"/>
      <c r="AI9" s="460"/>
      <c r="AJ9" s="460"/>
      <c r="AK9" s="460"/>
      <c r="AL9" s="460"/>
      <c r="AM9" s="460"/>
      <c r="AN9" s="460"/>
      <c r="AO9" s="460"/>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422" t="s">
        <v>4</v>
      </c>
      <c r="E11" s="422"/>
      <c r="F11" s="423"/>
      <c r="G11" s="389" t="s">
        <v>115</v>
      </c>
      <c r="H11" s="391"/>
      <c r="I11" s="391"/>
      <c r="J11" s="391"/>
      <c r="K11" s="391"/>
      <c r="L11" s="385" t="str">
        <f ca="1">IF(AND('Mapa final'!$Q$15="Muy Alta",'Mapa final'!$U$15="Leve"),CONCATENATE("R",'Mapa final'!$A$15),"")</f>
        <v/>
      </c>
      <c r="M11" s="386"/>
      <c r="N11" s="386" t="str">
        <f>IF(AND('Mapa final'!$L$16="Muy Alta",'Mapa final'!$P$16="Leve"),CONCATENATE("R",'Mapa final'!$A$16),"")</f>
        <v/>
      </c>
      <c r="O11" s="386"/>
      <c r="P11" s="386" t="str">
        <f>IF(AND('Mapa final'!$L$17="Muy Alta",'Mapa final'!$P$17="Leve"),CONCATENATE("R",'Mapa final'!$A$17),"")</f>
        <v/>
      </c>
      <c r="Q11" s="387"/>
      <c r="R11" s="385" t="str">
        <f ca="1">IF(AND('Mapa final'!$Q$15="Muy Alta",'Mapa final'!$U$15="Menor"),CONCATENATE("R",'Mapa final'!$A$15),"")</f>
        <v/>
      </c>
      <c r="S11" s="386"/>
      <c r="T11" s="386" t="str">
        <f ca="1">IF(AND('Mapa final'!$Q$16="Muy Alta",'Mapa final'!$U$16="Menor"),CONCATENATE("R",'Mapa final'!$A$16),"")</f>
        <v/>
      </c>
      <c r="U11" s="386"/>
      <c r="V11" s="386" t="str">
        <f ca="1">IF(AND('Mapa final'!$Q$17="Muy Alta",'Mapa final'!$U$17="Menor"),CONCATENATE("R",'Mapa final'!$A$17),"")</f>
        <v/>
      </c>
      <c r="W11" s="386"/>
      <c r="X11" s="385" t="str">
        <f ca="1">IF(AND('Mapa final'!$Q$15="Muy Alta",'Mapa final'!$U$15="Moderado"),CONCATENATE("R",'Mapa final'!$A$15),"")</f>
        <v/>
      </c>
      <c r="Y11" s="386"/>
      <c r="Z11" s="386" t="str">
        <f ca="1">IF(AND('Mapa final'!Q$16="Muy Alta",'Mapa final'!$U$16="Moderado"),CONCATENATE("R",'Mapa final'!$A$16),"")</f>
        <v/>
      </c>
      <c r="AA11" s="386"/>
      <c r="AB11" s="386" t="str">
        <f ca="1">IF(AND('Mapa final'!$Q$17="Muy Alta",'Mapa final'!$U$17="Moderado"),CONCATENATE("R",'Mapa final'!$A$17),"")</f>
        <v/>
      </c>
      <c r="AC11" s="386"/>
      <c r="AD11" s="385" t="str">
        <f ca="1">IF(AND('Mapa final'!$Q$15="Muy Alta",'Mapa final'!$U$15="Mayor"),CONCATENATE("R",'Mapa final'!$A$15),"")</f>
        <v/>
      </c>
      <c r="AE11" s="386"/>
      <c r="AF11" s="386" t="str">
        <f ca="1">IF(AND('Mapa final'!$Q$16="Muy Alta",'Mapa final'!$U$16="Mayor"),CONCATENATE("R",'Mapa final'!$A$16),"")</f>
        <v/>
      </c>
      <c r="AG11" s="386"/>
      <c r="AH11" s="386" t="str">
        <f ca="1">IF(AND('Mapa final'!$Q$17="Muy Alta",'Mapa final'!$U$17="Mayor"),CONCATENATE("R",'Mapa final'!$A$17),"")</f>
        <v/>
      </c>
      <c r="AI11" s="386"/>
      <c r="AJ11" s="376" t="str">
        <f ca="1">IF(AND('Mapa final'!$Q$15="Muy Alta",'Mapa final'!$U$15="Catastrófico"),CONCATENATE("R",'Mapa final'!$A$15),"")</f>
        <v/>
      </c>
      <c r="AK11" s="377"/>
      <c r="AL11" s="377" t="str">
        <f ca="1">IF(AND('Mapa final'!$Q$16="Muy Alta",'Mapa final'!$U$16="Catastrófico"),CONCATENATE("R",'Mapa final'!$A$16),"")</f>
        <v/>
      </c>
      <c r="AM11" s="377"/>
      <c r="AN11" s="377" t="str">
        <f ca="1">IF(AND('Mapa final'!$Q$17="Muy Alta",'Mapa final'!$U$17="Catastrófico"),CONCATENATE("R",'Mapa final'!$A$17),"")</f>
        <v/>
      </c>
      <c r="AO11" s="378"/>
      <c r="AQ11" s="424" t="s">
        <v>78</v>
      </c>
      <c r="AR11" s="425"/>
      <c r="AS11" s="425"/>
      <c r="AT11" s="425"/>
      <c r="AU11" s="425"/>
      <c r="AV11" s="426"/>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422"/>
      <c r="E12" s="422"/>
      <c r="F12" s="423"/>
      <c r="G12" s="393"/>
      <c r="H12" s="394"/>
      <c r="I12" s="394"/>
      <c r="J12" s="394"/>
      <c r="K12" s="400"/>
      <c r="L12" s="379"/>
      <c r="M12" s="388"/>
      <c r="N12" s="388"/>
      <c r="O12" s="388"/>
      <c r="P12" s="388"/>
      <c r="Q12" s="381"/>
      <c r="R12" s="379"/>
      <c r="S12" s="388"/>
      <c r="T12" s="388"/>
      <c r="U12" s="388"/>
      <c r="V12" s="388"/>
      <c r="W12" s="388"/>
      <c r="X12" s="379"/>
      <c r="Y12" s="388"/>
      <c r="Z12" s="388"/>
      <c r="AA12" s="388"/>
      <c r="AB12" s="388"/>
      <c r="AC12" s="388"/>
      <c r="AD12" s="379"/>
      <c r="AE12" s="388"/>
      <c r="AF12" s="388"/>
      <c r="AG12" s="388"/>
      <c r="AH12" s="388"/>
      <c r="AI12" s="388"/>
      <c r="AJ12" s="369"/>
      <c r="AK12" s="375"/>
      <c r="AL12" s="375"/>
      <c r="AM12" s="375"/>
      <c r="AN12" s="375"/>
      <c r="AO12" s="371"/>
      <c r="AP12" s="69"/>
      <c r="AQ12" s="427"/>
      <c r="AR12" s="428"/>
      <c r="AS12" s="428"/>
      <c r="AT12" s="428"/>
      <c r="AU12" s="428"/>
      <c r="AV12" s="42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422"/>
      <c r="E13" s="422"/>
      <c r="F13" s="423"/>
      <c r="G13" s="393"/>
      <c r="H13" s="394"/>
      <c r="I13" s="394"/>
      <c r="J13" s="394"/>
      <c r="K13" s="400"/>
      <c r="L13" s="379" t="str">
        <f ca="1">IF(AND('Mapa final'!$Q$18="Muy Alta",'Mapa final'!$U$18="Leve"),CONCATENATE("R",'Mapa final'!$A$18),"")</f>
        <v/>
      </c>
      <c r="M13" s="388"/>
      <c r="N13" s="388" t="str">
        <f>IF(AND('Mapa final'!$L$19="Muy Alta",'Mapa final'!$P$19="Leve"),CONCATENATE("R",'Mapa final'!$A$19),"")</f>
        <v/>
      </c>
      <c r="O13" s="388"/>
      <c r="P13" s="388" t="str">
        <f>IF(AND('Mapa final'!$L$20="Muy Alta",'Mapa final'!$P$20="Leve"),CONCATENATE("R",'Mapa final'!$A$20),"")</f>
        <v/>
      </c>
      <c r="Q13" s="381"/>
      <c r="R13" s="379" t="str">
        <f ca="1">IF(AND('Mapa final'!$Q$18="Muy Alta",'Mapa final'!$U$18="Menor"),CONCATENATE("R",'Mapa final'!$A$18),"")</f>
        <v/>
      </c>
      <c r="S13" s="388"/>
      <c r="T13" s="388" t="str">
        <f ca="1">IF(AND('Mapa final'!$Q$19="Muy Alta",'Mapa final'!$U$19="Menor"),CONCATENATE("R",'Mapa final'!$A$19),"")</f>
        <v/>
      </c>
      <c r="U13" s="388"/>
      <c r="V13" s="388" t="str">
        <f ca="1">IF(AND('Mapa final'!$Q$20="Muy Alta",'Mapa final'!$U$20="Menor"),CONCATENATE("R",'Mapa final'!$A$20),"")</f>
        <v/>
      </c>
      <c r="W13" s="388"/>
      <c r="X13" s="379" t="str">
        <f ca="1">IF(AND('Mapa final'!$Q$18="Muy Alta",'Mapa final'!$U$18="Moderado"),CONCATENATE("R",'Mapa final'!$A$18),"")</f>
        <v/>
      </c>
      <c r="Y13" s="388"/>
      <c r="Z13" s="388" t="str">
        <f ca="1">IF(AND('Mapa final'!$Q$19="Muy Alta",'Mapa final'!$U$19="Moderado"),CONCATENATE("R",'Mapa final'!$A$19),"")</f>
        <v/>
      </c>
      <c r="AA13" s="388"/>
      <c r="AB13" s="388" t="str">
        <f ca="1">IF(AND('Mapa final'!$Q$20="Muy Alta",'Mapa final'!$U$20="Moderado"),CONCATENATE("R",'Mapa final'!$A$20),"")</f>
        <v/>
      </c>
      <c r="AC13" s="388"/>
      <c r="AD13" s="379" t="str">
        <f ca="1">IF(AND('Mapa final'!$Q$18="Muy Alta",'Mapa final'!$U$18="Mayor"),CONCATENATE("R",'Mapa final'!$A$18),"")</f>
        <v/>
      </c>
      <c r="AE13" s="388"/>
      <c r="AF13" s="388" t="str">
        <f ca="1">IF(AND('Mapa final'!$Q$19="Muy Alta",'Mapa final'!$U$19="Mayor"),CONCATENATE("R",'Mapa final'!$A$19),"")</f>
        <v/>
      </c>
      <c r="AG13" s="388"/>
      <c r="AH13" s="388" t="str">
        <f ca="1">IF(AND('Mapa final'!$Q$20="Muy Alta",'Mapa final'!$U$20="Mayor"),CONCATENATE("R",'Mapa final'!$A$20),"")</f>
        <v/>
      </c>
      <c r="AI13" s="388"/>
      <c r="AJ13" s="369" t="str">
        <f ca="1">IF(AND('Mapa final'!$Q$18="Muy Alta",'Mapa final'!$U$18="Catastrófico"),CONCATENATE("R",'Mapa final'!$A$18),"")</f>
        <v/>
      </c>
      <c r="AK13" s="375"/>
      <c r="AL13" s="375" t="str">
        <f ca="1">IF(AND('Mapa final'!$Q$19="Muy Alta",'Mapa final'!$U$19="Catastrófico"),CONCATENATE("R",'Mapa final'!$A$19),"")</f>
        <v/>
      </c>
      <c r="AM13" s="375"/>
      <c r="AN13" s="375" t="str">
        <f>IF(AND('Mapa final'!$Q$20="Muy Alta",'Mapa final'!$L$20="Catastrófico"),CONCATENATE("R",'Mapa final'!$A$20),"")</f>
        <v/>
      </c>
      <c r="AO13" s="371"/>
      <c r="AP13" s="69"/>
      <c r="AQ13" s="427"/>
      <c r="AR13" s="428"/>
      <c r="AS13" s="428"/>
      <c r="AT13" s="428"/>
      <c r="AU13" s="428"/>
      <c r="AV13" s="42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422"/>
      <c r="E14" s="422"/>
      <c r="F14" s="423"/>
      <c r="G14" s="393"/>
      <c r="H14" s="394"/>
      <c r="I14" s="394"/>
      <c r="J14" s="394"/>
      <c r="K14" s="400"/>
      <c r="L14" s="379"/>
      <c r="M14" s="388"/>
      <c r="N14" s="388"/>
      <c r="O14" s="388"/>
      <c r="P14" s="388"/>
      <c r="Q14" s="381"/>
      <c r="R14" s="379"/>
      <c r="S14" s="388"/>
      <c r="T14" s="388"/>
      <c r="U14" s="388"/>
      <c r="V14" s="388"/>
      <c r="W14" s="388"/>
      <c r="X14" s="379"/>
      <c r="Y14" s="388"/>
      <c r="Z14" s="388"/>
      <c r="AA14" s="388"/>
      <c r="AB14" s="388"/>
      <c r="AC14" s="388"/>
      <c r="AD14" s="379"/>
      <c r="AE14" s="388"/>
      <c r="AF14" s="388"/>
      <c r="AG14" s="388"/>
      <c r="AH14" s="388"/>
      <c r="AI14" s="388"/>
      <c r="AJ14" s="369"/>
      <c r="AK14" s="375"/>
      <c r="AL14" s="375"/>
      <c r="AM14" s="375"/>
      <c r="AN14" s="375"/>
      <c r="AO14" s="371"/>
      <c r="AP14" s="69"/>
      <c r="AQ14" s="427"/>
      <c r="AR14" s="428"/>
      <c r="AS14" s="428"/>
      <c r="AT14" s="428"/>
      <c r="AU14" s="428"/>
      <c r="AV14" s="42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422"/>
      <c r="E15" s="422"/>
      <c r="F15" s="423"/>
      <c r="G15" s="393"/>
      <c r="H15" s="394"/>
      <c r="I15" s="394"/>
      <c r="J15" s="394"/>
      <c r="K15" s="400"/>
      <c r="L15" s="379" t="str">
        <f ca="1">IF(AND('Mapa final'!$Q$23="Muy Alta",'Mapa final'!$U$23="Leve"),CONCATENATE("R",'Mapa final'!$A$23),"")</f>
        <v/>
      </c>
      <c r="M15" s="388"/>
      <c r="N15" s="388" t="str">
        <f>IF(AND('Mapa final'!$L$24="Muy Alta",'Mapa final'!$P$24="Leve"),CONCATENATE("R",'Mapa final'!$A$24),"")</f>
        <v/>
      </c>
      <c r="O15" s="388"/>
      <c r="P15" s="388" t="str">
        <f>IF(AND('Mapa final'!$L$25="Muy Alta",'Mapa final'!$P$25="Leve"),CONCATENATE("R",'Mapa final'!$A$25),"")</f>
        <v/>
      </c>
      <c r="Q15" s="381"/>
      <c r="R15" s="379" t="str">
        <f ca="1">IF(AND('Mapa final'!$Q$23="Muy Alta",'Mapa final'!$U$23="Menor"),CONCATENATE("R",'Mapa final'!$A$23),"")</f>
        <v/>
      </c>
      <c r="S15" s="388"/>
      <c r="T15" s="388" t="str">
        <f ca="1">IF(AND('Mapa final'!$LR$24="Muy Alta",'Mapa final'!$U$24="Menor"),CONCATENATE("R",'Mapa final'!$A$24),"")</f>
        <v/>
      </c>
      <c r="U15" s="388"/>
      <c r="V15" s="388" t="str">
        <f>IF(AND('Mapa final'!$Q$25="Muy Alta",'Mapa final'!$U$25="Menor"),CONCATENATE("R",'Mapa final'!$A$25),"")</f>
        <v/>
      </c>
      <c r="W15" s="388"/>
      <c r="X15" s="379" t="str">
        <f ca="1">IF(AND('Mapa final'!$Q$23="Muy Alta",'Mapa final'!$U$23="Moderado"),CONCATENATE("R",'Mapa final'!$A$23),"")</f>
        <v/>
      </c>
      <c r="Y15" s="388"/>
      <c r="Z15" s="388" t="str">
        <f ca="1">IF(AND('Mapa final'!$Q$24="Muy Alta",'Mapa final'!$U$24="Moderado"),CONCATENATE("R",'Mapa final'!$A$24),"")</f>
        <v/>
      </c>
      <c r="AA15" s="388"/>
      <c r="AB15" s="388" t="str">
        <f>IF(AND('Mapa final'!$Q$25="Muy Alta",'Mapa final'!$U$25="Moderado"),CONCATENATE("R",'Mapa final'!$A$25),"")</f>
        <v/>
      </c>
      <c r="AC15" s="388"/>
      <c r="AD15" s="379" t="str">
        <f ca="1">IF(AND('Mapa final'!$Q$23="Muy Alta",'Mapa final'!$U$23="Mayor"),CONCATENATE("R",'Mapa final'!$A$23),"")</f>
        <v/>
      </c>
      <c r="AE15" s="388"/>
      <c r="AF15" s="388" t="str">
        <f ca="1">IF(AND('Mapa final'!$Q$24="Muy Alta",'Mapa final'!$U$24="Mayor"),CONCATENATE("R",'Mapa final'!$A$24),"")</f>
        <v/>
      </c>
      <c r="AG15" s="388"/>
      <c r="AH15" s="388" t="str">
        <f>IF(AND('Mapa final'!$Q$25="Muy Alta",'Mapa final'!$U$25="Mayor"),CONCATENATE("R",'Mapa final'!$A$25),"")</f>
        <v/>
      </c>
      <c r="AI15" s="388"/>
      <c r="AJ15" s="369" t="str">
        <f ca="1">IF(AND('Mapa final'!$Q$23="Muy Alta",'Mapa final'!$U$23="Catastrófico"),CONCATENATE("R",'Mapa final'!$A$23),"")</f>
        <v/>
      </c>
      <c r="AK15" s="375"/>
      <c r="AL15" s="375" t="str">
        <f ca="1">IF(AND('Mapa final'!$Q$24="Muy Alta",'Mapa final'!$U$24="Catastrófico"),CONCATENATE("R",'Mapa final'!$A$24),"")</f>
        <v/>
      </c>
      <c r="AM15" s="375"/>
      <c r="AN15" s="375" t="str">
        <f>IF(AND('Mapa final'!$Q$25="Muy Alta",'Mapa final'!$U$25="Catastrófico"),CONCATENATE("R",'Mapa final'!$A$25),"")</f>
        <v/>
      </c>
      <c r="AO15" s="371"/>
      <c r="AP15" s="69"/>
      <c r="AQ15" s="427"/>
      <c r="AR15" s="428"/>
      <c r="AS15" s="428"/>
      <c r="AT15" s="428"/>
      <c r="AU15" s="428"/>
      <c r="AV15" s="42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422"/>
      <c r="E16" s="422"/>
      <c r="F16" s="423"/>
      <c r="G16" s="393"/>
      <c r="H16" s="394"/>
      <c r="I16" s="394"/>
      <c r="J16" s="394"/>
      <c r="K16" s="400"/>
      <c r="L16" s="379"/>
      <c r="M16" s="388"/>
      <c r="N16" s="388"/>
      <c r="O16" s="388"/>
      <c r="P16" s="388"/>
      <c r="Q16" s="381"/>
      <c r="R16" s="379"/>
      <c r="S16" s="388"/>
      <c r="T16" s="388"/>
      <c r="U16" s="388"/>
      <c r="V16" s="388"/>
      <c r="W16" s="388"/>
      <c r="X16" s="379"/>
      <c r="Y16" s="388"/>
      <c r="Z16" s="388"/>
      <c r="AA16" s="388"/>
      <c r="AB16" s="388"/>
      <c r="AC16" s="388"/>
      <c r="AD16" s="379"/>
      <c r="AE16" s="388"/>
      <c r="AF16" s="388"/>
      <c r="AG16" s="388"/>
      <c r="AH16" s="388"/>
      <c r="AI16" s="388"/>
      <c r="AJ16" s="369"/>
      <c r="AK16" s="375"/>
      <c r="AL16" s="375"/>
      <c r="AM16" s="375"/>
      <c r="AN16" s="375"/>
      <c r="AO16" s="371"/>
      <c r="AP16" s="69"/>
      <c r="AQ16" s="427"/>
      <c r="AR16" s="428"/>
      <c r="AS16" s="428"/>
      <c r="AT16" s="428"/>
      <c r="AU16" s="428"/>
      <c r="AV16" s="42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422"/>
      <c r="E17" s="422"/>
      <c r="F17" s="423"/>
      <c r="G17" s="393"/>
      <c r="H17" s="394"/>
      <c r="I17" s="394"/>
      <c r="J17" s="394"/>
      <c r="K17" s="400"/>
      <c r="L17" s="379" t="str">
        <f>IF(AND('Mapa final'!$Q$26="Muy Alta",'Mapa final'!$U$26="Leve"),CONCATENATE("R",'Mapa final'!$A$26),"")</f>
        <v/>
      </c>
      <c r="M17" s="388"/>
      <c r="N17" s="388" t="str">
        <f>IF(AND('Mapa final'!$L$27="Muy Alta",'Mapa final'!$P$27="Leve"),CONCATENATE("R",'Mapa final'!$A$27),"")</f>
        <v/>
      </c>
      <c r="O17" s="388"/>
      <c r="P17" s="388" t="str">
        <f>IF(AND('Mapa final'!$L$28="Muy Alta",'Mapa final'!$P$28="Leve"),CONCATENATE("R",'Mapa final'!$A$28),"")</f>
        <v/>
      </c>
      <c r="Q17" s="381"/>
      <c r="R17" s="379" t="str">
        <f>IF(AND('Mapa final'!$Q$26="Muy Alta",'Mapa final'!$U$26="Menor"),CONCATENATE("R",'Mapa final'!$A$26),"")</f>
        <v/>
      </c>
      <c r="S17" s="388"/>
      <c r="T17" s="388" t="str">
        <f>IF(AND('Mapa final'!$Q$27="Muy Alta",'Mapa final'!$U$27="Menor"),CONCATENATE("R",'Mapa final'!$A$27),"")</f>
        <v/>
      </c>
      <c r="U17" s="388"/>
      <c r="V17" s="388" t="str">
        <f>IF(AND('Mapa final'!$Q$28="Muy Alta",'Mapa final'!$U$28="Menor"),CONCATENATE("R",'Mapa final'!$A$28),"")</f>
        <v/>
      </c>
      <c r="W17" s="388"/>
      <c r="X17" s="379" t="str">
        <f>IF(AND('Mapa final'!$Q$26="Muy Alta",'Mapa final'!$U$26="Moderado"),CONCATENATE("R",'Mapa final'!$A$26),"")</f>
        <v/>
      </c>
      <c r="Y17" s="388"/>
      <c r="Z17" s="388" t="str">
        <f>IF(AND('Mapa final'!$Q$27="Muy Alta",'Mapa final'!$U$27="Moderado"),CONCATENATE("R",'Mapa final'!$A$27),"")</f>
        <v/>
      </c>
      <c r="AA17" s="388"/>
      <c r="AB17" s="388" t="str">
        <f>IF(AND('Mapa final'!$Q$28="Muy Alta",'Mapa final'!$U$28="Moderado"),CONCATENATE("R",'Mapa final'!$A$28),"")</f>
        <v/>
      </c>
      <c r="AC17" s="388"/>
      <c r="AD17" s="379" t="str">
        <f>IF(AND('Mapa final'!$Q$26="Muy Alta",'Mapa final'!$U$26="Mayor"),CONCATENATE("R",'Mapa final'!$A$26),"")</f>
        <v/>
      </c>
      <c r="AE17" s="388"/>
      <c r="AF17" s="388" t="str">
        <f>IF(AND('Mapa final'!$Q$27="Muy Alta",'Mapa final'!$U$27="Mayor"),CONCATENATE("R",'Mapa final'!$A$27),"")</f>
        <v/>
      </c>
      <c r="AG17" s="388"/>
      <c r="AH17" s="388" t="str">
        <f>IF(AND('Mapa final'!$Q$28="Muy Alta",'Mapa final'!$U$28="Mayor"),CONCATENATE("R",'Mapa final'!$A$28),"")</f>
        <v/>
      </c>
      <c r="AI17" s="388"/>
      <c r="AJ17" s="369" t="str">
        <f>IF(AND('Mapa final'!$Q$26="Muy Alta",'Mapa final'!$U$26="Catastrófico"),CONCATENATE("R",'Mapa final'!$A$26),"")</f>
        <v/>
      </c>
      <c r="AK17" s="375"/>
      <c r="AL17" s="375" t="str">
        <f>IF(AND('Mapa final'!$Q$27="Muy Alta",'Mapa final'!$U$27="Catastrófico"),CONCATENATE("R",'Mapa final'!$A$27),"")</f>
        <v/>
      </c>
      <c r="AM17" s="375"/>
      <c r="AN17" s="375" t="str">
        <f>IF(AND('Mapa final'!$Q$28="Muy Alta",'Mapa final'!$U$28="Catastrófico"),CONCATENATE("R",'Mapa final'!$A$28),"")</f>
        <v/>
      </c>
      <c r="AO17" s="371"/>
      <c r="AP17" s="69"/>
      <c r="AQ17" s="427"/>
      <c r="AR17" s="428"/>
      <c r="AS17" s="428"/>
      <c r="AT17" s="428"/>
      <c r="AU17" s="428"/>
      <c r="AV17" s="42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422"/>
      <c r="E18" s="422"/>
      <c r="F18" s="423"/>
      <c r="G18" s="396"/>
      <c r="H18" s="397"/>
      <c r="I18" s="397"/>
      <c r="J18" s="397"/>
      <c r="K18" s="397"/>
      <c r="L18" s="382"/>
      <c r="M18" s="383"/>
      <c r="N18" s="383"/>
      <c r="O18" s="383"/>
      <c r="P18" s="383"/>
      <c r="Q18" s="384"/>
      <c r="R18" s="382"/>
      <c r="S18" s="383"/>
      <c r="T18" s="383"/>
      <c r="U18" s="383"/>
      <c r="V18" s="383"/>
      <c r="W18" s="383"/>
      <c r="X18" s="379"/>
      <c r="Y18" s="388"/>
      <c r="Z18" s="388"/>
      <c r="AA18" s="388"/>
      <c r="AB18" s="388"/>
      <c r="AC18" s="388"/>
      <c r="AD18" s="379"/>
      <c r="AE18" s="388"/>
      <c r="AF18" s="388"/>
      <c r="AG18" s="388"/>
      <c r="AH18" s="388"/>
      <c r="AI18" s="388"/>
      <c r="AJ18" s="369"/>
      <c r="AK18" s="375"/>
      <c r="AL18" s="375"/>
      <c r="AM18" s="375"/>
      <c r="AN18" s="375"/>
      <c r="AO18" s="371"/>
      <c r="AP18" s="69"/>
      <c r="AQ18" s="430"/>
      <c r="AR18" s="431"/>
      <c r="AS18" s="431"/>
      <c r="AT18" s="431"/>
      <c r="AU18" s="431"/>
      <c r="AV18" s="432"/>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422"/>
      <c r="E19" s="422"/>
      <c r="F19" s="423"/>
      <c r="G19" s="389" t="s">
        <v>114</v>
      </c>
      <c r="H19" s="391"/>
      <c r="I19" s="391"/>
      <c r="J19" s="391"/>
      <c r="K19" s="391"/>
      <c r="L19" s="365" t="str">
        <f ca="1">IF(AND('Mapa final'!$Q$15="Alta",'Mapa final'!$U$15="Leve"),CONCATENATE("R",'Mapa final'!$A$15),"")</f>
        <v/>
      </c>
      <c r="M19" s="366"/>
      <c r="N19" s="366" t="str">
        <f>IF(AND('Mapa final'!$L$16="Alta",'Mapa final'!$P$16="Leve"),CONCATENATE("R",'Mapa final'!$A$16),"")</f>
        <v/>
      </c>
      <c r="O19" s="366"/>
      <c r="P19" s="366" t="str">
        <f>IF(AND('Mapa final'!$L$17="Alta",'Mapa final'!$P$17="Leve"),CONCATENATE("R",'Mapa final'!$A$17),"")</f>
        <v/>
      </c>
      <c r="Q19" s="367"/>
      <c r="R19" s="365" t="str">
        <f ca="1">IF(AND('Mapa final'!$Q$15="Alta",'Mapa final'!$U$15="Menor"),CONCATENATE("R",'Mapa final'!$A$15),"")</f>
        <v/>
      </c>
      <c r="S19" s="366"/>
      <c r="T19" s="368" t="str">
        <f ca="1">IF(AND('Mapa final'!$Q$16="Alta",'Mapa final'!$U$16="Menor"),CONCATENATE("R",'Mapa final'!$A$16),"")</f>
        <v/>
      </c>
      <c r="U19" s="368"/>
      <c r="V19" s="368" t="str">
        <f ca="1">IF(AND('Mapa final'!$Q$17="Alta",'Mapa final'!$U$17="Menor"),CONCATENATE("R",'Mapa final'!$A$17),"")</f>
        <v/>
      </c>
      <c r="W19" s="368"/>
      <c r="X19" s="385" t="str">
        <f ca="1">IF(AND('Mapa final'!$Q$15="Alta",'Mapa final'!$U$15="Moderado"),CONCATENATE("R",'Mapa final'!$A$15),"")</f>
        <v/>
      </c>
      <c r="Y19" s="386"/>
      <c r="Z19" s="386" t="str">
        <f ca="1">IF(AND('Mapa final'!Q$16="Alta",'Mapa final'!$U$16="Moderado"),CONCATENATE("R",'Mapa final'!$A$16),"")</f>
        <v/>
      </c>
      <c r="AA19" s="386"/>
      <c r="AB19" s="386" t="str">
        <f ca="1">IF(AND('Mapa final'!$Q$17="Alta",'Mapa final'!$U$17="Moderado"),CONCATENATE("R",'Mapa final'!$A$17),"")</f>
        <v/>
      </c>
      <c r="AC19" s="386"/>
      <c r="AD19" s="385" t="str">
        <f ca="1">IF(AND('Mapa final'!$Q$15="Alta",'Mapa final'!$U$15="Mayor"),CONCATENATE("R",'Mapa final'!$A$15),"")</f>
        <v/>
      </c>
      <c r="AE19" s="386"/>
      <c r="AF19" s="386" t="str">
        <f ca="1">IF(AND('Mapa final'!$Q$16="Alta",'Mapa final'!$U$16="Mayor"),CONCATENATE("R",'Mapa final'!$A$16),"")</f>
        <v/>
      </c>
      <c r="AG19" s="386"/>
      <c r="AH19" s="386" t="str">
        <f ca="1">IF(AND('Mapa final'!$Q$17="Alta",'Mapa final'!$U$17="Mayor"),CONCATENATE("R",'Mapa final'!$A$17),"")</f>
        <v/>
      </c>
      <c r="AI19" s="386"/>
      <c r="AJ19" s="376" t="str">
        <f ca="1">IF(AND('Mapa final'!$Q$15="Alta",'Mapa final'!$U$15="Catastrófico"),CONCATENATE("R",'Mapa final'!$A$15),"")</f>
        <v/>
      </c>
      <c r="AK19" s="377"/>
      <c r="AL19" s="377" t="str">
        <f ca="1">IF(AND('Mapa final'!$Q$16="Alta",'Mapa final'!$U$16="Catastrófico"),CONCATENATE("R",'Mapa final'!$A$16),"")</f>
        <v/>
      </c>
      <c r="AM19" s="377"/>
      <c r="AN19" s="377" t="str">
        <f ca="1">IF(AND('Mapa final'!$Q$17="Alta",'Mapa final'!$U$17="Catastrófico"),CONCATENATE("R",'Mapa final'!$A$17),"")</f>
        <v/>
      </c>
      <c r="AO19" s="378"/>
      <c r="AP19" s="69"/>
      <c r="AQ19" s="433" t="s">
        <v>79</v>
      </c>
      <c r="AR19" s="434"/>
      <c r="AS19" s="434"/>
      <c r="AT19" s="434"/>
      <c r="AU19" s="434"/>
      <c r="AV19" s="435"/>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422"/>
      <c r="E20" s="422"/>
      <c r="F20" s="423"/>
      <c r="G20" s="393"/>
      <c r="H20" s="394"/>
      <c r="I20" s="394"/>
      <c r="J20" s="394"/>
      <c r="K20" s="394"/>
      <c r="L20" s="359"/>
      <c r="M20" s="368"/>
      <c r="N20" s="368"/>
      <c r="O20" s="368"/>
      <c r="P20" s="368"/>
      <c r="Q20" s="361"/>
      <c r="R20" s="359"/>
      <c r="S20" s="368"/>
      <c r="T20" s="360"/>
      <c r="U20" s="360"/>
      <c r="V20" s="360"/>
      <c r="W20" s="360"/>
      <c r="X20" s="379"/>
      <c r="Y20" s="388"/>
      <c r="Z20" s="388"/>
      <c r="AA20" s="388"/>
      <c r="AB20" s="388"/>
      <c r="AC20" s="388"/>
      <c r="AD20" s="379"/>
      <c r="AE20" s="388"/>
      <c r="AF20" s="388"/>
      <c r="AG20" s="388"/>
      <c r="AH20" s="388"/>
      <c r="AI20" s="388"/>
      <c r="AJ20" s="369"/>
      <c r="AK20" s="375"/>
      <c r="AL20" s="375"/>
      <c r="AM20" s="375"/>
      <c r="AN20" s="375"/>
      <c r="AO20" s="371"/>
      <c r="AP20" s="69"/>
      <c r="AQ20" s="436"/>
      <c r="AR20" s="437"/>
      <c r="AS20" s="437"/>
      <c r="AT20" s="437"/>
      <c r="AU20" s="437"/>
      <c r="AV20" s="438"/>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422"/>
      <c r="E21" s="422"/>
      <c r="F21" s="423"/>
      <c r="G21" s="393"/>
      <c r="H21" s="394"/>
      <c r="I21" s="394"/>
      <c r="J21" s="394"/>
      <c r="K21" s="394"/>
      <c r="L21" s="359" t="str">
        <f ca="1">IF(AND('Mapa final'!$Q$18="Alta",'Mapa final'!$U$18="Leve"),CONCATENATE("R",'Mapa final'!$A$18),"")</f>
        <v/>
      </c>
      <c r="M21" s="368"/>
      <c r="N21" s="368" t="str">
        <f>IF(AND('Mapa final'!$L$19="Alta",'Mapa final'!$P$19="Leve"),CONCATENATE("R",'Mapa final'!$A$19),"")</f>
        <v/>
      </c>
      <c r="O21" s="368"/>
      <c r="P21" s="368" t="str">
        <f>IF(AND('Mapa final'!$L$20="Alta",'Mapa final'!$P$20="Leve"),CONCATENATE("R",'Mapa final'!$A$20),"")</f>
        <v/>
      </c>
      <c r="Q21" s="361"/>
      <c r="R21" s="359" t="str">
        <f ca="1">IF(AND('Mapa final'!$Q$18="Alta",'Mapa final'!$U$18="Menor"),CONCATENATE("R",'Mapa final'!$A$18),"")</f>
        <v/>
      </c>
      <c r="S21" s="368"/>
      <c r="T21" s="368" t="str">
        <f ca="1">IF(AND('Mapa final'!$Q$19="Alta",'Mapa final'!$U$19="Menor"),CONCATENATE("R",'Mapa final'!$A$19),"")</f>
        <v/>
      </c>
      <c r="U21" s="368"/>
      <c r="V21" s="368" t="str">
        <f ca="1">IF(AND('Mapa final'!$Q$20="Alta",'Mapa final'!$U$20="Menor"),CONCATENATE("R",'Mapa final'!$A$20),"")</f>
        <v/>
      </c>
      <c r="W21" s="368"/>
      <c r="X21" s="379" t="str">
        <f ca="1">IF(AND('Mapa final'!$Q$18="Alta",'Mapa final'!$U$18="Moderado"),CONCATENATE("R",'Mapa final'!$A$18),"")</f>
        <v/>
      </c>
      <c r="Y21" s="388"/>
      <c r="Z21" s="388" t="str">
        <f ca="1">IF(AND('Mapa final'!$Q$19="Alta",'Mapa final'!$U$19="Moderado"),CONCATENATE("R",'Mapa final'!$A$19),"")</f>
        <v/>
      </c>
      <c r="AA21" s="388"/>
      <c r="AB21" s="388" t="str">
        <f ca="1">IF(AND('Mapa final'!$Q$20="Alta",'Mapa final'!$U$20="Moderado"),CONCATENATE("R",'Mapa final'!$A$20),"")</f>
        <v/>
      </c>
      <c r="AC21" s="388"/>
      <c r="AD21" s="379" t="str">
        <f ca="1">IF(AND('Mapa final'!$Q$18="Alta",'Mapa final'!$U$18="Mayor"),CONCATENATE("R",'Mapa final'!$A$18),"")</f>
        <v/>
      </c>
      <c r="AE21" s="388"/>
      <c r="AF21" s="388" t="str">
        <f ca="1">IF(AND('Mapa final'!$Q$19="Alta",'Mapa final'!$U$19="Mayor"),CONCATENATE("R",'Mapa final'!$A$19),"")</f>
        <v/>
      </c>
      <c r="AG21" s="388"/>
      <c r="AH21" s="388" t="str">
        <f ca="1">IF(AND('Mapa final'!$Q$20="Alta",'Mapa final'!$U$20="Mayor"),CONCATENATE("R",'Mapa final'!$A$20),"")</f>
        <v/>
      </c>
      <c r="AI21" s="388"/>
      <c r="AJ21" s="369" t="str">
        <f ca="1">IF(AND('Mapa final'!$Q$18="Alta",'Mapa final'!$U$18="Catastrófico"),CONCATENATE("R",'Mapa final'!$A$18),"")</f>
        <v/>
      </c>
      <c r="AK21" s="375"/>
      <c r="AL21" s="375" t="str">
        <f ca="1">IF(AND('Mapa final'!$Q$19="Alta",'Mapa final'!$U$19="Catastrófico"),CONCATENATE("R",'Mapa final'!$A$19),"")</f>
        <v/>
      </c>
      <c r="AM21" s="375"/>
      <c r="AN21" s="375" t="str">
        <f>IF(AND('Mapa final'!$Q$20="Alta",'Mapa final'!$L$20="Catastrófico"),CONCATENATE("R",'Mapa final'!$A$20),"")</f>
        <v/>
      </c>
      <c r="AO21" s="371"/>
      <c r="AP21" s="69"/>
      <c r="AQ21" s="436"/>
      <c r="AR21" s="437"/>
      <c r="AS21" s="437"/>
      <c r="AT21" s="437"/>
      <c r="AU21" s="437"/>
      <c r="AV21" s="438"/>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422"/>
      <c r="E22" s="422"/>
      <c r="F22" s="423"/>
      <c r="G22" s="393"/>
      <c r="H22" s="394"/>
      <c r="I22" s="394"/>
      <c r="J22" s="394"/>
      <c r="K22" s="394"/>
      <c r="L22" s="359"/>
      <c r="M22" s="368"/>
      <c r="N22" s="368"/>
      <c r="O22" s="368"/>
      <c r="P22" s="368"/>
      <c r="Q22" s="361"/>
      <c r="R22" s="359"/>
      <c r="S22" s="368"/>
      <c r="T22" s="360"/>
      <c r="U22" s="360"/>
      <c r="V22" s="360"/>
      <c r="W22" s="360"/>
      <c r="X22" s="379"/>
      <c r="Y22" s="388"/>
      <c r="Z22" s="388"/>
      <c r="AA22" s="388"/>
      <c r="AB22" s="388"/>
      <c r="AC22" s="388"/>
      <c r="AD22" s="379"/>
      <c r="AE22" s="388"/>
      <c r="AF22" s="388"/>
      <c r="AG22" s="388"/>
      <c r="AH22" s="388"/>
      <c r="AI22" s="388"/>
      <c r="AJ22" s="369"/>
      <c r="AK22" s="375"/>
      <c r="AL22" s="375"/>
      <c r="AM22" s="375"/>
      <c r="AN22" s="375"/>
      <c r="AO22" s="371"/>
      <c r="AP22" s="69"/>
      <c r="AQ22" s="436"/>
      <c r="AR22" s="437"/>
      <c r="AS22" s="437"/>
      <c r="AT22" s="437"/>
      <c r="AU22" s="437"/>
      <c r="AV22" s="438"/>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422"/>
      <c r="E23" s="422"/>
      <c r="F23" s="423"/>
      <c r="G23" s="393"/>
      <c r="H23" s="394"/>
      <c r="I23" s="394"/>
      <c r="J23" s="394"/>
      <c r="K23" s="394"/>
      <c r="L23" s="359" t="str">
        <f ca="1">IF(AND('Mapa final'!$Q$23="Alta",'Mapa final'!$U$23="Leve"),CONCATENATE("R",'Mapa final'!$A$23),"")</f>
        <v/>
      </c>
      <c r="M23" s="368"/>
      <c r="N23" s="368" t="str">
        <f>IF(AND('Mapa final'!$L$24="Alta",'Mapa final'!$P$24="Leve"),CONCATENATE("R",'Mapa final'!$A$24),"")</f>
        <v/>
      </c>
      <c r="O23" s="368"/>
      <c r="P23" s="368" t="str">
        <f>IF(AND('Mapa final'!$L$25="Alta",'Mapa final'!$P$25="Leve"),CONCATENATE("R",'Mapa final'!$A$25),"")</f>
        <v/>
      </c>
      <c r="Q23" s="361"/>
      <c r="R23" s="359" t="str">
        <f ca="1">IF(AND('Mapa final'!$Q$23="Alta",'Mapa final'!$U$23="Menor"),CONCATENATE("R",'Mapa final'!$A$23),"")</f>
        <v/>
      </c>
      <c r="S23" s="368"/>
      <c r="T23" s="368" t="str">
        <f ca="1">IF(AND('Mapa final'!$LR$24="Alta",'Mapa final'!$U$24="Menor"),CONCATENATE("R",'Mapa final'!$A$24),"")</f>
        <v/>
      </c>
      <c r="U23" s="368"/>
      <c r="V23" s="368" t="str">
        <f>IF(AND('Mapa final'!$Q$25="Alta",'Mapa final'!$U$25="Menor"),CONCATENATE("R",'Mapa final'!$A$25),"")</f>
        <v/>
      </c>
      <c r="W23" s="368"/>
      <c r="X23" s="379" t="str">
        <f ca="1">IF(AND('Mapa final'!$Q$23="Alta",'Mapa final'!$U$23="Moderado"),CONCATENATE("R",'Mapa final'!$A$23),"")</f>
        <v/>
      </c>
      <c r="Y23" s="388"/>
      <c r="Z23" s="388" t="str">
        <f ca="1">IF(AND('Mapa final'!$Q$24="Alta",'Mapa final'!$U$24="Moderado"),CONCATENATE("R",'Mapa final'!$A$24),"")</f>
        <v/>
      </c>
      <c r="AA23" s="388"/>
      <c r="AB23" s="388" t="str">
        <f>IF(AND('Mapa final'!$Q$25="Alta",'Mapa final'!$U$25="Moderado"),CONCATENATE("R",'Mapa final'!$A$25),"")</f>
        <v/>
      </c>
      <c r="AC23" s="388"/>
      <c r="AD23" s="379" t="str">
        <f ca="1">IF(AND('Mapa final'!$Q$23="Alta",'Mapa final'!$U$23="Mayor"),CONCATENATE("R",'Mapa final'!$A$23),"")</f>
        <v/>
      </c>
      <c r="AE23" s="388"/>
      <c r="AF23" s="388" t="str">
        <f ca="1">IF(AND('Mapa final'!$Q$24="Alta",'Mapa final'!$U$24="Mayor"),CONCATENATE("R",'Mapa final'!$A$24),"")</f>
        <v/>
      </c>
      <c r="AG23" s="388"/>
      <c r="AH23" s="388" t="str">
        <f>IF(AND('Mapa final'!$Q$25="Alta",'Mapa final'!$U$25="Mayor"),CONCATENATE("R",'Mapa final'!$A$25),"")</f>
        <v/>
      </c>
      <c r="AI23" s="388"/>
      <c r="AJ23" s="369" t="str">
        <f ca="1">IF(AND('Mapa final'!$Q$23="Alta",'Mapa final'!$U$23="Catastrófico"),CONCATENATE("R",'Mapa final'!$A$23),"")</f>
        <v/>
      </c>
      <c r="AK23" s="375"/>
      <c r="AL23" s="375" t="str">
        <f ca="1">IF(AND('Mapa final'!$Q$24="Alta",'Mapa final'!$U$24="Catastrófico"),CONCATENATE("R",'Mapa final'!$A$24),"")</f>
        <v/>
      </c>
      <c r="AM23" s="375"/>
      <c r="AN23" s="375" t="str">
        <f>IF(AND('Mapa final'!$Q$25="Alta",'Mapa final'!$U$25="Catastrófico"),CONCATENATE("R",'Mapa final'!$A$25),"")</f>
        <v/>
      </c>
      <c r="AO23" s="371"/>
      <c r="AP23" s="69"/>
      <c r="AQ23" s="436"/>
      <c r="AR23" s="437"/>
      <c r="AS23" s="437"/>
      <c r="AT23" s="437"/>
      <c r="AU23" s="437"/>
      <c r="AV23" s="438"/>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422"/>
      <c r="E24" s="422"/>
      <c r="F24" s="423"/>
      <c r="G24" s="393"/>
      <c r="H24" s="394"/>
      <c r="I24" s="394"/>
      <c r="J24" s="394"/>
      <c r="K24" s="394"/>
      <c r="L24" s="359"/>
      <c r="M24" s="368"/>
      <c r="N24" s="368"/>
      <c r="O24" s="368"/>
      <c r="P24" s="368"/>
      <c r="Q24" s="361"/>
      <c r="R24" s="359"/>
      <c r="S24" s="368"/>
      <c r="T24" s="360"/>
      <c r="U24" s="360"/>
      <c r="V24" s="360"/>
      <c r="W24" s="360"/>
      <c r="X24" s="379"/>
      <c r="Y24" s="388"/>
      <c r="Z24" s="388"/>
      <c r="AA24" s="388"/>
      <c r="AB24" s="388"/>
      <c r="AC24" s="388"/>
      <c r="AD24" s="379"/>
      <c r="AE24" s="388"/>
      <c r="AF24" s="388"/>
      <c r="AG24" s="388"/>
      <c r="AH24" s="388"/>
      <c r="AI24" s="388"/>
      <c r="AJ24" s="369"/>
      <c r="AK24" s="375"/>
      <c r="AL24" s="375"/>
      <c r="AM24" s="375"/>
      <c r="AN24" s="375"/>
      <c r="AO24" s="371"/>
      <c r="AP24" s="69"/>
      <c r="AQ24" s="436"/>
      <c r="AR24" s="437"/>
      <c r="AS24" s="437"/>
      <c r="AT24" s="437"/>
      <c r="AU24" s="437"/>
      <c r="AV24" s="438"/>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422"/>
      <c r="E25" s="422"/>
      <c r="F25" s="423"/>
      <c r="G25" s="393"/>
      <c r="H25" s="394"/>
      <c r="I25" s="394"/>
      <c r="J25" s="394"/>
      <c r="K25" s="394"/>
      <c r="L25" s="359" t="str">
        <f>IF(AND('Mapa final'!$Q$26="Alta",'Mapa final'!$U$26="Leve"),CONCATENATE("R",'Mapa final'!$A$26),"")</f>
        <v/>
      </c>
      <c r="M25" s="368"/>
      <c r="N25" s="368" t="str">
        <f>IF(AND('Mapa final'!$L$27="Alta",'Mapa final'!$P$27="Leve"),CONCATENATE("R",'Mapa final'!$A$27),"")</f>
        <v/>
      </c>
      <c r="O25" s="368"/>
      <c r="P25" s="368" t="str">
        <f>IF(AND('Mapa final'!$L$28="Alta",'Mapa final'!$P$28="Leve"),CONCATENATE("R",'Mapa final'!$A$28),"")</f>
        <v/>
      </c>
      <c r="Q25" s="361"/>
      <c r="R25" s="359" t="str">
        <f>IF(AND('Mapa final'!$Q$26="Alta",'Mapa final'!$U$26="Menor"),CONCATENATE("R",'Mapa final'!$A$26),"")</f>
        <v/>
      </c>
      <c r="S25" s="368"/>
      <c r="T25" s="368" t="str">
        <f>IF(AND('Mapa final'!$Q$27="Alta",'Mapa final'!$U$27="Menor"),CONCATENATE("R",'Mapa final'!$A$27),"")</f>
        <v/>
      </c>
      <c r="U25" s="368"/>
      <c r="V25" s="368" t="str">
        <f>IF(AND('Mapa final'!$Q$28="Alta",'Mapa final'!$U$28="Menor"),CONCATENATE("R",'Mapa final'!$A$28),"")</f>
        <v/>
      </c>
      <c r="W25" s="368"/>
      <c r="X25" s="379" t="str">
        <f>IF(AND('Mapa final'!$Q$26="Alta",'Mapa final'!$U$26="Moderado"),CONCATENATE("R",'Mapa final'!$A$26),"")</f>
        <v/>
      </c>
      <c r="Y25" s="388"/>
      <c r="Z25" s="388" t="str">
        <f>IF(AND('Mapa final'!$Q$27="Alta",'Mapa final'!$U$27="Moderado"),CONCATENATE("R",'Mapa final'!$A$27),"")</f>
        <v/>
      </c>
      <c r="AA25" s="388"/>
      <c r="AB25" s="388" t="str">
        <f>IF(AND('Mapa final'!$Q$28="Alta",'Mapa final'!$U$28="Moderado"),CONCATENATE("R",'Mapa final'!$A$28),"")</f>
        <v/>
      </c>
      <c r="AC25" s="388"/>
      <c r="AD25" s="379" t="str">
        <f>IF(AND('Mapa final'!$Q$26="Alta",'Mapa final'!$U$26="Mayor"),CONCATENATE("R",'Mapa final'!$A$26),"")</f>
        <v/>
      </c>
      <c r="AE25" s="388"/>
      <c r="AF25" s="388" t="str">
        <f>IF(AND('Mapa final'!$Q$27="Alta",'Mapa final'!$U$27="Mayor"),CONCATENATE("R",'Mapa final'!$A$27),"")</f>
        <v/>
      </c>
      <c r="AG25" s="388"/>
      <c r="AH25" s="388" t="str">
        <f>IF(AND('Mapa final'!$Q$28="Alta",'Mapa final'!$U$28="Mayor"),CONCATENATE("R",'Mapa final'!$A$28),"")</f>
        <v/>
      </c>
      <c r="AI25" s="388"/>
      <c r="AJ25" s="369" t="str">
        <f>IF(AND('Mapa final'!$Q$26="Alta",'Mapa final'!$U$26="Catastrófico"),CONCATENATE("R",'Mapa final'!$A$26),"")</f>
        <v/>
      </c>
      <c r="AK25" s="375"/>
      <c r="AL25" s="375" t="str">
        <f>IF(AND('Mapa final'!$Q$27="Alta",'Mapa final'!$U$27="Catastrófico"),CONCATENATE("R",'Mapa final'!$A$27),"")</f>
        <v/>
      </c>
      <c r="AM25" s="375"/>
      <c r="AN25" s="375" t="str">
        <f>IF(AND('Mapa final'!$Q$28="Alta",'Mapa final'!$U$28="Catastrófico"),CONCATENATE("R",'Mapa final'!$A$28),"")</f>
        <v/>
      </c>
      <c r="AO25" s="371"/>
      <c r="AP25" s="69"/>
      <c r="AQ25" s="436"/>
      <c r="AR25" s="437"/>
      <c r="AS25" s="437"/>
      <c r="AT25" s="437"/>
      <c r="AU25" s="437"/>
      <c r="AV25" s="438"/>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422"/>
      <c r="E26" s="422"/>
      <c r="F26" s="423"/>
      <c r="G26" s="396"/>
      <c r="H26" s="397"/>
      <c r="I26" s="397"/>
      <c r="J26" s="397"/>
      <c r="K26" s="397"/>
      <c r="L26" s="362"/>
      <c r="M26" s="363"/>
      <c r="N26" s="363"/>
      <c r="O26" s="363"/>
      <c r="P26" s="363"/>
      <c r="Q26" s="364"/>
      <c r="R26" s="362"/>
      <c r="S26" s="363"/>
      <c r="T26" s="360"/>
      <c r="U26" s="360"/>
      <c r="V26" s="360"/>
      <c r="W26" s="360"/>
      <c r="X26" s="379"/>
      <c r="Y26" s="388"/>
      <c r="Z26" s="388"/>
      <c r="AA26" s="388"/>
      <c r="AB26" s="388"/>
      <c r="AC26" s="388"/>
      <c r="AD26" s="379"/>
      <c r="AE26" s="388"/>
      <c r="AF26" s="388"/>
      <c r="AG26" s="388"/>
      <c r="AH26" s="388"/>
      <c r="AI26" s="388"/>
      <c r="AJ26" s="369"/>
      <c r="AK26" s="375"/>
      <c r="AL26" s="375"/>
      <c r="AM26" s="375"/>
      <c r="AN26" s="375"/>
      <c r="AO26" s="371"/>
      <c r="AP26" s="69"/>
      <c r="AQ26" s="439"/>
      <c r="AR26" s="440"/>
      <c r="AS26" s="440"/>
      <c r="AT26" s="440"/>
      <c r="AU26" s="440"/>
      <c r="AV26" s="441"/>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422"/>
      <c r="E27" s="422"/>
      <c r="F27" s="423"/>
      <c r="G27" s="389" t="s">
        <v>116</v>
      </c>
      <c r="H27" s="391"/>
      <c r="I27" s="391"/>
      <c r="J27" s="391"/>
      <c r="K27" s="391"/>
      <c r="L27" s="365" t="str">
        <f ca="1">IF(AND('Mapa final'!$Q$15="Media",'Mapa final'!$U$15="Leve"),CONCATENATE("R",'Mapa final'!$A$15),"")</f>
        <v/>
      </c>
      <c r="M27" s="366"/>
      <c r="N27" s="366" t="str">
        <f>IF(AND('Mapa final'!$L$16="Media",'Mapa final'!$P$16="Leve"),CONCATENATE("R",'Mapa final'!$A$16),"")</f>
        <v/>
      </c>
      <c r="O27" s="366"/>
      <c r="P27" s="366" t="str">
        <f ca="1">IF(AND('Mapa final'!$Q$17="Media",'Mapa final'!$U$17="leve"),CONCATENATE("R",'Mapa final'!$D$17),"")</f>
        <v/>
      </c>
      <c r="Q27" s="367"/>
      <c r="R27" s="365" t="str">
        <f ca="1">IF(AND('Mapa final'!$Q$15="Media",'Mapa final'!$U$15="Menor"),CONCATENATE("R",'Mapa final'!$A$15),"")</f>
        <v/>
      </c>
      <c r="S27" s="366"/>
      <c r="T27" s="366" t="str">
        <f ca="1">IF(AND('Mapa final'!$Q$16="Media",'Mapa final'!$U$16="Menor"),CONCATENATE("R",'Mapa final'!$A$16),"")</f>
        <v/>
      </c>
      <c r="U27" s="366"/>
      <c r="V27" s="366" t="str">
        <f ca="1">IF(AND('Mapa final'!$Q$17="Media",'Mapa final'!$U$17="Menor"),CONCATENATE("R",'Mapa final'!$A$17),"")</f>
        <v/>
      </c>
      <c r="W27" s="366"/>
      <c r="X27" s="365" t="str">
        <f ca="1">IF(AND('Mapa final'!$Q$15="Media",'Mapa final'!$U$15="Moderado"),CONCATENATE("R",'Mapa final'!$A$15),"")</f>
        <v/>
      </c>
      <c r="Y27" s="366"/>
      <c r="Z27" s="366" t="str">
        <f ca="1">IF(AND('Mapa final'!Q$16="Media",'Mapa final'!$U$16="Moderado"),CONCATENATE("R",'Mapa final'!$A$16),"")</f>
        <v/>
      </c>
      <c r="AA27" s="366"/>
      <c r="AB27" s="366" t="str">
        <f ca="1">IF(AND('Mapa final'!$Q$17="Media",'Mapa final'!$U$17="Moderado"),CONCATENATE("R",'Mapa final'!$A$17),"")</f>
        <v/>
      </c>
      <c r="AC27" s="366"/>
      <c r="AD27" s="385" t="str">
        <f ca="1">IF(AND('Mapa final'!$Q$15="Media",'Mapa final'!$U$15="Mayor"),CONCATENATE("R",'Mapa final'!$D$15),"")</f>
        <v/>
      </c>
      <c r="AE27" s="386"/>
      <c r="AF27" s="386" t="str">
        <f ca="1">IF(AND('Mapa final'!$Q$16="Media",'Mapa final'!$U$16="Mayor"),CONCATENATE("R",'Mapa final'!$A$16),"")</f>
        <v/>
      </c>
      <c r="AG27" s="386"/>
      <c r="AH27" s="386" t="str">
        <f ca="1">IF(AND('Mapa final'!$Q$17="Media",'Mapa final'!$U$17="Mayor"),CONCATENATE("R",'Mapa final'!$D$17),"")</f>
        <v>R3</v>
      </c>
      <c r="AI27" s="386"/>
      <c r="AJ27" s="376" t="str">
        <f ca="1">IF(AND('Mapa final'!$Q$15="Media",'Mapa final'!$U$15="Catastrófico"),CONCATENATE("R",'Mapa final'!$A$15),"")</f>
        <v/>
      </c>
      <c r="AK27" s="377"/>
      <c r="AL27" s="377" t="str">
        <f ca="1">IF(AND('Mapa final'!$Q$16="Media",'Mapa final'!$U$16="Catastrófico"),CONCATENATE("R",'Mapa final'!$A$16),"")</f>
        <v/>
      </c>
      <c r="AM27" s="377"/>
      <c r="AN27" s="377" t="str">
        <f ca="1">IF(AND('Mapa final'!$Q$17="Media",'Mapa final'!$U$17="Catastrófico"),CONCATENATE("R",'Mapa final'!$A$17),"")</f>
        <v/>
      </c>
      <c r="AO27" s="378"/>
      <c r="AP27" s="69"/>
      <c r="AQ27" s="442" t="s">
        <v>80</v>
      </c>
      <c r="AR27" s="443"/>
      <c r="AS27" s="443"/>
      <c r="AT27" s="443"/>
      <c r="AU27" s="443"/>
      <c r="AV27" s="444"/>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422"/>
      <c r="E28" s="422"/>
      <c r="F28" s="423"/>
      <c r="G28" s="393"/>
      <c r="H28" s="394"/>
      <c r="I28" s="394"/>
      <c r="J28" s="394"/>
      <c r="K28" s="400"/>
      <c r="L28" s="359"/>
      <c r="M28" s="368"/>
      <c r="N28" s="368"/>
      <c r="O28" s="368"/>
      <c r="P28" s="368"/>
      <c r="Q28" s="361"/>
      <c r="R28" s="359"/>
      <c r="S28" s="368"/>
      <c r="T28" s="368"/>
      <c r="U28" s="368"/>
      <c r="V28" s="368"/>
      <c r="W28" s="368"/>
      <c r="X28" s="359"/>
      <c r="Y28" s="368"/>
      <c r="Z28" s="368"/>
      <c r="AA28" s="368"/>
      <c r="AB28" s="368"/>
      <c r="AC28" s="368"/>
      <c r="AD28" s="379"/>
      <c r="AE28" s="388"/>
      <c r="AF28" s="388"/>
      <c r="AG28" s="388"/>
      <c r="AH28" s="388"/>
      <c r="AI28" s="388"/>
      <c r="AJ28" s="369"/>
      <c r="AK28" s="375"/>
      <c r="AL28" s="375"/>
      <c r="AM28" s="375"/>
      <c r="AN28" s="375"/>
      <c r="AO28" s="371"/>
      <c r="AP28" s="69"/>
      <c r="AQ28" s="445"/>
      <c r="AR28" s="446"/>
      <c r="AS28" s="446"/>
      <c r="AT28" s="446"/>
      <c r="AU28" s="446"/>
      <c r="AV28" s="447"/>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422"/>
      <c r="E29" s="422"/>
      <c r="F29" s="423"/>
      <c r="G29" s="393"/>
      <c r="H29" s="394"/>
      <c r="I29" s="394"/>
      <c r="J29" s="394"/>
      <c r="K29" s="400"/>
      <c r="L29" s="359" t="str">
        <f ca="1">IF(AND('Mapa final'!$Q$18="Media",'Mapa final'!$U$18="Leve"),CONCATENATE("R",'Mapa final'!$A$18),"")</f>
        <v/>
      </c>
      <c r="M29" s="368"/>
      <c r="N29" s="368" t="str">
        <f>IF(AND('Mapa final'!$L$19="Media",'Mapa final'!$P$19="Leve"),CONCATENATE("R",'Mapa final'!$A$19),"")</f>
        <v/>
      </c>
      <c r="O29" s="368"/>
      <c r="P29" s="368" t="str">
        <f>IF(AND('Mapa final'!$L$20="Media",'Mapa final'!$P$20="Leve"),CONCATENATE("R",'Mapa final'!$A$20),"")</f>
        <v/>
      </c>
      <c r="Q29" s="361"/>
      <c r="R29" s="359" t="str">
        <f ca="1">IF(AND('Mapa final'!$Q$18="Media",'Mapa final'!$U$18="Menor"),CONCATENATE("R",'Mapa final'!$A$18),"")</f>
        <v/>
      </c>
      <c r="S29" s="368"/>
      <c r="T29" s="368" t="str">
        <f ca="1">IF(AND('Mapa final'!$Q$19="Media",'Mapa final'!$U$19="Menor"),CONCATENATE("R",'Mapa final'!$A$19),"")</f>
        <v/>
      </c>
      <c r="U29" s="368"/>
      <c r="V29" s="368" t="str">
        <f ca="1">IF(AND('Mapa final'!$Q$20="Media",'Mapa final'!$U$20="Menor"),CONCATENATE("R",'Mapa final'!$A$20),"")</f>
        <v/>
      </c>
      <c r="W29" s="368"/>
      <c r="X29" s="359" t="str">
        <f ca="1">IF(AND('Mapa final'!$Q$18="Media",'Mapa final'!$U$18="Moderado"),CONCATENATE("R",'Mapa final'!$A$18),"")</f>
        <v/>
      </c>
      <c r="Y29" s="368"/>
      <c r="Z29" s="368" t="str">
        <f ca="1">IF(AND('Mapa final'!$Q$19="Media",'Mapa final'!$U$19="Moderado"),CONCATENATE("R",'Mapa final'!$A$19),"")</f>
        <v/>
      </c>
      <c r="AA29" s="368"/>
      <c r="AB29" s="368" t="str">
        <f ca="1">IF(AND('Mapa final'!$Q$20="Media",'Mapa final'!$U$20="Moderado"),CONCATENATE("R",'Mapa final'!$A$20),"")</f>
        <v/>
      </c>
      <c r="AC29" s="368"/>
      <c r="AD29" s="379" t="str">
        <f ca="1">IF(AND('Mapa final'!$Q$18="Media",'Mapa final'!$U$18="Mayor"),CONCATENATE("R",'Mapa final'!$D$18),"")</f>
        <v>R4</v>
      </c>
      <c r="AE29" s="388"/>
      <c r="AF29" s="388" t="str">
        <f ca="1">IF(AND('Mapa final'!$Q$19="Media",'Mapa final'!$U$19="Mayor"),CONCATENATE("R",'Mapa final'!$A$19),"")</f>
        <v/>
      </c>
      <c r="AG29" s="388"/>
      <c r="AH29" s="388" t="str">
        <f ca="1">IF(AND('Mapa final'!$Q$20="Media",'Mapa final'!$U$20="Mayor"),CONCATENATE("R",'Mapa final'!$A$20),"")</f>
        <v/>
      </c>
      <c r="AI29" s="388"/>
      <c r="AJ29" s="369" t="str">
        <f ca="1">IF(AND('Mapa final'!$Q$18="Media",'Mapa final'!$U$18="Catastrófico"),CONCATENATE("R",'Mapa final'!$A$18),"")</f>
        <v/>
      </c>
      <c r="AK29" s="375"/>
      <c r="AL29" s="375" t="str">
        <f ca="1">IF(AND('Mapa final'!$Q$19="Media",'Mapa final'!$U$19="Catastrófico"),CONCATENATE("R",'Mapa final'!$A$19),"")</f>
        <v/>
      </c>
      <c r="AM29" s="375"/>
      <c r="AN29" s="375" t="str">
        <f>IF(AND('Mapa final'!$Q$20="Media",'Mapa final'!$L$20="Catastrófico"),CONCATENATE("R",'Mapa final'!$A$20),"")</f>
        <v/>
      </c>
      <c r="AO29" s="371"/>
      <c r="AP29" s="69"/>
      <c r="AQ29" s="445"/>
      <c r="AR29" s="446"/>
      <c r="AS29" s="446"/>
      <c r="AT29" s="446"/>
      <c r="AU29" s="446"/>
      <c r="AV29" s="447"/>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422"/>
      <c r="E30" s="422"/>
      <c r="F30" s="423"/>
      <c r="G30" s="393"/>
      <c r="H30" s="394"/>
      <c r="I30" s="394"/>
      <c r="J30" s="394"/>
      <c r="K30" s="400"/>
      <c r="L30" s="359"/>
      <c r="M30" s="368"/>
      <c r="N30" s="368"/>
      <c r="O30" s="368"/>
      <c r="P30" s="368"/>
      <c r="Q30" s="361"/>
      <c r="R30" s="359"/>
      <c r="S30" s="368"/>
      <c r="T30" s="368"/>
      <c r="U30" s="368"/>
      <c r="V30" s="368"/>
      <c r="W30" s="368"/>
      <c r="X30" s="359"/>
      <c r="Y30" s="368"/>
      <c r="Z30" s="368"/>
      <c r="AA30" s="368"/>
      <c r="AB30" s="368"/>
      <c r="AC30" s="368"/>
      <c r="AD30" s="379"/>
      <c r="AE30" s="388"/>
      <c r="AF30" s="388"/>
      <c r="AG30" s="388"/>
      <c r="AH30" s="388"/>
      <c r="AI30" s="388"/>
      <c r="AJ30" s="369"/>
      <c r="AK30" s="375"/>
      <c r="AL30" s="375"/>
      <c r="AM30" s="375"/>
      <c r="AN30" s="375"/>
      <c r="AO30" s="371"/>
      <c r="AP30" s="69"/>
      <c r="AQ30" s="445"/>
      <c r="AR30" s="446"/>
      <c r="AS30" s="446"/>
      <c r="AT30" s="446"/>
      <c r="AU30" s="446"/>
      <c r="AV30" s="447"/>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422"/>
      <c r="E31" s="422"/>
      <c r="F31" s="423"/>
      <c r="G31" s="393"/>
      <c r="H31" s="394"/>
      <c r="I31" s="394"/>
      <c r="J31" s="394"/>
      <c r="K31" s="400"/>
      <c r="L31" s="359" t="str">
        <f ca="1">IF(AND('Mapa final'!$Q$23="Media",'Mapa final'!$U$23="Leve"),CONCATENATE("R",'Mapa final'!$A$23),"")</f>
        <v/>
      </c>
      <c r="M31" s="368"/>
      <c r="N31" s="368" t="str">
        <f>IF(AND('Mapa final'!$L$24="Media",'Mapa final'!$P$24="Leve"),CONCATENATE("R",'Mapa final'!$A$24),"")</f>
        <v/>
      </c>
      <c r="O31" s="368"/>
      <c r="P31" s="368" t="str">
        <f>IF(AND('Mapa final'!$L$25="Media",'Mapa final'!$P$25="Leve"),CONCATENATE("R",'Mapa final'!$A$25),"")</f>
        <v/>
      </c>
      <c r="Q31" s="361"/>
      <c r="R31" s="359" t="str">
        <f ca="1">IF(AND('Mapa final'!$Q$23="Media",'Mapa final'!$U$23="Menor"),CONCATENATE("R",'Mapa final'!$A$23),"")</f>
        <v/>
      </c>
      <c r="S31" s="368"/>
      <c r="T31" s="368" t="str">
        <f ca="1">IF(AND('Mapa final'!$LR$24="Media",'Mapa final'!$U$24="Menor"),CONCATENATE("R",'Mapa final'!$A$24),"")</f>
        <v/>
      </c>
      <c r="U31" s="368"/>
      <c r="V31" s="368" t="str">
        <f>IF(AND('Mapa final'!$Q$25="Media",'Mapa final'!$U$25="Menor"),CONCATENATE("R",'Mapa final'!$A$25),"")</f>
        <v/>
      </c>
      <c r="W31" s="368"/>
      <c r="X31" s="359" t="str">
        <f ca="1">IF(AND('Mapa final'!$Q$23="Media",'Mapa final'!$U$23="Moderado"),CONCATENATE("R",'Mapa final'!$A$23),"")</f>
        <v/>
      </c>
      <c r="Y31" s="368"/>
      <c r="Z31" s="368" t="str">
        <f ca="1">IF(AND('Mapa final'!$Q$24="Media",'Mapa final'!$U$24="Moderado"),CONCATENATE("R",'Mapa final'!$A$24),"")</f>
        <v/>
      </c>
      <c r="AA31" s="368"/>
      <c r="AB31" s="368" t="str">
        <f>IF(AND('Mapa final'!$Q$25="Media",'Mapa final'!$U$25="Moderado"),CONCATENATE("R",'Mapa final'!$A$25),"")</f>
        <v/>
      </c>
      <c r="AC31" s="368"/>
      <c r="AD31" s="379" t="str">
        <f ca="1">IF(AND('Mapa final'!$Q$23="Media",'Mapa final'!$U$23="Mayor"),CONCATENATE("R",'Mapa final'!$A$23),"")</f>
        <v/>
      </c>
      <c r="AE31" s="388"/>
      <c r="AF31" s="388" t="str">
        <f ca="1">IF(AND('Mapa final'!$Q$24="Media",'Mapa final'!$U$24="Mayor"),CONCATENATE("R",'Mapa final'!$A$24),"")</f>
        <v/>
      </c>
      <c r="AG31" s="388"/>
      <c r="AH31" s="388" t="str">
        <f>IF(AND('Mapa final'!$Q$25="Media",'Mapa final'!$U$25="Mayor"),CONCATENATE("R",'Mapa final'!$A$25),"")</f>
        <v/>
      </c>
      <c r="AI31" s="388"/>
      <c r="AJ31" s="369" t="str">
        <f ca="1">IF(AND('Mapa final'!$Q$23="Media",'Mapa final'!$U$23="Catastrófico"),CONCATENATE("R",'Mapa final'!$A$23),"")</f>
        <v/>
      </c>
      <c r="AK31" s="375"/>
      <c r="AL31" s="375" t="str">
        <f ca="1">IF(AND('Mapa final'!$Q$24="Media",'Mapa final'!$U$24="Catastrófico"),CONCATENATE("R",'Mapa final'!$A$24),"")</f>
        <v/>
      </c>
      <c r="AM31" s="375"/>
      <c r="AN31" s="375" t="str">
        <f>IF(AND('Mapa final'!$Q$25="Media",'Mapa final'!$U$25="Catastrófico"),CONCATENATE("R",'Mapa final'!$A$25),"")</f>
        <v/>
      </c>
      <c r="AO31" s="371"/>
      <c r="AP31" s="69"/>
      <c r="AQ31" s="445"/>
      <c r="AR31" s="446"/>
      <c r="AS31" s="446"/>
      <c r="AT31" s="446"/>
      <c r="AU31" s="446"/>
      <c r="AV31" s="447"/>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422"/>
      <c r="E32" s="422"/>
      <c r="F32" s="423"/>
      <c r="G32" s="393"/>
      <c r="H32" s="394"/>
      <c r="I32" s="394"/>
      <c r="J32" s="394"/>
      <c r="K32" s="400"/>
      <c r="L32" s="359"/>
      <c r="M32" s="368"/>
      <c r="N32" s="368"/>
      <c r="O32" s="368"/>
      <c r="P32" s="368"/>
      <c r="Q32" s="361"/>
      <c r="R32" s="359"/>
      <c r="S32" s="368"/>
      <c r="T32" s="368"/>
      <c r="U32" s="368"/>
      <c r="V32" s="368"/>
      <c r="W32" s="368"/>
      <c r="X32" s="359"/>
      <c r="Y32" s="368"/>
      <c r="Z32" s="368"/>
      <c r="AA32" s="368"/>
      <c r="AB32" s="368"/>
      <c r="AC32" s="368"/>
      <c r="AD32" s="379"/>
      <c r="AE32" s="388"/>
      <c r="AF32" s="388"/>
      <c r="AG32" s="388"/>
      <c r="AH32" s="388"/>
      <c r="AI32" s="388"/>
      <c r="AJ32" s="369"/>
      <c r="AK32" s="375"/>
      <c r="AL32" s="375"/>
      <c r="AM32" s="375"/>
      <c r="AN32" s="375"/>
      <c r="AO32" s="371"/>
      <c r="AP32" s="69"/>
      <c r="AQ32" s="445"/>
      <c r="AR32" s="446"/>
      <c r="AS32" s="446"/>
      <c r="AT32" s="446"/>
      <c r="AU32" s="446"/>
      <c r="AV32" s="447"/>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422"/>
      <c r="E33" s="422"/>
      <c r="F33" s="423"/>
      <c r="G33" s="393"/>
      <c r="H33" s="394"/>
      <c r="I33" s="394"/>
      <c r="J33" s="394"/>
      <c r="K33" s="400"/>
      <c r="L33" s="359" t="str">
        <f>IF(AND('Mapa final'!$Q$26="Mediaa",'Mapa final'!$U$26="Leve"),CONCATENATE("R",'Mapa final'!$A$26),"")</f>
        <v/>
      </c>
      <c r="M33" s="368"/>
      <c r="N33" s="368" t="str">
        <f>IF(AND('Mapa final'!$L$27="Media",'Mapa final'!$P$27="Leve"),CONCATENATE("R",'Mapa final'!$A$27),"")</f>
        <v/>
      </c>
      <c r="O33" s="368"/>
      <c r="P33" s="368" t="str">
        <f>IF(AND('Mapa final'!$L$28="Media",'Mapa final'!$P$28="Leve"),CONCATENATE("R",'Mapa final'!$A$28),"")</f>
        <v/>
      </c>
      <c r="Q33" s="361"/>
      <c r="R33" s="359" t="str">
        <f>IF(AND('Mapa final'!$Q$26="Media",'Mapa final'!$U$26="Menor"),CONCATENATE("R",'Mapa final'!$A$26),"")</f>
        <v/>
      </c>
      <c r="S33" s="368"/>
      <c r="T33" s="368" t="str">
        <f>IF(AND('Mapa final'!$Q$27="Media",'Mapa final'!$U$27="Menor"),CONCATENATE("R",'Mapa final'!$A$27),"")</f>
        <v/>
      </c>
      <c r="U33" s="368"/>
      <c r="V33" s="368" t="str">
        <f>IF(AND('Mapa final'!$Q$28="Media",'Mapa final'!$U$28="Menor"),CONCATENATE("R",'Mapa final'!$A$28),"")</f>
        <v/>
      </c>
      <c r="W33" s="368"/>
      <c r="X33" s="359" t="str">
        <f>IF(AND('Mapa final'!$Q$26="Media",'Mapa final'!$U$26="Moderado"),CONCATENATE("R",'Mapa final'!$A$26),"")</f>
        <v/>
      </c>
      <c r="Y33" s="368"/>
      <c r="Z33" s="368" t="str">
        <f>IF(AND('Mapa final'!$Q$27="Media",'Mapa final'!$U$27="Moderado"),CONCATENATE("R",'Mapa final'!$A$27),"")</f>
        <v/>
      </c>
      <c r="AA33" s="368"/>
      <c r="AB33" s="368" t="str">
        <f>IF(AND('Mapa final'!$Q$28="Media",'Mapa final'!$U$28="Moderado"),CONCATENATE("R",'Mapa final'!$A$28),"")</f>
        <v/>
      </c>
      <c r="AC33" s="368"/>
      <c r="AD33" s="379" t="str">
        <f>IF(AND('Mapa final'!$Q$26="Media",'Mapa final'!$U$26="Mayor"),CONCATENATE("R",'Mapa final'!$A$26),"")</f>
        <v/>
      </c>
      <c r="AE33" s="388"/>
      <c r="AF33" s="388" t="str">
        <f>IF(AND('Mapa final'!$Q$27="Media",'Mapa final'!$U$27="Mayor"),CONCATENATE("R",'Mapa final'!$A$27),"")</f>
        <v/>
      </c>
      <c r="AG33" s="388"/>
      <c r="AH33" s="388" t="str">
        <f>IF(AND('Mapa final'!$Q$28="Media",'Mapa final'!$U$28="Mayor"),CONCATENATE("R",'Mapa final'!$A$28),"")</f>
        <v/>
      </c>
      <c r="AI33" s="388"/>
      <c r="AJ33" s="369" t="str">
        <f>IF(AND('Mapa final'!$Q$26="Media",'Mapa final'!$U$26="Catastrófico"),CONCATENATE("R",'Mapa final'!$A$26),"")</f>
        <v/>
      </c>
      <c r="AK33" s="375"/>
      <c r="AL33" s="375" t="str">
        <f>IF(AND('Mapa final'!$Q$27="Media",'Mapa final'!$U$27="Catastrófico"),CONCATENATE("R",'Mapa final'!$A$27),"")</f>
        <v/>
      </c>
      <c r="AM33" s="375"/>
      <c r="AN33" s="375" t="str">
        <f>IF(AND('Mapa final'!$Q$28="Media",'Mapa final'!$U$28="Catastrófico"),CONCATENATE("R",'Mapa final'!$A$28),"")</f>
        <v/>
      </c>
      <c r="AO33" s="371"/>
      <c r="AP33" s="69"/>
      <c r="AQ33" s="445"/>
      <c r="AR33" s="446"/>
      <c r="AS33" s="446"/>
      <c r="AT33" s="446"/>
      <c r="AU33" s="446"/>
      <c r="AV33" s="447"/>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422"/>
      <c r="E34" s="422"/>
      <c r="F34" s="423"/>
      <c r="G34" s="396"/>
      <c r="H34" s="397"/>
      <c r="I34" s="397"/>
      <c r="J34" s="397"/>
      <c r="K34" s="397"/>
      <c r="L34" s="362"/>
      <c r="M34" s="363"/>
      <c r="N34" s="363"/>
      <c r="O34" s="363"/>
      <c r="P34" s="363"/>
      <c r="Q34" s="364"/>
      <c r="R34" s="362"/>
      <c r="S34" s="363"/>
      <c r="T34" s="363"/>
      <c r="U34" s="363"/>
      <c r="V34" s="363"/>
      <c r="W34" s="363"/>
      <c r="X34" s="362"/>
      <c r="Y34" s="363"/>
      <c r="Z34" s="363"/>
      <c r="AA34" s="363"/>
      <c r="AB34" s="363"/>
      <c r="AC34" s="363"/>
      <c r="AD34" s="382"/>
      <c r="AE34" s="383"/>
      <c r="AF34" s="383"/>
      <c r="AG34" s="383"/>
      <c r="AH34" s="383"/>
      <c r="AI34" s="383"/>
      <c r="AJ34" s="369"/>
      <c r="AK34" s="375"/>
      <c r="AL34" s="375"/>
      <c r="AM34" s="375"/>
      <c r="AN34" s="375"/>
      <c r="AO34" s="371"/>
      <c r="AP34" s="69"/>
      <c r="AQ34" s="448"/>
      <c r="AR34" s="449"/>
      <c r="AS34" s="449"/>
      <c r="AT34" s="449"/>
      <c r="AU34" s="449"/>
      <c r="AV34" s="450"/>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422"/>
      <c r="E35" s="422"/>
      <c r="F35" s="423"/>
      <c r="G35" s="389" t="s">
        <v>113</v>
      </c>
      <c r="H35" s="391"/>
      <c r="I35" s="391"/>
      <c r="J35" s="391"/>
      <c r="K35" s="391"/>
      <c r="L35" s="355" t="str">
        <f ca="1">IF(AND('Mapa final'!$Q$15="Baja",'Mapa final'!$U$15="Leve"),CONCATENATE("R",'Mapa final'!$A$15),"")</f>
        <v/>
      </c>
      <c r="M35" s="356"/>
      <c r="N35" s="356" t="str">
        <f>IF(AND('Mapa final'!$L$16="Baja",'Mapa final'!$P$16="Leve"),CONCATENATE("R",'Mapa final'!$A$16),"")</f>
        <v/>
      </c>
      <c r="O35" s="356"/>
      <c r="P35" s="356" t="str">
        <f>IF(AND('Mapa final'!$L$17="Baja",'Mapa final'!$P$17="Leve"),CONCATENATE("R",'Mapa final'!$A$17),"")</f>
        <v/>
      </c>
      <c r="Q35" s="357"/>
      <c r="R35" s="365" t="str">
        <f ca="1">IF(AND('Mapa final'!$Q$15="Baja",'Mapa final'!$U$15="Menor"),CONCATENATE("R",'Mapa final'!$A$15),"")</f>
        <v/>
      </c>
      <c r="S35" s="366"/>
      <c r="T35" s="368" t="str">
        <f ca="1">IF(AND('Mapa final'!$Q$16="Baja",'Mapa final'!$U$16="Menor"),CONCATENATE("R",'Mapa final'!$A$16),"")</f>
        <v/>
      </c>
      <c r="U35" s="368"/>
      <c r="V35" s="368" t="str">
        <f ca="1">IF(AND('Mapa final'!$Q$17="Baja",'Mapa final'!$U$17="Menor"),CONCATENATE("R",'Mapa final'!$A$17),"")</f>
        <v/>
      </c>
      <c r="W35" s="361"/>
      <c r="X35" s="359" t="str">
        <f ca="1">IF(AND('Mapa final'!$Q$15="Baja",'Mapa final'!$U$15="Moderado"),CONCATENATE("R",'Mapa final'!$A$15),"")</f>
        <v/>
      </c>
      <c r="Y35" s="368"/>
      <c r="Z35" s="368" t="str">
        <f ca="1">IF(AND('Mapa final'!Q$16="Baja",'Mapa final'!$U$16="Moderado"),CONCATENATE("R",'Mapa final'!$A$16),"")</f>
        <v/>
      </c>
      <c r="AA35" s="368"/>
      <c r="AB35" s="368" t="str">
        <f ca="1">IF(AND('Mapa final'!$Q$17="Baja",'Mapa final'!$U$17="Moderado"),CONCATENATE("R",'Mapa final'!$A$17),"")</f>
        <v/>
      </c>
      <c r="AC35" s="361"/>
      <c r="AD35" s="379" t="str">
        <f ca="1">IF(AND('Mapa final'!$Q$15="Baja",'Mapa final'!$U$15="Mayor"),CONCATENATE("R",'Mapa final'!$D$15),"")</f>
        <v>R1</v>
      </c>
      <c r="AE35" s="388"/>
      <c r="AF35" s="388" t="str">
        <f ca="1">IF(AND('Mapa final'!$Q$16="Baja",'Mapa final'!$U$16="Mayor"),CONCATENATE("R",'Mapa final'!$A$16),"")</f>
        <v/>
      </c>
      <c r="AG35" s="388"/>
      <c r="AH35" s="388" t="str">
        <f ca="1">IF(AND('Mapa final'!$Q$17="Baja",'Mapa final'!$U$17="Mayor"),CONCATENATE("R",'Mapa final'!$A$17),"")</f>
        <v/>
      </c>
      <c r="AI35" s="388"/>
      <c r="AJ35" s="376" t="str">
        <f ca="1">IF(AND('Mapa final'!$Q$15="Baja",'Mapa final'!$U$15="Catastrófico"),CONCATENATE("R",'Mapa final'!$A$15),"")</f>
        <v/>
      </c>
      <c r="AK35" s="377"/>
      <c r="AL35" s="377" t="str">
        <f ca="1">IF(AND('Mapa final'!$Q$16="Baja",'Mapa final'!$U$16="Catastrófico"),CONCATENATE("R",'Mapa final'!$D$16),"")</f>
        <v>R2</v>
      </c>
      <c r="AM35" s="377"/>
      <c r="AN35" s="377" t="str">
        <f ca="1">IF(AND('Mapa final'!$Q$17="Baja",'Mapa final'!$U$17="Catastrófico"),CONCATENATE("R",'Mapa final'!$A$17),"")</f>
        <v/>
      </c>
      <c r="AO35" s="378"/>
      <c r="AP35" s="69"/>
      <c r="AQ35" s="451" t="s">
        <v>81</v>
      </c>
      <c r="AR35" s="452"/>
      <c r="AS35" s="452"/>
      <c r="AT35" s="452"/>
      <c r="AU35" s="452"/>
      <c r="AV35" s="453"/>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422"/>
      <c r="E36" s="422"/>
      <c r="F36" s="423"/>
      <c r="G36" s="393"/>
      <c r="H36" s="394"/>
      <c r="I36" s="394"/>
      <c r="J36" s="394"/>
      <c r="K36" s="394"/>
      <c r="L36" s="349"/>
      <c r="M36" s="350"/>
      <c r="N36" s="350"/>
      <c r="O36" s="350"/>
      <c r="P36" s="350"/>
      <c r="Q36" s="352"/>
      <c r="R36" s="359"/>
      <c r="S36" s="368"/>
      <c r="T36" s="360"/>
      <c r="U36" s="360"/>
      <c r="V36" s="360"/>
      <c r="W36" s="361"/>
      <c r="X36" s="359"/>
      <c r="Y36" s="360"/>
      <c r="Z36" s="360"/>
      <c r="AA36" s="360"/>
      <c r="AB36" s="360"/>
      <c r="AC36" s="361"/>
      <c r="AD36" s="379"/>
      <c r="AE36" s="380"/>
      <c r="AF36" s="380"/>
      <c r="AG36" s="380"/>
      <c r="AH36" s="380"/>
      <c r="AI36" s="388"/>
      <c r="AJ36" s="369"/>
      <c r="AK36" s="375"/>
      <c r="AL36" s="375"/>
      <c r="AM36" s="375"/>
      <c r="AN36" s="375"/>
      <c r="AO36" s="371"/>
      <c r="AP36" s="69"/>
      <c r="AQ36" s="454"/>
      <c r="AR36" s="455"/>
      <c r="AS36" s="455"/>
      <c r="AT36" s="455"/>
      <c r="AU36" s="455"/>
      <c r="AV36" s="456"/>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422"/>
      <c r="E37" s="422"/>
      <c r="F37" s="423"/>
      <c r="G37" s="393"/>
      <c r="H37" s="394"/>
      <c r="I37" s="394"/>
      <c r="J37" s="394"/>
      <c r="K37" s="394"/>
      <c r="L37" s="349" t="str">
        <f ca="1">IF(AND('Mapa final'!$Q$18="Baja",'Mapa final'!$U$18="Leve"),CONCATENATE("R",'Mapa final'!$A$18),"")</f>
        <v/>
      </c>
      <c r="M37" s="350"/>
      <c r="N37" s="350" t="str">
        <f>IF(AND('Mapa final'!$L$19="Baja",'Mapa final'!$P$19="Leve"),CONCATENATE("R",'Mapa final'!$A$19),"")</f>
        <v/>
      </c>
      <c r="O37" s="350"/>
      <c r="P37" s="350" t="str">
        <f>IF(AND('Mapa final'!$L$20="Baja",'Mapa final'!$P$20="Leve"),CONCATENATE("R",'Mapa final'!$A$20),"")</f>
        <v/>
      </c>
      <c r="Q37" s="352"/>
      <c r="R37" s="359" t="str">
        <f ca="1">IF(AND('Mapa final'!$Q$18="Baja",'Mapa final'!$U$18="Menor"),CONCATENATE("R",'Mapa final'!$A$18),"")</f>
        <v/>
      </c>
      <c r="S37" s="360"/>
      <c r="T37" s="360" t="str">
        <f ca="1">IF(AND('Mapa final'!$Q$19="Baja",'Mapa final'!$U$19="Menor"),CONCATENATE("R",'Mapa final'!$A$19),"")</f>
        <v/>
      </c>
      <c r="U37" s="360"/>
      <c r="V37" s="360" t="str">
        <f ca="1">IF(AND('Mapa final'!$Q$20="Baja",'Mapa final'!$U$20="Menor"),CONCATENATE("R",'Mapa final'!$A$20),"")</f>
        <v/>
      </c>
      <c r="W37" s="361"/>
      <c r="X37" s="359" t="str">
        <f ca="1">IF(AND('Mapa final'!$Q$18="Baja",'Mapa final'!$U$18="Moderado"),CONCATENATE("R",'Mapa final'!$A$18),"")</f>
        <v/>
      </c>
      <c r="Y37" s="360"/>
      <c r="Z37" s="360" t="str">
        <f ca="1">IF(AND('Mapa final'!$Q$19="Baja",'Mapa final'!$U$19="Moderado"),CONCATENATE("R",'Mapa final'!$A$19),"")</f>
        <v/>
      </c>
      <c r="AA37" s="360"/>
      <c r="AB37" s="360" t="str">
        <f ca="1">IF(AND('Mapa final'!$Q$20="Baja",'Mapa final'!$U$20="Moderado"),CONCATENATE("R",'Mapa final'!$A$20),"")</f>
        <v/>
      </c>
      <c r="AC37" s="361"/>
      <c r="AD37" s="379" t="str">
        <f ca="1">IF(AND('Mapa final'!$Q$18="Baja",'Mapa final'!$U$18="Mayor"),CONCATENATE("R",'Mapa final'!$A$18),"")</f>
        <v/>
      </c>
      <c r="AE37" s="380"/>
      <c r="AF37" s="380" t="str">
        <f ca="1">IF(AND('Mapa final'!$Q$19="Baja",'Mapa final'!$U$19="Mayor"),CONCATENATE("R",'Mapa final'!$A$19),"")</f>
        <v/>
      </c>
      <c r="AG37" s="380"/>
      <c r="AH37" s="380" t="str">
        <f ca="1">IF(AND('Mapa final'!$Q$20="Baja",'Mapa final'!$U$20="Mayor"),CONCATENATE("R",'Mapa final'!$A$20),"")</f>
        <v/>
      </c>
      <c r="AI37" s="388"/>
      <c r="AJ37" s="369" t="str">
        <f ca="1">IF(AND('Mapa final'!$Q$18="Baja",'Mapa final'!$U$18="Catastrófico"),CONCATENATE("R",'Mapa final'!$A$18),"")</f>
        <v/>
      </c>
      <c r="AK37" s="375"/>
      <c r="AL37" s="375" t="str">
        <f ca="1">IF(AND('Mapa final'!$Q$19="Baja",'Mapa final'!$U$19="Catastrófico"),CONCATENATE("R",'Mapa final'!$A$19),"")</f>
        <v/>
      </c>
      <c r="AM37" s="375"/>
      <c r="AN37" s="375" t="str">
        <f>IF(AND('Mapa final'!$Q$20="Baja",'Mapa final'!$L$20="Catastrófico"),CONCATENATE("R",'Mapa final'!$A$20),"")</f>
        <v/>
      </c>
      <c r="AO37" s="371"/>
      <c r="AP37" s="69"/>
      <c r="AQ37" s="454"/>
      <c r="AR37" s="455"/>
      <c r="AS37" s="455"/>
      <c r="AT37" s="455"/>
      <c r="AU37" s="455"/>
      <c r="AV37" s="456"/>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422"/>
      <c r="E38" s="422"/>
      <c r="F38" s="423"/>
      <c r="G38" s="393"/>
      <c r="H38" s="394"/>
      <c r="I38" s="394"/>
      <c r="J38" s="394"/>
      <c r="K38" s="394"/>
      <c r="L38" s="349"/>
      <c r="M38" s="350"/>
      <c r="N38" s="350"/>
      <c r="O38" s="350"/>
      <c r="P38" s="350"/>
      <c r="Q38" s="352"/>
      <c r="R38" s="359"/>
      <c r="S38" s="360"/>
      <c r="T38" s="360"/>
      <c r="U38" s="360"/>
      <c r="V38" s="360"/>
      <c r="W38" s="361"/>
      <c r="X38" s="359"/>
      <c r="Y38" s="360"/>
      <c r="Z38" s="360"/>
      <c r="AA38" s="360"/>
      <c r="AB38" s="360"/>
      <c r="AC38" s="361"/>
      <c r="AD38" s="379"/>
      <c r="AE38" s="380"/>
      <c r="AF38" s="380"/>
      <c r="AG38" s="380"/>
      <c r="AH38" s="380"/>
      <c r="AI38" s="388"/>
      <c r="AJ38" s="369"/>
      <c r="AK38" s="375"/>
      <c r="AL38" s="375"/>
      <c r="AM38" s="375"/>
      <c r="AN38" s="375"/>
      <c r="AO38" s="371"/>
      <c r="AP38" s="69"/>
      <c r="AQ38" s="454"/>
      <c r="AR38" s="455"/>
      <c r="AS38" s="455"/>
      <c r="AT38" s="455"/>
      <c r="AU38" s="455"/>
      <c r="AV38" s="456"/>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422"/>
      <c r="E39" s="422"/>
      <c r="F39" s="423"/>
      <c r="G39" s="393"/>
      <c r="H39" s="394"/>
      <c r="I39" s="394"/>
      <c r="J39" s="394"/>
      <c r="K39" s="394"/>
      <c r="L39" s="349" t="str">
        <f ca="1">IF(AND('Mapa final'!$Q$23="Baja",'Mapa final'!$U$23="Leve"),CONCATENATE("R",'Mapa final'!$A$23),"")</f>
        <v/>
      </c>
      <c r="M39" s="350"/>
      <c r="N39" s="350" t="str">
        <f>IF(AND('Mapa final'!$L$24="Baja",'Mapa final'!$P$24="Leve"),CONCATENATE("R",'Mapa final'!$A$24),"")</f>
        <v/>
      </c>
      <c r="O39" s="350"/>
      <c r="P39" s="350" t="str">
        <f>IF(AND('Mapa final'!$L$25="Baja",'Mapa final'!$P$25="Leve"),CONCATENATE("R",'Mapa final'!$A$25),"")</f>
        <v/>
      </c>
      <c r="Q39" s="352"/>
      <c r="R39" s="359" t="str">
        <f ca="1">IF(AND('Mapa final'!$Q$23="Baja",'Mapa final'!$U$23="Menor"),CONCATENATE("R",'Mapa final'!$A$23),"")</f>
        <v/>
      </c>
      <c r="S39" s="360"/>
      <c r="T39" s="360" t="str">
        <f ca="1">IF(AND('Mapa final'!$LR$24="Baja",'Mapa final'!$U$24="Menor"),CONCATENATE("R",'Mapa final'!$A$24),"")</f>
        <v/>
      </c>
      <c r="U39" s="360"/>
      <c r="V39" s="360" t="str">
        <f>IF(AND('Mapa final'!$Q$25="Baja",'Mapa final'!$U$25="Menor"),CONCATENATE("R",'Mapa final'!$A$25),"")</f>
        <v/>
      </c>
      <c r="W39" s="361"/>
      <c r="X39" s="359" t="str">
        <f ca="1">IF(AND('Mapa final'!$Q$23="Baja",'Mapa final'!$U$23="Moderado"),CONCATENATE("R",'Mapa final'!$A$23),"")</f>
        <v/>
      </c>
      <c r="Y39" s="360"/>
      <c r="Z39" s="360" t="str">
        <f ca="1">IF(AND('Mapa final'!$Q$24="Baja",'Mapa final'!$U$24="Moderado"),CONCATENATE("R",'Mapa final'!$A$24),"")</f>
        <v/>
      </c>
      <c r="AA39" s="360"/>
      <c r="AB39" s="360" t="str">
        <f>IF(AND('Mapa final'!$Q$25="Baja",'Mapa final'!$U$25="Moderado"),CONCATENATE("R",'Mapa final'!$A$25),"")</f>
        <v/>
      </c>
      <c r="AC39" s="361"/>
      <c r="AD39" s="379" t="str">
        <f ca="1">IF(AND('Mapa final'!$Q$23="Baja",'Mapa final'!$U$23="Mayor"),CONCATENATE("R",'Mapa final'!$A$23),"")</f>
        <v/>
      </c>
      <c r="AE39" s="380"/>
      <c r="AF39" s="380" t="str">
        <f ca="1">IF(AND('Mapa final'!$Q$24="Baja",'Mapa final'!$U$24="Mayor"),CONCATENATE("R",'Mapa final'!$A$24),"")</f>
        <v/>
      </c>
      <c r="AG39" s="380"/>
      <c r="AH39" s="380" t="str">
        <f>IF(AND('Mapa final'!$Q$25="Baja",'Mapa final'!$U$25="Mayor"),CONCATENATE("R",'Mapa final'!$A$25),"")</f>
        <v/>
      </c>
      <c r="AI39" s="388"/>
      <c r="AJ39" s="369" t="str">
        <f ca="1">IF(AND('Mapa final'!$Q$23="Baja",'Mapa final'!$U$23="Catastrófico"),CONCATENATE("R",'Mapa final'!$A$23),"")</f>
        <v/>
      </c>
      <c r="AK39" s="375"/>
      <c r="AL39" s="375" t="str">
        <f ca="1">IF(AND('Mapa final'!$Q$24="Baja",'Mapa final'!$U$24="Catastrófico"),CONCATENATE("R",'Mapa final'!$A$24),"")</f>
        <v/>
      </c>
      <c r="AM39" s="375"/>
      <c r="AN39" s="375" t="str">
        <f>IF(AND('Mapa final'!$Q$25="Baja",'Mapa final'!$U$25="Catastrófico"),CONCATENATE("R",'Mapa final'!$A$25),"")</f>
        <v/>
      </c>
      <c r="AO39" s="371"/>
      <c r="AP39" s="69"/>
      <c r="AQ39" s="454"/>
      <c r="AR39" s="455"/>
      <c r="AS39" s="455"/>
      <c r="AT39" s="455"/>
      <c r="AU39" s="455"/>
      <c r="AV39" s="456"/>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422"/>
      <c r="E40" s="422"/>
      <c r="F40" s="423"/>
      <c r="G40" s="393"/>
      <c r="H40" s="394"/>
      <c r="I40" s="394"/>
      <c r="J40" s="394"/>
      <c r="K40" s="394"/>
      <c r="L40" s="349"/>
      <c r="M40" s="350"/>
      <c r="N40" s="350"/>
      <c r="O40" s="350"/>
      <c r="P40" s="350"/>
      <c r="Q40" s="352"/>
      <c r="R40" s="359"/>
      <c r="S40" s="360"/>
      <c r="T40" s="360"/>
      <c r="U40" s="360"/>
      <c r="V40" s="360"/>
      <c r="W40" s="361"/>
      <c r="X40" s="359"/>
      <c r="Y40" s="360"/>
      <c r="Z40" s="360"/>
      <c r="AA40" s="360"/>
      <c r="AB40" s="360"/>
      <c r="AC40" s="361"/>
      <c r="AD40" s="379"/>
      <c r="AE40" s="380"/>
      <c r="AF40" s="380"/>
      <c r="AG40" s="380"/>
      <c r="AH40" s="380"/>
      <c r="AI40" s="388"/>
      <c r="AJ40" s="369"/>
      <c r="AK40" s="375"/>
      <c r="AL40" s="375"/>
      <c r="AM40" s="375"/>
      <c r="AN40" s="375"/>
      <c r="AO40" s="371"/>
      <c r="AP40" s="69"/>
      <c r="AQ40" s="454"/>
      <c r="AR40" s="455"/>
      <c r="AS40" s="455"/>
      <c r="AT40" s="455"/>
      <c r="AU40" s="455"/>
      <c r="AV40" s="456"/>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422"/>
      <c r="E41" s="422"/>
      <c r="F41" s="423"/>
      <c r="G41" s="393"/>
      <c r="H41" s="394"/>
      <c r="I41" s="394"/>
      <c r="J41" s="394"/>
      <c r="K41" s="394"/>
      <c r="L41" s="349" t="str">
        <f>IF(AND('Mapa final'!$Q$26="Baja",'Mapa final'!$U$26="Leve"),CONCATENATE("R",'Mapa final'!$A$26),"")</f>
        <v/>
      </c>
      <c r="M41" s="350"/>
      <c r="N41" s="350" t="str">
        <f>IF(AND('Mapa final'!$L$27="Baja",'Mapa final'!$P$27="Leve"),CONCATENATE("R",'Mapa final'!$A$27),"")</f>
        <v/>
      </c>
      <c r="O41" s="350"/>
      <c r="P41" s="350" t="str">
        <f>IF(AND('Mapa final'!$L$28="Baja",'Mapa final'!$P$28="Leve"),CONCATENATE("R",'Mapa final'!$A$28),"")</f>
        <v/>
      </c>
      <c r="Q41" s="352"/>
      <c r="R41" s="359" t="str">
        <f>IF(AND('Mapa final'!$Q$26="Baja",'Mapa final'!$U$26="Menor"),CONCATENATE("R",'Mapa final'!$A$26),"")</f>
        <v/>
      </c>
      <c r="S41" s="360"/>
      <c r="T41" s="360" t="str">
        <f>IF(AND('Mapa final'!$Q$27="Baja",'Mapa final'!$U$27="Menor"),CONCATENATE("R",'Mapa final'!$A$27),"")</f>
        <v/>
      </c>
      <c r="U41" s="360"/>
      <c r="V41" s="360" t="str">
        <f>IF(AND('Mapa final'!$Q$28="Baja",'Mapa final'!$U$28="Menor"),CONCATENATE("R",'Mapa final'!$A$28),"")</f>
        <v/>
      </c>
      <c r="W41" s="361"/>
      <c r="X41" s="359" t="str">
        <f>IF(AND('Mapa final'!$Q$26="Baja",'Mapa final'!$U$26="Moderado"),CONCATENATE("R",'Mapa final'!$A$26),"")</f>
        <v/>
      </c>
      <c r="Y41" s="360"/>
      <c r="Z41" s="360" t="str">
        <f>IF(AND('Mapa final'!$Q$27="Baja",'Mapa final'!$U$27="Moderado"),CONCATENATE("R",'Mapa final'!$A$27),"")</f>
        <v/>
      </c>
      <c r="AA41" s="360"/>
      <c r="AB41" s="360" t="str">
        <f>IF(AND('Mapa final'!$Q$28="Baja",'Mapa final'!$U$28="Moderado"),CONCATENATE("R",'Mapa final'!$A$28),"")</f>
        <v/>
      </c>
      <c r="AC41" s="361"/>
      <c r="AD41" s="379" t="str">
        <f>IF(AND('Mapa final'!$Q$26="Baja",'Mapa final'!$U$26="Mayor"),CONCATENATE("R",'Mapa final'!$A$26),"")</f>
        <v/>
      </c>
      <c r="AE41" s="380"/>
      <c r="AF41" s="380" t="str">
        <f>IF(AND('Mapa final'!$Q$27="Baja",'Mapa final'!$U$27="Mayor"),CONCATENATE("R",'Mapa final'!$A$27),"")</f>
        <v/>
      </c>
      <c r="AG41" s="380"/>
      <c r="AH41" s="380" t="str">
        <f>IF(AND('Mapa final'!$Q$28="Baja",'Mapa final'!$U$28="Mayor"),CONCATENATE("R",'Mapa final'!$A$28),"")</f>
        <v/>
      </c>
      <c r="AI41" s="388"/>
      <c r="AJ41" s="369" t="str">
        <f>IF(AND('Mapa final'!$Q$26="Baja",'Mapa final'!$U$26="Catastrófico"),CONCATENATE("R",'Mapa final'!$A$26),"")</f>
        <v/>
      </c>
      <c r="AK41" s="375"/>
      <c r="AL41" s="375" t="str">
        <f>IF(AND('Mapa final'!$Q$27="Baja",'Mapa final'!$U$27="Catastrófico"),CONCATENATE("R",'Mapa final'!$A$27),"")</f>
        <v/>
      </c>
      <c r="AM41" s="375"/>
      <c r="AN41" s="375" t="str">
        <f>IF(AND('Mapa final'!$Q$28="Baja",'Mapa final'!$U$28="Catastrófico"),CONCATENATE("R",'Mapa final'!$A$28),"")</f>
        <v/>
      </c>
      <c r="AO41" s="371"/>
      <c r="AP41" s="69"/>
      <c r="AQ41" s="454"/>
      <c r="AR41" s="455"/>
      <c r="AS41" s="455"/>
      <c r="AT41" s="455"/>
      <c r="AU41" s="455"/>
      <c r="AV41" s="456"/>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422"/>
      <c r="E42" s="422"/>
      <c r="F42" s="423"/>
      <c r="G42" s="396"/>
      <c r="H42" s="397"/>
      <c r="I42" s="397"/>
      <c r="J42" s="397"/>
      <c r="K42" s="397"/>
      <c r="L42" s="358"/>
      <c r="M42" s="353"/>
      <c r="N42" s="353"/>
      <c r="O42" s="353"/>
      <c r="P42" s="353"/>
      <c r="Q42" s="354"/>
      <c r="R42" s="362"/>
      <c r="S42" s="363"/>
      <c r="T42" s="363"/>
      <c r="U42" s="363"/>
      <c r="V42" s="363"/>
      <c r="W42" s="364"/>
      <c r="X42" s="362"/>
      <c r="Y42" s="363"/>
      <c r="Z42" s="363"/>
      <c r="AA42" s="363"/>
      <c r="AB42" s="363"/>
      <c r="AC42" s="364"/>
      <c r="AD42" s="382"/>
      <c r="AE42" s="383"/>
      <c r="AF42" s="383"/>
      <c r="AG42" s="383"/>
      <c r="AH42" s="383"/>
      <c r="AI42" s="383"/>
      <c r="AJ42" s="372"/>
      <c r="AK42" s="373"/>
      <c r="AL42" s="373"/>
      <c r="AM42" s="373"/>
      <c r="AN42" s="373"/>
      <c r="AO42" s="374"/>
      <c r="AP42" s="69"/>
      <c r="AQ42" s="457"/>
      <c r="AR42" s="458"/>
      <c r="AS42" s="458"/>
      <c r="AT42" s="458"/>
      <c r="AU42" s="458"/>
      <c r="AV42" s="45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422"/>
      <c r="E43" s="422"/>
      <c r="F43" s="423"/>
      <c r="G43" s="389" t="s">
        <v>112</v>
      </c>
      <c r="H43" s="391"/>
      <c r="I43" s="391"/>
      <c r="J43" s="391"/>
      <c r="K43" s="391"/>
      <c r="L43" s="355" t="str">
        <f ca="1">IF(AND('Mapa final'!$Q$15="Muy Baja",'Mapa final'!$U$15="Leve"),CONCATENATE("R",'Mapa final'!$A$15),"")</f>
        <v/>
      </c>
      <c r="M43" s="356"/>
      <c r="N43" s="356" t="str">
        <f>IF(AND('Mapa final'!$L$16="Muy Baja",'Mapa final'!$P$16="Leve"),CONCATENATE("R",'Mapa final'!$A$16),"")</f>
        <v/>
      </c>
      <c r="O43" s="356"/>
      <c r="P43" s="356" t="str">
        <f>IF(AND('Mapa final'!$L$17="Muy Baja",'Mapa final'!$P$17="Leve"),CONCATENATE("R",'Mapa final'!$A$17),"")</f>
        <v/>
      </c>
      <c r="Q43" s="357"/>
      <c r="R43" s="355" t="str">
        <f ca="1">IF(AND('Mapa final'!$Q$15="Muy Baja",'Mapa final'!$U$15="Menor"),CONCATENATE("R",'Mapa final'!$A$15),"")</f>
        <v/>
      </c>
      <c r="S43" s="356"/>
      <c r="T43" s="356" t="str">
        <f ca="1">IF(AND('Mapa final'!$Q$16="Muy Baja",'Mapa final'!$U$16="Menor"),CONCATENATE("R",'Mapa final'!$A$16),"")</f>
        <v/>
      </c>
      <c r="U43" s="356"/>
      <c r="V43" s="356" t="str">
        <f ca="1">IF(AND('Mapa final'!$Q$17="Muy Baja",'Mapa final'!$U$17="Menor"),CONCATENATE("R",'Mapa final'!$A$17),"")</f>
        <v/>
      </c>
      <c r="W43" s="357"/>
      <c r="X43" s="365" t="str">
        <f ca="1">IF(AND('Mapa final'!$Q$15="Muy Baja",'Mapa final'!$U$15="Moderado"),CONCATENATE("R",'Mapa final'!$A$15),"")</f>
        <v/>
      </c>
      <c r="Y43" s="366"/>
      <c r="Z43" s="366" t="str">
        <f ca="1">IF(AND('Mapa final'!Q$16="Muy Baja",'Mapa final'!$U$16="Moderado"),CONCATENATE("R",'Mapa final'!$A$16),"")</f>
        <v/>
      </c>
      <c r="AA43" s="366"/>
      <c r="AB43" s="366" t="str">
        <f ca="1">IF(AND('Mapa final'!$Q$17="Muy Baja",'Mapa final'!$U$17="Moderado"),CONCATENATE("R",'Mapa final'!$A$17),"")</f>
        <v/>
      </c>
      <c r="AC43" s="367"/>
      <c r="AD43" s="385" t="str">
        <f ca="1">IF(AND('Mapa final'!$Q$15="Muy Baja",'Mapa final'!$U$15="Mayor"),CONCATENATE("R",'Mapa final'!$A$15),"")</f>
        <v/>
      </c>
      <c r="AE43" s="386"/>
      <c r="AF43" s="386" t="str">
        <f ca="1">IF(AND('Mapa final'!$Q$16="Muy Baja",'Mapa final'!$U$16="Mayor"),CONCATENATE("R",'Mapa final'!$A$16),"")</f>
        <v/>
      </c>
      <c r="AG43" s="386"/>
      <c r="AH43" s="386" t="str">
        <f ca="1">IF(AND('Mapa final'!$Q$17="Muy Baja",'Mapa final'!$U$17="Mayor"),CONCATENATE("R",'Mapa final'!$A$17),"")</f>
        <v/>
      </c>
      <c r="AI43" s="387"/>
      <c r="AJ43" s="369" t="str">
        <f ca="1">IF(AND('Mapa final'!$Q$15="Muy Baja",'Mapa final'!$U$15="Catastrófico"),CONCATENATE("R",'Mapa final'!$A$15),"")</f>
        <v/>
      </c>
      <c r="AK43" s="375"/>
      <c r="AL43" s="375" t="str">
        <f ca="1">IF(AND('Mapa final'!$Q$16="Muy Baja",'Mapa final'!$U$16="Catastrófico"),CONCATENATE("R",'Mapa final'!$A$16),"")</f>
        <v/>
      </c>
      <c r="AM43" s="375"/>
      <c r="AN43" s="375" t="str">
        <f ca="1">IF(AND('Mapa final'!$Q$17="Muy Baja",'Mapa final'!$U$17="Catastrófico"),CONCATENATE("R",'Mapa final'!$A$17),"")</f>
        <v/>
      </c>
      <c r="AO43" s="371"/>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422"/>
      <c r="E44" s="422"/>
      <c r="F44" s="423"/>
      <c r="G44" s="393"/>
      <c r="H44" s="394"/>
      <c r="I44" s="394"/>
      <c r="J44" s="394"/>
      <c r="K44" s="400"/>
      <c r="L44" s="349"/>
      <c r="M44" s="350"/>
      <c r="N44" s="350"/>
      <c r="O44" s="350"/>
      <c r="P44" s="350"/>
      <c r="Q44" s="352"/>
      <c r="R44" s="349"/>
      <c r="S44" s="350"/>
      <c r="T44" s="351"/>
      <c r="U44" s="351"/>
      <c r="V44" s="351"/>
      <c r="W44" s="352"/>
      <c r="X44" s="359"/>
      <c r="Y44" s="360"/>
      <c r="Z44" s="360"/>
      <c r="AA44" s="360"/>
      <c r="AB44" s="360"/>
      <c r="AC44" s="361"/>
      <c r="AD44" s="379"/>
      <c r="AE44" s="380"/>
      <c r="AF44" s="380"/>
      <c r="AG44" s="380"/>
      <c r="AH44" s="380"/>
      <c r="AI44" s="381"/>
      <c r="AJ44" s="369"/>
      <c r="AK44" s="370"/>
      <c r="AL44" s="370"/>
      <c r="AM44" s="370"/>
      <c r="AN44" s="370"/>
      <c r="AO44" s="371"/>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422"/>
      <c r="E45" s="422"/>
      <c r="F45" s="423"/>
      <c r="G45" s="393"/>
      <c r="H45" s="394"/>
      <c r="I45" s="394"/>
      <c r="J45" s="394"/>
      <c r="K45" s="400"/>
      <c r="L45" s="349" t="str">
        <f ca="1">IF(AND('Mapa final'!$Q$18="Muy Baja",'Mapa final'!$U$18="Leve"),CONCATENATE("R",'Mapa final'!$A$18),"")</f>
        <v/>
      </c>
      <c r="M45" s="350"/>
      <c r="N45" s="350" t="str">
        <f>IF(AND('Mapa final'!$L$19="Muy Baja",'Mapa final'!$P$19="Leve"),CONCATENATE("R",'Mapa final'!$A$19),"")</f>
        <v/>
      </c>
      <c r="O45" s="350"/>
      <c r="P45" s="350" t="str">
        <f>IF(AND('Mapa final'!$L$20="Muy Baja",'Mapa final'!$P$20="Leve"),CONCATENATE("R",'Mapa final'!$A$20),"")</f>
        <v/>
      </c>
      <c r="Q45" s="352"/>
      <c r="R45" s="349" t="str">
        <f ca="1">IF(AND('Mapa final'!$Q$18="Muy Baja",'Mapa final'!$U$18="Menor"),CONCATENATE("R",'Mapa final'!$A$18),"")</f>
        <v/>
      </c>
      <c r="S45" s="350"/>
      <c r="T45" s="351" t="str">
        <f ca="1">IF(AND('Mapa final'!$Q$19="Muy Baja",'Mapa final'!$U$19="Menor"),CONCATENATE("R",'Mapa final'!$A$19),"")</f>
        <v/>
      </c>
      <c r="U45" s="351"/>
      <c r="V45" s="351" t="str">
        <f ca="1">IF(AND('Mapa final'!$Q$20="Muy Baja",'Mapa final'!$U$20="Menor"),CONCATENATE("R",'Mapa final'!$A$20),"")</f>
        <v/>
      </c>
      <c r="W45" s="352"/>
      <c r="X45" s="359" t="str">
        <f ca="1">IF(AND('Mapa final'!$Q$18="Muy Baja",'Mapa final'!$U$18="Moderado"),CONCATENATE("R",'Mapa final'!$A$18),"")</f>
        <v/>
      </c>
      <c r="Y45" s="360"/>
      <c r="Z45" s="360" t="str">
        <f ca="1">IF(AND('Mapa final'!$Q$19="Muy Baja",'Mapa final'!$U$19="Moderado"),CONCATENATE("R",'Mapa final'!$A$19),"")</f>
        <v/>
      </c>
      <c r="AA45" s="360"/>
      <c r="AB45" s="360" t="str">
        <f ca="1">IF(AND('Mapa final'!$Q$20="Muy Baja",'Mapa final'!$U$20="Moderado"),CONCATENATE("R",'Mapa final'!$A$20),"")</f>
        <v/>
      </c>
      <c r="AC45" s="361"/>
      <c r="AD45" s="379" t="str">
        <f ca="1">IF(AND('Mapa final'!$Q$18="Muy Baja",'Mapa final'!$U$18="Mayor"),CONCATENATE("R",'Mapa final'!$A$18),"")</f>
        <v/>
      </c>
      <c r="AE45" s="380"/>
      <c r="AF45" s="380" t="str">
        <f ca="1">IF(AND('Mapa final'!$Q$19="Muy Baja",'Mapa final'!$U$19="Mayor"),CONCATENATE("R",'Mapa final'!$A$19),"")</f>
        <v/>
      </c>
      <c r="AG45" s="380"/>
      <c r="AH45" s="380" t="str">
        <f ca="1">IF(AND('Mapa final'!$Q$20="Muy Baja",'Mapa final'!$U$20="Mayor"),CONCATENATE("R",'Mapa final'!$A$20),"")</f>
        <v/>
      </c>
      <c r="AI45" s="381"/>
      <c r="AJ45" s="369" t="str">
        <f ca="1">IF(AND('Mapa final'!$Q$18="Muy Baja",'Mapa final'!$U$18="Catastrófico"),CONCATENATE("R",'Mapa final'!$A$18),"")</f>
        <v/>
      </c>
      <c r="AK45" s="370"/>
      <c r="AL45" s="370" t="str">
        <f ca="1">IF(AND('Mapa final'!$Q$19="Muy Baja",'Mapa final'!$U$19="Catastrófico"),CONCATENATE("R",'Mapa final'!$A$19),"")</f>
        <v/>
      </c>
      <c r="AM45" s="370"/>
      <c r="AN45" s="370" t="str">
        <f>IF(AND('Mapa final'!$Q$20="Muy Baja",'Mapa final'!$L$20="Catastrófico"),CONCATENATE("R",'Mapa final'!$A$20),"")</f>
        <v/>
      </c>
      <c r="AO45" s="371"/>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422"/>
      <c r="E46" s="422"/>
      <c r="F46" s="423"/>
      <c r="G46" s="393"/>
      <c r="H46" s="394"/>
      <c r="I46" s="394"/>
      <c r="J46" s="394"/>
      <c r="K46" s="400"/>
      <c r="L46" s="349"/>
      <c r="M46" s="350"/>
      <c r="N46" s="350"/>
      <c r="O46" s="350"/>
      <c r="P46" s="350"/>
      <c r="Q46" s="352"/>
      <c r="R46" s="349"/>
      <c r="S46" s="350"/>
      <c r="T46" s="351"/>
      <c r="U46" s="351"/>
      <c r="V46" s="351"/>
      <c r="W46" s="352"/>
      <c r="X46" s="359"/>
      <c r="Y46" s="360"/>
      <c r="Z46" s="360"/>
      <c r="AA46" s="360"/>
      <c r="AB46" s="360"/>
      <c r="AC46" s="361"/>
      <c r="AD46" s="379"/>
      <c r="AE46" s="380"/>
      <c r="AF46" s="380"/>
      <c r="AG46" s="380"/>
      <c r="AH46" s="380"/>
      <c r="AI46" s="381"/>
      <c r="AJ46" s="369"/>
      <c r="AK46" s="370"/>
      <c r="AL46" s="370"/>
      <c r="AM46" s="370"/>
      <c r="AN46" s="370"/>
      <c r="AO46" s="371"/>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422"/>
      <c r="E47" s="422"/>
      <c r="F47" s="423"/>
      <c r="G47" s="393"/>
      <c r="H47" s="394"/>
      <c r="I47" s="394"/>
      <c r="J47" s="394"/>
      <c r="K47" s="400"/>
      <c r="L47" s="349" t="str">
        <f ca="1">IF(AND('Mapa final'!$Q$23="Muy Baja",'Mapa final'!$U$23="Leve"),CONCATENATE("R",'Mapa final'!$A$23),"")</f>
        <v/>
      </c>
      <c r="M47" s="350"/>
      <c r="N47" s="350" t="str">
        <f>IF(AND('Mapa final'!$L$24="Muy Baja",'Mapa final'!$P$24="Leve"),CONCATENATE("R",'Mapa final'!$A$24),"")</f>
        <v/>
      </c>
      <c r="O47" s="350"/>
      <c r="P47" s="350" t="str">
        <f>IF(AND('Mapa final'!$L$25="Muy Baja",'Mapa final'!$P$25="Leve"),CONCATENATE("R",'Mapa final'!$A$25),"")</f>
        <v/>
      </c>
      <c r="Q47" s="352"/>
      <c r="R47" s="349" t="str">
        <f ca="1">IF(AND('Mapa final'!$Q$23="Muy Baja",'Mapa final'!$U$23="Menor"),CONCATENATE("R",'Mapa final'!$A$23),"")</f>
        <v/>
      </c>
      <c r="S47" s="350"/>
      <c r="T47" s="351" t="str">
        <f ca="1">IF(AND('Mapa final'!$LR$24="Muy Baja",'Mapa final'!$U$24="Menor"),CONCATENATE("R",'Mapa final'!$A$24),"")</f>
        <v/>
      </c>
      <c r="U47" s="351"/>
      <c r="V47" s="351" t="str">
        <f>IF(AND('Mapa final'!$Q$25="Muy Baja",'Mapa final'!$U$25="Menor"),CONCATENATE("R",'Mapa final'!$A$25),"")</f>
        <v/>
      </c>
      <c r="W47" s="352"/>
      <c r="X47" s="359" t="str">
        <f ca="1">IF(AND('Mapa final'!$Q$23="Muy Baja",'Mapa final'!$U$23="Moderado"),CONCATENATE("R",'Mapa final'!$A$23),"")</f>
        <v/>
      </c>
      <c r="Y47" s="360"/>
      <c r="Z47" s="360" t="str">
        <f ca="1">IF(AND('Mapa final'!$Q$24="Muy Baja",'Mapa final'!$U$24="Moderado"),CONCATENATE("R",'Mapa final'!$A$24),"")</f>
        <v/>
      </c>
      <c r="AA47" s="360"/>
      <c r="AB47" s="360" t="str">
        <f>IF(AND('Mapa final'!$Q$25="Muy Baja",'Mapa final'!$U$25="Moderado"),CONCATENATE("R",'Mapa final'!$A$25),"")</f>
        <v/>
      </c>
      <c r="AC47" s="361"/>
      <c r="AD47" s="379" t="str">
        <f ca="1">IF(AND('Mapa final'!$Q$23="Muy Baja",'Mapa final'!$U$23="Mayor"),CONCATENATE("R",'Mapa final'!$A$23),"")</f>
        <v/>
      </c>
      <c r="AE47" s="380"/>
      <c r="AF47" s="380" t="str">
        <f ca="1">IF(AND('Mapa final'!$Q$24="Muy Baja",'Mapa final'!$U$24="Mayor"),CONCATENATE("R",'Mapa final'!$A$24),"")</f>
        <v/>
      </c>
      <c r="AG47" s="380"/>
      <c r="AH47" s="380" t="str">
        <f>IF(AND('Mapa final'!$Q$25="Muy Baja",'Mapa final'!$U$25="Mayor"),CONCATENATE("R",'Mapa final'!$A$25),"")</f>
        <v/>
      </c>
      <c r="AI47" s="381"/>
      <c r="AJ47" s="369" t="str">
        <f ca="1">IF(AND('Mapa final'!$Q$23="Muy Baja",'Mapa final'!$U$23="Catastrófico"),CONCATENATE("R",'Mapa final'!$A$23),"")</f>
        <v/>
      </c>
      <c r="AK47" s="370"/>
      <c r="AL47" s="370" t="str">
        <f ca="1">IF(AND('Mapa final'!$Q$24="Muy Baja",'Mapa final'!$U$24="Catastrófico"),CONCATENATE("R",'Mapa final'!$A$24),"")</f>
        <v/>
      </c>
      <c r="AM47" s="370"/>
      <c r="AN47" s="370" t="str">
        <f>IF(AND('Mapa final'!$Q$25="Muy Baja",'Mapa final'!$U$25="Catastrófico"),CONCATENATE("R",'Mapa final'!$A$25),"")</f>
        <v/>
      </c>
      <c r="AO47" s="371"/>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422"/>
      <c r="E48" s="422"/>
      <c r="F48" s="423"/>
      <c r="G48" s="393"/>
      <c r="H48" s="394"/>
      <c r="I48" s="394"/>
      <c r="J48" s="394"/>
      <c r="K48" s="400"/>
      <c r="L48" s="349"/>
      <c r="M48" s="350"/>
      <c r="N48" s="350"/>
      <c r="O48" s="350"/>
      <c r="P48" s="350"/>
      <c r="Q48" s="352"/>
      <c r="R48" s="349"/>
      <c r="S48" s="350"/>
      <c r="T48" s="351"/>
      <c r="U48" s="351"/>
      <c r="V48" s="351"/>
      <c r="W48" s="352"/>
      <c r="X48" s="359"/>
      <c r="Y48" s="360"/>
      <c r="Z48" s="360"/>
      <c r="AA48" s="360"/>
      <c r="AB48" s="360"/>
      <c r="AC48" s="361"/>
      <c r="AD48" s="379"/>
      <c r="AE48" s="380"/>
      <c r="AF48" s="380"/>
      <c r="AG48" s="380"/>
      <c r="AH48" s="380"/>
      <c r="AI48" s="381"/>
      <c r="AJ48" s="369"/>
      <c r="AK48" s="370"/>
      <c r="AL48" s="370"/>
      <c r="AM48" s="370"/>
      <c r="AN48" s="370"/>
      <c r="AO48" s="371"/>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422"/>
      <c r="E49" s="422"/>
      <c r="F49" s="423"/>
      <c r="G49" s="393"/>
      <c r="H49" s="394"/>
      <c r="I49" s="394"/>
      <c r="J49" s="394"/>
      <c r="K49" s="400"/>
      <c r="L49" s="349" t="str">
        <f>IF(AND('Mapa final'!$Q$26="Muy Baja",'Mapa final'!$U$26="Leve"),CONCATENATE("R",'Mapa final'!$A$26),"")</f>
        <v/>
      </c>
      <c r="M49" s="350"/>
      <c r="N49" s="350" t="str">
        <f>IF(AND('Mapa final'!$L$27="Muy Baja",'Mapa final'!$P$27="Leve"),CONCATENATE("R",'Mapa final'!$A$27),"")</f>
        <v/>
      </c>
      <c r="O49" s="350"/>
      <c r="P49" s="350" t="str">
        <f>IF(AND('Mapa final'!$L$28="Muy Baja",'Mapa final'!$P$28="Leve"),CONCATENATE("R",'Mapa final'!$A$28),"")</f>
        <v/>
      </c>
      <c r="Q49" s="352"/>
      <c r="R49" s="350" t="str">
        <f>IF(AND('Mapa final'!$Q$26="Muy Baja",'Mapa final'!$U$26="Menor"),CONCATENATE("R",'Mapa final'!$A$26),"")</f>
        <v/>
      </c>
      <c r="S49" s="351"/>
      <c r="T49" s="351" t="str">
        <f>IF(AND('Mapa final'!$Q$27="Muy Baja",'Mapa final'!$U$27="Menor"),CONCATENATE("R",'Mapa final'!$A$27),"")</f>
        <v/>
      </c>
      <c r="U49" s="351"/>
      <c r="V49" s="351" t="str">
        <f>IF(AND('Mapa final'!$Q$28="Muy Baja",'Mapa final'!$U$28="Menor"),CONCATENATE("R",'Mapa final'!$A$28),"")</f>
        <v/>
      </c>
      <c r="W49" s="352"/>
      <c r="X49" s="359" t="str">
        <f>IF(AND('Mapa final'!$Q$26="Muy Baja",'Mapa final'!$U$26="Moderado"),CONCATENATE("R",'Mapa final'!$A$26),"")</f>
        <v/>
      </c>
      <c r="Y49" s="360"/>
      <c r="Z49" s="360" t="str">
        <f>IF(AND('Mapa final'!$Q$27="Muy Baja",'Mapa final'!$U$27="Moderado"),CONCATENATE("R",'Mapa final'!$A$27),"")</f>
        <v/>
      </c>
      <c r="AA49" s="360"/>
      <c r="AB49" s="360" t="str">
        <f>IF(AND('Mapa final'!$Q$28="Muy Baja",'Mapa final'!$U$28="Moderado"),CONCATENATE("R",'Mapa final'!$A$28),"")</f>
        <v/>
      </c>
      <c r="AC49" s="361"/>
      <c r="AD49" s="379" t="str">
        <f>IF(AND('Mapa final'!$Q$26="Muy Baja",'Mapa final'!$U$26="Mayor"),CONCATENATE("R",'Mapa final'!$A$26),"")</f>
        <v/>
      </c>
      <c r="AE49" s="380"/>
      <c r="AF49" s="380" t="str">
        <f>IF(AND('Mapa final'!$Q$27="Muy Baja",'Mapa final'!$U$27="Mayor"),CONCATENATE("R",'Mapa final'!$A$27),"")</f>
        <v/>
      </c>
      <c r="AG49" s="380"/>
      <c r="AH49" s="380" t="str">
        <f>IF(AND('Mapa final'!$Q$28="Muy Baja",'Mapa final'!$U$28="Mayor"),CONCATENATE("R",'Mapa final'!$A$28),"")</f>
        <v/>
      </c>
      <c r="AI49" s="381"/>
      <c r="AJ49" s="369" t="str">
        <f>IF(AND('Mapa final'!$Q$26="Muy Baja",'Mapa final'!$U$26="Catastrófico"),CONCATENATE("R",'Mapa final'!$A$26),"")</f>
        <v/>
      </c>
      <c r="AK49" s="370"/>
      <c r="AL49" s="370" t="str">
        <f>IF(AND('Mapa final'!$Q$27="Muy Baja",'Mapa final'!$U$27="Catastrófico"),CONCATENATE("R",'Mapa final'!$A$27),"")</f>
        <v/>
      </c>
      <c r="AM49" s="370"/>
      <c r="AN49" s="370" t="str">
        <f>IF(AND('Mapa final'!$Q$28="Muy Baja",'Mapa final'!$U$28="Catastrófico"),CONCATENATE("R",'Mapa final'!$A$28),"")</f>
        <v/>
      </c>
      <c r="AO49" s="371"/>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422"/>
      <c r="E50" s="422"/>
      <c r="F50" s="423"/>
      <c r="G50" s="396"/>
      <c r="H50" s="397"/>
      <c r="I50" s="397"/>
      <c r="J50" s="397"/>
      <c r="K50" s="397"/>
      <c r="L50" s="358"/>
      <c r="M50" s="353"/>
      <c r="N50" s="353"/>
      <c r="O50" s="353"/>
      <c r="P50" s="353"/>
      <c r="Q50" s="354"/>
      <c r="R50" s="353"/>
      <c r="S50" s="353"/>
      <c r="T50" s="353"/>
      <c r="U50" s="353"/>
      <c r="V50" s="353"/>
      <c r="W50" s="354"/>
      <c r="X50" s="362"/>
      <c r="Y50" s="363"/>
      <c r="Z50" s="363"/>
      <c r="AA50" s="363"/>
      <c r="AB50" s="363"/>
      <c r="AC50" s="364"/>
      <c r="AD50" s="382"/>
      <c r="AE50" s="383"/>
      <c r="AF50" s="383"/>
      <c r="AG50" s="383"/>
      <c r="AH50" s="383"/>
      <c r="AI50" s="384"/>
      <c r="AJ50" s="372"/>
      <c r="AK50" s="373"/>
      <c r="AL50" s="373"/>
      <c r="AM50" s="373"/>
      <c r="AN50" s="373"/>
      <c r="AO50" s="374"/>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399" t="s">
        <v>111</v>
      </c>
      <c r="M51" s="400"/>
      <c r="N51" s="400"/>
      <c r="O51" s="400"/>
      <c r="P51" s="400"/>
      <c r="Q51" s="395"/>
      <c r="R51" s="389" t="s">
        <v>110</v>
      </c>
      <c r="S51" s="391"/>
      <c r="T51" s="391"/>
      <c r="U51" s="391"/>
      <c r="V51" s="391"/>
      <c r="W51" s="392"/>
      <c r="X51" s="389" t="s">
        <v>109</v>
      </c>
      <c r="Y51" s="391"/>
      <c r="Z51" s="391"/>
      <c r="AA51" s="391"/>
      <c r="AB51" s="391"/>
      <c r="AC51" s="392"/>
      <c r="AD51" s="389" t="s">
        <v>108</v>
      </c>
      <c r="AE51" s="390"/>
      <c r="AF51" s="391"/>
      <c r="AG51" s="391"/>
      <c r="AH51" s="391"/>
      <c r="AI51" s="392"/>
      <c r="AJ51" s="389" t="s">
        <v>107</v>
      </c>
      <c r="AK51" s="391"/>
      <c r="AL51" s="391"/>
      <c r="AM51" s="391"/>
      <c r="AN51" s="391"/>
      <c r="AO51" s="392"/>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393"/>
      <c r="M52" s="394"/>
      <c r="N52" s="394"/>
      <c r="O52" s="394"/>
      <c r="P52" s="394"/>
      <c r="Q52" s="395"/>
      <c r="R52" s="393"/>
      <c r="S52" s="394"/>
      <c r="T52" s="394"/>
      <c r="U52" s="394"/>
      <c r="V52" s="394"/>
      <c r="W52" s="395"/>
      <c r="X52" s="393"/>
      <c r="Y52" s="394"/>
      <c r="Z52" s="394"/>
      <c r="AA52" s="394"/>
      <c r="AB52" s="394"/>
      <c r="AC52" s="395"/>
      <c r="AD52" s="393"/>
      <c r="AE52" s="394"/>
      <c r="AF52" s="394"/>
      <c r="AG52" s="394"/>
      <c r="AH52" s="394"/>
      <c r="AI52" s="395"/>
      <c r="AJ52" s="393"/>
      <c r="AK52" s="394"/>
      <c r="AL52" s="394"/>
      <c r="AM52" s="394"/>
      <c r="AN52" s="394"/>
      <c r="AO52" s="395"/>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393"/>
      <c r="M53" s="394"/>
      <c r="N53" s="394"/>
      <c r="O53" s="394"/>
      <c r="P53" s="394"/>
      <c r="Q53" s="395"/>
      <c r="R53" s="393"/>
      <c r="S53" s="394"/>
      <c r="T53" s="394"/>
      <c r="U53" s="394"/>
      <c r="V53" s="394"/>
      <c r="W53" s="395"/>
      <c r="X53" s="393"/>
      <c r="Y53" s="394"/>
      <c r="Z53" s="394"/>
      <c r="AA53" s="394"/>
      <c r="AB53" s="394"/>
      <c r="AC53" s="395"/>
      <c r="AD53" s="393"/>
      <c r="AE53" s="394"/>
      <c r="AF53" s="394"/>
      <c r="AG53" s="394"/>
      <c r="AH53" s="394"/>
      <c r="AI53" s="395"/>
      <c r="AJ53" s="393"/>
      <c r="AK53" s="394"/>
      <c r="AL53" s="394"/>
      <c r="AM53" s="394"/>
      <c r="AN53" s="394"/>
      <c r="AO53" s="395"/>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393"/>
      <c r="M54" s="394"/>
      <c r="N54" s="394"/>
      <c r="O54" s="394"/>
      <c r="P54" s="394"/>
      <c r="Q54" s="395"/>
      <c r="R54" s="393"/>
      <c r="S54" s="394"/>
      <c r="T54" s="394"/>
      <c r="U54" s="394"/>
      <c r="V54" s="394"/>
      <c r="W54" s="395"/>
      <c r="X54" s="393"/>
      <c r="Y54" s="394"/>
      <c r="Z54" s="394"/>
      <c r="AA54" s="394"/>
      <c r="AB54" s="394"/>
      <c r="AC54" s="395"/>
      <c r="AD54" s="393"/>
      <c r="AE54" s="394"/>
      <c r="AF54" s="394"/>
      <c r="AG54" s="394"/>
      <c r="AH54" s="394"/>
      <c r="AI54" s="395"/>
      <c r="AJ54" s="393"/>
      <c r="AK54" s="394"/>
      <c r="AL54" s="394"/>
      <c r="AM54" s="394"/>
      <c r="AN54" s="394"/>
      <c r="AO54" s="395"/>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393"/>
      <c r="M55" s="394"/>
      <c r="N55" s="394"/>
      <c r="O55" s="394"/>
      <c r="P55" s="394"/>
      <c r="Q55" s="395"/>
      <c r="R55" s="393"/>
      <c r="S55" s="394"/>
      <c r="T55" s="394"/>
      <c r="U55" s="394"/>
      <c r="V55" s="394"/>
      <c r="W55" s="395"/>
      <c r="X55" s="393"/>
      <c r="Y55" s="394"/>
      <c r="Z55" s="394"/>
      <c r="AA55" s="394"/>
      <c r="AB55" s="394"/>
      <c r="AC55" s="395"/>
      <c r="AD55" s="393"/>
      <c r="AE55" s="394"/>
      <c r="AF55" s="394"/>
      <c r="AG55" s="394"/>
      <c r="AH55" s="394"/>
      <c r="AI55" s="395"/>
      <c r="AJ55" s="393"/>
      <c r="AK55" s="394"/>
      <c r="AL55" s="394"/>
      <c r="AM55" s="394"/>
      <c r="AN55" s="394"/>
      <c r="AO55" s="395"/>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396"/>
      <c r="M56" s="397"/>
      <c r="N56" s="397"/>
      <c r="O56" s="397"/>
      <c r="P56" s="397"/>
      <c r="Q56" s="398"/>
      <c r="R56" s="396"/>
      <c r="S56" s="397"/>
      <c r="T56" s="397"/>
      <c r="U56" s="397"/>
      <c r="V56" s="397"/>
      <c r="W56" s="398"/>
      <c r="X56" s="396"/>
      <c r="Y56" s="397"/>
      <c r="Z56" s="397"/>
      <c r="AA56" s="397"/>
      <c r="AB56" s="397"/>
      <c r="AC56" s="398"/>
      <c r="AD56" s="396"/>
      <c r="AE56" s="397"/>
      <c r="AF56" s="397"/>
      <c r="AG56" s="397"/>
      <c r="AH56" s="397"/>
      <c r="AI56" s="398"/>
      <c r="AJ56" s="396"/>
      <c r="AK56" s="397"/>
      <c r="AL56" s="397"/>
      <c r="AM56" s="397"/>
      <c r="AN56" s="397"/>
      <c r="AO56" s="398"/>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47:AE48"/>
    <mergeCell ref="AF47:AG48"/>
    <mergeCell ref="AH47:AI48"/>
    <mergeCell ref="AD49:AE50"/>
    <mergeCell ref="AF49:AG50"/>
    <mergeCell ref="AH49:AI50"/>
    <mergeCell ref="AD43:AE44"/>
    <mergeCell ref="AF43:AG44"/>
    <mergeCell ref="AH43:AI44"/>
    <mergeCell ref="AD45:AE46"/>
    <mergeCell ref="AF45:AG46"/>
    <mergeCell ref="AH45:AI46"/>
    <mergeCell ref="AJ15:AK16"/>
    <mergeCell ref="AL15:AM16"/>
    <mergeCell ref="AN15:AO16"/>
    <mergeCell ref="AJ17:AK18"/>
    <mergeCell ref="AL17:AM18"/>
    <mergeCell ref="AN17:AO18"/>
    <mergeCell ref="AJ11:AK12"/>
    <mergeCell ref="AL11:AM12"/>
    <mergeCell ref="AN11:AO12"/>
    <mergeCell ref="AJ13:AK14"/>
    <mergeCell ref="AL13:AM14"/>
    <mergeCell ref="AN13:AO14"/>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47:AK48"/>
    <mergeCell ref="AL47:AM48"/>
    <mergeCell ref="AN47:AO48"/>
    <mergeCell ref="AJ49:AK50"/>
    <mergeCell ref="AL49:AM50"/>
    <mergeCell ref="AN49:AO50"/>
    <mergeCell ref="AJ43:AK44"/>
    <mergeCell ref="AL43:AM44"/>
    <mergeCell ref="AN43:AO44"/>
    <mergeCell ref="AJ45:AK46"/>
    <mergeCell ref="AL45:AM46"/>
    <mergeCell ref="AN45:AO46"/>
    <mergeCell ref="P23:Q24"/>
    <mergeCell ref="L25:M26"/>
    <mergeCell ref="N25:O26"/>
    <mergeCell ref="P25:Q26"/>
    <mergeCell ref="L19:M20"/>
    <mergeCell ref="N19:O20"/>
    <mergeCell ref="P19:Q20"/>
    <mergeCell ref="L21:M22"/>
    <mergeCell ref="N21:O22"/>
    <mergeCell ref="P21:Q22"/>
    <mergeCell ref="R23:S24"/>
    <mergeCell ref="T23:U24"/>
    <mergeCell ref="V23:W24"/>
    <mergeCell ref="R25:S26"/>
    <mergeCell ref="T25:U26"/>
    <mergeCell ref="V25:W26"/>
    <mergeCell ref="R19:S20"/>
    <mergeCell ref="T19:U20"/>
    <mergeCell ref="V19:W20"/>
    <mergeCell ref="R21:S22"/>
    <mergeCell ref="T21:U22"/>
    <mergeCell ref="V21:W22"/>
    <mergeCell ref="L31:M32"/>
    <mergeCell ref="N31:O32"/>
    <mergeCell ref="P31:Q32"/>
    <mergeCell ref="L33:M34"/>
    <mergeCell ref="N33:O34"/>
    <mergeCell ref="P33:Q34"/>
    <mergeCell ref="L27:M28"/>
    <mergeCell ref="N27:O28"/>
    <mergeCell ref="P27:Q28"/>
    <mergeCell ref="L29:M30"/>
    <mergeCell ref="N29:O30"/>
    <mergeCell ref="P29:Q30"/>
    <mergeCell ref="R31:S32"/>
    <mergeCell ref="T31:U32"/>
    <mergeCell ref="V31:W32"/>
    <mergeCell ref="R33:S34"/>
    <mergeCell ref="T33:U34"/>
    <mergeCell ref="V33:W34"/>
    <mergeCell ref="R27:S28"/>
    <mergeCell ref="T27:U28"/>
    <mergeCell ref="V27:W28"/>
    <mergeCell ref="R29:S30"/>
    <mergeCell ref="T29:U30"/>
    <mergeCell ref="V29:W30"/>
    <mergeCell ref="X31:Y32"/>
    <mergeCell ref="Z31:AA32"/>
    <mergeCell ref="AB31:AC32"/>
    <mergeCell ref="X33:Y34"/>
    <mergeCell ref="Z33:AA34"/>
    <mergeCell ref="AB33:AC34"/>
    <mergeCell ref="X27:Y28"/>
    <mergeCell ref="Z27:AA28"/>
    <mergeCell ref="AB27:AC28"/>
    <mergeCell ref="X29:Y30"/>
    <mergeCell ref="Z29:AA30"/>
    <mergeCell ref="AB29:AC30"/>
    <mergeCell ref="X39:Y40"/>
    <mergeCell ref="Z39:AA40"/>
    <mergeCell ref="AB39:AC40"/>
    <mergeCell ref="X41:Y42"/>
    <mergeCell ref="Z41:AA42"/>
    <mergeCell ref="AB41:AC42"/>
    <mergeCell ref="X35:Y36"/>
    <mergeCell ref="Z35:AA36"/>
    <mergeCell ref="AB35:AC36"/>
    <mergeCell ref="X37:Y38"/>
    <mergeCell ref="Z37:AA38"/>
    <mergeCell ref="AB37:AC38"/>
    <mergeCell ref="R39:S40"/>
    <mergeCell ref="T39:U40"/>
    <mergeCell ref="V39:W40"/>
    <mergeCell ref="R41:S42"/>
    <mergeCell ref="T41:U42"/>
    <mergeCell ref="V41:W42"/>
    <mergeCell ref="R35:S36"/>
    <mergeCell ref="T35:U36"/>
    <mergeCell ref="V35:W36"/>
    <mergeCell ref="R37:S38"/>
    <mergeCell ref="T37:U38"/>
    <mergeCell ref="V37:W38"/>
    <mergeCell ref="X47:Y48"/>
    <mergeCell ref="Z47:AA48"/>
    <mergeCell ref="AB47:AC48"/>
    <mergeCell ref="X49:Y50"/>
    <mergeCell ref="Z49:AA50"/>
    <mergeCell ref="AB49:AC50"/>
    <mergeCell ref="X43:Y44"/>
    <mergeCell ref="Z43:AA44"/>
    <mergeCell ref="AB43:AC44"/>
    <mergeCell ref="X45:Y46"/>
    <mergeCell ref="Z45:AA46"/>
    <mergeCell ref="AB45:AC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24" activePane="bottomLeft" state="frozen"/>
      <selection pane="bottomLeft"/>
    </sheetView>
  </sheetViews>
  <sheetFormatPr baseColWidth="10" defaultRowHeight="15" x14ac:dyDescent="0.25"/>
  <cols>
    <col min="3" max="11" width="5.7109375" customWidth="1"/>
    <col min="12" max="12" width="12" customWidth="1"/>
    <col min="13" max="19" width="5.7109375" customWidth="1"/>
    <col min="20" max="20" width="6.7109375" customWidth="1"/>
    <col min="21" max="24" width="5.7109375" customWidth="1"/>
    <col min="25" max="25" width="8.42578125" customWidth="1"/>
    <col min="26" max="27" width="5.7109375" customWidth="1"/>
    <col min="28" max="29" width="10.7109375" customWidth="1"/>
    <col min="30" max="30" width="5.28515625" customWidth="1"/>
    <col min="31" max="31" width="8.5703125" customWidth="1"/>
    <col min="32" max="32" width="9.28515625" customWidth="1"/>
    <col min="33" max="34" width="5.7109375" customWidth="1"/>
    <col min="35" max="35" width="8.42578125" customWidth="1"/>
    <col min="36" max="36" width="11" customWidth="1"/>
    <col min="37" max="40" width="5.7109375" customWidth="1"/>
    <col min="42" max="47" width="5.7109375" customWidth="1"/>
  </cols>
  <sheetData>
    <row r="1" spans="1:92" ht="15.75" thickBot="1" x14ac:dyDescent="0.3"/>
    <row r="2" spans="1:92" x14ac:dyDescent="0.25">
      <c r="C2" s="413" t="s">
        <v>251</v>
      </c>
      <c r="D2" s="414"/>
      <c r="E2" s="414"/>
      <c r="F2" s="414"/>
      <c r="G2" s="414"/>
      <c r="H2" s="414"/>
      <c r="I2" s="414"/>
      <c r="J2" s="415"/>
      <c r="K2" s="404" t="s">
        <v>205</v>
      </c>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6"/>
      <c r="AO2" s="267" t="s">
        <v>377</v>
      </c>
      <c r="AP2" s="401"/>
      <c r="AQ2" s="401"/>
      <c r="AR2" s="401"/>
      <c r="AS2" s="401"/>
      <c r="AT2" s="401"/>
      <c r="AU2" s="256"/>
    </row>
    <row r="3" spans="1:92" x14ac:dyDescent="0.25">
      <c r="C3" s="416"/>
      <c r="D3" s="417"/>
      <c r="E3" s="417"/>
      <c r="F3" s="417"/>
      <c r="G3" s="417"/>
      <c r="H3" s="417"/>
      <c r="I3" s="417"/>
      <c r="J3" s="418"/>
      <c r="K3" s="407"/>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9"/>
      <c r="AO3" s="268" t="s">
        <v>264</v>
      </c>
      <c r="AP3" s="402"/>
      <c r="AQ3" s="402"/>
      <c r="AR3" s="402"/>
      <c r="AS3" s="402"/>
      <c r="AT3" s="402"/>
      <c r="AU3" s="258"/>
    </row>
    <row r="4" spans="1:92" x14ac:dyDescent="0.25">
      <c r="C4" s="416"/>
      <c r="D4" s="417"/>
      <c r="E4" s="417"/>
      <c r="F4" s="417"/>
      <c r="G4" s="417"/>
      <c r="H4" s="417"/>
      <c r="I4" s="417"/>
      <c r="J4" s="418"/>
      <c r="K4" s="407"/>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9"/>
      <c r="AO4" s="268" t="s">
        <v>389</v>
      </c>
      <c r="AP4" s="402" t="s">
        <v>263</v>
      </c>
      <c r="AQ4" s="402"/>
      <c r="AR4" s="402"/>
      <c r="AS4" s="402"/>
      <c r="AT4" s="402"/>
      <c r="AU4" s="258"/>
    </row>
    <row r="5" spans="1:92" ht="15.75" thickBot="1" x14ac:dyDescent="0.3">
      <c r="C5" s="419"/>
      <c r="D5" s="420"/>
      <c r="E5" s="420"/>
      <c r="F5" s="420"/>
      <c r="G5" s="420"/>
      <c r="H5" s="420"/>
      <c r="I5" s="420"/>
      <c r="J5" s="421"/>
      <c r="K5" s="410"/>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1"/>
      <c r="AN5" s="412"/>
      <c r="AO5" s="269" t="s">
        <v>245</v>
      </c>
      <c r="AP5" s="403" t="s">
        <v>245</v>
      </c>
      <c r="AQ5" s="403"/>
      <c r="AR5" s="403"/>
      <c r="AS5" s="403"/>
      <c r="AT5" s="403"/>
      <c r="AU5" s="260"/>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461" t="s">
        <v>266</v>
      </c>
      <c r="B8" s="461"/>
      <c r="C8" s="491" t="s">
        <v>156</v>
      </c>
      <c r="D8" s="492"/>
      <c r="E8" s="492"/>
      <c r="F8" s="492"/>
      <c r="G8" s="492"/>
      <c r="H8" s="492"/>
      <c r="I8" s="492"/>
      <c r="J8" s="492"/>
      <c r="K8" s="493" t="s">
        <v>2</v>
      </c>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3"/>
      <c r="AK8" s="493"/>
      <c r="AL8" s="493"/>
      <c r="AM8" s="493"/>
      <c r="AN8" s="493"/>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492"/>
      <c r="D9" s="492"/>
      <c r="E9" s="492"/>
      <c r="F9" s="492"/>
      <c r="G9" s="492"/>
      <c r="H9" s="492"/>
      <c r="I9" s="492"/>
      <c r="J9" s="492"/>
      <c r="K9" s="493"/>
      <c r="L9" s="493"/>
      <c r="M9" s="493"/>
      <c r="N9" s="493"/>
      <c r="O9" s="493"/>
      <c r="P9" s="493"/>
      <c r="Q9" s="493"/>
      <c r="R9" s="493"/>
      <c r="S9" s="493"/>
      <c r="T9" s="493"/>
      <c r="U9" s="493"/>
      <c r="V9" s="493"/>
      <c r="W9" s="493"/>
      <c r="X9" s="493"/>
      <c r="Y9" s="493"/>
      <c r="Z9" s="493"/>
      <c r="AA9" s="493"/>
      <c r="AB9" s="493"/>
      <c r="AC9" s="493"/>
      <c r="AD9" s="493"/>
      <c r="AE9" s="493"/>
      <c r="AF9" s="493"/>
      <c r="AG9" s="493"/>
      <c r="AH9" s="493"/>
      <c r="AI9" s="493"/>
      <c r="AJ9" s="493"/>
      <c r="AK9" s="493"/>
      <c r="AL9" s="493"/>
      <c r="AM9" s="493"/>
      <c r="AN9" s="493"/>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492"/>
      <c r="D10" s="492"/>
      <c r="E10" s="492"/>
      <c r="F10" s="492"/>
      <c r="G10" s="492"/>
      <c r="H10" s="492"/>
      <c r="I10" s="492"/>
      <c r="J10" s="492"/>
      <c r="K10" s="493"/>
      <c r="L10" s="493"/>
      <c r="M10" s="493"/>
      <c r="N10" s="493"/>
      <c r="O10" s="493"/>
      <c r="P10" s="493"/>
      <c r="Q10" s="493"/>
      <c r="R10" s="493"/>
      <c r="S10" s="493"/>
      <c r="T10" s="493"/>
      <c r="U10" s="493"/>
      <c r="V10" s="493"/>
      <c r="W10" s="493"/>
      <c r="X10" s="493"/>
      <c r="Y10" s="493"/>
      <c r="Z10" s="493"/>
      <c r="AA10" s="493"/>
      <c r="AB10" s="493"/>
      <c r="AC10" s="493"/>
      <c r="AD10" s="493"/>
      <c r="AE10" s="493"/>
      <c r="AF10" s="493"/>
      <c r="AG10" s="493"/>
      <c r="AH10" s="493"/>
      <c r="AI10" s="493"/>
      <c r="AJ10" s="493"/>
      <c r="AK10" s="493"/>
      <c r="AL10" s="493"/>
      <c r="AM10" s="493"/>
      <c r="AN10" s="493"/>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422" t="s">
        <v>4</v>
      </c>
      <c r="D12" s="422"/>
      <c r="E12" s="423"/>
      <c r="F12" s="462" t="s">
        <v>115</v>
      </c>
      <c r="G12" s="463"/>
      <c r="H12" s="463"/>
      <c r="I12" s="463"/>
      <c r="J12" s="463"/>
      <c r="K12" s="32" t="str">
        <f ca="1">IF(AND('Mapa final'!$AJ$15="Muy Alta",'Mapa final'!$AL$15="Leve"),CONCATENATE("R2C",'Mapa final'!$S$15),"")</f>
        <v/>
      </c>
      <c r="L12" s="33" t="str">
        <f ca="1">IF(AND('Mapa final'!$AJ$16="Muy Alta",'Mapa final'!$AL$16="Leve"),CONCATENATE("R2C",'Mapa final'!$S$16),"")</f>
        <v/>
      </c>
      <c r="M12" s="33" t="str">
        <f ca="1">IF(AND('Mapa final'!$AJ$17="Muy Alta",'Mapa final'!$AL$17="Leve"),CONCATENATE("R2C",'Mapa final'!$S$17),"")</f>
        <v/>
      </c>
      <c r="N12" s="33" t="str">
        <f ca="1">IF(AND('Mapa final'!$AJ$18="Muy Alta",'Mapa final'!$AL$18="Leve"),CONCATENATE("R2C",'Mapa final'!$S$18),"")</f>
        <v/>
      </c>
      <c r="O12" s="33" t="str">
        <f>IF(AND('Mapa final'!$AJ$19="Muy Alta",'Mapa final'!$AL$19="Leve"),CONCATENATE("R2C",'Mapa final'!$S$19),"")</f>
        <v/>
      </c>
      <c r="P12" s="34" t="str">
        <f>IF(AND('Mapa final'!$AJ$20="Muy Alta",'Mapa final'!$AL$20="Leve"),CONCATENATE("R2C",'Mapa final'!$S$20),"")</f>
        <v/>
      </c>
      <c r="Q12" s="33" t="str">
        <f ca="1">IF(AND('Mapa final'!$AJ$15="Muy Alta",'Mapa final'!$AL$15="Menor"),CONCATENATE("R2C",'Mapa final'!$S$15),"")</f>
        <v/>
      </c>
      <c r="R12" s="33" t="str">
        <f ca="1">IF(AND('Mapa final'!$AJ$16="Muy Alta",'Mapa final'!$AL$16="Menore"),CONCATENATE("R2C",'Mapa final'!$S$16),"")</f>
        <v/>
      </c>
      <c r="S12" s="33" t="str">
        <f ca="1">IF(AND('Mapa final'!$AJ$17="Muy Alta",'Mapa final'!$AL$17="Menor"),CONCATENATE("R2C",'Mapa final'!$S$17),"")</f>
        <v/>
      </c>
      <c r="T12" s="33" t="str">
        <f ca="1">IF(AND('Mapa final'!$AJ$18="Muy Alta",'Mapa final'!$AL$18="Menor"),CONCATENATE("R2C",'Mapa final'!$S$18),"")</f>
        <v/>
      </c>
      <c r="U12" s="33" t="str">
        <f>IF(AND('Mapa final'!$AJ$19="Muy Alta",'Mapa final'!$AL$19="Menor"),CONCATENATE("R2C",'Mapa final'!$S$19),"")</f>
        <v/>
      </c>
      <c r="V12" s="34" t="str">
        <f>IF(AND('Mapa final'!$AJ$20="Muy Alta",'Mapa final'!$AL$20="Menor"),CONCATENATE("R2C",'Mapa final'!$S$20),"")</f>
        <v/>
      </c>
      <c r="W12" s="32" t="str">
        <f ca="1">IF(AND('Mapa final'!$AJ$15="Muy Alta",'Mapa final'!$AL$15="Moderado"),CONCATENATE("R2C",'Mapa final'!$S$15),"")</f>
        <v/>
      </c>
      <c r="X12" s="33" t="str">
        <f ca="1">IF(AND('Mapa final'!$AJ$16="Muy Alta",'Mapa final'!$AL$16="Moderado"),CONCATENATE("R2C",'Mapa final'!$S$16),"")</f>
        <v/>
      </c>
      <c r="Y12" s="33"/>
      <c r="Z12" s="33" t="str">
        <f ca="1">IF(AND('Mapa final'!$AJ$18="Muy Alta",'Mapa final'!$AL$18="Moderado"),CONCATENATE("R2C",'Mapa final'!$S$18),"")</f>
        <v/>
      </c>
      <c r="AA12" s="33" t="str">
        <f>IF(AND('Mapa final'!$AJ$19="Muy Alta",'Mapa final'!$AL$19="Moderado"),CONCATENATE("R2C",'Mapa final'!$S$19),"")</f>
        <v/>
      </c>
      <c r="AB12" s="34" t="str">
        <f>IF(AND('Mapa final'!$AJ$20="Muy Alta",'Mapa final'!$AL$20="Moderado"),CONCATENATE("R2C",'Mapa final'!$S$20),"")</f>
        <v/>
      </c>
      <c r="AC12" s="32" t="str">
        <f ca="1">IF(AND('Mapa final'!$AJ$15="Muy Alta",'Mapa final'!$AL$15="Mayor"),CONCATENATE("R2C",'Mapa final'!$S$15),"")</f>
        <v/>
      </c>
      <c r="AD12" s="33" t="str">
        <f ca="1">IF(AND('Mapa final'!$AJ$16="Muy Alta",'Mapa final'!$AL$16="Mayor"),CONCATENATE("R2C",'Mapa final'!$S$16),"")</f>
        <v/>
      </c>
      <c r="AE12" s="33" t="str">
        <f ca="1">IF(AND('Mapa final'!$AJ$17="Muy Alta",'Mapa final'!$AL$17="Mayor"),CONCATENATE("R2C",'Mapa final'!$S$17),"")</f>
        <v/>
      </c>
      <c r="AF12" s="33" t="str">
        <f ca="1">IF(AND('Mapa final'!$AJ$18="Muy Alta",'Mapa final'!$AL$18="Mayor"),CONCATENATE("R2C",'Mapa final'!$S$18),"")</f>
        <v/>
      </c>
      <c r="AG12" s="33" t="str">
        <f>IF(AND('Mapa final'!$AJ$19="Muy Alta",'Mapa final'!$AL$19="Mayor"),CONCATENATE("R2C",'Mapa final'!$S$19),"")</f>
        <v/>
      </c>
      <c r="AH12" s="34" t="str">
        <f>IF(AND('Mapa final'!$AJ$20="Muy Alta",'Mapa final'!$AL$20="Mayor"),CONCATENATE("R2C",'Mapa final'!$S$20),"")</f>
        <v/>
      </c>
      <c r="AI12" s="35" t="str">
        <f ca="1">IF(AND('Mapa final'!$AJ$15="Muy Alta",'Mapa final'!$AL$15="Catastrófico"),CONCATENATE("R2C",'Mapa final'!$S$15),"")</f>
        <v/>
      </c>
      <c r="AJ12" s="36" t="str">
        <f ca="1">IF(AND('Mapa final'!$AJ$16="Muy Alta",'Mapa final'!$AL$16="Catastrófico"),CONCATENATE("R2C",'Mapa final'!$S$16),"")</f>
        <v/>
      </c>
      <c r="AK12" s="36" t="str">
        <f ca="1">IF(AND('Mapa final'!$AJ$17="Muy Alta",'Mapa final'!$AL$17="Catastrófico"),CONCATENATE("R2C",'Mapa final'!$S$17),"")</f>
        <v/>
      </c>
      <c r="AL12" s="36" t="str">
        <f ca="1">IF(AND('Mapa final'!$AJ$18="Muy Alta",'Mapa final'!$AL$18="Catastrófico"),CONCATENATE("R2C",'Mapa final'!$S$18),"")</f>
        <v/>
      </c>
      <c r="AM12" s="36" t="str">
        <f>IF(AND('Mapa final'!$AJ$19="Muy Alta",'Mapa final'!$AL$19="Catastrófico"),CONCATENATE("R2C",'Mapa final'!$S$19),"")</f>
        <v/>
      </c>
      <c r="AN12" s="37" t="str">
        <f>IF(AND('Mapa final'!$AJ$20="Muy Alta",'Mapa final'!$AL$20="Catastrófico"),CONCATENATE("R2C",'Mapa final'!$S$20),"")</f>
        <v/>
      </c>
      <c r="AO12" s="69"/>
      <c r="AP12" s="482" t="s">
        <v>78</v>
      </c>
      <c r="AQ12" s="483"/>
      <c r="AR12" s="483"/>
      <c r="AS12" s="483"/>
      <c r="AT12" s="483"/>
      <c r="AU12" s="484"/>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422"/>
      <c r="D13" s="422"/>
      <c r="E13" s="423"/>
      <c r="F13" s="465"/>
      <c r="G13" s="466"/>
      <c r="H13" s="466"/>
      <c r="I13" s="466"/>
      <c r="J13" s="494"/>
      <c r="K13" s="38" t="str">
        <f>IF(AND('Mapa final'!$AJ$23="Muy Alta",'Mapa final'!$AL$23="Leve"),CONCATENATE("R2C",'Mapa final'!$S$23),"")</f>
        <v/>
      </c>
      <c r="L13" s="178" t="str">
        <f>IF(AND('Mapa final'!$AJ$24="Muy Alta",'Mapa final'!$AL$24="Leve"),CONCATENATE("R2C",'Mapa final'!$S$24),"")</f>
        <v/>
      </c>
      <c r="M13" s="178" t="str">
        <f>IF(AND('Mapa final'!$AJ$25="Muy Alta",'Mapa final'!$AL$25="Leve"),CONCATENATE("R2C",'Mapa final'!$S$25),"")</f>
        <v/>
      </c>
      <c r="N13" s="178" t="str">
        <f>IF(AND('Mapa final'!$AJ$26="Muy Alta",'Mapa final'!$AL$26="Leve"),CONCATENATE("R2C",'Mapa final'!$S$26),"")</f>
        <v/>
      </c>
      <c r="O13" s="178" t="str">
        <f>IF(AND('Mapa final'!$AJ$27="Muy Alta",'Mapa final'!$AL$27="Leve"),CONCATENATE("R2C",'Mapa final'!$S$27),"")</f>
        <v/>
      </c>
      <c r="P13" s="40" t="str">
        <f>IF(AND('Mapa final'!$AJ$28="Muy Alta",'Mapa final'!$AL$28="Leve"),CONCATENATE("R2C",'Mapa final'!$S$28),"")</f>
        <v/>
      </c>
      <c r="Q13" s="178" t="str">
        <f>IF(AND('Mapa final'!$AJ$23="Muy Alta",'Mapa final'!$AL$23="Menor"),CONCATENATE("R2C",'Mapa final'!$S$23),"")</f>
        <v/>
      </c>
      <c r="R13" s="39" t="str">
        <f>IF(AND('Mapa final'!$AJ$24="Muy Alta",'Mapa final'!$AL$24="Menor"),CONCATENATE("R2C",'Mapa final'!$S$24),"")</f>
        <v/>
      </c>
      <c r="S13" s="39" t="str">
        <f>IF(AND('Mapa final'!$AJ$25="Muy Alta",'Mapa final'!$AL$25="Menor"),CONCATENATE("R2C",'Mapa final'!$S$25),"")</f>
        <v/>
      </c>
      <c r="T13" s="39" t="str">
        <f>IF(AND('Mapa final'!$AJ$26="Muy Alta",'Mapa final'!$AL$26="Menor"),CONCATENATE("R2C",'Mapa final'!$S$26),"")</f>
        <v/>
      </c>
      <c r="U13" s="39" t="str">
        <f>IF(AND('Mapa final'!$AJ$27="Muy Alta",'Mapa final'!$AL$27="Menor"),CONCATENATE("R2C",'Mapa final'!$S$27),"")</f>
        <v/>
      </c>
      <c r="V13" s="40" t="str">
        <f>IF(AND('Mapa final'!$AJ$28="Muy Alta",'Mapa final'!$AL$28="Menor"),CONCATENATE("R2C",'Mapa final'!$S$28),"")</f>
        <v/>
      </c>
      <c r="W13" s="38" t="str">
        <f>IF(AND('Mapa final'!$AJ$23="Muy Alta",'Mapa final'!$AL$23="Moderado"),CONCATENATE("R2C",'Mapa final'!$S$23),"")</f>
        <v/>
      </c>
      <c r="X13" s="39" t="str">
        <f>IF(AND('Mapa final'!$AJ$24="Muy Alta",'Mapa final'!$AL$24="Moderado"),CONCATENATE("R2C",'Mapa final'!$S$24),"")</f>
        <v/>
      </c>
      <c r="Y13" s="39" t="str">
        <f>IF(AND('Mapa final'!$AJ$25="Muy Alta",'Mapa final'!$AL$25="Moderado"),CONCATENATE("R2C",'Mapa final'!$S$25),"")</f>
        <v/>
      </c>
      <c r="Z13" s="39" t="str">
        <f>IF(AND('Mapa final'!$AJ$26="Muy Alta",'Mapa final'!$AL$26="Moderado"),CONCATENATE("R2C",'Mapa final'!$S$26),"")</f>
        <v/>
      </c>
      <c r="AA13" s="39" t="str">
        <f>IF(AND('Mapa final'!$AJ$27="Muy Alta",'Mapa final'!$AL$27="Moderado"),CONCATENATE("R2C",'Mapa final'!$S$27),"")</f>
        <v/>
      </c>
      <c r="AB13" s="40" t="str">
        <f>IF(AND('Mapa final'!$AJ$28="Muy Alta",'Mapa final'!$AL$28="Moderado"),CONCATENATE("R2C",'Mapa final'!$S$28),"")</f>
        <v/>
      </c>
      <c r="AC13" s="38" t="str">
        <f>IF(AND('Mapa final'!$AJ$23="Muy Alta",'Mapa final'!$AL$23="Mayor"),CONCATENATE("R2C",'Mapa final'!$S$23),"")</f>
        <v/>
      </c>
      <c r="AD13" s="39" t="str">
        <f>IF(AND('Mapa final'!$AJ$24="Muy Alta",'Mapa final'!$AL$24="Mayor"),CONCATENATE("R2C",'Mapa final'!$S$24),"")</f>
        <v/>
      </c>
      <c r="AE13" s="39" t="str">
        <f>IF(AND('Mapa final'!$AJ$25="Muy Alta",'Mapa final'!$AL$25="Mayor"),CONCATENATE("R2C",'Mapa final'!$S$25),"")</f>
        <v/>
      </c>
      <c r="AF13" s="39" t="str">
        <f>IF(AND('Mapa final'!$AJ$26="Muy Alta",'Mapa final'!$AL$26="Mayor"),CONCATENATE("R2C",'Mapa final'!$S$26),"")</f>
        <v/>
      </c>
      <c r="AG13" s="39" t="str">
        <f>IF(AND('Mapa final'!$AJ$27="Muy Alta",'Mapa final'!$AL$27="Mayor"),CONCATENATE("R2C",'Mapa final'!$S$27),"")</f>
        <v/>
      </c>
      <c r="AH13" s="40" t="str">
        <f>IF(AND('Mapa final'!$AJ$28="Muy Alta",'Mapa final'!$AL$28="Mayor"),CONCATENATE("R2C",'Mapa final'!$S$28),"")</f>
        <v/>
      </c>
      <c r="AI13" s="41" t="str">
        <f>IF(AND('Mapa final'!$AJ$23="Muy Alta",'Mapa final'!$AL$23="Catastrófico"),CONCATENATE("R2C",'Mapa final'!$S$23),"")</f>
        <v/>
      </c>
      <c r="AJ13" s="42" t="str">
        <f>IF(AND('Mapa final'!$AJ$24="Muy Alta",'Mapa final'!$AL$24="Catastrófico"),CONCATENATE("R2C",'Mapa final'!$S$24),"")</f>
        <v/>
      </c>
      <c r="AK13" s="42" t="str">
        <f>IF(AND('Mapa final'!$AJ$25="Muy Alta",'Mapa final'!$AL$25="Catastrófico"),CONCATENATE("R2C",'Mapa final'!$S$25),"")</f>
        <v/>
      </c>
      <c r="AL13" s="42" t="str">
        <f>IF(AND('Mapa final'!$AJ$26="Muy Alta",'Mapa final'!$AL$26="Catastrófico"),CONCATENATE("R2C",'Mapa final'!$S$26),"")</f>
        <v/>
      </c>
      <c r="AM13" s="42" t="str">
        <f>IF(AND('Mapa final'!$AJ$27="Muy Alta",'Mapa final'!$AL$27="Catastrófico"),CONCATENATE("R2C",'Mapa final'!$S$27),"")</f>
        <v/>
      </c>
      <c r="AN13" s="43" t="str">
        <f>IF(AND('Mapa final'!$AJ$28="Muy Alta",'Mapa final'!$AL$28="Catastrófico"),CONCATENATE("R2C",'Mapa final'!$S$28),"")</f>
        <v/>
      </c>
      <c r="AO13" s="69"/>
      <c r="AP13" s="485"/>
      <c r="AQ13" s="486"/>
      <c r="AR13" s="486"/>
      <c r="AS13" s="486"/>
      <c r="AT13" s="486"/>
      <c r="AU13" s="487"/>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422"/>
      <c r="D14" s="422"/>
      <c r="E14" s="423"/>
      <c r="F14" s="465"/>
      <c r="G14" s="466"/>
      <c r="H14" s="466"/>
      <c r="I14" s="466"/>
      <c r="J14" s="494"/>
      <c r="K14" s="38" t="str">
        <f>IF(AND('Mapa final'!$AJ$29="Muy Alta",'Mapa final'!$AL$29="Leve"),CONCATENATE("R2C",'Mapa final'!$S$29),"")</f>
        <v/>
      </c>
      <c r="L14" s="178" t="str">
        <f>IF(AND('Mapa final'!$AJ$30="Muy Alta",'Mapa final'!$AL$30="Leve"),CONCATENATE("R2C",'Mapa final'!$S$30),"")</f>
        <v/>
      </c>
      <c r="M14" s="178" t="str">
        <f>IF(AND('Mapa final'!$AJ$31="Muy Alta",'Mapa final'!$AL$31="Leve"),CONCATENATE("R2C",'Mapa final'!$S$31),"")</f>
        <v/>
      </c>
      <c r="N14" s="178" t="str">
        <f>IF(AND('Mapa final'!$AJ$32="Muy Alta",'Mapa final'!$AL$32="Leve"),CONCATENATE("R2C",'Mapa final'!$S$32),"")</f>
        <v/>
      </c>
      <c r="O14" s="178" t="str">
        <f>IF(AND('Mapa final'!$AJ$33="Muy Alta",'Mapa final'!$AL$33="Leve"),CONCATENATE("R2C",'Mapa final'!$S$33),"")</f>
        <v/>
      </c>
      <c r="P14" s="40" t="str">
        <f>IF(AND('Mapa final'!$AJ$34="Muy Alta",'Mapa final'!$AL$34="Leve"),CONCATENATE("R2C",'Mapa final'!$S$34),"")</f>
        <v/>
      </c>
      <c r="Q14" s="178" t="str">
        <f>IF(AND('Mapa final'!$AJ$29="Muy Alta",'Mapa final'!$AL$29="Menor"),CONCATENATE("R2C",'Mapa final'!$S$29),"")</f>
        <v/>
      </c>
      <c r="R14" s="39" t="str">
        <f>IF(AND('Mapa final'!$AJ$30="Muy Alta",'Mapa final'!$AL$30="Menor"),CONCATENATE("R2C",'Mapa final'!$S$30),"")</f>
        <v/>
      </c>
      <c r="S14" s="39" t="str">
        <f>IF(AND('Mapa final'!$AJ$31="Muy Alta",'Mapa final'!$AL$31="Menor"),CONCATENATE("R2C",'Mapa final'!$S$31),"")</f>
        <v/>
      </c>
      <c r="T14" s="39" t="str">
        <f>IF(AND('Mapa final'!$AJ$32="Muy Alta",'Mapa final'!$AL$32="Menor"),CONCATENATE("R2C",'Mapa final'!$S$32),"")</f>
        <v/>
      </c>
      <c r="U14" s="39" t="str">
        <f>IF(AND('Mapa final'!$AJ$33="Muy Alta",'Mapa final'!$AL$33="Menor"),CONCATENATE("R2C",'Mapa final'!$S$33),"")</f>
        <v/>
      </c>
      <c r="V14" s="40" t="str">
        <f>IF(AND('Mapa final'!$AJ$34="Muy Alta",'Mapa final'!$AL$34="Menor"),CONCATENATE("R2C",'Mapa final'!$S$34),"")</f>
        <v/>
      </c>
      <c r="W14" s="38" t="str">
        <f>IF(AND('Mapa final'!$AJ$29="Muy Alta",'Mapa final'!$AL$29="Moderado"),CONCATENATE("R2C",'Mapa final'!$S$29),"")</f>
        <v/>
      </c>
      <c r="X14" s="39" t="str">
        <f>IF(AND('Mapa final'!$AJ$30="Muy Alta",'Mapa final'!$AL$30="Moderado"),CONCATENATE("R2C",'Mapa final'!$S$30),"")</f>
        <v/>
      </c>
      <c r="Y14" s="39" t="str">
        <f>IF(AND('Mapa final'!$AJ$31="Muy Alta",'Mapa final'!$AL$31="Moderado"),CONCATENATE("R2C",'Mapa final'!$S$31),"")</f>
        <v/>
      </c>
      <c r="Z14" s="39" t="str">
        <f>IF(AND('Mapa final'!$AJ$32="Muy Alta",'Mapa final'!$AL$32="Moderado"),CONCATENATE("R2C",'Mapa final'!$S$32),"")</f>
        <v/>
      </c>
      <c r="AA14" s="39" t="str">
        <f>IF(AND('Mapa final'!$AJ$33="Muy Alta",'Mapa final'!$AL$33="Moderado"),CONCATENATE("R2C",'Mapa final'!$S$33),"")</f>
        <v/>
      </c>
      <c r="AB14" s="40" t="str">
        <f>IF(AND('Mapa final'!$AJ$34="Muy Alta",'Mapa final'!$AL$34="Moderado"),CONCATENATE("R2C",'Mapa final'!$S$34),"")</f>
        <v/>
      </c>
      <c r="AC14" s="38" t="str">
        <f>IF(AND('Mapa final'!$AJ$29="Muy Alta",'Mapa final'!$AL$29="Mayor"),CONCATENATE("R2C",'Mapa final'!$S$29),"")</f>
        <v/>
      </c>
      <c r="AD14" s="39" t="str">
        <f>IF(AND('Mapa final'!$AJ$30="Muy Alta",'Mapa final'!$AL$30="Mayor"),CONCATENATE("R2C",'Mapa final'!$S$30),"")</f>
        <v/>
      </c>
      <c r="AE14" s="39" t="str">
        <f>IF(AND('Mapa final'!$AJ$31="Muy Alta",'Mapa final'!$AL$31="Mayor"),CONCATENATE("R2C",'Mapa final'!$S$31),"")</f>
        <v/>
      </c>
      <c r="AF14" s="39" t="str">
        <f>IF(AND('Mapa final'!$AJ$32="Muy Alta",'Mapa final'!$AL$32="Mayor"),CONCATENATE("R2C",'Mapa final'!$S$32),"")</f>
        <v/>
      </c>
      <c r="AG14" s="39" t="str">
        <f>IF(AND('Mapa final'!$AJ$33="Muy Alta",'Mapa final'!$AL$33="Mayor"),CONCATENATE("R2C",'Mapa final'!$S$33),"")</f>
        <v/>
      </c>
      <c r="AH14" s="40" t="str">
        <f>IF(AND('Mapa final'!$AJ$34="Muy Alta",'Mapa final'!$AL$34="Mayor"),CONCATENATE("R2C",'Mapa final'!$S$34),"")</f>
        <v/>
      </c>
      <c r="AI14" s="41" t="str">
        <f>IF(AND('Mapa final'!$AJ$29="Muy Alta",'Mapa final'!$AL$29="Catastrófico"),CONCATENATE("R2C",'Mapa final'!$S$29),"")</f>
        <v/>
      </c>
      <c r="AJ14" s="42" t="str">
        <f>IF(AND('Mapa final'!$AJ$30="Muy Alta",'Mapa final'!$AL$30="Catastrófico"),CONCATENATE("R2C",'Mapa final'!$S$30),"")</f>
        <v/>
      </c>
      <c r="AK14" s="42" t="str">
        <f>IF(AND('Mapa final'!$AJ$31="Muy Alta",'Mapa final'!$AL$31="Catastrófico"),CONCATENATE("R2C",'Mapa final'!$S$31),"")</f>
        <v/>
      </c>
      <c r="AL14" s="42" t="str">
        <f>IF(AND('Mapa final'!$AJ$32="Muy Alta",'Mapa final'!$AL$32="Catastrófico"),CONCATENATE("R2C",'Mapa final'!$S$32),"")</f>
        <v/>
      </c>
      <c r="AM14" s="42" t="str">
        <f>IF(AND('Mapa final'!$AJ$33="Muy Alta",'Mapa final'!$AL$33="Catastrófico"),CONCATENATE("R2C",'Mapa final'!$S$33),"")</f>
        <v/>
      </c>
      <c r="AN14" s="43" t="str">
        <f>IF(AND('Mapa final'!$AJ$34="Muy Alta",'Mapa final'!$AL$34="Catastrófico"),CONCATENATE("R2C",'Mapa final'!$S$34),"")</f>
        <v/>
      </c>
      <c r="AO14" s="69"/>
      <c r="AP14" s="485"/>
      <c r="AQ14" s="486"/>
      <c r="AR14" s="486"/>
      <c r="AS14" s="486"/>
      <c r="AT14" s="486"/>
      <c r="AU14" s="487"/>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422"/>
      <c r="D15" s="422"/>
      <c r="E15" s="423"/>
      <c r="F15" s="465"/>
      <c r="G15" s="466"/>
      <c r="H15" s="466"/>
      <c r="I15" s="466"/>
      <c r="J15" s="494"/>
      <c r="K15" s="38" t="str">
        <f>IF(AND('Mapa final'!$AJ$35="Muy Alta",'Mapa final'!$AL$35="Leve"),CONCATENATE("R2C",'Mapa final'!$S$35),"")</f>
        <v/>
      </c>
      <c r="L15" s="178" t="str">
        <f>IF(AND('Mapa final'!$AJ$36="Muy Alta",'Mapa final'!$AL$36="Leve"),CONCATENATE("R2C",'Mapa final'!$S$36),"")</f>
        <v/>
      </c>
      <c r="M15" s="178" t="str">
        <f>IF(AND('Mapa final'!$AJ$37="Muy Alta",'Mapa final'!$AL$37="Leve"),CONCATENATE("R2C",'Mapa final'!$S$37),"")</f>
        <v/>
      </c>
      <c r="N15" s="178" t="str">
        <f>IF(AND('Mapa final'!$AJ$38="Muy Alta",'Mapa final'!$AL$38="Leve"),CONCATENATE("R2C",'Mapa final'!$S$38),"")</f>
        <v/>
      </c>
      <c r="O15" s="178" t="str">
        <f>IF(AND('Mapa final'!$AJ$39="Muy Alta",'Mapa final'!$AL$39="Leve"),CONCATENATE("R2C",'Mapa final'!$S$39),"")</f>
        <v/>
      </c>
      <c r="P15" s="40" t="str">
        <f>IF(AND('Mapa final'!$AJ$40="Muy Alta",'Mapa final'!$AL$40="Leve"),CONCATENATE("R2C",'Mapa final'!$S$40),"")</f>
        <v/>
      </c>
      <c r="Q15" s="178" t="str">
        <f>IF(AND('Mapa final'!$AJ$35="Muy Alta",'Mapa final'!$AL$35="Menor"),CONCATENATE("R2C",'Mapa final'!$S$35),"")</f>
        <v/>
      </c>
      <c r="R15" s="39" t="str">
        <f>IF(AND('Mapa final'!$AJ$36="Muy Alta",'Mapa final'!$AL$36="Menor"),CONCATENATE("R2C",'Mapa final'!$S$36),"")</f>
        <v/>
      </c>
      <c r="S15" s="39" t="str">
        <f>IF(AND('Mapa final'!$AJ$37="Muy Alta",'Mapa final'!$AL$37="Menor"),CONCATENATE("R2C",'Mapa final'!$S$37),"")</f>
        <v/>
      </c>
      <c r="T15" s="39" t="str">
        <f>IF(AND('Mapa final'!$AJ$38="Muy Alta",'Mapa final'!$AL$38="Menor"),CONCATENATE("R2C",'Mapa final'!$S$38),"")</f>
        <v/>
      </c>
      <c r="U15" s="39" t="str">
        <f>IF(AND('Mapa final'!$AJ$39="Muy Alta",'Mapa final'!$AL$39="LMenor"),CONCATENATE("R2C",'Mapa final'!$S$39),"")</f>
        <v/>
      </c>
      <c r="V15" s="40" t="str">
        <f>IF(AND('Mapa final'!$AJ$40="Muy Alta",'Mapa final'!$AL$40="Menor"),CONCATENATE("R2C",'Mapa final'!$S$40),"")</f>
        <v/>
      </c>
      <c r="W15" s="38" t="str">
        <f>IF(AND('Mapa final'!$AJ$35="Muy Alta",'Mapa final'!$AL$35="Moderado"),CONCATENATE("R2C",'Mapa final'!$S$35),"")</f>
        <v/>
      </c>
      <c r="X15" s="39" t="str">
        <f>IF(AND('Mapa final'!$AJ$36="Muy Alta",'Mapa final'!$AL$36="Moderado"),CONCATENATE("R2C",'Mapa final'!$S$36),"")</f>
        <v/>
      </c>
      <c r="Y15" s="39" t="str">
        <f>IF(AND('Mapa final'!$AJ$37="Muy Alta",'Mapa final'!$AL$37="Moderado"),CONCATENATE("R2C",'Mapa final'!$S$37),"")</f>
        <v/>
      </c>
      <c r="Z15" s="39" t="str">
        <f>IF(AND('Mapa final'!$AJ$38="Muy Alta",'Mapa final'!$AL$38="Moderado"),CONCATENATE("R2C",'Mapa final'!$S$38),"")</f>
        <v/>
      </c>
      <c r="AA15" s="39" t="str">
        <f>IF(AND('Mapa final'!$AJ$39="Muy Alta",'Mapa final'!$AL$39="Moderado"),CONCATENATE("R2C",'Mapa final'!$S$39),"")</f>
        <v/>
      </c>
      <c r="AB15" s="40" t="str">
        <f>IF(AND('Mapa final'!$AJ$40="Muy Alta",'Mapa final'!$AL$40="Moderado"),CONCATENATE("R2C",'Mapa final'!$S$40),"")</f>
        <v/>
      </c>
      <c r="AC15" s="38" t="str">
        <f>IF(AND('Mapa final'!$AJ$35="Muy Alta",'Mapa final'!$AL$35="Mayor"),CONCATENATE("R2C",'Mapa final'!$S$35),"")</f>
        <v/>
      </c>
      <c r="AD15" s="39" t="str">
        <f>IF(AND('Mapa final'!$AJ$36="Muy Alta",'Mapa final'!$AL$36="Mayor"),CONCATENATE("R2C",'Mapa final'!$S$36),"")</f>
        <v/>
      </c>
      <c r="AE15" s="39" t="str">
        <f>IF(AND('Mapa final'!$AJ$37="Muy Alta",'Mapa final'!$AL$37="Mayor"),CONCATENATE("R2C",'Mapa final'!$S$37),"")</f>
        <v/>
      </c>
      <c r="AF15" s="39" t="str">
        <f>IF(AND('Mapa final'!$AJ$38="Muy Alta",'Mapa final'!$AL$38="Mayor"),CONCATENATE("R2C",'Mapa final'!$S$38),"")</f>
        <v/>
      </c>
      <c r="AG15" s="39" t="str">
        <f>IF(AND('Mapa final'!$AJ$39="Muy Alta",'Mapa final'!$AL$39="Mayor"),CONCATENATE("R2C",'Mapa final'!$S$39),"")</f>
        <v/>
      </c>
      <c r="AH15" s="40" t="str">
        <f>IF(AND('Mapa final'!$AJ$40="Muy Alta",'Mapa final'!$AL$40="Mayor"),CONCATENATE("R2C",'Mapa final'!$S$40),"")</f>
        <v/>
      </c>
      <c r="AI15" s="41" t="str">
        <f>IF(AND('Mapa final'!$AJ$35="Muy Alta",'Mapa final'!$AL$35="Catastrófico"),CONCATENATE("R2C",'Mapa final'!$S$35),"")</f>
        <v/>
      </c>
      <c r="AJ15" s="42" t="str">
        <f>IF(AND('Mapa final'!$AJ$36="Muy Alta",'Mapa final'!$AL$36="Catastrófico"),CONCATENATE("R2C",'Mapa final'!$S$36),"")</f>
        <v/>
      </c>
      <c r="AK15" s="42" t="str">
        <f>IF(AND('Mapa final'!$AJ$37="Muy Alta",'Mapa final'!$AL$37="Catastrófico"),CONCATENATE("R2C",'Mapa final'!$S$37),"")</f>
        <v/>
      </c>
      <c r="AL15" s="42" t="str">
        <f>IF(AND('Mapa final'!$AJ$38="Muy Alta",'Mapa final'!$AL$38="Catastrófico"),CONCATENATE("R2C",'Mapa final'!$S$38),"")</f>
        <v/>
      </c>
      <c r="AM15" s="42" t="str">
        <f>IF(AND('Mapa final'!$AJ$39="Muy Alta",'Mapa final'!$AL$39="LCatastrófico"),CONCATENATE("R2C",'Mapa final'!$S$39),"")</f>
        <v/>
      </c>
      <c r="AN15" s="43" t="str">
        <f>IF(AND('Mapa final'!$AJ$40="Muy Alta",'Mapa final'!$AL$40="Catastrófico"),CONCATENATE("R2C",'Mapa final'!$S$40),"")</f>
        <v/>
      </c>
      <c r="AO15" s="69"/>
      <c r="AP15" s="485"/>
      <c r="AQ15" s="486"/>
      <c r="AR15" s="486"/>
      <c r="AS15" s="486"/>
      <c r="AT15" s="486"/>
      <c r="AU15" s="487"/>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422"/>
      <c r="D16" s="422"/>
      <c r="E16" s="423"/>
      <c r="F16" s="465"/>
      <c r="G16" s="466"/>
      <c r="H16" s="466"/>
      <c r="I16" s="466"/>
      <c r="J16" s="494"/>
      <c r="K16" s="38" t="str">
        <f>IF(AND('Mapa final'!$AJ$41="Muy Alta",'Mapa final'!$AL$41="Leve"),CONCATENATE("R2C",'Mapa final'!$S$41),"")</f>
        <v/>
      </c>
      <c r="L16" s="178" t="str">
        <f>IF(AND('Mapa final'!$AJ$42="Muy Alta",'Mapa final'!$AL$42="Leve"),CONCATENATE("R2C",'Mapa final'!$S$42),"")</f>
        <v/>
      </c>
      <c r="M16" s="178" t="str">
        <f>IF(AND('Mapa final'!$AJ$43="Muy Alta",'Mapa final'!$AL$43="Leve"),CONCATENATE("R2C",'Mapa final'!$S$43),"")</f>
        <v/>
      </c>
      <c r="N16" s="178" t="str">
        <f>IF(AND('Mapa final'!$AJ$44="Muy Alta",'Mapa final'!$AL$44="Leve"),CONCATENATE("R2C",'Mapa final'!$S$44),"")</f>
        <v/>
      </c>
      <c r="O16" s="178" t="str">
        <f>IF(AND('Mapa final'!$AJ$45="Muy Alta",'Mapa final'!$AL$45="Leve"),CONCATENATE("R2C",'Mapa final'!$S$45),"")</f>
        <v/>
      </c>
      <c r="P16" s="40" t="str">
        <f>IF(AND('Mapa final'!$AJ$46="Muy Alta",'Mapa final'!$AL$46="Leve"),CONCATENATE("R2C",'Mapa final'!$S$46),"")</f>
        <v/>
      </c>
      <c r="Q16" s="178" t="str">
        <f>IF(AND('Mapa final'!$AJ$41="Muy Alta",'Mapa final'!$AL$41="Menor"),CONCATENATE("R2C",'Mapa final'!$S$41),"")</f>
        <v/>
      </c>
      <c r="R16" s="39" t="str">
        <f>IF(AND('Mapa final'!$AJ$42="Muy Alta",'Mapa final'!$AL$42="Menor"),CONCATENATE("R2C",'Mapa final'!$S$42),"")</f>
        <v/>
      </c>
      <c r="S16" s="39" t="str">
        <f>IF(AND('Mapa final'!$AJ$43="Muy Alta",'Mapa final'!$AL$43="Menor"),CONCATENATE("R2C",'Mapa final'!$S$43),"")</f>
        <v/>
      </c>
      <c r="T16" s="39" t="str">
        <f>IF(AND('Mapa final'!$AJ$44="Muy Alta",'Mapa final'!$AL$44="Menor"),CONCATENATE("R2C",'Mapa final'!$S$44),"")</f>
        <v/>
      </c>
      <c r="U16" s="39" t="str">
        <f>IF(AND('Mapa final'!$AJ$45="Muy Alta",'Mapa final'!$AL$45="Menor"),CONCATENATE("R2C",'Mapa final'!$S$45),"")</f>
        <v/>
      </c>
      <c r="V16" s="40" t="str">
        <f>IF(AND('Mapa final'!$AJ$46="Muy Alta",'Mapa final'!$AL$46="Menor"),CONCATENATE("R2C",'Mapa final'!$S$46),"")</f>
        <v/>
      </c>
      <c r="W16" s="38" t="str">
        <f>IF(AND('Mapa final'!$AJ$41="Muy Alta",'Mapa final'!$AL$41="Moderado"),CONCATENATE("R2C",'Mapa final'!$S$41),"")</f>
        <v/>
      </c>
      <c r="X16" s="39" t="str">
        <f>IF(AND('Mapa final'!$AJ$42="Muy Alta",'Mapa final'!$AL$42="Moderado"),CONCATENATE("R2C",'Mapa final'!$S$42),"")</f>
        <v/>
      </c>
      <c r="Y16" s="39" t="str">
        <f>IF(AND('Mapa final'!$AJ$43="Muy Alta",'Mapa final'!$AL$43="Moderado"),CONCATENATE("R2C",'Mapa final'!$S$43),"")</f>
        <v/>
      </c>
      <c r="Z16" s="39" t="str">
        <f>IF(AND('Mapa final'!$AJ$44="Muy Alta",'Mapa final'!$AL$44="Moderado"),CONCATENATE("R2C",'Mapa final'!$S$44),"")</f>
        <v/>
      </c>
      <c r="AA16" s="39" t="str">
        <f>IF(AND('Mapa final'!$AJ$45="Muy Alta",'Mapa final'!$AL$45="Moderado"),CONCATENATE("R2C",'Mapa final'!$S$45),"")</f>
        <v/>
      </c>
      <c r="AB16" s="40" t="str">
        <f>IF(AND('Mapa final'!$AJ$46="Muy Alta",'Mapa final'!$AL$46="Moderado"),CONCATENATE("R2C",'Mapa final'!$S$46),"")</f>
        <v/>
      </c>
      <c r="AC16" s="38" t="str">
        <f>IF(AND('Mapa final'!$AJ$41="Muy Alta",'Mapa final'!$AL$41="Mayor"),CONCATENATE("R2C",'Mapa final'!$S$41),"")</f>
        <v/>
      </c>
      <c r="AD16" s="39" t="str">
        <f>IF(AND('Mapa final'!$AJ$42="Muy Alta",'Mapa final'!$AL$42="Mayor"),CONCATENATE("R2C",'Mapa final'!$S$42),"")</f>
        <v/>
      </c>
      <c r="AE16" s="39" t="str">
        <f>IF(AND('Mapa final'!$AJ$43="Muy Alta",'Mapa final'!$AL$43="Mayor"),CONCATENATE("R2C",'Mapa final'!$S$43),"")</f>
        <v/>
      </c>
      <c r="AF16" s="39" t="str">
        <f>IF(AND('Mapa final'!$AJ$44="Muy Alta",'Mapa final'!$AL$44="Mayor"),CONCATENATE("R2C",'Mapa final'!$S$44),"")</f>
        <v/>
      </c>
      <c r="AG16" s="39" t="str">
        <f>IF(AND('Mapa final'!$AJ$45="Muy Alta",'Mapa final'!$AL$45="Mayor"),CONCATENATE("R2C",'Mapa final'!$S$45),"")</f>
        <v/>
      </c>
      <c r="AH16" s="40" t="str">
        <f>IF(AND('Mapa final'!$AJ$46="Muy Alta",'Mapa final'!$AL$46="Mayor"),CONCATENATE("R2C",'Mapa final'!$S$46),"")</f>
        <v/>
      </c>
      <c r="AI16" s="41" t="str">
        <f>IF(AND('Mapa final'!$AJ$41="Muy Alta",'Mapa final'!$AL$41="Catastrófico"),CONCATENATE("R2C",'Mapa final'!$S$41),"")</f>
        <v/>
      </c>
      <c r="AJ16" s="42" t="str">
        <f>IF(AND('Mapa final'!$AJ$42="Muy Alta",'Mapa final'!$AL$42="Catastrófico"),CONCATENATE("R2C",'Mapa final'!$S$42),"")</f>
        <v/>
      </c>
      <c r="AK16" s="42" t="str">
        <f>IF(AND('Mapa final'!$AJ$43="Muy Alta",'Mapa final'!$AL$43="Catastrófico"),CONCATENATE("R2C",'Mapa final'!$S$43),"")</f>
        <v/>
      </c>
      <c r="AL16" s="42" t="str">
        <f>IF(AND('Mapa final'!$AJ$44="Muy Alta",'Mapa final'!$AL$44="Catastrófico"),CONCATENATE("R2C",'Mapa final'!$S$44),"")</f>
        <v/>
      </c>
      <c r="AM16" s="42" t="str">
        <f>IF(AND('Mapa final'!$AJ$45="Muy Alta",'Mapa final'!$AL$45="Catastrófico"),CONCATENATE("R2C",'Mapa final'!$S$45),"")</f>
        <v/>
      </c>
      <c r="AN16" s="43" t="str">
        <f>IF(AND('Mapa final'!$AJ$46="Muy Alta",'Mapa final'!$AL$46="Catastrófico"),CONCATENATE("R2C",'Mapa final'!$S$46),"")</f>
        <v/>
      </c>
      <c r="AO16" s="69"/>
      <c r="AP16" s="485"/>
      <c r="AQ16" s="486"/>
      <c r="AR16" s="486"/>
      <c r="AS16" s="486"/>
      <c r="AT16" s="486"/>
      <c r="AU16" s="487"/>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422"/>
      <c r="D17" s="422"/>
      <c r="E17" s="423"/>
      <c r="F17" s="465"/>
      <c r="G17" s="466"/>
      <c r="H17" s="466"/>
      <c r="I17" s="466"/>
      <c r="J17" s="494"/>
      <c r="K17" s="38" t="str">
        <f>IF(AND('Mapa final'!$AJ$47="Muy Alta",'Mapa final'!$AL$47="Leve"),CONCATENATE("R2C",'Mapa final'!$S$47),"")</f>
        <v/>
      </c>
      <c r="L17" s="178" t="str">
        <f>IF(AND('Mapa final'!$AJ$48="Muy Alta",'Mapa final'!$AL$48="Leve"),CONCATENATE("R2C",'Mapa final'!$S$48),"")</f>
        <v/>
      </c>
      <c r="M17" s="178" t="str">
        <f>IF(AND('Mapa final'!$AJ$49="Muy Alta",'Mapa final'!$AL$49="Leve"),CONCATENATE("R2C",'Mapa final'!$S$49),"")</f>
        <v/>
      </c>
      <c r="N17" s="178" t="str">
        <f>IF(AND('Mapa final'!$AJ$50="Muy Alta",'Mapa final'!$AL$50="Leve"),CONCATENATE("R2C",'Mapa final'!$S$50),"")</f>
        <v/>
      </c>
      <c r="O17" s="178" t="str">
        <f>IF(AND('Mapa final'!$AJ$51="Muy Alta",'Mapa final'!$AL$51="Leve"),CONCATENATE("R2C",'Mapa final'!$S$51),"")</f>
        <v/>
      </c>
      <c r="P17" s="40" t="str">
        <f>IF(AND('Mapa final'!$AJ$62="Muy Alta",'Mapa final'!$AL$52="Leve"),CONCATENATE("R2C",'Mapa final'!$S$52),"")</f>
        <v/>
      </c>
      <c r="Q17" s="178" t="str">
        <f>IF(AND('Mapa final'!$AJ$47="Muy Alta",'Mapa final'!$AL$47="Menor"),CONCATENATE("R2C",'Mapa final'!$S$47),"")</f>
        <v/>
      </c>
      <c r="R17" s="39" t="str">
        <f>IF(AND('Mapa final'!$AJ$48="Muy Alta",'Mapa final'!$AL$48="Menor"),CONCATENATE("R2C",'Mapa final'!$S$48),"")</f>
        <v/>
      </c>
      <c r="S17" s="39" t="str">
        <f>IF(AND('Mapa final'!$AJ$49="Muy Alta",'Mapa final'!$AL$49="Menor"),CONCATENATE("R2C",'Mapa final'!$S$49),"")</f>
        <v/>
      </c>
      <c r="T17" s="39" t="str">
        <f>IF(AND('Mapa final'!$AJ$50="Muy Alta",'Mapa final'!$AL$50="Menor"),CONCATENATE("R2C",'Mapa final'!$S$50),"")</f>
        <v/>
      </c>
      <c r="U17" s="39" t="str">
        <f>IF(AND('Mapa final'!$AJ$51="Muy Alta",'Mapa final'!$AL$51="Menor"),CONCATENATE("R2C",'Mapa final'!$S$51),"")</f>
        <v/>
      </c>
      <c r="V17" s="40" t="str">
        <f>IF(AND('Mapa final'!$AJ$62="Muy Alta",'Mapa final'!$AL$52="Menor"),CONCATENATE("R2C",'Mapa final'!$S$52),"")</f>
        <v/>
      </c>
      <c r="W17" s="38" t="str">
        <f>IF(AND('Mapa final'!$AJ$47="Muy Alta",'Mapa final'!$AL$47="Moderado"),CONCATENATE("R2C",'Mapa final'!$S$47),"")</f>
        <v/>
      </c>
      <c r="X17" s="39" t="str">
        <f>IF(AND('Mapa final'!$AJ$48="Muy Alta",'Mapa final'!$AL$48="Moderado"),CONCATENATE("R2C",'Mapa final'!$S$48),"")</f>
        <v/>
      </c>
      <c r="Y17" s="39" t="str">
        <f>IF(AND('Mapa final'!$AJ$49="Muy Alta",'Mapa final'!$AL$49="Moderado"),CONCATENATE("R2C",'Mapa final'!$S$49),"")</f>
        <v/>
      </c>
      <c r="Z17" s="39" t="str">
        <f>IF(AND('Mapa final'!$AJ$50="Muy Alta",'Mapa final'!$AL$50="Moderado"),CONCATENATE("R2C",'Mapa final'!$S$50),"")</f>
        <v/>
      </c>
      <c r="AA17" s="39" t="str">
        <f>IF(AND('Mapa final'!$AJ$51="Muy Alta",'Mapa final'!$AL$51="Moderado"),CONCATENATE("R2C",'Mapa final'!$S$51),"")</f>
        <v/>
      </c>
      <c r="AB17" s="40" t="str">
        <f>IF(AND('Mapa final'!$AJ$62="Muy Alta",'Mapa final'!$AL$52="Moderado"),CONCATENATE("R2C",'Mapa final'!$S$52),"")</f>
        <v/>
      </c>
      <c r="AC17" s="38" t="str">
        <f>IF(AND('Mapa final'!$AJ$47="Muy Alta",'Mapa final'!$AL$47="Mayor"),CONCATENATE("R2C",'Mapa final'!$S$47),"")</f>
        <v/>
      </c>
      <c r="AD17" s="39" t="str">
        <f>IF(AND('Mapa final'!$AJ$48="Muy Alta",'Mapa final'!$AL$48="Mayor"),CONCATENATE("R2C",'Mapa final'!$S$48),"")</f>
        <v/>
      </c>
      <c r="AE17" s="39" t="str">
        <f>IF(AND('Mapa final'!$AJ$49="Muy Alta",'Mapa final'!$AL$49="Mayor"),CONCATENATE("R2C",'Mapa final'!$S$49),"")</f>
        <v/>
      </c>
      <c r="AF17" s="39" t="str">
        <f>IF(AND('Mapa final'!$AJ$50="Muy Alta",'Mapa final'!$AL$50="Mayor"),CONCATENATE("R2C",'Mapa final'!$S$50),"")</f>
        <v/>
      </c>
      <c r="AG17" s="39" t="str">
        <f>IF(AND('Mapa final'!$AJ$51="Muy Alta",'Mapa final'!$AL$51="Mayor"),CONCATENATE("R2C",'Mapa final'!$S$51),"")</f>
        <v/>
      </c>
      <c r="AH17" s="40" t="str">
        <f>IF(AND('Mapa final'!$AJ$62="Muy Alta",'Mapa final'!$AL$52="Mayor"),CONCATENATE("R2C",'Mapa final'!$S$52),"")</f>
        <v/>
      </c>
      <c r="AI17" s="41" t="str">
        <f>IF(AND('Mapa final'!$AJ$47="Muy Alta",'Mapa final'!$AL$47="Catastrófico"),CONCATENATE("R2C",'Mapa final'!$S$47),"")</f>
        <v/>
      </c>
      <c r="AJ17" s="42" t="str">
        <f>IF(AND('Mapa final'!$AJ$48="Muy Alta",'Mapa final'!$AL$48="Catastrófico"),CONCATENATE("R2C",'Mapa final'!$S$48),"")</f>
        <v/>
      </c>
      <c r="AK17" s="42" t="str">
        <f>IF(AND('Mapa final'!$AJ$49="Muy Alta",'Mapa final'!$AL$49="Catastrófico"),CONCATENATE("R2C",'Mapa final'!$S$49),"")</f>
        <v/>
      </c>
      <c r="AL17" s="42" t="str">
        <f>IF(AND('Mapa final'!$AJ$50="Muy Alta",'Mapa final'!$AL$50="Catastrófico"),CONCATENATE("R2C",'Mapa final'!$S$50),"")</f>
        <v/>
      </c>
      <c r="AM17" s="42" t="str">
        <f>IF(AND('Mapa final'!$AJ$51="Muy Alta",'Mapa final'!$AL$51="Catastrófico"),CONCATENATE("R2C",'Mapa final'!$S$51),"")</f>
        <v/>
      </c>
      <c r="AN17" s="43" t="str">
        <f>IF(AND('Mapa final'!$AJ$62="Muy Alta",'Mapa final'!$AL$52="Catastrófico"),CONCATENATE("R2C",'Mapa final'!$S$52),"")</f>
        <v/>
      </c>
      <c r="AO17" s="69"/>
      <c r="AP17" s="485"/>
      <c r="AQ17" s="486"/>
      <c r="AR17" s="486"/>
      <c r="AS17" s="486"/>
      <c r="AT17" s="486"/>
      <c r="AU17" s="487"/>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422"/>
      <c r="D18" s="422"/>
      <c r="E18" s="423"/>
      <c r="F18" s="465"/>
      <c r="G18" s="466"/>
      <c r="H18" s="466"/>
      <c r="I18" s="466"/>
      <c r="J18" s="494"/>
      <c r="K18" s="38" t="str">
        <f>IF(AND('Mapa final'!$AJ$53="Muy Alta",'Mapa final'!$AL$53="Leve"),CONCATENATE("R2C",'Mapa final'!$S$53),"")</f>
        <v/>
      </c>
      <c r="L18" s="178" t="str">
        <f>IF(AND('Mapa final'!$AJ$54="Muy Alta",'Mapa final'!$AL$54="Leve"),CONCATENATE("R2C",'Mapa final'!$S$54),"")</f>
        <v/>
      </c>
      <c r="M18" s="178" t="str">
        <f>IF(AND('Mapa final'!$AJ$55="Muy Alta",'Mapa final'!$AL$55="Leve"),CONCATENATE("R2C",'Mapa final'!$S$55),"")</f>
        <v/>
      </c>
      <c r="N18" s="178" t="str">
        <f>IF(AND('Mapa final'!$AJ$56="Muy Alta",'Mapa final'!$AL$56="Leve"),CONCATENATE("R2C",'Mapa final'!$S$56),"")</f>
        <v/>
      </c>
      <c r="O18" s="178" t="str">
        <f>IF(AND('Mapa final'!$AJ$57="Muy Alta",'Mapa final'!$AL$57="Leve"),CONCATENATE("R2C",'Mapa final'!$S$57),"")</f>
        <v/>
      </c>
      <c r="P18" s="40" t="str">
        <f>IF(AND('Mapa final'!$AJ$58="Muy Alta",'Mapa final'!$AL$58="Leve"),CONCATENATE("R2C",'Mapa final'!$S$58),"")</f>
        <v/>
      </c>
      <c r="Q18" s="178" t="str">
        <f>IF(AND('Mapa final'!$AJ$53="Muy Alta",'Mapa final'!$AL$53="Menor"),CONCATENATE("R2C",'Mapa final'!$S$53),"")</f>
        <v/>
      </c>
      <c r="R18" s="39" t="str">
        <f>IF(AND('Mapa final'!$AJ$54="Muy Alta",'Mapa final'!$AL$54="Menor"),CONCATENATE("R2C",'Mapa final'!$S$54),"")</f>
        <v/>
      </c>
      <c r="S18" s="39" t="str">
        <f>IF(AND('Mapa final'!$AJ$55="Muy Alta",'Mapa final'!$AL$55="Menor"),CONCATENATE("R2C",'Mapa final'!$S$55),"")</f>
        <v/>
      </c>
      <c r="T18" s="39" t="str">
        <f>IF(AND('Mapa final'!$AJ$56="Muy Alta",'Mapa final'!$AL$56="Menor"),CONCATENATE("R2C",'Mapa final'!$S$56),"")</f>
        <v/>
      </c>
      <c r="U18" s="39" t="str">
        <f>IF(AND('Mapa final'!$AJ$57="Muy Alta",'Mapa final'!$AL$57="Menor"),CONCATENATE("R2C",'Mapa final'!$S$57),"")</f>
        <v/>
      </c>
      <c r="V18" s="40" t="str">
        <f>IF(AND('Mapa final'!$AJ$58="Muy Alta",'Mapa final'!$AL$58="Menor"),CONCATENATE("R2C",'Mapa final'!$S$58),"")</f>
        <v/>
      </c>
      <c r="W18" s="38" t="str">
        <f>IF(AND('Mapa final'!$AJ$53="Muy Alta",'Mapa final'!$AL$53="Moderado"),CONCATENATE("R2C",'Mapa final'!$S$53),"")</f>
        <v/>
      </c>
      <c r="X18" s="39" t="str">
        <f>IF(AND('Mapa final'!$AJ$54="Muy Alta",'Mapa final'!$AL$54="Moderado"),CONCATENATE("R2C",'Mapa final'!$S$54),"")</f>
        <v/>
      </c>
      <c r="Y18" s="39" t="str">
        <f>IF(AND('Mapa final'!$AJ$55="Muy Alta",'Mapa final'!$AL$55="Moderado"),CONCATENATE("R2C",'Mapa final'!$S$55),"")</f>
        <v/>
      </c>
      <c r="Z18" s="39" t="str">
        <f>IF(AND('Mapa final'!$AJ$56="Muy Alta",'Mapa final'!$AL$56="Moderado"),CONCATENATE("R2C",'Mapa final'!$S$56),"")</f>
        <v/>
      </c>
      <c r="AA18" s="39" t="str">
        <f>IF(AND('Mapa final'!$AJ$57="Muy Alta",'Mapa final'!$AL$57="Moderado"),CONCATENATE("R2C",'Mapa final'!$S$57),"")</f>
        <v/>
      </c>
      <c r="AB18" s="40" t="str">
        <f>IF(AND('Mapa final'!$AJ$58="Muy Alta",'Mapa final'!$AL$58="Moderado"),CONCATENATE("R2C",'Mapa final'!$S$58),"")</f>
        <v/>
      </c>
      <c r="AC18" s="38" t="str">
        <f>IF(AND('Mapa final'!$AJ$53="Muy Alta",'Mapa final'!$AL$53="Mayor"),CONCATENATE("R2C",'Mapa final'!$S$53),"")</f>
        <v/>
      </c>
      <c r="AD18" s="39" t="str">
        <f>IF(AND('Mapa final'!$AJ$54="Muy Alta",'Mapa final'!$AL$54="Mayor"),CONCATENATE("R2C",'Mapa final'!$S$54),"")</f>
        <v/>
      </c>
      <c r="AE18" s="39" t="str">
        <f>IF(AND('Mapa final'!$AJ$55="Muy Alta",'Mapa final'!$AL$55="Mayor"),CONCATENATE("R2C",'Mapa final'!$S$55),"")</f>
        <v/>
      </c>
      <c r="AF18" s="39" t="str">
        <f>IF(AND('Mapa final'!$AJ$56="Muy Alta",'Mapa final'!$AL$56="Mayor"),CONCATENATE("R2C",'Mapa final'!$S$56),"")</f>
        <v/>
      </c>
      <c r="AG18" s="39" t="str">
        <f>IF(AND('Mapa final'!$AJ$57="Muy Alta",'Mapa final'!$AL$57="Mayor"),CONCATENATE("R2C",'Mapa final'!$S$57),"")</f>
        <v/>
      </c>
      <c r="AH18" s="40" t="str">
        <f>IF(AND('Mapa final'!$AJ$58="Muy Alta",'Mapa final'!$AL$58="Mayor"),CONCATENATE("R2C",'Mapa final'!$S$58),"")</f>
        <v/>
      </c>
      <c r="AI18" s="41" t="str">
        <f>IF(AND('Mapa final'!$AJ$53="Muy Alta",'Mapa final'!$AL$53="Catastrófico"),CONCATENATE("R2C",'Mapa final'!$S$53),"")</f>
        <v/>
      </c>
      <c r="AJ18" s="42" t="str">
        <f>IF(AND('Mapa final'!$AJ$54="Muy Alta",'Mapa final'!$AL$54="Catastrófico"),CONCATENATE("R2C",'Mapa final'!$S$54),"")</f>
        <v/>
      </c>
      <c r="AK18" s="42" t="str">
        <f>IF(AND('Mapa final'!$AJ$55="Muy Alta",'Mapa final'!$AL$55="Catastrófico"),CONCATENATE("R2C",'Mapa final'!$S$55),"")</f>
        <v/>
      </c>
      <c r="AL18" s="42" t="str">
        <f>IF(AND('Mapa final'!$AJ$56="Muy Alta",'Mapa final'!$AL$56="Catastrófico"),CONCATENATE("R2C",'Mapa final'!$S$56),"")</f>
        <v/>
      </c>
      <c r="AM18" s="42" t="str">
        <f>IF(AND('Mapa final'!$AJ$57="Muy Alta",'Mapa final'!$AL$57="Catastrófico"),CONCATENATE("R2C",'Mapa final'!$S$57),"")</f>
        <v/>
      </c>
      <c r="AN18" s="43" t="str">
        <f>IF(AND('Mapa final'!$AJ$58="Muy Alta",'Mapa final'!$AL$58="Catastrófico"),CONCATENATE("R2C",'Mapa final'!$S$58),"")</f>
        <v/>
      </c>
      <c r="AO18" s="69"/>
      <c r="AP18" s="485"/>
      <c r="AQ18" s="486"/>
      <c r="AR18" s="486"/>
      <c r="AS18" s="486"/>
      <c r="AT18" s="486"/>
      <c r="AU18" s="487"/>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422"/>
      <c r="D19" s="422"/>
      <c r="E19" s="423"/>
      <c r="F19" s="465"/>
      <c r="G19" s="466"/>
      <c r="H19" s="466"/>
      <c r="I19" s="466"/>
      <c r="J19" s="494"/>
      <c r="K19" s="38" t="str">
        <f>IF(AND('Mapa final'!$AJ$59="Muy Alta",'Mapa final'!$AL$59="Leve"),CONCATENATE("R2C",'Mapa final'!$S$59),"")</f>
        <v/>
      </c>
      <c r="L19" s="178" t="str">
        <f>IF(AND('Mapa final'!$AJ$60="Muy Alta",'Mapa final'!$AL$60="Leve"),CONCATENATE("R2C",'Mapa final'!$S$60),"")</f>
        <v/>
      </c>
      <c r="M19" s="178" t="str">
        <f>IF(AND('Mapa final'!$AJ$61="Muy Alta",'Mapa final'!$AL$61="Leve"),CONCATENATE("R2C",'Mapa final'!$S$61),"")</f>
        <v/>
      </c>
      <c r="N19" s="178" t="str">
        <f>IF(AND('Mapa final'!$AJ$62="Muy Alta",'Mapa final'!$AL$62="Leve"),CONCATENATE("R2C",'Mapa final'!$S$62),"")</f>
        <v/>
      </c>
      <c r="O19" s="178" t="str">
        <f>IF(AND('Mapa final'!$AJ$63="Muy Alta",'Mapa final'!$AL$63="Leve"),CONCATENATE("R2C",'Mapa final'!$S$63),"")</f>
        <v/>
      </c>
      <c r="P19" s="40" t="str">
        <f>IF(AND('Mapa final'!$AJ$64="Muy Alta",'Mapa final'!$AL$64="Leve"),CONCATENATE("R2C",'Mapa final'!$S$64),"")</f>
        <v/>
      </c>
      <c r="Q19" s="178" t="str">
        <f>IF(AND('Mapa final'!$AJ$59="Muy Alta",'Mapa final'!$AL$59="Menor"),CONCATENATE("R2C",'Mapa final'!$S$59),"")</f>
        <v/>
      </c>
      <c r="R19" s="39" t="str">
        <f>IF(AND('Mapa final'!$AJ$60="Muy Alta",'Mapa final'!$AL$60="Menor"),CONCATENATE("R2C",'Mapa final'!$S$60),"")</f>
        <v/>
      </c>
      <c r="S19" s="39" t="str">
        <f>IF(AND('Mapa final'!$AJ$61="Muy Alta",'Mapa final'!$AL$61="Menor"),CONCATENATE("R2C",'Mapa final'!$S$61),"")</f>
        <v/>
      </c>
      <c r="T19" s="39" t="str">
        <f>IF(AND('Mapa final'!$AJ$62="Muy Alta",'Mapa final'!$AL$62="Menor"),CONCATENATE("R2C",'Mapa final'!$S$62),"")</f>
        <v/>
      </c>
      <c r="U19" s="39" t="str">
        <f>IF(AND('Mapa final'!$AJ$63="Muy Alta",'Mapa final'!$AL$63="Menor"),CONCATENATE("R2C",'Mapa final'!$S$63),"")</f>
        <v/>
      </c>
      <c r="V19" s="40" t="str">
        <f>IF(AND('Mapa final'!$AJ$64="Muy Alta",'Mapa final'!$AL$64="Menor"),CONCATENATE("R2C",'Mapa final'!$S$64),"")</f>
        <v/>
      </c>
      <c r="W19" s="38" t="str">
        <f>IF(AND('Mapa final'!$AJ$59="Muy Alta",'Mapa final'!$AL$59="Moderado"),CONCATENATE("R2C",'Mapa final'!$S$59),"")</f>
        <v/>
      </c>
      <c r="X19" s="39" t="str">
        <f>IF(AND('Mapa final'!$AJ$60="Muy Alta",'Mapa final'!$AL$60="Moderado"),CONCATENATE("R2C",'Mapa final'!$S$60),"")</f>
        <v/>
      </c>
      <c r="Y19" s="39" t="str">
        <f>IF(AND('Mapa final'!$AJ$61="Muy Alta",'Mapa final'!$AL$61="Moderado"),CONCATENATE("R2C",'Mapa final'!$S$61),"")</f>
        <v/>
      </c>
      <c r="Z19" s="39" t="str">
        <f>IF(AND('Mapa final'!$AJ$62="Muy Alta",'Mapa final'!$AL$62="Moderado"),CONCATENATE("R2C",'Mapa final'!$S$62),"")</f>
        <v/>
      </c>
      <c r="AA19" s="39" t="str">
        <f>IF(AND('Mapa final'!$AJ$63="Muy Alta",'Mapa final'!$AL$63="Moderado"),CONCATENATE("R2C",'Mapa final'!$S$63),"")</f>
        <v/>
      </c>
      <c r="AB19" s="40" t="str">
        <f>IF(AND('Mapa final'!$AJ$64="Muy Alta",'Mapa final'!$AL$64="Moderado"),CONCATENATE("R2C",'Mapa final'!$S$64),"")</f>
        <v/>
      </c>
      <c r="AC19" s="38" t="str">
        <f>IF(AND('Mapa final'!$AJ$59="Muy Alta",'Mapa final'!$AL$59="Mayor"),CONCATENATE("R2C",'Mapa final'!$S$59),"")</f>
        <v/>
      </c>
      <c r="AD19" s="39" t="str">
        <f>IF(AND('Mapa final'!$AJ$60="Muy Alta",'Mapa final'!$AL$60="Mayor"),CONCATENATE("R2C",'Mapa final'!$S$60),"")</f>
        <v/>
      </c>
      <c r="AE19" s="39" t="str">
        <f>IF(AND('Mapa final'!$AJ$61="Muy Alta",'Mapa final'!$AL$61="Mayor"),CONCATENATE("R2C",'Mapa final'!$S$61),"")</f>
        <v/>
      </c>
      <c r="AF19" s="39" t="str">
        <f>IF(AND('Mapa final'!$AJ$62="Muy Alta",'Mapa final'!$AL$62="Mayor"),CONCATENATE("R2C",'Mapa final'!$S$62),"")</f>
        <v/>
      </c>
      <c r="AG19" s="39" t="str">
        <f>IF(AND('Mapa final'!$AJ$63="Muy Alta",'Mapa final'!$AL$63="Mayor"),CONCATENATE("R2C",'Mapa final'!$S$63),"")</f>
        <v/>
      </c>
      <c r="AH19" s="40" t="str">
        <f>IF(AND('Mapa final'!$AJ$64="Muy Alta",'Mapa final'!$AL$64="Mayor"),CONCATENATE("R2C",'Mapa final'!$S$64),"")</f>
        <v/>
      </c>
      <c r="AI19" s="41" t="str">
        <f>IF(AND('Mapa final'!$AJ$59="Muy Alta",'Mapa final'!$AL$59="Catastrófico"),CONCATENATE("R2C",'Mapa final'!$S$59),"")</f>
        <v/>
      </c>
      <c r="AJ19" s="42" t="str">
        <f>IF(AND('Mapa final'!$AJ$60="Muy Alta",'Mapa final'!$AL$60="Catastrófico"),CONCATENATE("R2C",'Mapa final'!$S$60),"")</f>
        <v/>
      </c>
      <c r="AK19" s="42" t="str">
        <f>IF(AND('Mapa final'!$AJ$61="Muy Alta",'Mapa final'!$AL$61="Catastrófico"),CONCATENATE("R2C",'Mapa final'!$S$61),"")</f>
        <v/>
      </c>
      <c r="AL19" s="42" t="str">
        <f>IF(AND('Mapa final'!$AJ$62="Muy Alta",'Mapa final'!$AL$62="Catastrófico"),CONCATENATE("R2C",'Mapa final'!$S$62),"")</f>
        <v/>
      </c>
      <c r="AM19" s="42" t="str">
        <f>IF(AND('Mapa final'!$AJ$63="Muy Alta",'Mapa final'!$AL$63="Catastrófico"),CONCATENATE("R2C",'Mapa final'!$S$63),"")</f>
        <v/>
      </c>
      <c r="AN19" s="43" t="str">
        <f>IF(AND('Mapa final'!$AJ$64="Muy Alta",'Mapa final'!$AL$64="Catastrófico"),CONCATENATE("R2C",'Mapa final'!$S$64),"")</f>
        <v/>
      </c>
      <c r="AO19" s="69"/>
      <c r="AP19" s="485"/>
      <c r="AQ19" s="486"/>
      <c r="AR19" s="486"/>
      <c r="AS19" s="486"/>
      <c r="AT19" s="486"/>
      <c r="AU19" s="487"/>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422"/>
      <c r="D20" s="422"/>
      <c r="E20" s="423"/>
      <c r="F20" s="465"/>
      <c r="G20" s="466"/>
      <c r="H20" s="466"/>
      <c r="I20" s="466"/>
      <c r="J20" s="494"/>
      <c r="K20" s="38" t="str">
        <f>IF(AND('Mapa final'!$AJ$65="Muy Alta",'Mapa final'!$AL$65="Leve"),CONCATENATE("R2C",'Mapa final'!$S$65),"")</f>
        <v/>
      </c>
      <c r="L20" s="178" t="str">
        <f>IF(AND('Mapa final'!$AJ$66="Muy Alta",'Mapa final'!$AL$66="Leve"),CONCATENATE("R2C",'Mapa final'!$S$66),"")</f>
        <v/>
      </c>
      <c r="M20" s="178" t="str">
        <f>IF(AND('Mapa final'!$AJ$67="Muy Alta",'Mapa final'!$AL$67="Leve"),CONCATENATE("R2C",'Mapa final'!$S$67),"")</f>
        <v/>
      </c>
      <c r="N20" s="178" t="str">
        <f>IF(AND('Mapa final'!$AJ$68="Muy Alta",'Mapa final'!$AL$68="Leve"),CONCATENATE("R2C",'Mapa final'!$S$68),"")</f>
        <v/>
      </c>
      <c r="O20" s="178" t="str">
        <f>IF(AND('Mapa final'!$AJ$69="Muy Alta",'Mapa final'!$AL$69="Leve"),CONCATENATE("R2C",'Mapa final'!$S$69),"")</f>
        <v/>
      </c>
      <c r="P20" s="40" t="str">
        <f>IF(AND('Mapa final'!$AJ$70="Muy Alta",'Mapa final'!$AL$70="Leve"),CONCATENATE("R2C",'Mapa final'!$S$70),"")</f>
        <v/>
      </c>
      <c r="Q20" s="178" t="str">
        <f>IF(AND('Mapa final'!$AJ$65="Muy Alta",'Mapa final'!$AL$65="Menor"),CONCATENATE("R2C",'Mapa final'!$S$65),"")</f>
        <v/>
      </c>
      <c r="R20" s="39" t="str">
        <f>IF(AND('Mapa final'!$AJ$66="Muy Alta",'Mapa final'!$AL$66="Menor"),CONCATENATE("R2C",'Mapa final'!$S$66),"")</f>
        <v/>
      </c>
      <c r="S20" s="39" t="str">
        <f>IF(AND('Mapa final'!$AJ$67="Muy Alta",'Mapa final'!$AL$67="Menor"),CONCATENATE("R2C",'Mapa final'!$S$67),"")</f>
        <v/>
      </c>
      <c r="T20" s="39" t="str">
        <f>IF(AND('Mapa final'!$AJ$68="Muy Alta",'Mapa final'!$AL$68="Menor"),CONCATENATE("R2C",'Mapa final'!$S$68),"")</f>
        <v/>
      </c>
      <c r="U20" s="39" t="str">
        <f>IF(AND('Mapa final'!$AJ$69="Muy Alta",'Mapa final'!$AL$69="Menor"),CONCATENATE("R2C",'Mapa final'!$S$69),"")</f>
        <v/>
      </c>
      <c r="V20" s="40" t="str">
        <f>IF(AND('Mapa final'!$AJ$70="Muy Alta",'Mapa final'!$AL$70="Menor"),CONCATENATE("R2C",'Mapa final'!$S$70),"")</f>
        <v/>
      </c>
      <c r="W20" s="38" t="str">
        <f>IF(AND('Mapa final'!$AJ$65="Muy Alta",'Mapa final'!$AL$65="Moderado"),CONCATENATE("R2C",'Mapa final'!$S$65),"")</f>
        <v/>
      </c>
      <c r="X20" s="39" t="str">
        <f>IF(AND('Mapa final'!$AJ$66="Muy Alta",'Mapa final'!$AL$66="Moderado"),CONCATENATE("R2C",'Mapa final'!$S$66),"")</f>
        <v/>
      </c>
      <c r="Y20" s="39" t="str">
        <f>IF(AND('Mapa final'!$AJ$67="Muy Alta",'Mapa final'!$AL$67="Moderado"),CONCATENATE("R2C",'Mapa final'!$S$67),"")</f>
        <v/>
      </c>
      <c r="Z20" s="39" t="str">
        <f>IF(AND('Mapa final'!$AJ$68="Muy Alta",'Mapa final'!$AL$68="Moderado"),CONCATENATE("R2C",'Mapa final'!$S$68),"")</f>
        <v/>
      </c>
      <c r="AA20" s="39" t="str">
        <f>IF(AND('Mapa final'!$AJ$69="Muy Alta",'Mapa final'!$AL$69="Moderado"),CONCATENATE("R2C",'Mapa final'!$S$69),"")</f>
        <v/>
      </c>
      <c r="AB20" s="40" t="str">
        <f>IF(AND('Mapa final'!$AJ$70="Muy Alta",'Mapa final'!$AL$70="Moderado"),CONCATENATE("R2C",'Mapa final'!$S$70),"")</f>
        <v/>
      </c>
      <c r="AC20" s="38" t="str">
        <f>IF(AND('Mapa final'!$AJ$65="Muy Alta",'Mapa final'!$AL$65="Mayor"),CONCATENATE("R2C",'Mapa final'!$S$65),"")</f>
        <v/>
      </c>
      <c r="AD20" s="39" t="str">
        <f>IF(AND('Mapa final'!$AJ$66="Muy Alta",'Mapa final'!$AL$66="Mayor"),CONCATENATE("R2C",'Mapa final'!$S$66),"")</f>
        <v/>
      </c>
      <c r="AE20" s="39" t="str">
        <f>IF(AND('Mapa final'!$AJ$67="Muy Alta",'Mapa final'!$AL$67="Mayor"),CONCATENATE("R2C",'Mapa final'!$S$67),"")</f>
        <v/>
      </c>
      <c r="AF20" s="39" t="str">
        <f>IF(AND('Mapa final'!$AJ$68="Muy Alta",'Mapa final'!$AL$68="Mayor"),CONCATENATE("R2C",'Mapa final'!$S$68),"")</f>
        <v/>
      </c>
      <c r="AG20" s="39" t="str">
        <f>IF(AND('Mapa final'!$AJ$69="Muy Alta",'Mapa final'!$AL$69="Mayor"),CONCATENATE("R2C",'Mapa final'!$S$69),"")</f>
        <v/>
      </c>
      <c r="AH20" s="40" t="str">
        <f>IF(AND('Mapa final'!$AJ$70="Muy Alta",'Mapa final'!$AL$70="Mayor"),CONCATENATE("R2C",'Mapa final'!$S$70),"")</f>
        <v/>
      </c>
      <c r="AI20" s="41" t="str">
        <f>IF(AND('Mapa final'!$AJ$65="Muy Alta",'Mapa final'!$AL$65="Catastrófico"),CONCATENATE("R2C",'Mapa final'!$S$65),"")</f>
        <v/>
      </c>
      <c r="AJ20" s="42" t="str">
        <f>IF(AND('Mapa final'!$AJ$66="Muy Alta",'Mapa final'!$AL$66="Catastrófico"),CONCATENATE("R2C",'Mapa final'!$S$66),"")</f>
        <v/>
      </c>
      <c r="AK20" s="42" t="str">
        <f>IF(AND('Mapa final'!$AJ$67="Muy Alta",'Mapa final'!$AL$67="Catastrófico"),CONCATENATE("R2C",'Mapa final'!$S$67),"")</f>
        <v/>
      </c>
      <c r="AL20" s="42" t="str">
        <f>IF(AND('Mapa final'!$AJ$68="Muy Alta",'Mapa final'!$AL$68="Catastrófico"),CONCATENATE("R2C",'Mapa final'!$S$68),"")</f>
        <v/>
      </c>
      <c r="AM20" s="42" t="str">
        <f>IF(AND('Mapa final'!$AJ$69="Muy Alta",'Mapa final'!$AL$69="Catastrófico"),CONCATENATE("R2C",'Mapa final'!$S$69),"")</f>
        <v/>
      </c>
      <c r="AN20" s="43" t="str">
        <f>IF(AND('Mapa final'!$AJ$70="Muy Alta",'Mapa final'!$AL$70="Catastrófico"),CONCATENATE("R2C",'Mapa final'!$S$70),"")</f>
        <v/>
      </c>
      <c r="AO20" s="69"/>
      <c r="AP20" s="485"/>
      <c r="AQ20" s="486"/>
      <c r="AR20" s="486"/>
      <c r="AS20" s="486"/>
      <c r="AT20" s="486"/>
      <c r="AU20" s="487"/>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422"/>
      <c r="D21" s="422"/>
      <c r="E21" s="423"/>
      <c r="F21" s="468"/>
      <c r="G21" s="469"/>
      <c r="H21" s="469"/>
      <c r="I21" s="469"/>
      <c r="J21" s="469"/>
      <c r="K21" s="44" t="str">
        <f>IF(AND('Mapa final'!$AJ$71="Muy Alta",'Mapa final'!$AL$71="Leve"),CONCATENATE("R2C",'Mapa final'!$S$71),"")</f>
        <v/>
      </c>
      <c r="L21" s="45" t="str">
        <f>IF(AND('Mapa final'!$AJ$72="Muy Alta",'Mapa final'!$AL$72="Leve"),CONCATENATE("R2C",'Mapa final'!$S$72),"")</f>
        <v/>
      </c>
      <c r="M21" s="45" t="str">
        <f>IF(AND('Mapa final'!$AJ$73="Muy Alta",'Mapa final'!$AL$73="Leve"),CONCATENATE("R2C",'Mapa final'!$S$73),"")</f>
        <v/>
      </c>
      <c r="N21" s="45" t="str">
        <f>IF(AND('Mapa final'!$AJ$74="Muy Alta",'Mapa final'!$AL$74="Leve"),CONCATENATE("R2C",'Mapa final'!$S$74),"")</f>
        <v/>
      </c>
      <c r="O21" s="45" t="str">
        <f>IF(AND('Mapa final'!$AJ$76="Muy Alta",'Mapa final'!$AL$76="Leve"),CONCATENATE("R2C",'Mapa final'!$S$76),"")</f>
        <v/>
      </c>
      <c r="P21" s="46" t="str">
        <f>IF(AND('Mapa final'!$AJ$77="Muy Alta",'Mapa final'!$AL$77="Leve"),CONCATENATE("R2C",'Mapa final'!$S$77),"")</f>
        <v/>
      </c>
      <c r="Q21" s="178" t="str">
        <f>IF(AND('Mapa final'!$AJ$71="Muy Alta",'Mapa final'!$AL$71="Menor"),CONCATENATE("R2C",'Mapa final'!$S$71),"")</f>
        <v/>
      </c>
      <c r="R21" s="39" t="str">
        <f>IF(AND('Mapa final'!$AJ$72="Muy Alta",'Mapa final'!$AL$72="Menor"),CONCATENATE("R2C",'Mapa final'!$S$72),"")</f>
        <v/>
      </c>
      <c r="S21" s="39" t="str">
        <f>IF(AND('Mapa final'!$AJ$73="Muy Alta",'Mapa final'!$AL$73="Menor"),CONCATENATE("R2C",'Mapa final'!$S$73),"")</f>
        <v/>
      </c>
      <c r="T21" s="39" t="str">
        <f>IF(AND('Mapa final'!$AJ$74="Muy Alta",'Mapa final'!$AL$74="Menor"),CONCATENATE("R2C",'Mapa final'!$S$74),"")</f>
        <v/>
      </c>
      <c r="U21" s="39" t="str">
        <f>IF(AND('Mapa final'!$AJ$76="Muy Alta",'Mapa final'!$AL$76="Menor"),CONCATENATE("R2C",'Mapa final'!$S$76),"")</f>
        <v/>
      </c>
      <c r="V21" s="40" t="str">
        <f>IF(AND('Mapa final'!$AJ$77="Muy Alta",'Mapa final'!$AL$77="Menor"),CONCATENATE("R2C",'Mapa final'!$S$77),"")</f>
        <v/>
      </c>
      <c r="W21" s="44" t="str">
        <f>IF(AND('Mapa final'!$AJ$71="Muy Alta",'Mapa final'!$AL$71="Moderado"),CONCATENATE("R2C",'Mapa final'!$S$71),"")</f>
        <v/>
      </c>
      <c r="X21" s="45" t="str">
        <f>IF(AND('Mapa final'!$AJ$72="Muy Alta",'Mapa final'!$AL$72="Moderado"),CONCATENATE("R2C",'Mapa final'!$S$72),"")</f>
        <v/>
      </c>
      <c r="Y21" s="45" t="str">
        <f>IF(AND('Mapa final'!$AJ$73="Muy Alta",'Mapa final'!$AL$73="Moderado"),CONCATENATE("R2C",'Mapa final'!$S$73),"")</f>
        <v/>
      </c>
      <c r="Z21" s="45" t="str">
        <f>IF(AND('Mapa final'!$AJ$74="Muy Alta",'Mapa final'!$AL$74="Moderado"),CONCATENATE("R2C",'Mapa final'!$S$74),"")</f>
        <v/>
      </c>
      <c r="AA21" s="45" t="str">
        <f>IF(AND('Mapa final'!$AJ$76="Muy Alta",'Mapa final'!$AL$76="Moderado"),CONCATENATE("R2C",'Mapa final'!$S$76),"")</f>
        <v/>
      </c>
      <c r="AB21" s="46" t="str">
        <f>IF(AND('Mapa final'!$AJ$77="Muy Alta",'Mapa final'!$AL$77="Moderado"),CONCATENATE("R2C",'Mapa final'!$S$77),"")</f>
        <v/>
      </c>
      <c r="AC21" s="38" t="str">
        <f>IF(AND('Mapa final'!$AJ$71="Muy Alta",'Mapa final'!$AL$71="Mayor"),CONCATENATE("R2C",'Mapa final'!$S$71),"")</f>
        <v/>
      </c>
      <c r="AD21" s="39" t="str">
        <f>IF(AND('Mapa final'!$AJ$72="Muy Alta",'Mapa final'!$AL$72="Mayor"),CONCATENATE("R2C",'Mapa final'!$S$72),"")</f>
        <v/>
      </c>
      <c r="AE21" s="39" t="str">
        <f>IF(AND('Mapa final'!$AJ$73="Muy Alta",'Mapa final'!$AL$73="Mayor"),CONCATENATE("R2C",'Mapa final'!$S$73),"")</f>
        <v/>
      </c>
      <c r="AF21" s="39" t="str">
        <f>IF(AND('Mapa final'!$AJ$74="Muy Alta",'Mapa final'!$AL$74="Mayor"),CONCATENATE("R2C",'Mapa final'!$S$74),"")</f>
        <v/>
      </c>
      <c r="AG21" s="39" t="str">
        <f>IF(AND('Mapa final'!$AJ$76="Muy Alta",'Mapa final'!$AL$76="Mayor"),CONCATENATE("R2C",'Mapa final'!$S$76),"")</f>
        <v/>
      </c>
      <c r="AH21" s="40" t="str">
        <f>IF(AND('Mapa final'!$AJ$77="Muy Alta",'Mapa final'!$AL$77="Mayor"),CONCATENATE("R2C",'Mapa final'!$S$77),"")</f>
        <v/>
      </c>
      <c r="AI21" s="47" t="str">
        <f>IF(AND('Mapa final'!$AJ$71="Muy Alta",'Mapa final'!$AL$71="Catastrófico"),CONCATENATE("R2C",'Mapa final'!$S$71),"")</f>
        <v/>
      </c>
      <c r="AJ21" s="48" t="str">
        <f>IF(AND('Mapa final'!$AJ$72="Muy Alta",'Mapa final'!$AL$72="Catastrófico"),CONCATENATE("R2C",'Mapa final'!$S$72),"")</f>
        <v/>
      </c>
      <c r="AK21" s="48" t="str">
        <f>IF(AND('Mapa final'!$AJ$73="Muy Alta",'Mapa final'!$AL$73="Catastrófico"),CONCATENATE("R2C",'Mapa final'!$S$73),"")</f>
        <v/>
      </c>
      <c r="AL21" s="48" t="str">
        <f>IF(AND('Mapa final'!$AJ$74="Muy Alta",'Mapa final'!$AL$74="Catastrófico"),CONCATENATE("R2C",'Mapa final'!$S$74),"")</f>
        <v/>
      </c>
      <c r="AM21" s="48" t="str">
        <f>IF(AND('Mapa final'!$AJ$76="Muy Alta",'Mapa final'!$AL$76="Catastrófico"),CONCATENATE("R2C",'Mapa final'!$S$76),"")</f>
        <v/>
      </c>
      <c r="AN21" s="49" t="str">
        <f>IF(AND('Mapa final'!$AJ$77="Muy Alta",'Mapa final'!$AL$77="Catastrófico"),CONCATENATE("R2C",'Mapa final'!$S$77),"")</f>
        <v/>
      </c>
      <c r="AO21" s="69"/>
      <c r="AP21" s="488"/>
      <c r="AQ21" s="489"/>
      <c r="AR21" s="489"/>
      <c r="AS21" s="489"/>
      <c r="AT21" s="489"/>
      <c r="AU21" s="490"/>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422"/>
      <c r="D22" s="422"/>
      <c r="E22" s="423"/>
      <c r="F22" s="462" t="s">
        <v>114</v>
      </c>
      <c r="G22" s="463"/>
      <c r="H22" s="463"/>
      <c r="I22" s="463"/>
      <c r="J22" s="463"/>
      <c r="K22" s="53" t="str">
        <f ca="1">IF(AND('Mapa final'!$AJ$15="Alta",'Mapa final'!$AL$15="Leve"),CONCATENATE("R2C",'Mapa final'!$S$15),"")</f>
        <v/>
      </c>
      <c r="L22" s="179" t="str">
        <f ca="1">IF(AND('Mapa final'!$AJ$16="Alta",'Mapa final'!$AL$16="Leve"),CONCATENATE("R2C",'Mapa final'!$S$16),"")</f>
        <v/>
      </c>
      <c r="M22" s="179" t="str">
        <f ca="1">IF(AND('Mapa final'!$AJ$17="Alta",'Mapa final'!$AL$17="Leve"),CONCATENATE("R2C",'Mapa final'!$S$17),"")</f>
        <v/>
      </c>
      <c r="N22" s="179" t="str">
        <f ca="1">IF(AND('Mapa final'!$AJ$18="Alta",'Mapa final'!$AL$18="Leve"),CONCATENATE("R2C",'Mapa final'!$S$18),"")</f>
        <v/>
      </c>
      <c r="O22" s="179" t="str">
        <f>IF(AND('Mapa final'!$AJ$19="Alta",'Mapa final'!$AL$19="Leve"),CONCATENATE("R2C",'Mapa final'!$S$19),"")</f>
        <v/>
      </c>
      <c r="P22" s="55" t="str">
        <f>IF(AND('Mapa final'!$AJ$20="Alta",'Mapa final'!$AL$20="Leve"),CONCATENATE("R2C",'Mapa final'!$S$20),"")</f>
        <v/>
      </c>
      <c r="Q22" s="50" t="str">
        <f ca="1">IF(AND('Mapa final'!$AJ$15="Alta",'Mapa final'!$AL$15="Menor"),CONCATENATE("R2C",'Mapa final'!$S$15),"")</f>
        <v/>
      </c>
      <c r="R22" s="51" t="str">
        <f ca="1">IF(AND('Mapa final'!$AJ$16="Alta",'Mapa final'!$AL$16="Menore"),CONCATENATE("R2C",'Mapa final'!$S$16),"")</f>
        <v/>
      </c>
      <c r="S22" s="51" t="str">
        <f ca="1">IF(AND('Mapa final'!$AJ$17="Alta",'Mapa final'!$AL$17="Menor"),CONCATENATE("R2C",'Mapa final'!$S$17),"")</f>
        <v/>
      </c>
      <c r="T22" s="51" t="str">
        <f ca="1">IF(AND('Mapa final'!$AJ$18="Alta",'Mapa final'!$AL$18="Menor"),CONCATENATE("R2C",'Mapa final'!$S$18),"")</f>
        <v/>
      </c>
      <c r="U22" s="51" t="str">
        <f>IF(AND('Mapa final'!$AJ$19="Alta",'Mapa final'!$AL$19="Menor"),CONCATENATE("R2C",'Mapa final'!$S$19),"")</f>
        <v/>
      </c>
      <c r="V22" s="52" t="str">
        <f>IF(AND('Mapa final'!$AJ$20="Alta",'Mapa final'!$AL$20="Menor"),CONCATENATE("R2C",'Mapa final'!$S$20),"")</f>
        <v/>
      </c>
      <c r="W22" s="32" t="str">
        <f ca="1">IF(AND('Mapa final'!$AJ$15="Alta",'Mapa final'!$AL$15="Moderado"),CONCATENATE("R2C",'Mapa final'!$S$15),"")</f>
        <v/>
      </c>
      <c r="X22" s="33" t="str">
        <f ca="1">IF(AND('Mapa final'!$AJ$16="Alta",'Mapa final'!$AL$16="Moderado"),CONCATENATE("R2C",'Mapa final'!$S$16),"")</f>
        <v/>
      </c>
      <c r="Y22" s="33"/>
      <c r="Z22" s="33" t="str">
        <f ca="1">IF(AND('Mapa final'!$AJ$18="Alta",'Mapa final'!$AL$18="Moderado"),CONCATENATE("R2C",'Mapa final'!$S$18),"")</f>
        <v/>
      </c>
      <c r="AA22" s="33" t="str">
        <f>IF(AND('Mapa final'!$AJ$19="Alta",'Mapa final'!$AL$19="Moderado"),CONCATENATE("R2C",'Mapa final'!$S$19),"")</f>
        <v/>
      </c>
      <c r="AB22" s="34" t="str">
        <f>IF(AND('Mapa final'!$AJ$20="Alta",'Mapa final'!$AL$20="Moderado"),CONCATENATE("R2C",'Mapa final'!$S$20),"")</f>
        <v/>
      </c>
      <c r="AC22" s="32" t="str">
        <f ca="1">IF(AND('Mapa final'!$AJ$15="Alta",'Mapa final'!$AL$15="Mayor"),CONCATENATE("R2C",'Mapa final'!$S$15),"")</f>
        <v/>
      </c>
      <c r="AD22" s="33" t="str">
        <f ca="1">IF(AND('Mapa final'!$AJ$16="Alta",'Mapa final'!$AL$16="Mayor"),CONCATENATE("R2C",'Mapa final'!$S$16),"")</f>
        <v/>
      </c>
      <c r="AE22" s="33" t="str">
        <f ca="1">IF(AND('Mapa final'!$AJ$17="Alta",'Mapa final'!$AL$17="Mayor"),CONCATENATE("R2C",'Mapa final'!$D$17),"")</f>
        <v/>
      </c>
      <c r="AF22" s="33" t="str">
        <f ca="1">IF(AND('Mapa final'!$AJ$18="Alta",'Mapa final'!$AL$18="Mayor"),CONCATENATE("R2C",'Mapa final'!$S$18),"")</f>
        <v/>
      </c>
      <c r="AG22" s="33" t="str">
        <f>IF(AND('Mapa final'!$AJ$19="Alta",'Mapa final'!$AL$19="Mayor"),CONCATENATE("R2C",'Mapa final'!$S$19),"")</f>
        <v/>
      </c>
      <c r="AH22" s="34" t="str">
        <f>IF(AND('Mapa final'!$AJ$20="Alta",'Mapa final'!$AL$20="Mayor"),CONCATENATE("R2C",'Mapa final'!$S$20),"")</f>
        <v/>
      </c>
      <c r="AI22" s="35" t="str">
        <f ca="1">IF(AND('Mapa final'!$AJ$15="Alta",'Mapa final'!$AL$15="Catastrófico"),CONCATENATE("R2C",'Mapa final'!$S$15),"")</f>
        <v/>
      </c>
      <c r="AJ22" s="36" t="str">
        <f ca="1">IF(AND('Mapa final'!$AJ$16="Alta",'Mapa final'!$AL$16="Catastrófico"),CONCATENATE("R2C",'Mapa final'!$S$16),"")</f>
        <v/>
      </c>
      <c r="AK22" s="36" t="str">
        <f ca="1">IF(AND('Mapa final'!$AJ$17="Alta",'Mapa final'!$AL$17="Catastrófico"),CONCATENATE("R2C",'Mapa final'!$S$17),"")</f>
        <v/>
      </c>
      <c r="AL22" s="36" t="str">
        <f ca="1">IF(AND('Mapa final'!$AJ$18="Alta",'Mapa final'!$AL$18="Catastrófico"),CONCATENATE("R2C",'Mapa final'!$S$18),"")</f>
        <v/>
      </c>
      <c r="AM22" s="36" t="str">
        <f>IF(AND('Mapa final'!$AJ$19="Alta",'Mapa final'!$AL$19="Catastrófico"),CONCATENATE("R2C",'Mapa final'!$S$19),"")</f>
        <v/>
      </c>
      <c r="AN22" s="37" t="str">
        <f>IF(AND('Mapa final'!$AJ$20="Alta",'Mapa final'!$AL$20="Catastrófico"),CONCATENATE("R2C",'Mapa final'!$S$20),"")</f>
        <v/>
      </c>
      <c r="AO22" s="69"/>
      <c r="AP22" s="472" t="s">
        <v>79</v>
      </c>
      <c r="AQ22" s="473"/>
      <c r="AR22" s="473"/>
      <c r="AS22" s="473"/>
      <c r="AT22" s="473"/>
      <c r="AU22" s="474"/>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422"/>
      <c r="D23" s="422"/>
      <c r="E23" s="423"/>
      <c r="F23" s="481"/>
      <c r="G23" s="466"/>
      <c r="H23" s="466"/>
      <c r="I23" s="466"/>
      <c r="J23" s="466"/>
      <c r="K23" s="53" t="str">
        <f>IF(AND('Mapa final'!$AJ$23="Alta",'Mapa final'!$AL$23="Leve"),CONCATENATE("R2C",'Mapa final'!$S$23),"")</f>
        <v/>
      </c>
      <c r="L23" s="54" t="str">
        <f>IF(AND('Mapa final'!$AJ$24="Alta",'Mapa final'!$AL$24="Leve"),CONCATENATE("R2C",'Mapa final'!$S$24),"")</f>
        <v/>
      </c>
      <c r="M23" s="54" t="str">
        <f>IF(AND('Mapa final'!$AJ$25="Alta",'Mapa final'!$AL$25="Leve"),CONCATENATE("R2C",'Mapa final'!$S$25),"")</f>
        <v/>
      </c>
      <c r="N23" s="54" t="str">
        <f>IF(AND('Mapa final'!$AJ$26="Alta",'Mapa final'!$AL$26="Leve"),CONCATENATE("R2C",'Mapa final'!$S$26),"")</f>
        <v/>
      </c>
      <c r="O23" s="54" t="str">
        <f>IF(AND('Mapa final'!$AJ$27="Alta",'Mapa final'!$AL$27="Leve"),CONCATENATE("R2C",'Mapa final'!$S$27),"")</f>
        <v/>
      </c>
      <c r="P23" s="55" t="str">
        <f>IF(AND('Mapa final'!$AJ$28="Alta",'Mapa final'!$AL$28="Leve"),CONCATENATE("R2C",'Mapa final'!$S$28),"")</f>
        <v/>
      </c>
      <c r="Q23" s="53" t="str">
        <f>IF(AND('Mapa final'!$AJ$23="Alta",'Mapa final'!$AL$23="Menor"),CONCATENATE("R2C",'Mapa final'!$S$23),"")</f>
        <v/>
      </c>
      <c r="R23" s="54" t="str">
        <f>IF(AND('Mapa final'!$AJ$24="Alta",'Mapa final'!$AL$24="Menor"),CONCATENATE("R2C",'Mapa final'!$S$24),"")</f>
        <v/>
      </c>
      <c r="S23" s="54" t="str">
        <f>IF(AND('Mapa final'!$AJ$25="Alta",'Mapa final'!$AL$25="Menor"),CONCATENATE("R2C",'Mapa final'!$S$25),"")</f>
        <v/>
      </c>
      <c r="T23" s="54" t="str">
        <f>IF(AND('Mapa final'!$AJ$26="Alta",'Mapa final'!$AL$26="Menor"),CONCATENATE("R2C",'Mapa final'!$S$26),"")</f>
        <v/>
      </c>
      <c r="U23" s="54" t="str">
        <f>IF(AND('Mapa final'!$AJ$27="Alta",'Mapa final'!$AL$27="Menor"),CONCATENATE("R2C",'Mapa final'!$S$27),"")</f>
        <v/>
      </c>
      <c r="V23" s="55" t="str">
        <f>IF(AND('Mapa final'!$AJ$28="Alta",'Mapa final'!$AL$28="Menor"),CONCATENATE("R2C",'Mapa final'!$S$28),"")</f>
        <v/>
      </c>
      <c r="W23" s="38" t="str">
        <f>IF(AND('Mapa final'!$AJ$23="Alta",'Mapa final'!$AL$23="Moderado"),CONCATENATE("R2C",'Mapa final'!$S$23),"")</f>
        <v/>
      </c>
      <c r="X23" s="39" t="str">
        <f>IF(AND('Mapa final'!$AJ$24="Alta",'Mapa final'!$AL$24="Moderado"),CONCATENATE("R2C",'Mapa final'!$S$24),"")</f>
        <v/>
      </c>
      <c r="Y23" s="39" t="str">
        <f>IF(AND('Mapa final'!$AJ$25="Alta",'Mapa final'!$AL$25="Moderado"),CONCATENATE("R2C",'Mapa final'!$S$25),"")</f>
        <v/>
      </c>
      <c r="Z23" s="39" t="str">
        <f>IF(AND('Mapa final'!$AJ$26="Alta",'Mapa final'!$AL$26="Moderado"),CONCATENATE("R2C",'Mapa final'!$S$26),"")</f>
        <v/>
      </c>
      <c r="AA23" s="39" t="str">
        <f>IF(AND('Mapa final'!$AJ$27="Alta",'Mapa final'!$AL$27="Moderado"),CONCATENATE("R2C",'Mapa final'!$S$27),"")</f>
        <v/>
      </c>
      <c r="AB23" s="40" t="str">
        <f>IF(AND('Mapa final'!$AJ$28="Alta",'Mapa final'!$AL$28="Moderado"),CONCATENATE("R2C",'Mapa final'!$S$28),"")</f>
        <v/>
      </c>
      <c r="AC23" s="38" t="str">
        <f>IF(AND('Mapa final'!$AJ$23="Alta",'Mapa final'!$AL$23="Mayor"),CONCATENATE("R2C",'Mapa final'!$S$23),"")</f>
        <v/>
      </c>
      <c r="AD23" s="39" t="str">
        <f>IF(AND('Mapa final'!$AJ$24="Alta",'Mapa final'!$AL$24="Mayor"),CONCATENATE("R2C",'Mapa final'!$S$24),"")</f>
        <v/>
      </c>
      <c r="AE23" s="39" t="str">
        <f>IF(AND('Mapa final'!$AJ$25="Alta",'Mapa final'!$AL$25="Mayor"),CONCATENATE("R2C",'Mapa final'!$S$25),"")</f>
        <v/>
      </c>
      <c r="AF23" s="39" t="str">
        <f>IF(AND('Mapa final'!$AJ$26="Alta",'Mapa final'!$AL$26="Mayor"),CONCATENATE("R2C",'Mapa final'!$S$26),"")</f>
        <v/>
      </c>
      <c r="AG23" s="39" t="str">
        <f>IF(AND('Mapa final'!$AJ$27="Alta",'Mapa final'!$AL$27="Mayor"),CONCATENATE("R2C",'Mapa final'!$S$27),"")</f>
        <v/>
      </c>
      <c r="AH23" s="40" t="str">
        <f>IF(AND('Mapa final'!$AJ$28="Alta",'Mapa final'!$AL$28="Mayor"),CONCATENATE("R2C",'Mapa final'!$S$28),"")</f>
        <v/>
      </c>
      <c r="AI23" s="41" t="str">
        <f>IF(AND('Mapa final'!$AJ$23="Alta",'Mapa final'!$AL$23="Catastrófico"),CONCATENATE("R2C",'Mapa final'!$S$23),"")</f>
        <v/>
      </c>
      <c r="AJ23" s="42" t="str">
        <f>IF(AND('Mapa final'!$AJ$24="Alta",'Mapa final'!$AL$24="Catastrófico"),CONCATENATE("R2C",'Mapa final'!$S$24),"")</f>
        <v/>
      </c>
      <c r="AK23" s="42" t="str">
        <f>IF(AND('Mapa final'!$AJ$25="Alta",'Mapa final'!$AL$25="Catastrófico"),CONCATENATE("R2C",'Mapa final'!$S$25),"")</f>
        <v/>
      </c>
      <c r="AL23" s="42" t="str">
        <f>IF(AND('Mapa final'!$AJ$26="Alta",'Mapa final'!$AL$26="Catastrófico"),CONCATENATE("R2C",'Mapa final'!$S$26),"")</f>
        <v/>
      </c>
      <c r="AM23" s="42" t="str">
        <f>IF(AND('Mapa final'!$AJ$27="Alta",'Mapa final'!$AL$27="Catastrófico"),CONCATENATE("R2C",'Mapa final'!$S$27),"")</f>
        <v/>
      </c>
      <c r="AN23" s="43" t="str">
        <f>IF(AND('Mapa final'!$AJ$28="Alta",'Mapa final'!$AL$28="Catastrófico"),CONCATENATE("R2C",'Mapa final'!$S$28),"")</f>
        <v/>
      </c>
      <c r="AO23" s="69"/>
      <c r="AP23" s="475"/>
      <c r="AQ23" s="476"/>
      <c r="AR23" s="476"/>
      <c r="AS23" s="476"/>
      <c r="AT23" s="476"/>
      <c r="AU23" s="477"/>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422"/>
      <c r="D24" s="422"/>
      <c r="E24" s="423"/>
      <c r="F24" s="465"/>
      <c r="G24" s="466"/>
      <c r="H24" s="466"/>
      <c r="I24" s="466"/>
      <c r="J24" s="466"/>
      <c r="K24" s="53" t="str">
        <f>IF(AND('Mapa final'!$AJ$29="Alta",'Mapa final'!$AL$29="Leve"),CONCATENATE("R2C",'Mapa final'!$S$29),"")</f>
        <v/>
      </c>
      <c r="L24" s="54" t="str">
        <f>IF(AND('Mapa final'!$AJ$30="Alta",'Mapa final'!$AL$30="Leve"),CONCATENATE("R2C",'Mapa final'!$S$30),"")</f>
        <v/>
      </c>
      <c r="M24" s="54" t="str">
        <f>IF(AND('Mapa final'!$AJ$31="Alta",'Mapa final'!$AL$31="Leve"),CONCATENATE("R2C",'Mapa final'!$S$31),"")</f>
        <v/>
      </c>
      <c r="N24" s="54" t="str">
        <f>IF(AND('Mapa final'!$AJ$32="Alta",'Mapa final'!$AL$32="Leve"),CONCATENATE("R2C",'Mapa final'!$S$32),"")</f>
        <v/>
      </c>
      <c r="O24" s="54" t="str">
        <f>IF(AND('Mapa final'!$AJ$33="Alta",'Mapa final'!$AL$33="Leve"),CONCATENATE("R2C",'Mapa final'!$S$33),"")</f>
        <v/>
      </c>
      <c r="P24" s="55" t="str">
        <f>IF(AND('Mapa final'!$AJ$34="Alta",'Mapa final'!$AL$34="Leve"),CONCATENATE("R2C",'Mapa final'!$S$34),"")</f>
        <v/>
      </c>
      <c r="Q24" s="53" t="str">
        <f>IF(AND('Mapa final'!$AJ$29="Alta",'Mapa final'!$AL$29="Menor"),CONCATENATE("R2C",'Mapa final'!$S$29),"")</f>
        <v/>
      </c>
      <c r="R24" s="54" t="str">
        <f>IF(AND('Mapa final'!$AJ$30="Alta",'Mapa final'!$AL$30="Menor"),CONCATENATE("R2C",'Mapa final'!$S$30),"")</f>
        <v/>
      </c>
      <c r="S24" s="54" t="str">
        <f>IF(AND('Mapa final'!$AJ$31="Alta",'Mapa final'!$AL$31="Menor"),CONCATENATE("R2C",'Mapa final'!$S$31),"")</f>
        <v/>
      </c>
      <c r="T24" s="54" t="str">
        <f>IF(AND('Mapa final'!$AJ$32="Alta",'Mapa final'!$AL$32="Menor"),CONCATENATE("R2C",'Mapa final'!$S$32),"")</f>
        <v/>
      </c>
      <c r="U24" s="54" t="str">
        <f>IF(AND('Mapa final'!$AJ$33="Alta",'Mapa final'!$AL$33="Menor"),CONCATENATE("R2C",'Mapa final'!$S$33),"")</f>
        <v/>
      </c>
      <c r="V24" s="55" t="str">
        <f>IF(AND('Mapa final'!$AJ$34="Alta",'Mapa final'!$AL$34="Menor"),CONCATENATE("R2C",'Mapa final'!$S$34),"")</f>
        <v/>
      </c>
      <c r="W24" s="38" t="str">
        <f>IF(AND('Mapa final'!$AJ$29="Alta",'Mapa final'!$AL$29="Moderado"),CONCATENATE("R2C",'Mapa final'!$S$29),"")</f>
        <v/>
      </c>
      <c r="X24" s="39" t="str">
        <f>IF(AND('Mapa final'!$AJ$30="Alta",'Mapa final'!$AL$30="Moderado"),CONCATENATE("R2C",'Mapa final'!$S$30),"")</f>
        <v/>
      </c>
      <c r="Y24" s="39" t="str">
        <f>IF(AND('Mapa final'!$AJ$31="Alta",'Mapa final'!$AL$31="Moderado"),CONCATENATE("R2C",'Mapa final'!$S$31),"")</f>
        <v/>
      </c>
      <c r="Z24" s="39" t="str">
        <f>IF(AND('Mapa final'!$AJ$32="Alta",'Mapa final'!$AL$32="Moderado"),CONCATENATE("R2C",'Mapa final'!$S$32),"")</f>
        <v/>
      </c>
      <c r="AA24" s="39" t="str">
        <f>IF(AND('Mapa final'!$AJ$33="Alta",'Mapa final'!$AL$33="Moderado"),CONCATENATE("R2C",'Mapa final'!$S$33),"")</f>
        <v/>
      </c>
      <c r="AB24" s="40" t="str">
        <f>IF(AND('Mapa final'!$AJ$34="Alta",'Mapa final'!$AL$34="Moderado"),CONCATENATE("R2C",'Mapa final'!$S$34),"")</f>
        <v/>
      </c>
      <c r="AC24" s="38" t="str">
        <f>IF(AND('Mapa final'!$AJ$29="Alta",'Mapa final'!$AL$29="Mayor"),CONCATENATE("R2C",'Mapa final'!$S$29),"")</f>
        <v/>
      </c>
      <c r="AD24" s="39" t="str">
        <f>IF(AND('Mapa final'!$AJ$30="Alta",'Mapa final'!$AL$30="Mayor"),CONCATENATE("R2C",'Mapa final'!$S$30),"")</f>
        <v/>
      </c>
      <c r="AE24" s="39" t="str">
        <f>IF(AND('Mapa final'!$AJ$31="Alta",'Mapa final'!$AL$31="Mayor"),CONCATENATE("R2C",'Mapa final'!$S$31),"")</f>
        <v/>
      </c>
      <c r="AF24" s="39" t="str">
        <f>IF(AND('Mapa final'!$AJ$32="Alta",'Mapa final'!$AL$32="Mayor"),CONCATENATE("R2C",'Mapa final'!$S$32),"")</f>
        <v/>
      </c>
      <c r="AG24" s="39" t="str">
        <f>IF(AND('Mapa final'!$AJ$33="Alta",'Mapa final'!$AL$33="Mayor"),CONCATENATE("R2C",'Mapa final'!$S$33),"")</f>
        <v/>
      </c>
      <c r="AH24" s="40" t="str">
        <f>IF(AND('Mapa final'!$AJ$34="Alta",'Mapa final'!$AL$34="Mayor"),CONCATENATE("R2C",'Mapa final'!$S$34),"")</f>
        <v/>
      </c>
      <c r="AI24" s="41" t="str">
        <f>IF(AND('Mapa final'!$AJ$29="Alta",'Mapa final'!$AL$29="Catastrófico"),CONCATENATE("R2C",'Mapa final'!$S$29),"")</f>
        <v/>
      </c>
      <c r="AJ24" s="42" t="str">
        <f>IF(AND('Mapa final'!$AJ$30="Alta",'Mapa final'!$AL$30="Catastrófico"),CONCATENATE("R2C",'Mapa final'!$S$30),"")</f>
        <v/>
      </c>
      <c r="AK24" s="42" t="str">
        <f>IF(AND('Mapa final'!$AJ$31="Alta",'Mapa final'!$AL$31="Catastrófico"),CONCATENATE("R2C",'Mapa final'!$S$31),"")</f>
        <v/>
      </c>
      <c r="AL24" s="42" t="str">
        <f>IF(AND('Mapa final'!$AJ$32="Alta",'Mapa final'!$AL$32="Catastrófico"),CONCATENATE("R2C",'Mapa final'!$S$32),"")</f>
        <v/>
      </c>
      <c r="AM24" s="42" t="str">
        <f>IF(AND('Mapa final'!$AJ$33="Alta",'Mapa final'!$AL$33="Catastrófico"),CONCATENATE("R2C",'Mapa final'!$S$33),"")</f>
        <v/>
      </c>
      <c r="AN24" s="43" t="str">
        <f>IF(AND('Mapa final'!$AJ$34="Alta",'Mapa final'!$AL$34="Catastrófico"),CONCATENATE("R2C",'Mapa final'!$S$34),"")</f>
        <v/>
      </c>
      <c r="AO24" s="69"/>
      <c r="AP24" s="475"/>
      <c r="AQ24" s="476"/>
      <c r="AR24" s="476"/>
      <c r="AS24" s="476"/>
      <c r="AT24" s="476"/>
      <c r="AU24" s="477"/>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422"/>
      <c r="D25" s="422"/>
      <c r="E25" s="423"/>
      <c r="F25" s="465"/>
      <c r="G25" s="466"/>
      <c r="H25" s="466"/>
      <c r="I25" s="466"/>
      <c r="J25" s="466"/>
      <c r="K25" s="53" t="str">
        <f>IF(AND('Mapa final'!$AJ$35="Alta",'Mapa final'!$AL$35="Leve"),CONCATENATE("R2C",'Mapa final'!$S$35),"")</f>
        <v/>
      </c>
      <c r="L25" s="54" t="str">
        <f>IF(AND('Mapa final'!$AJ$36="Alta",'Mapa final'!$AL$36="Leve"),CONCATENATE("R2C",'Mapa final'!$S$36),"")</f>
        <v/>
      </c>
      <c r="M25" s="54" t="str">
        <f>IF(AND('Mapa final'!$AJ$37="Alta",'Mapa final'!$AL$37="Leve"),CONCATENATE("R2C",'Mapa final'!$S$37),"")</f>
        <v/>
      </c>
      <c r="N25" s="54" t="str">
        <f>IF(AND('Mapa final'!$AJ$38="Alta",'Mapa final'!$AL$38="Leve"),CONCATENATE("R2C",'Mapa final'!$S$38),"")</f>
        <v/>
      </c>
      <c r="O25" s="54" t="str">
        <f>IF(AND('Mapa final'!$AJ$39="Alta",'Mapa final'!$AL$39="Leve"),CONCATENATE("R2C",'Mapa final'!$S$39),"")</f>
        <v/>
      </c>
      <c r="P25" s="55" t="str">
        <f>IF(AND('Mapa final'!$AJ$40="Alta",'Mapa final'!$AL$40="Leve"),CONCATENATE("R2C",'Mapa final'!$S$40),"")</f>
        <v/>
      </c>
      <c r="Q25" s="53" t="str">
        <f>IF(AND('Mapa final'!$AJ$35="Alta",'Mapa final'!$AL$35="Menor"),CONCATENATE("R2C",'Mapa final'!$S$35),"")</f>
        <v/>
      </c>
      <c r="R25" s="54" t="str">
        <f>IF(AND('Mapa final'!$AJ$36="Alta",'Mapa final'!$AL$36="Menor"),CONCATENATE("R2C",'Mapa final'!$S$36),"")</f>
        <v/>
      </c>
      <c r="S25" s="54" t="str">
        <f>IF(AND('Mapa final'!$AJ$37="Alta",'Mapa final'!$AL$37="Menor"),CONCATENATE("R2C",'Mapa final'!$S$37),"")</f>
        <v/>
      </c>
      <c r="T25" s="54" t="str">
        <f>IF(AND('Mapa final'!$AJ$38="Alta",'Mapa final'!$AL$38="Menor"),CONCATENATE("R2C",'Mapa final'!$S$38),"")</f>
        <v/>
      </c>
      <c r="U25" s="54" t="str">
        <f>IF(AND('Mapa final'!$AJ$39="Alta",'Mapa final'!$AL$39="LMenor"),CONCATENATE("R2C",'Mapa final'!$S$39),"")</f>
        <v/>
      </c>
      <c r="V25" s="55" t="str">
        <f>IF(AND('Mapa final'!$AJ$40="Alta",'Mapa final'!$AL$40="Menor"),CONCATENATE("R2C",'Mapa final'!$S$40),"")</f>
        <v/>
      </c>
      <c r="W25" s="38" t="str">
        <f>IF(AND('Mapa final'!$AJ$35="Alta",'Mapa final'!$AL$35="Moderado"),CONCATENATE("R2C",'Mapa final'!$S$35),"")</f>
        <v/>
      </c>
      <c r="X25" s="39" t="str">
        <f>IF(AND('Mapa final'!$AJ$36="Alta",'Mapa final'!$AL$36="Moderado"),CONCATENATE("R2C",'Mapa final'!$S$36),"")</f>
        <v/>
      </c>
      <c r="Y25" s="39" t="str">
        <f>IF(AND('Mapa final'!$AJ$37="Alta",'Mapa final'!$AL$37="Moderado"),CONCATENATE("R2C",'Mapa final'!$S$37),"")</f>
        <v/>
      </c>
      <c r="Z25" s="39" t="str">
        <f>IF(AND('Mapa final'!$AJ$38="Alta",'Mapa final'!$AL$38="Moderado"),CONCATENATE("R2C",'Mapa final'!$S$38),"")</f>
        <v/>
      </c>
      <c r="AA25" s="39" t="str">
        <f>IF(AND('Mapa final'!$AJ$39="Alta",'Mapa final'!$AL$39="Moderado"),CONCATENATE("R2C",'Mapa final'!$S$39),"")</f>
        <v/>
      </c>
      <c r="AB25" s="40" t="str">
        <f>IF(AND('Mapa final'!$AJ$40="Alta",'Mapa final'!$AL$40="Moderado"),CONCATENATE("R2C",'Mapa final'!$S$40),"")</f>
        <v/>
      </c>
      <c r="AC25" s="38" t="str">
        <f>IF(AND('Mapa final'!$AJ$35="Alta",'Mapa final'!$AL$35="Mayor"),CONCATENATE("R2C",'Mapa final'!$S$35),"")</f>
        <v/>
      </c>
      <c r="AD25" s="39" t="str">
        <f>IF(AND('Mapa final'!$AJ$36="Alta",'Mapa final'!$AL$36="Mayor"),CONCATENATE("R2C",'Mapa final'!$S$36),"")</f>
        <v/>
      </c>
      <c r="AE25" s="39" t="str">
        <f>IF(AND('Mapa final'!$AJ$37="Alta",'Mapa final'!$AL$37="Mayor"),CONCATENATE("R2C",'Mapa final'!$S$37),"")</f>
        <v/>
      </c>
      <c r="AF25" s="39" t="str">
        <f>IF(AND('Mapa final'!$AJ$38="Alta",'Mapa final'!$AL$38="Mayor"),CONCATENATE("R2C",'Mapa final'!$S$38),"")</f>
        <v/>
      </c>
      <c r="AG25" s="39" t="str">
        <f>IF(AND('Mapa final'!$AJ$39="Alta",'Mapa final'!$AL$39="Mayor"),CONCATENATE("R2C",'Mapa final'!$S$39),"")</f>
        <v/>
      </c>
      <c r="AH25" s="40" t="str">
        <f>IF(AND('Mapa final'!$AJ$40="Alta",'Mapa final'!$AL$40="Mayor"),CONCATENATE("R2C",'Mapa final'!$S$40),"")</f>
        <v/>
      </c>
      <c r="AI25" s="41" t="str">
        <f>IF(AND('Mapa final'!$AJ$35="Alta",'Mapa final'!$AL$35="Catastrófico"),CONCATENATE("R2C",'Mapa final'!$S$35),"")</f>
        <v/>
      </c>
      <c r="AJ25" s="42" t="str">
        <f>IF(AND('Mapa final'!$AJ$36="Alta",'Mapa final'!$AL$36="Catastrófico"),CONCATENATE("R2C",'Mapa final'!$S$36),"")</f>
        <v/>
      </c>
      <c r="AK25" s="42" t="str">
        <f>IF(AND('Mapa final'!$AJ$37="Alta",'Mapa final'!$AL$37="Catastrófico"),CONCATENATE("R2C",'Mapa final'!$S$37),"")</f>
        <v/>
      </c>
      <c r="AL25" s="42" t="str">
        <f>IF(AND('Mapa final'!$AJ$38="Alta",'Mapa final'!$AL$38="Catastrófico"),CONCATENATE("R2C",'Mapa final'!$S$38),"")</f>
        <v/>
      </c>
      <c r="AM25" s="42" t="str">
        <f>IF(AND('Mapa final'!$AJ$39="Alta",'Mapa final'!$AL$39="LCatastrófico"),CONCATENATE("R2C",'Mapa final'!$S$39),"")</f>
        <v/>
      </c>
      <c r="AN25" s="43" t="str">
        <f>IF(AND('Mapa final'!$AJ$40="Alta",'Mapa final'!$AL$40="Catastrófico"),CONCATENATE("R2C",'Mapa final'!$S$40),"")</f>
        <v/>
      </c>
      <c r="AO25" s="69"/>
      <c r="AP25" s="475"/>
      <c r="AQ25" s="476"/>
      <c r="AR25" s="476"/>
      <c r="AS25" s="476"/>
      <c r="AT25" s="476"/>
      <c r="AU25" s="477"/>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422"/>
      <c r="D26" s="422"/>
      <c r="E26" s="423"/>
      <c r="F26" s="465"/>
      <c r="G26" s="466"/>
      <c r="H26" s="466"/>
      <c r="I26" s="466"/>
      <c r="J26" s="466"/>
      <c r="K26" s="53" t="str">
        <f>IF(AND('Mapa final'!$AJ$41="Alta",'Mapa final'!$AL$41="Leve"),CONCATENATE("R2C",'Mapa final'!$S$41),"")</f>
        <v/>
      </c>
      <c r="L26" s="54" t="str">
        <f>IF(AND('Mapa final'!$AJ$42="Alta",'Mapa final'!$AL$42="Leve"),CONCATENATE("R2C",'Mapa final'!$S$42),"")</f>
        <v/>
      </c>
      <c r="M26" s="54" t="str">
        <f>IF(AND('Mapa final'!$AJ$43="Alta",'Mapa final'!$AL$43="Leve"),CONCATENATE("R2C",'Mapa final'!$S$43),"")</f>
        <v/>
      </c>
      <c r="N26" s="54" t="str">
        <f>IF(AND('Mapa final'!$AJ$44="Alta",'Mapa final'!$AL$44="Leve"),CONCATENATE("R2C",'Mapa final'!$S$44),"")</f>
        <v/>
      </c>
      <c r="O26" s="54" t="str">
        <f>IF(AND('Mapa final'!$AJ$45="Alta",'Mapa final'!$AL$45="Leve"),CONCATENATE("R2C",'Mapa final'!$S$45),"")</f>
        <v/>
      </c>
      <c r="P26" s="55" t="str">
        <f>IF(AND('Mapa final'!$AJ$46="Alta",'Mapa final'!$AL$46="Leve"),CONCATENATE("R2C",'Mapa final'!$S$46),"")</f>
        <v/>
      </c>
      <c r="Q26" s="53" t="str">
        <f>IF(AND('Mapa final'!$AJ$41="Alta",'Mapa final'!$AL$41="Menor"),CONCATENATE("R2C",'Mapa final'!$S$41),"")</f>
        <v/>
      </c>
      <c r="R26" s="54" t="str">
        <f>IF(AND('Mapa final'!$AJ$42="Alta",'Mapa final'!$AL$42="Menor"),CONCATENATE("R2C",'Mapa final'!$S$42),"")</f>
        <v/>
      </c>
      <c r="S26" s="54" t="str">
        <f>IF(AND('Mapa final'!$AJ$43="Alta",'Mapa final'!$AL$43="Menor"),CONCATENATE("R2C",'Mapa final'!$S$43),"")</f>
        <v/>
      </c>
      <c r="T26" s="54" t="str">
        <f>IF(AND('Mapa final'!$AJ$44="Alta",'Mapa final'!$AL$44="Menor"),CONCATENATE("R2C",'Mapa final'!$S$44),"")</f>
        <v/>
      </c>
      <c r="U26" s="54" t="str">
        <f>IF(AND('Mapa final'!$AJ$45="Alta",'Mapa final'!$AL$45="Menor"),CONCATENATE("R2C",'Mapa final'!$S$45),"")</f>
        <v/>
      </c>
      <c r="V26" s="55" t="str">
        <f>IF(AND('Mapa final'!$AJ$46="Alta",'Mapa final'!$AL$46="Menor"),CONCATENATE("R2C",'Mapa final'!$S$46),"")</f>
        <v/>
      </c>
      <c r="W26" s="38" t="str">
        <f>IF(AND('Mapa final'!$AJ$41="Alta",'Mapa final'!$AL$41="Moderado"),CONCATENATE("R2C",'Mapa final'!$S$41),"")</f>
        <v/>
      </c>
      <c r="X26" s="39" t="str">
        <f>IF(AND('Mapa final'!$AJ$42="Alta",'Mapa final'!$AL$42="Moderado"),CONCATENATE("R2C",'Mapa final'!$S$42),"")</f>
        <v/>
      </c>
      <c r="Y26" s="39" t="str">
        <f>IF(AND('Mapa final'!$AJ$43="Alta",'Mapa final'!$AL$43="Moderado"),CONCATENATE("R2C",'Mapa final'!$S$43),"")</f>
        <v/>
      </c>
      <c r="Z26" s="39" t="str">
        <f>IF(AND('Mapa final'!$AJ$44="Alta",'Mapa final'!$AL$44="Moderado"),CONCATENATE("R2C",'Mapa final'!$S$44),"")</f>
        <v/>
      </c>
      <c r="AA26" s="39" t="str">
        <f>IF(AND('Mapa final'!$AJ$45="Alta",'Mapa final'!$AL$45="Moderado"),CONCATENATE("R2C",'Mapa final'!$S$45),"")</f>
        <v/>
      </c>
      <c r="AB26" s="40" t="str">
        <f>IF(AND('Mapa final'!$AJ$46="Alta",'Mapa final'!$AL$46="Moderado"),CONCATENATE("R2C",'Mapa final'!$S$46),"")</f>
        <v/>
      </c>
      <c r="AC26" s="38" t="str">
        <f>IF(AND('Mapa final'!$AJ$41="Alta",'Mapa final'!$AL$41="Mayor"),CONCATENATE("R2C",'Mapa final'!$S$41),"")</f>
        <v/>
      </c>
      <c r="AD26" s="39" t="str">
        <f>IF(AND('Mapa final'!$AJ$42="Alta",'Mapa final'!$AL$42="Mayor"),CONCATENATE("R2C",'Mapa final'!$S$42),"")</f>
        <v/>
      </c>
      <c r="AE26" s="39" t="str">
        <f>IF(AND('Mapa final'!$AJ$43="Alta",'Mapa final'!$AL$43="Mayor"),CONCATENATE("R2C",'Mapa final'!$S$43),"")</f>
        <v/>
      </c>
      <c r="AF26" s="39" t="str">
        <f>IF(AND('Mapa final'!$AJ$44="Alta",'Mapa final'!$AL$44="Mayor"),CONCATENATE("R2C",'Mapa final'!$S$44),"")</f>
        <v/>
      </c>
      <c r="AG26" s="39" t="str">
        <f>IF(AND('Mapa final'!$AJ$45="Alta",'Mapa final'!$AL$45="Mayor"),CONCATENATE("R2C",'Mapa final'!$S$45),"")</f>
        <v/>
      </c>
      <c r="AH26" s="40" t="str">
        <f>IF(AND('Mapa final'!$AJ$46="Alta",'Mapa final'!$AL$46="Mayor"),CONCATENATE("R2C",'Mapa final'!$S$46),"")</f>
        <v/>
      </c>
      <c r="AI26" s="41" t="str">
        <f>IF(AND('Mapa final'!$AJ$41="Alta",'Mapa final'!$AL$41="Catastrófico"),CONCATENATE("R2C",'Mapa final'!$S$41),"")</f>
        <v/>
      </c>
      <c r="AJ26" s="42" t="str">
        <f>IF(AND('Mapa final'!$AJ$42="Alta",'Mapa final'!$AL$42="Catastrófico"),CONCATENATE("R2C",'Mapa final'!$S$42),"")</f>
        <v/>
      </c>
      <c r="AK26" s="42" t="str">
        <f>IF(AND('Mapa final'!$AJ$43="Alta",'Mapa final'!$AL$43="Catastrófico"),CONCATENATE("R2C",'Mapa final'!$S$43),"")</f>
        <v/>
      </c>
      <c r="AL26" s="42" t="str">
        <f>IF(AND('Mapa final'!$AJ$44="Alta",'Mapa final'!$AL$44="Catastrófico"),CONCATENATE("R2C",'Mapa final'!$S$44),"")</f>
        <v/>
      </c>
      <c r="AM26" s="42" t="str">
        <f>IF(AND('Mapa final'!$AJ$45="Alta",'Mapa final'!$AL$45="Catastrófico"),CONCATENATE("R2C",'Mapa final'!$S$45),"")</f>
        <v/>
      </c>
      <c r="AN26" s="43" t="str">
        <f>IF(AND('Mapa final'!$AJ$46="Alta",'Mapa final'!$AL$46="Catastrófico"),CONCATENATE("R2C",'Mapa final'!$S$46),"")</f>
        <v/>
      </c>
      <c r="AO26" s="69"/>
      <c r="AP26" s="475"/>
      <c r="AQ26" s="476"/>
      <c r="AR26" s="476"/>
      <c r="AS26" s="476"/>
      <c r="AT26" s="476"/>
      <c r="AU26" s="477"/>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422"/>
      <c r="D27" s="422"/>
      <c r="E27" s="423"/>
      <c r="F27" s="465"/>
      <c r="G27" s="466"/>
      <c r="H27" s="466"/>
      <c r="I27" s="466"/>
      <c r="J27" s="466"/>
      <c r="K27" s="53" t="str">
        <f>IF(AND('Mapa final'!$AJ$47="Alta",'Mapa final'!$AL$47="Leve"),CONCATENATE("R2C",'Mapa final'!$S$47),"")</f>
        <v/>
      </c>
      <c r="L27" s="54" t="str">
        <f>IF(AND('Mapa final'!$AJ$48="Alta",'Mapa final'!$AL$48="Leve"),CONCATENATE("R2C",'Mapa final'!$S$48),"")</f>
        <v/>
      </c>
      <c r="M27" s="54" t="str">
        <f>IF(AND('Mapa final'!$AJ$49="Alta",'Mapa final'!$AL$49="Leve"),CONCATENATE("R2C",'Mapa final'!$S$49),"")</f>
        <v/>
      </c>
      <c r="N27" s="54" t="str">
        <f>IF(AND('Mapa final'!$AJ$50="Alta",'Mapa final'!$AL$50="Leve"),CONCATENATE("R2C",'Mapa final'!$S$50),"")</f>
        <v/>
      </c>
      <c r="O27" s="54" t="str">
        <f>IF(AND('Mapa final'!$AJ$51="Alta",'Mapa final'!$AL$51="Leve"),CONCATENATE("R2C",'Mapa final'!$S$51),"")</f>
        <v/>
      </c>
      <c r="P27" s="55" t="str">
        <f>IF(AND('Mapa final'!$AJ$62="Alta",'Mapa final'!$AL$52="Leve"),CONCATENATE("R2C",'Mapa final'!$S$52),"")</f>
        <v/>
      </c>
      <c r="Q27" s="53" t="str">
        <f>IF(AND('Mapa final'!$AJ$47="Alta",'Mapa final'!$AL$47="Menor"),CONCATENATE("R2C",'Mapa final'!$S$47),"")</f>
        <v/>
      </c>
      <c r="R27" s="54" t="str">
        <f>IF(AND('Mapa final'!$AJ$48="Alta",'Mapa final'!$AL$48="Menor"),CONCATENATE("R2C",'Mapa final'!$S$48),"")</f>
        <v/>
      </c>
      <c r="S27" s="54" t="str">
        <f>IF(AND('Mapa final'!$AJ$49="Alta",'Mapa final'!$AL$49="Menor"),CONCATENATE("R2C",'Mapa final'!$S$49),"")</f>
        <v/>
      </c>
      <c r="T27" s="54" t="str">
        <f>IF(AND('Mapa final'!$AJ$50="Alta",'Mapa final'!$AL$50="Menor"),CONCATENATE("R2C",'Mapa final'!$S$50),"")</f>
        <v/>
      </c>
      <c r="U27" s="54" t="str">
        <f>IF(AND('Mapa final'!$AJ$51="Alta",'Mapa final'!$AL$51="Menor"),CONCATENATE("R2C",'Mapa final'!$S$51),"")</f>
        <v/>
      </c>
      <c r="V27" s="55" t="str">
        <f>IF(AND('Mapa final'!$AJ$62="Alta",'Mapa final'!$AL$52="Menor"),CONCATENATE("R2C",'Mapa final'!$S$52),"")</f>
        <v/>
      </c>
      <c r="W27" s="38" t="str">
        <f>IF(AND('Mapa final'!$AJ$47="Alta",'Mapa final'!$AL$47="Moderado"),CONCATENATE("R2C",'Mapa final'!$S$47),"")</f>
        <v/>
      </c>
      <c r="X27" s="39" t="str">
        <f>IF(AND('Mapa final'!$AJ$48="Alta",'Mapa final'!$AL$48="Moderado"),CONCATENATE("R2C",'Mapa final'!$S$48),"")</f>
        <v/>
      </c>
      <c r="Y27" s="39" t="str">
        <f>IF(AND('Mapa final'!$AJ$49="Alta",'Mapa final'!$AL$49="Moderado"),CONCATENATE("R2C",'Mapa final'!$S$49),"")</f>
        <v/>
      </c>
      <c r="Z27" s="39" t="str">
        <f>IF(AND('Mapa final'!$AJ$50="Alta",'Mapa final'!$AL$50="Moderado"),CONCATENATE("R2C",'Mapa final'!$S$50),"")</f>
        <v/>
      </c>
      <c r="AA27" s="39" t="str">
        <f>IF(AND('Mapa final'!$AJ$51="Alta",'Mapa final'!$AL$51="Moderado"),CONCATENATE("R2C",'Mapa final'!$S$51),"")</f>
        <v/>
      </c>
      <c r="AB27" s="40" t="str">
        <f>IF(AND('Mapa final'!$AJ$62="Alta",'Mapa final'!$AL$52="Moderado"),CONCATENATE("R2C",'Mapa final'!$S$52),"")</f>
        <v/>
      </c>
      <c r="AC27" s="38" t="str">
        <f>IF(AND('Mapa final'!$AJ$47="Alta",'Mapa final'!$AL$47="Mayor"),CONCATENATE("R2C",'Mapa final'!$S$47),"")</f>
        <v/>
      </c>
      <c r="AD27" s="39" t="str">
        <f>IF(AND('Mapa final'!$AJ$48="Alta",'Mapa final'!$AL$48="Mayor"),CONCATENATE("R2C",'Mapa final'!$S$48),"")</f>
        <v/>
      </c>
      <c r="AE27" s="39" t="str">
        <f>IF(AND('Mapa final'!$AJ$49="Alta",'Mapa final'!$AL$49="Mayor"),CONCATENATE("R2C",'Mapa final'!$S$49),"")</f>
        <v/>
      </c>
      <c r="AF27" s="39" t="str">
        <f>IF(AND('Mapa final'!$AJ$50="Alta",'Mapa final'!$AL$50="Mayor"),CONCATENATE("R2C",'Mapa final'!$S$50),"")</f>
        <v/>
      </c>
      <c r="AG27" s="39" t="str">
        <f>IF(AND('Mapa final'!$AJ$51="Alta",'Mapa final'!$AL$51="Mayor"),CONCATENATE("R2C",'Mapa final'!$S$51),"")</f>
        <v/>
      </c>
      <c r="AH27" s="40" t="str">
        <f>IF(AND('Mapa final'!$AJ$62="Alta",'Mapa final'!$AL$52="Mayor"),CONCATENATE("R2C",'Mapa final'!$S$52),"")</f>
        <v/>
      </c>
      <c r="AI27" s="41" t="str">
        <f>IF(AND('Mapa final'!$AJ$47="Alta",'Mapa final'!$AL$47="Catastrófico"),CONCATENATE("R2C",'Mapa final'!$S$47),"")</f>
        <v/>
      </c>
      <c r="AJ27" s="42" t="str">
        <f>IF(AND('Mapa final'!$AJ$48="Alta",'Mapa final'!$AL$48="Catastrófico"),CONCATENATE("R2C",'Mapa final'!$S$48),"")</f>
        <v/>
      </c>
      <c r="AK27" s="42" t="str">
        <f>IF(AND('Mapa final'!$AJ$49="Alta",'Mapa final'!$AL$49="Catastrófico"),CONCATENATE("R2C",'Mapa final'!$S$49),"")</f>
        <v/>
      </c>
      <c r="AL27" s="42" t="str">
        <f>IF(AND('Mapa final'!$AJ$50="Alta",'Mapa final'!$AL$50="Catastrófico"),CONCATENATE("R2C",'Mapa final'!$S$50),"")</f>
        <v/>
      </c>
      <c r="AM27" s="42" t="str">
        <f>IF(AND('Mapa final'!$AJ$51="Alta",'Mapa final'!$AL$51="Catastrófico"),CONCATENATE("R2C",'Mapa final'!$S$51),"")</f>
        <v/>
      </c>
      <c r="AN27" s="43" t="str">
        <f>IF(AND('Mapa final'!$AJ$62="Alta",'Mapa final'!$AL$52="Catastrófico"),CONCATENATE("R2C",'Mapa final'!$S$52),"")</f>
        <v/>
      </c>
      <c r="AO27" s="69"/>
      <c r="AP27" s="475"/>
      <c r="AQ27" s="476"/>
      <c r="AR27" s="476"/>
      <c r="AS27" s="476"/>
      <c r="AT27" s="476"/>
      <c r="AU27" s="477"/>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422"/>
      <c r="D28" s="422"/>
      <c r="E28" s="423"/>
      <c r="F28" s="465"/>
      <c r="G28" s="466"/>
      <c r="H28" s="466"/>
      <c r="I28" s="466"/>
      <c r="J28" s="466"/>
      <c r="K28" s="53" t="str">
        <f>IF(AND('Mapa final'!$AJ$53="Alta",'Mapa final'!$AL$53="Leve"),CONCATENATE("R2C",'Mapa final'!$S$53),"")</f>
        <v/>
      </c>
      <c r="L28" s="54" t="str">
        <f>IF(AND('Mapa final'!$AJ$54="Alta",'Mapa final'!$AL$54="Leve"),CONCATENATE("R2C",'Mapa final'!$S$54),"")</f>
        <v/>
      </c>
      <c r="M28" s="54" t="str">
        <f>IF(AND('Mapa final'!$AJ$55="Alta",'Mapa final'!$AL$55="Leve"),CONCATENATE("R2C",'Mapa final'!$S$55),"")</f>
        <v/>
      </c>
      <c r="N28" s="54" t="str">
        <f>IF(AND('Mapa final'!$AJ$56="Alta",'Mapa final'!$AL$56="Leve"),CONCATENATE("R2C",'Mapa final'!$S$56),"")</f>
        <v/>
      </c>
      <c r="O28" s="54" t="str">
        <f>IF(AND('Mapa final'!$AJ$57="Alta",'Mapa final'!$AL$57="Leve"),CONCATENATE("R2C",'Mapa final'!$S$57),"")</f>
        <v/>
      </c>
      <c r="P28" s="55" t="str">
        <f>IF(AND('Mapa final'!$AJ$58="Alta",'Mapa final'!$AL$58="Leve"),CONCATENATE("R2C",'Mapa final'!$S$58),"")</f>
        <v/>
      </c>
      <c r="Q28" s="53" t="str">
        <f>IF(AND('Mapa final'!$AJ$53="Alta",'Mapa final'!$AL$53="Menor"),CONCATENATE("R2C",'Mapa final'!$S$53),"")</f>
        <v/>
      </c>
      <c r="R28" s="54" t="str">
        <f>IF(AND('Mapa final'!$AJ$54="Alta",'Mapa final'!$AL$54="Menor"),CONCATENATE("R2C",'Mapa final'!$S$54),"")</f>
        <v/>
      </c>
      <c r="S28" s="54" t="str">
        <f>IF(AND('Mapa final'!$AJ$55="Alta",'Mapa final'!$AL$55="Menor"),CONCATENATE("R2C",'Mapa final'!$S$55),"")</f>
        <v/>
      </c>
      <c r="T28" s="54" t="str">
        <f>IF(AND('Mapa final'!$AJ$56="Alta",'Mapa final'!$AL$56="Menor"),CONCATENATE("R2C",'Mapa final'!$S$56),"")</f>
        <v/>
      </c>
      <c r="U28" s="54" t="str">
        <f>IF(AND('Mapa final'!$AJ$57="Alta",'Mapa final'!$AL$57="Menor"),CONCATENATE("R2C",'Mapa final'!$S$57),"")</f>
        <v/>
      </c>
      <c r="V28" s="55" t="str">
        <f>IF(AND('Mapa final'!$AJ$58="Alta",'Mapa final'!$AL$58="Menor"),CONCATENATE("R2C",'Mapa final'!$S$58),"")</f>
        <v/>
      </c>
      <c r="W28" s="38" t="str">
        <f>IF(AND('Mapa final'!$AJ$53="Alta",'Mapa final'!$AL$53="Moderado"),CONCATENATE("R2C",'Mapa final'!$S$53),"")</f>
        <v/>
      </c>
      <c r="X28" s="39" t="str">
        <f>IF(AND('Mapa final'!$AJ$54="Alta",'Mapa final'!$AL$54="Moderado"),CONCATENATE("R2C",'Mapa final'!$S$54),"")</f>
        <v/>
      </c>
      <c r="Y28" s="39" t="str">
        <f>IF(AND('Mapa final'!$AJ$55="Alta",'Mapa final'!$AL$55="Moderado"),CONCATENATE("R2C",'Mapa final'!$S$55),"")</f>
        <v/>
      </c>
      <c r="Z28" s="39" t="str">
        <f>IF(AND('Mapa final'!$AJ$56="Alta",'Mapa final'!$AL$56="Moderado"),CONCATENATE("R2C",'Mapa final'!$S$56),"")</f>
        <v/>
      </c>
      <c r="AA28" s="39" t="str">
        <f>IF(AND('Mapa final'!$AJ$57="Alta",'Mapa final'!$AL$57="Moderado"),CONCATENATE("R2C",'Mapa final'!$S$57),"")</f>
        <v/>
      </c>
      <c r="AB28" s="40" t="str">
        <f>IF(AND('Mapa final'!$AJ$58="Alta",'Mapa final'!$AL$58="Moderado"),CONCATENATE("R2C",'Mapa final'!$S$58),"")</f>
        <v/>
      </c>
      <c r="AC28" s="38" t="str">
        <f>IF(AND('Mapa final'!$AJ$53="Alta",'Mapa final'!$AL$53="Mayor"),CONCATENATE("R2C",'Mapa final'!$S$53),"")</f>
        <v/>
      </c>
      <c r="AD28" s="39" t="str">
        <f>IF(AND('Mapa final'!$AJ$54="Alta",'Mapa final'!$AL$54="Mayor"),CONCATENATE("R2C",'Mapa final'!$S$54),"")</f>
        <v/>
      </c>
      <c r="AE28" s="39" t="str">
        <f>IF(AND('Mapa final'!$AJ$55="Alta",'Mapa final'!$AL$55="Mayor"),CONCATENATE("R2C",'Mapa final'!$S$55),"")</f>
        <v/>
      </c>
      <c r="AF28" s="39" t="str">
        <f>IF(AND('Mapa final'!$AJ$56="Alta",'Mapa final'!$AL$56="Mayor"),CONCATENATE("R2C",'Mapa final'!$S$56),"")</f>
        <v/>
      </c>
      <c r="AG28" s="39" t="str">
        <f>IF(AND('Mapa final'!$AJ$57="Alta",'Mapa final'!$AL$57="Mayor"),CONCATENATE("R2C",'Mapa final'!$S$57),"")</f>
        <v/>
      </c>
      <c r="AH28" s="40" t="str">
        <f>IF(AND('Mapa final'!$AJ$58="Alta",'Mapa final'!$AL$58="Mayor"),CONCATENATE("R2C",'Mapa final'!$S$58),"")</f>
        <v/>
      </c>
      <c r="AI28" s="41" t="str">
        <f>IF(AND('Mapa final'!$AJ$53="Alta",'Mapa final'!$AL$53="Catastrófico"),CONCATENATE("R2C",'Mapa final'!$S$53),"")</f>
        <v/>
      </c>
      <c r="AJ28" s="42" t="str">
        <f>IF(AND('Mapa final'!$AJ$54="Alta",'Mapa final'!$AL$54="Catastrófico"),CONCATENATE("R2C",'Mapa final'!$S$54),"")</f>
        <v/>
      </c>
      <c r="AK28" s="42" t="str">
        <f>IF(AND('Mapa final'!$AJ$55="Alta",'Mapa final'!$AL$55="Catastrófico"),CONCATENATE("R2C",'Mapa final'!$S$55),"")</f>
        <v/>
      </c>
      <c r="AL28" s="42" t="str">
        <f>IF(AND('Mapa final'!$AJ$56="Alta",'Mapa final'!$AL$56="Catastrófico"),CONCATENATE("R2C",'Mapa final'!$S$56),"")</f>
        <v/>
      </c>
      <c r="AM28" s="42" t="str">
        <f>IF(AND('Mapa final'!$AJ$57="Alta",'Mapa final'!$AL$57="Catastrófico"),CONCATENATE("R2C",'Mapa final'!$S$57),"")</f>
        <v/>
      </c>
      <c r="AN28" s="43" t="str">
        <f>IF(AND('Mapa final'!$AJ$58="Alta",'Mapa final'!$AL$58="Catastrófico"),CONCATENATE("R2C",'Mapa final'!$S$58),"")</f>
        <v/>
      </c>
      <c r="AO28" s="69"/>
      <c r="AP28" s="475"/>
      <c r="AQ28" s="476"/>
      <c r="AR28" s="476"/>
      <c r="AS28" s="476"/>
      <c r="AT28" s="476"/>
      <c r="AU28" s="477"/>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422"/>
      <c r="D29" s="422"/>
      <c r="E29" s="423"/>
      <c r="F29" s="465"/>
      <c r="G29" s="466"/>
      <c r="H29" s="466"/>
      <c r="I29" s="466"/>
      <c r="J29" s="466"/>
      <c r="K29" s="53" t="str">
        <f>IF(AND('Mapa final'!$AJ$59="Alta",'Mapa final'!$AL$59="Leve"),CONCATENATE("R2C",'Mapa final'!$S$59),"")</f>
        <v/>
      </c>
      <c r="L29" s="54" t="str">
        <f>IF(AND('Mapa final'!$AJ$60="Alta",'Mapa final'!$AL$60="Leve"),CONCATENATE("R2C",'Mapa final'!$S$60),"")</f>
        <v/>
      </c>
      <c r="M29" s="54" t="str">
        <f>IF(AND('Mapa final'!$AJ$61="Alta",'Mapa final'!$AL$61="Leve"),CONCATENATE("R2C",'Mapa final'!$S$61),"")</f>
        <v/>
      </c>
      <c r="N29" s="54" t="str">
        <f>IF(AND('Mapa final'!$AJ$62="Alta",'Mapa final'!$AL$62="Leve"),CONCATENATE("R2C",'Mapa final'!$S$62),"")</f>
        <v/>
      </c>
      <c r="O29" s="54" t="str">
        <f>IF(AND('Mapa final'!$AJ$63="Alta",'Mapa final'!$AL$63="Leve"),CONCATENATE("R2C",'Mapa final'!$S$63),"")</f>
        <v/>
      </c>
      <c r="P29" s="55" t="str">
        <f>IF(AND('Mapa final'!$AJ$64="Alta",'Mapa final'!$AL$64="Leve"),CONCATENATE("R2C",'Mapa final'!$S$64),"")</f>
        <v/>
      </c>
      <c r="Q29" s="53" t="str">
        <f>IF(AND('Mapa final'!$AJ$59="Alta",'Mapa final'!$AL$59="Menor"),CONCATENATE("R2C",'Mapa final'!$S$59),"")</f>
        <v/>
      </c>
      <c r="R29" s="54" t="str">
        <f>IF(AND('Mapa final'!$AJ$60="Alta",'Mapa final'!$AL$60="Menor"),CONCATENATE("R2C",'Mapa final'!$S$60),"")</f>
        <v/>
      </c>
      <c r="S29" s="54" t="str">
        <f>IF(AND('Mapa final'!$AJ$61="Alta",'Mapa final'!$AL$61="Menor"),CONCATENATE("R2C",'Mapa final'!$S$61),"")</f>
        <v/>
      </c>
      <c r="T29" s="54" t="str">
        <f>IF(AND('Mapa final'!$AJ$62="Alta",'Mapa final'!$AL$62="Menor"),CONCATENATE("R2C",'Mapa final'!$S$62),"")</f>
        <v/>
      </c>
      <c r="U29" s="54" t="str">
        <f>IF(AND('Mapa final'!$AJ$63="Alta",'Mapa final'!$AL$63="Menor"),CONCATENATE("R2C",'Mapa final'!$S$63),"")</f>
        <v/>
      </c>
      <c r="V29" s="55" t="str">
        <f>IF(AND('Mapa final'!$AJ$64="Alta",'Mapa final'!$AL$64="Menor"),CONCATENATE("R2C",'Mapa final'!$S$64),"")</f>
        <v/>
      </c>
      <c r="W29" s="38" t="str">
        <f>IF(AND('Mapa final'!$AJ$59="Alta",'Mapa final'!$AL$59="Moderado"),CONCATENATE("R2C",'Mapa final'!$S$59),"")</f>
        <v/>
      </c>
      <c r="X29" s="39" t="str">
        <f>IF(AND('Mapa final'!$AJ$60="Alta",'Mapa final'!$AL$60="Moderado"),CONCATENATE("R2C",'Mapa final'!$S$60),"")</f>
        <v/>
      </c>
      <c r="Y29" s="39" t="str">
        <f>IF(AND('Mapa final'!$AJ$61="Alta",'Mapa final'!$AL$61="Moderado"),CONCATENATE("R2C",'Mapa final'!$S$61),"")</f>
        <v/>
      </c>
      <c r="Z29" s="39" t="str">
        <f>IF(AND('Mapa final'!$AJ$62="Alta",'Mapa final'!$AL$62="Moderado"),CONCATENATE("R2C",'Mapa final'!$S$62),"")</f>
        <v/>
      </c>
      <c r="AA29" s="39" t="str">
        <f>IF(AND('Mapa final'!$AJ$63="Alta",'Mapa final'!$AL$63="Moderado"),CONCATENATE("R2C",'Mapa final'!$S$63),"")</f>
        <v/>
      </c>
      <c r="AB29" s="40" t="str">
        <f>IF(AND('Mapa final'!$AJ$64="Alta",'Mapa final'!$AL$64="Moderado"),CONCATENATE("R2C",'Mapa final'!$S$64),"")</f>
        <v/>
      </c>
      <c r="AC29" s="38" t="str">
        <f>IF(AND('Mapa final'!$AJ$59="Alta",'Mapa final'!$AL$59="Mayor"),CONCATENATE("R2C",'Mapa final'!$S$59),"")</f>
        <v/>
      </c>
      <c r="AD29" s="39" t="str">
        <f>IF(AND('Mapa final'!$AJ$60="Alta",'Mapa final'!$AL$60="Mayor"),CONCATENATE("R2C",'Mapa final'!$S$60),"")</f>
        <v/>
      </c>
      <c r="AE29" s="39" t="str">
        <f>IF(AND('Mapa final'!$AJ$61="Alta",'Mapa final'!$AL$61="Mayor"),CONCATENATE("R2C",'Mapa final'!$S$61),"")</f>
        <v/>
      </c>
      <c r="AF29" s="39" t="str">
        <f>IF(AND('Mapa final'!$AJ$62="Alta",'Mapa final'!$AL$62="Mayor"),CONCATENATE("R2C",'Mapa final'!$S$62),"")</f>
        <v/>
      </c>
      <c r="AG29" s="39" t="str">
        <f>IF(AND('Mapa final'!$AJ$63="Alta",'Mapa final'!$AL$63="Mayor"),CONCATENATE("R2C",'Mapa final'!$S$63),"")</f>
        <v/>
      </c>
      <c r="AH29" s="40" t="str">
        <f>IF(AND('Mapa final'!$AJ$64="Alta",'Mapa final'!$AL$64="Mayor"),CONCATENATE("R2C",'Mapa final'!$S$64),"")</f>
        <v/>
      </c>
      <c r="AI29" s="41" t="str">
        <f>IF(AND('Mapa final'!$AJ$59="Alta",'Mapa final'!$AL$59="Catastrófico"),CONCATENATE("R2C",'Mapa final'!$S$59),"")</f>
        <v/>
      </c>
      <c r="AJ29" s="42" t="str">
        <f>IF(AND('Mapa final'!$AJ$60="Alta",'Mapa final'!$AL$60="Catastrófico"),CONCATENATE("R2C",'Mapa final'!$S$60),"")</f>
        <v/>
      </c>
      <c r="AK29" s="42" t="str">
        <f>IF(AND('Mapa final'!$AJ$61="Alta",'Mapa final'!$AL$61="Catastrófico"),CONCATENATE("R2C",'Mapa final'!$S$61),"")</f>
        <v/>
      </c>
      <c r="AL29" s="42" t="str">
        <f>IF(AND('Mapa final'!$AJ$62="Alta",'Mapa final'!$AL$62="Catastrófico"),CONCATENATE("R2C",'Mapa final'!$S$62),"")</f>
        <v/>
      </c>
      <c r="AM29" s="42" t="str">
        <f>IF(AND('Mapa final'!$AJ$63="Alta",'Mapa final'!$AL$63="Catastrófico"),CONCATENATE("R2C",'Mapa final'!$S$63),"")</f>
        <v/>
      </c>
      <c r="AN29" s="43" t="str">
        <f>IF(AND('Mapa final'!$AJ$64="Alta",'Mapa final'!$AL$64="Catastrófico"),CONCATENATE("R2C",'Mapa final'!$S$64),"")</f>
        <v/>
      </c>
      <c r="AO29" s="69"/>
      <c r="AP29" s="475"/>
      <c r="AQ29" s="476"/>
      <c r="AR29" s="476"/>
      <c r="AS29" s="476"/>
      <c r="AT29" s="476"/>
      <c r="AU29" s="477"/>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422"/>
      <c r="D30" s="422"/>
      <c r="E30" s="423"/>
      <c r="F30" s="465"/>
      <c r="G30" s="466"/>
      <c r="H30" s="466"/>
      <c r="I30" s="466"/>
      <c r="J30" s="466"/>
      <c r="K30" s="53" t="str">
        <f>IF(AND('Mapa final'!$AJ$65="Alta",'Mapa final'!$AL$65="Leve"),CONCATENATE("R2C",'Mapa final'!$S$65),"")</f>
        <v/>
      </c>
      <c r="L30" s="54" t="str">
        <f>IF(AND('Mapa final'!$AJ$66="Alta",'Mapa final'!$AL$66="Leve"),CONCATENATE("R2C",'Mapa final'!$S$66),"")</f>
        <v/>
      </c>
      <c r="M30" s="54" t="str">
        <f>IF(AND('Mapa final'!$AJ$67="Alta",'Mapa final'!$AL$67="Leve"),CONCATENATE("R2C",'Mapa final'!$S$67),"")</f>
        <v/>
      </c>
      <c r="N30" s="54" t="str">
        <f>IF(AND('Mapa final'!$AJ$68="Alta",'Mapa final'!$AL$68="Leve"),CONCATENATE("R2C",'Mapa final'!$S$68),"")</f>
        <v/>
      </c>
      <c r="O30" s="54" t="str">
        <f>IF(AND('Mapa final'!$AJ$69="Alta",'Mapa final'!$AL$69="Leve"),CONCATENATE("R2C",'Mapa final'!$S$69),"")</f>
        <v/>
      </c>
      <c r="P30" s="55" t="str">
        <f>IF(AND('Mapa final'!$AJ$70="Alta",'Mapa final'!$AL$70="Leve"),CONCATENATE("R2C",'Mapa final'!$S$70),"")</f>
        <v/>
      </c>
      <c r="Q30" s="53" t="str">
        <f>IF(AND('Mapa final'!$AJ$65="Alta",'Mapa final'!$AL$65="Menor"),CONCATENATE("R2C",'Mapa final'!$S$65),"")</f>
        <v/>
      </c>
      <c r="R30" s="54" t="str">
        <f>IF(AND('Mapa final'!$AJ$66="Alta",'Mapa final'!$AL$66="Menor"),CONCATENATE("R2C",'Mapa final'!$S$66),"")</f>
        <v/>
      </c>
      <c r="S30" s="54" t="str">
        <f>IF(AND('Mapa final'!$AJ$67="Alta",'Mapa final'!$AL$67="Menor"),CONCATENATE("R2C",'Mapa final'!$S$67),"")</f>
        <v/>
      </c>
      <c r="T30" s="54" t="str">
        <f>IF(AND('Mapa final'!$AJ$68="Alta",'Mapa final'!$AL$68="Menor"),CONCATENATE("R2C",'Mapa final'!$S$68),"")</f>
        <v/>
      </c>
      <c r="U30" s="54" t="str">
        <f>IF(AND('Mapa final'!$AJ$69="Alta",'Mapa final'!$AL$69="Menor"),CONCATENATE("R2C",'Mapa final'!$S$69),"")</f>
        <v/>
      </c>
      <c r="V30" s="55" t="str">
        <f>IF(AND('Mapa final'!$AJ$70="Alta",'Mapa final'!$AL$70="Menor"),CONCATENATE("R2C",'Mapa final'!$S$70),"")</f>
        <v/>
      </c>
      <c r="W30" s="38" t="str">
        <f>IF(AND('Mapa final'!$AJ$65="Alta",'Mapa final'!$AL$65="Moderado"),CONCATENATE("R2C",'Mapa final'!$S$65),"")</f>
        <v/>
      </c>
      <c r="X30" s="39" t="str">
        <f>IF(AND('Mapa final'!$AJ$66="Alta",'Mapa final'!$AL$66="Moderado"),CONCATENATE("R2C",'Mapa final'!$S$66),"")</f>
        <v/>
      </c>
      <c r="Y30" s="39" t="str">
        <f>IF(AND('Mapa final'!$AJ$67="Alta",'Mapa final'!$AL$67="Moderado"),CONCATENATE("R2C",'Mapa final'!$S$67),"")</f>
        <v/>
      </c>
      <c r="Z30" s="39" t="str">
        <f>IF(AND('Mapa final'!$AJ$68="Alta",'Mapa final'!$AL$68="Moderado"),CONCATENATE("R2C",'Mapa final'!$S$68),"")</f>
        <v/>
      </c>
      <c r="AA30" s="39" t="str">
        <f>IF(AND('Mapa final'!$AJ$69="Alta",'Mapa final'!$AL$69="Moderado"),CONCATENATE("R2C",'Mapa final'!$S$69),"")</f>
        <v/>
      </c>
      <c r="AB30" s="40" t="str">
        <f>IF(AND('Mapa final'!$AJ$70="Alta",'Mapa final'!$AL$70="Moderado"),CONCATENATE("R2C",'Mapa final'!$S$70),"")</f>
        <v/>
      </c>
      <c r="AC30" s="38" t="str">
        <f>IF(AND('Mapa final'!$AJ$65="Alta",'Mapa final'!$AL$65="Mayor"),CONCATENATE("R2C",'Mapa final'!$S$65),"")</f>
        <v/>
      </c>
      <c r="AD30" s="39" t="str">
        <f>IF(AND('Mapa final'!$AJ$66="Alta",'Mapa final'!$AL$66="Mayor"),CONCATENATE("R2C",'Mapa final'!$S$66),"")</f>
        <v/>
      </c>
      <c r="AE30" s="39" t="str">
        <f>IF(AND('Mapa final'!$AJ$67="Alta",'Mapa final'!$AL$67="Mayor"),CONCATENATE("R2C",'Mapa final'!$S$67),"")</f>
        <v/>
      </c>
      <c r="AF30" s="39" t="str">
        <f>IF(AND('Mapa final'!$AJ$68="Alta",'Mapa final'!$AL$68="Mayor"),CONCATENATE("R2C",'Mapa final'!$S$68),"")</f>
        <v/>
      </c>
      <c r="AG30" s="39" t="str">
        <f>IF(AND('Mapa final'!$AJ$69="Alta",'Mapa final'!$AL$69="Mayor"),CONCATENATE("R2C",'Mapa final'!$S$69),"")</f>
        <v/>
      </c>
      <c r="AH30" s="40" t="str">
        <f>IF(AND('Mapa final'!$AJ$70="Alta",'Mapa final'!$AL$70="Mayor"),CONCATENATE("R2C",'Mapa final'!$S$70),"")</f>
        <v/>
      </c>
      <c r="AI30" s="41" t="str">
        <f>IF(AND('Mapa final'!$AJ$65="Alta",'Mapa final'!$AL$65="Catastrófico"),CONCATENATE("R2C",'Mapa final'!$S$65),"")</f>
        <v/>
      </c>
      <c r="AJ30" s="42" t="str">
        <f>IF(AND('Mapa final'!$AJ$66="Alta",'Mapa final'!$AL$66="Catastrófico"),CONCATENATE("R2C",'Mapa final'!$S$66),"")</f>
        <v/>
      </c>
      <c r="AK30" s="42" t="str">
        <f>IF(AND('Mapa final'!$AJ$67="Alta",'Mapa final'!$AL$67="Catastrófico"),CONCATENATE("R2C",'Mapa final'!$S$67),"")</f>
        <v/>
      </c>
      <c r="AL30" s="42" t="str">
        <f>IF(AND('Mapa final'!$AJ$68="Alta",'Mapa final'!$AL$68="Catastrófico"),CONCATENATE("R2C",'Mapa final'!$S$68),"")</f>
        <v/>
      </c>
      <c r="AM30" s="42" t="str">
        <f>IF(AND('Mapa final'!$AJ$69="Alta",'Mapa final'!$AL$69="Catastrófico"),CONCATENATE("R2C",'Mapa final'!$S$69),"")</f>
        <v/>
      </c>
      <c r="AN30" s="43" t="str">
        <f>IF(AND('Mapa final'!$AJ$70="Alta",'Mapa final'!$AL$70="Catastrófico"),CONCATENATE("R2C",'Mapa final'!$S$70),"")</f>
        <v/>
      </c>
      <c r="AO30" s="69"/>
      <c r="AP30" s="475"/>
      <c r="AQ30" s="476"/>
      <c r="AR30" s="476"/>
      <c r="AS30" s="476"/>
      <c r="AT30" s="476"/>
      <c r="AU30" s="477"/>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422"/>
      <c r="D31" s="422"/>
      <c r="E31" s="423"/>
      <c r="F31" s="468"/>
      <c r="G31" s="469"/>
      <c r="H31" s="469"/>
      <c r="I31" s="469"/>
      <c r="J31" s="469"/>
      <c r="K31" s="56" t="str">
        <f>IF(AND('Mapa final'!$AJ$71="Alta",'Mapa final'!$AL$71="Leve"),CONCATENATE("R2C",'Mapa final'!$S$71),"")</f>
        <v/>
      </c>
      <c r="L31" s="57" t="str">
        <f>IF(AND('Mapa final'!$AJ$72="Alta",'Mapa final'!$AL$72="Leve"),CONCATENATE("R2C",'Mapa final'!$S$72),"")</f>
        <v/>
      </c>
      <c r="M31" s="57" t="str">
        <f>IF(AND('Mapa final'!$AJ$73="Alta",'Mapa final'!$AL$73="Leve"),CONCATENATE("R2C",'Mapa final'!$S$73),"")</f>
        <v/>
      </c>
      <c r="N31" s="57" t="str">
        <f>IF(AND('Mapa final'!$AJ$74="Alta",'Mapa final'!$AL$74="Leve"),CONCATENATE("R2C",'Mapa final'!$S$74),"")</f>
        <v/>
      </c>
      <c r="O31" s="57" t="str">
        <f>IF(AND('Mapa final'!$AJ$76="Alta",'Mapa final'!$AL$76="Leve"),CONCATENATE("R2C",'Mapa final'!$S$76),"")</f>
        <v/>
      </c>
      <c r="P31" s="58" t="str">
        <f>IF(AND('Mapa final'!$AJ$77="Alta",'Mapa final'!$AL$77="Leve"),CONCATENATE("R2C",'Mapa final'!$S$77),"")</f>
        <v/>
      </c>
      <c r="Q31" s="56" t="str">
        <f>IF(AND('Mapa final'!$AJ$71="Alta",'Mapa final'!$AL$71="Menor"),CONCATENATE("R2C",'Mapa final'!$S$71),"")</f>
        <v/>
      </c>
      <c r="R31" s="57" t="str">
        <f>IF(AND('Mapa final'!$AJ$72="Alta",'Mapa final'!$AL$72="Menor"),CONCATENATE("R2C",'Mapa final'!$S$72),"")</f>
        <v/>
      </c>
      <c r="S31" s="57" t="str">
        <f>IF(AND('Mapa final'!$AJ$73="Alta",'Mapa final'!$AL$73="Menor"),CONCATENATE("R2C",'Mapa final'!$S$73),"")</f>
        <v/>
      </c>
      <c r="T31" s="57" t="str">
        <f>IF(AND('Mapa final'!$AJ$74="Alta",'Mapa final'!$AL$74="Menor"),CONCATENATE("R2C",'Mapa final'!$S$74),"")</f>
        <v/>
      </c>
      <c r="U31" s="57" t="str">
        <f>IF(AND('Mapa final'!$AJ$76="Alta",'Mapa final'!$AL$76="Menor"),CONCATENATE("R2C",'Mapa final'!$S$76),"")</f>
        <v/>
      </c>
      <c r="V31" s="58" t="str">
        <f>IF(AND('Mapa final'!$AJ$77="Alta",'Mapa final'!$AL$77="Menor"),CONCATENATE("R2C",'Mapa final'!$S$77),"")</f>
        <v/>
      </c>
      <c r="W31" s="44" t="str">
        <f>IF(AND('Mapa final'!$AJ$71="Alta",'Mapa final'!$AL$71="Moderado"),CONCATENATE("R2C",'Mapa final'!$S$71),"")</f>
        <v/>
      </c>
      <c r="X31" s="45" t="str">
        <f>IF(AND('Mapa final'!$AJ$72="Alta",'Mapa final'!$AL$72="Moderado"),CONCATENATE("R2C",'Mapa final'!$S$72),"")</f>
        <v/>
      </c>
      <c r="Y31" s="45" t="str">
        <f>IF(AND('Mapa final'!$AJ$73="Alta",'Mapa final'!$AL$73="Moderado"),CONCATENATE("R2C",'Mapa final'!$S$73),"")</f>
        <v/>
      </c>
      <c r="Z31" s="45" t="str">
        <f>IF(AND('Mapa final'!$AJ$74="Alta",'Mapa final'!$AL$74="Moderado"),CONCATENATE("R2C",'Mapa final'!$S$74),"")</f>
        <v/>
      </c>
      <c r="AA31" s="45" t="str">
        <f>IF(AND('Mapa final'!$AJ$76="Alta",'Mapa final'!$AL$76="Moderado"),CONCATENATE("R2C",'Mapa final'!$S$76),"")</f>
        <v/>
      </c>
      <c r="AB31" s="46" t="str">
        <f>IF(AND('Mapa final'!$AJ$77="Alta",'Mapa final'!$AL$77="Moderado"),CONCATENATE("R2C",'Mapa final'!$S$77),"")</f>
        <v/>
      </c>
      <c r="AC31" s="44" t="str">
        <f>IF(AND('Mapa final'!$AJ$71="Alta",'Mapa final'!$AL$71="Mayor"),CONCATENATE("R2C",'Mapa final'!$S$71),"")</f>
        <v/>
      </c>
      <c r="AD31" s="45" t="str">
        <f>IF(AND('Mapa final'!$AJ$72="Alta",'Mapa final'!$AL$72="Mayor"),CONCATENATE("R2C",'Mapa final'!$S$72),"")</f>
        <v/>
      </c>
      <c r="AE31" s="45" t="str">
        <f>IF(AND('Mapa final'!$AJ$73="Alta",'Mapa final'!$AL$73="Mayor"),CONCATENATE("R2C",'Mapa final'!$S$73),"")</f>
        <v/>
      </c>
      <c r="AF31" s="45" t="str">
        <f>IF(AND('Mapa final'!$AJ$74="Alta",'Mapa final'!$AL$74="Mayor"),CONCATENATE("R2C",'Mapa final'!$S$74),"")</f>
        <v/>
      </c>
      <c r="AG31" s="45" t="str">
        <f>IF(AND('Mapa final'!$AJ$76="Alta",'Mapa final'!$AL$76="Mayor"),CONCATENATE("R2C",'Mapa final'!$S$76),"")</f>
        <v/>
      </c>
      <c r="AH31" s="46" t="str">
        <f>IF(AND('Mapa final'!$AJ$77="Alta",'Mapa final'!$AL$77="Mayor"),CONCATENATE("R2C",'Mapa final'!$S$77),"")</f>
        <v/>
      </c>
      <c r="AI31" s="47" t="str">
        <f>IF(AND('Mapa final'!$AJ$71="Alta",'Mapa final'!$AL$71="Catastrófico"),CONCATENATE("R2C",'Mapa final'!$S$71),"")</f>
        <v/>
      </c>
      <c r="AJ31" s="48" t="str">
        <f>IF(AND('Mapa final'!$AJ$72="Alta",'Mapa final'!$AL$72="Catastrófico"),CONCATENATE("R2C",'Mapa final'!$S$72),"")</f>
        <v/>
      </c>
      <c r="AK31" s="48" t="str">
        <f>IF(AND('Mapa final'!$AJ$73="Alta",'Mapa final'!$AL$73="Catastrófico"),CONCATENATE("R2C",'Mapa final'!$S$73),"")</f>
        <v/>
      </c>
      <c r="AL31" s="48" t="str">
        <f>IF(AND('Mapa final'!$AJ$74="Alta",'Mapa final'!$AL$74="Catastrófico"),CONCATENATE("R2C",'Mapa final'!$S$74),"")</f>
        <v/>
      </c>
      <c r="AM31" s="48" t="str">
        <f>IF(AND('Mapa final'!$AJ$76="Alta",'Mapa final'!$AL$76="Catastrófico"),CONCATENATE("R2C",'Mapa final'!$S$76),"")</f>
        <v/>
      </c>
      <c r="AN31" s="49" t="str">
        <f>IF(AND('Mapa final'!$AJ$77="Muy Alta",'Mapa final'!$AL$77="Catastrófico"),CONCATENATE("R2C",'Mapa final'!$S$77),"")</f>
        <v/>
      </c>
      <c r="AO31" s="69"/>
      <c r="AP31" s="478"/>
      <c r="AQ31" s="479"/>
      <c r="AR31" s="479"/>
      <c r="AS31" s="479"/>
      <c r="AT31" s="479"/>
      <c r="AU31" s="480"/>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422"/>
      <c r="D32" s="422"/>
      <c r="E32" s="423"/>
      <c r="F32" s="462" t="s">
        <v>116</v>
      </c>
      <c r="G32" s="463"/>
      <c r="H32" s="463"/>
      <c r="I32" s="463"/>
      <c r="J32" s="464"/>
      <c r="K32" s="50" t="str">
        <f ca="1">IF(AND('Mapa final'!$AJ$15="Media",'Mapa final'!$AL$15="Leve"),CONCATENATE("R2C",'Mapa final'!$S$15),"")</f>
        <v/>
      </c>
      <c r="L32" s="51" t="str">
        <f ca="1">IF(AND('Mapa final'!$AJ$16="Media",'Mapa final'!$AL$16="Leve"),CONCATENATE("R2C",'Mapa final'!$S$16),"")</f>
        <v/>
      </c>
      <c r="M32" s="51" t="str">
        <f ca="1">IF(AND('Mapa final'!$AJ$17="Media",'Mapa final'!$AL$17="Leve"),CONCATENATE("R2C",'Mapa final'!$S$17),"")</f>
        <v/>
      </c>
      <c r="N32" s="51" t="str">
        <f ca="1">IF(AND('Mapa final'!$AJ$18="Media",'Mapa final'!$AL$18="Leve"),CONCATENATE("R2C",'Mapa final'!$S$18),"")</f>
        <v/>
      </c>
      <c r="O32" s="51" t="str">
        <f>IF(AND('Mapa final'!$AJ$19="Media",'Mapa final'!$AL$19="Leve"),CONCATENATE("R2C",'Mapa final'!$S$19),"")</f>
        <v/>
      </c>
      <c r="P32" s="52" t="str">
        <f>IF(AND('Mapa final'!$AJ$20="Media",'Mapa final'!$AL$20="Leve"),CONCATENATE("R2C",'Mapa final'!$S$20),"")</f>
        <v/>
      </c>
      <c r="Q32" s="50" t="str">
        <f ca="1">IF(AND('Mapa final'!$AJ$15="Media",'Mapa final'!$AL$15="Menor"),CONCATENATE("R2C",'Mapa final'!$S$15),"")</f>
        <v/>
      </c>
      <c r="R32" s="51" t="str">
        <f ca="1">IF(AND('Mapa final'!$AJ$16="Media",'Mapa final'!$AL$16="Menore"),CONCATENATE("R2C",'Mapa final'!$S$16),"")</f>
        <v/>
      </c>
      <c r="S32" s="51" t="str">
        <f ca="1">IF(AND('Mapa final'!$AJ$17="Media",'Mapa final'!$AL$17="Menor"),CONCATENATE("R2C",'Mapa final'!$S$17),"")</f>
        <v/>
      </c>
      <c r="T32" s="51" t="str">
        <f ca="1">IF(AND('Mapa final'!$AJ$18="Media",'Mapa final'!$AL$18="Menor"),CONCATENATE("R2C",'Mapa final'!$S$18),"")</f>
        <v/>
      </c>
      <c r="U32" s="51" t="str">
        <f>IF(AND('Mapa final'!$AJ$19="Media",'Mapa final'!$AL$19="Menor"),CONCATENATE("R2C",'Mapa final'!$S$19),"")</f>
        <v/>
      </c>
      <c r="V32" s="52" t="str">
        <f>IF(AND('Mapa final'!$AJ$20="Media",'Mapa final'!$AL$20="Menor"),CONCATENATE("R2C",'Mapa final'!$S$20),"")</f>
        <v/>
      </c>
      <c r="W32" s="50" t="str">
        <f ca="1">IF(AND('Mapa final'!$AJ$15="Media",'Mapa final'!$AL$15="Moderado"),CONCATENATE("R2C",'Mapa final'!$S$15),"")</f>
        <v/>
      </c>
      <c r="X32" s="51" t="str">
        <f ca="1">IF(AND('Mapa final'!$AJ$16="Media",'Mapa final'!$AL$16="Moderado"),CONCATENATE("R2C",'Mapa final'!$S$16),"")</f>
        <v/>
      </c>
      <c r="Y32" s="51"/>
      <c r="Z32" s="51" t="str">
        <f ca="1">IF(AND('Mapa final'!$AJ$18="Media",'Mapa final'!$AL$18="Moderado"),CONCATENATE("R2C",'Mapa final'!$S$18),"")</f>
        <v/>
      </c>
      <c r="AA32" s="51" t="str">
        <f>IF(AND('Mapa final'!$AJ$19="Media",'Mapa final'!$AL$19="Moderado"),CONCATENATE("R2C",'Mapa final'!$S$19),"")</f>
        <v/>
      </c>
      <c r="AB32" s="52" t="str">
        <f>IF(AND('Mapa final'!$AJ$20="Media",'Mapa final'!$AL$20="Moderado"),CONCATENATE("R2C",'Mapa final'!$S$20),"")</f>
        <v/>
      </c>
      <c r="AC32" s="32" t="str">
        <f ca="1">IF(AND('Mapa final'!$AJ$15="Media",'Mapa final'!$AL$15="Mayor"),CONCATENATE("R2C",'Mapa final'!$S$15),"")</f>
        <v/>
      </c>
      <c r="AD32" s="33" t="str">
        <f ca="1">IF(AND('Mapa final'!$AJ$16="Media",'Mapa final'!$AL$16="Mayor"),CONCATENATE("R2C",'Mapa final'!$S$16),"")</f>
        <v/>
      </c>
      <c r="AE32" s="33" t="str">
        <f ca="1">IF(AND('Mapa final'!$AJ$17="Media",'Mapa final'!$AL$17="Mayor"),CONCATENATE("R2C",'Mapa final'!$D$17),"")</f>
        <v>R2C3</v>
      </c>
      <c r="AF32" s="33" t="str">
        <f ca="1">IF(AND('Mapa final'!$AJ$18="Media",'Mapa final'!$AL$18="Mayor"),CONCATENATE("R2C",'Mapa final'!$D$18),"")</f>
        <v>R2C4</v>
      </c>
      <c r="AG32" s="33" t="str">
        <f>IF(AND('Mapa final'!$AJ$19="Media",'Mapa final'!$AL$19="Mayor"),CONCATENATE("R2C",'Mapa final'!$S$19),"")</f>
        <v/>
      </c>
      <c r="AH32" s="34" t="str">
        <f>IF(AND('Mapa final'!$AJ$20="Media",'Mapa final'!$AL$20="Mayor"),CONCATENATE("R2C",'Mapa final'!$S$20),"")</f>
        <v/>
      </c>
      <c r="AI32" s="35" t="str">
        <f ca="1">IF(AND('Mapa final'!$AJ$15="Media",'Mapa final'!$AL$15="Catastrófico"),CONCATENATE("R2C",'Mapa final'!$S$15),"")</f>
        <v/>
      </c>
      <c r="AJ32" s="36" t="str">
        <f ca="1">IF(AND('Mapa final'!$AJ$16="Media",'Mapa final'!$AL$16="Catastrófico"),CONCATENATE("R2C",'Mapa final'!$S$16),"")</f>
        <v/>
      </c>
      <c r="AK32" s="36" t="str">
        <f ca="1">IF(AND('Mapa final'!$AJ$17="Media",'Mapa final'!$AL$17="Catastrófico"),CONCATENATE("R2C",'Mapa final'!$S$17),"")</f>
        <v/>
      </c>
      <c r="AL32" s="36" t="str">
        <f ca="1">IF(AND('Mapa final'!$AJ$18="Media",'Mapa final'!$AL$18="Catastrófico"),CONCATENATE("R2C",'Mapa final'!$S$18),"")</f>
        <v/>
      </c>
      <c r="AM32" s="36" t="str">
        <f>IF(AND('Mapa final'!$AJ$19="Media",'Mapa final'!$AL$19="Catastrófico"),CONCATENATE("R2C",'Mapa final'!$S$19),"")</f>
        <v/>
      </c>
      <c r="AN32" s="37" t="str">
        <f>IF(AND('Mapa final'!$AJ$20="Media",'Mapa final'!$AL$20="Catastrófico"),CONCATENATE("R2C",'Mapa final'!$S$20),"")</f>
        <v/>
      </c>
      <c r="AO32" s="69"/>
      <c r="AP32" s="504" t="s">
        <v>80</v>
      </c>
      <c r="AQ32" s="505"/>
      <c r="AR32" s="505"/>
      <c r="AS32" s="505"/>
      <c r="AT32" s="505"/>
      <c r="AU32" s="506"/>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422"/>
      <c r="D33" s="422"/>
      <c r="E33" s="423"/>
      <c r="F33" s="481"/>
      <c r="G33" s="466"/>
      <c r="H33" s="466"/>
      <c r="I33" s="466"/>
      <c r="J33" s="467"/>
      <c r="K33" s="53" t="str">
        <f>IF(AND('Mapa final'!$AJ$23="Media",'Mapa final'!$AL$23="Leve"),CONCATENATE("R2C",'Mapa final'!$S$23),"")</f>
        <v/>
      </c>
      <c r="L33" s="54" t="str">
        <f>IF(AND('Mapa final'!$AJ$24="Media",'Mapa final'!$AL$24="Leve"),CONCATENATE("R2C",'Mapa final'!$S$24),"")</f>
        <v/>
      </c>
      <c r="M33" s="54" t="str">
        <f>IF(AND('Mapa final'!$AJ$25="Media",'Mapa final'!$AL$25="Leve"),CONCATENATE("R2C",'Mapa final'!$S$25),"")</f>
        <v/>
      </c>
      <c r="N33" s="54" t="str">
        <f>IF(AND('Mapa final'!$AJ$26="Media",'Mapa final'!$AL$26="Leve"),CONCATENATE("R2C",'Mapa final'!$S$26),"")</f>
        <v/>
      </c>
      <c r="O33" s="54" t="str">
        <f>IF(AND('Mapa final'!$AJ$27="Media",'Mapa final'!$AL$27="Leve"),CONCATENATE("R2C",'Mapa final'!$S$27),"")</f>
        <v/>
      </c>
      <c r="P33" s="55" t="str">
        <f>IF(AND('Mapa final'!$AJ$28="Media",'Mapa final'!$AL$28="Leve"),CONCATENATE("R2C",'Mapa final'!$S$28),"")</f>
        <v/>
      </c>
      <c r="Q33" s="53" t="str">
        <f>IF(AND('Mapa final'!$AJ$23="Media",'Mapa final'!$AL$23="Menor"),CONCATENATE("R2C",'Mapa final'!$S$23),"")</f>
        <v/>
      </c>
      <c r="R33" s="54" t="str">
        <f>IF(AND('Mapa final'!$AJ$24="Media",'Mapa final'!$AL$24="Menor"),CONCATENATE("R2C",'Mapa final'!$S$24),"")</f>
        <v/>
      </c>
      <c r="S33" s="54" t="str">
        <f>IF(AND('Mapa final'!$AJ$25="Media",'Mapa final'!$AL$25="Menor"),CONCATENATE("R2C",'Mapa final'!$S$25),"")</f>
        <v/>
      </c>
      <c r="T33" s="54" t="str">
        <f>IF(AND('Mapa final'!$AJ$26="Media",'Mapa final'!$AL$26="Menor"),CONCATENATE("R2C",'Mapa final'!$S$26),"")</f>
        <v/>
      </c>
      <c r="U33" s="54" t="str">
        <f>IF(AND('Mapa final'!$AJ$27="Media",'Mapa final'!$AL$27="Menor"),CONCATENATE("R2C",'Mapa final'!$S$27),"")</f>
        <v/>
      </c>
      <c r="V33" s="55" t="str">
        <f>IF(AND('Mapa final'!$AJ$28="Media",'Mapa final'!$AL$28="Menor"),CONCATENATE("R2C",'Mapa final'!$S$28),"")</f>
        <v/>
      </c>
      <c r="W33" s="53" t="str">
        <f>IF(AND('Mapa final'!$AJ$23="Media",'Mapa final'!$AL$23="Moderado"),CONCATENATE("R2C",'Mapa final'!$S$23),"")</f>
        <v/>
      </c>
      <c r="X33" s="54" t="str">
        <f>IF(AND('Mapa final'!$AJ$24="Media",'Mapa final'!$AL$24="Moderado"),CONCATENATE("R2C",'Mapa final'!$S$24),"")</f>
        <v/>
      </c>
      <c r="Y33" s="54" t="str">
        <f>IF(AND('Mapa final'!$AJ$25="Media",'Mapa final'!$AL$25="Moderado"),CONCATENATE("R2C",'Mapa final'!$S$25),"")</f>
        <v/>
      </c>
      <c r="Z33" s="54" t="str">
        <f>IF(AND('Mapa final'!$AJ$26="Media",'Mapa final'!$AL$26="Moderado"),CONCATENATE("R2C",'Mapa final'!$S$26),"")</f>
        <v/>
      </c>
      <c r="AA33" s="54" t="str">
        <f>IF(AND('Mapa final'!$AJ$27="Media",'Mapa final'!$AL$27="Moderado"),CONCATENATE("R2C",'Mapa final'!$S$27),"")</f>
        <v/>
      </c>
      <c r="AB33" s="55" t="str">
        <f>IF(AND('Mapa final'!$AJ$28="Media",'Mapa final'!$AL$28="Moderado"),CONCATENATE("R2C",'Mapa final'!$S$28),"")</f>
        <v/>
      </c>
      <c r="AC33" s="38" t="str">
        <f>IF(AND('Mapa final'!$AJ$23="Media",'Mapa final'!$AL$23="Mayor"),CONCATENATE("R2C",'Mapa final'!$S$23),"")</f>
        <v/>
      </c>
      <c r="AD33" s="39" t="str">
        <f>IF(AND('Mapa final'!$AJ$24="Muy Alta",'Mapa final'!$AL$24="Mayor"),CONCATENATE("R2C",'Mapa final'!$S$24),"")</f>
        <v/>
      </c>
      <c r="AE33" s="39" t="str">
        <f>IF(AND('Mapa final'!$AJ$25="Media",'Mapa final'!$AL$25="Mayor"),CONCATENATE("R2C",'Mapa final'!$S$25),"")</f>
        <v/>
      </c>
      <c r="AF33" s="39" t="str">
        <f>IF(AND('Mapa final'!$AJ$26="Media",'Mapa final'!$AL$26="Mayor"),CONCATENATE("R2C",'Mapa final'!$S$26),"")</f>
        <v/>
      </c>
      <c r="AG33" s="39" t="str">
        <f>IF(AND('Mapa final'!$AJ$27="Media",'Mapa final'!$AL$27="Mayor"),CONCATENATE("R2C",'Mapa final'!$S$27),"")</f>
        <v/>
      </c>
      <c r="AH33" s="40" t="str">
        <f>IF(AND('Mapa final'!$AJ$28="Media",'Mapa final'!$AL$28="Mayor"),CONCATENATE("R2C",'Mapa final'!$S$28),"")</f>
        <v/>
      </c>
      <c r="AI33" s="41" t="str">
        <f>IF(AND('Mapa final'!$AJ$23="Media",'Mapa final'!$AL$23="Catastrófico"),CONCATENATE("R2C",'Mapa final'!$S$23),"")</f>
        <v/>
      </c>
      <c r="AJ33" s="42" t="str">
        <f>IF(AND('Mapa final'!$AJ$24="Media",'Mapa final'!$AL$24="Catastrófico"),CONCATENATE("R2C",'Mapa final'!$S$24),"")</f>
        <v/>
      </c>
      <c r="AK33" s="42" t="str">
        <f>IF(AND('Mapa final'!$AJ$25="Media",'Mapa final'!$AL$25="Catastrófico"),CONCATENATE("R2C",'Mapa final'!$S$25),"")</f>
        <v/>
      </c>
      <c r="AL33" s="42" t="str">
        <f>IF(AND('Mapa final'!$AJ$26="Media",'Mapa final'!$AL$26="Catastrófico"),CONCATENATE("R2C",'Mapa final'!$S$26),"")</f>
        <v/>
      </c>
      <c r="AM33" s="42" t="str">
        <f>IF(AND('Mapa final'!$AJ$27="Media",'Mapa final'!$AL$27="Catastrófico"),CONCATENATE("R2C",'Mapa final'!$S$27),"")</f>
        <v/>
      </c>
      <c r="AN33" s="43" t="str">
        <f>IF(AND('Mapa final'!$AJ$28="Media",'Mapa final'!$AL$28="Catastrófico"),CONCATENATE("R2C",'Mapa final'!$S$28),"")</f>
        <v/>
      </c>
      <c r="AO33" s="69"/>
      <c r="AP33" s="507"/>
      <c r="AQ33" s="508"/>
      <c r="AR33" s="508"/>
      <c r="AS33" s="508"/>
      <c r="AT33" s="508"/>
      <c r="AU33" s="50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422"/>
      <c r="D34" s="422"/>
      <c r="E34" s="423"/>
      <c r="F34" s="465"/>
      <c r="G34" s="466"/>
      <c r="H34" s="466"/>
      <c r="I34" s="466"/>
      <c r="J34" s="467"/>
      <c r="K34" s="53" t="str">
        <f>IF(AND('Mapa final'!$AJ$29="Media",'Mapa final'!$AL$29="Leve"),CONCATENATE("R2C",'Mapa final'!$S$29),"")</f>
        <v/>
      </c>
      <c r="L34" s="54" t="str">
        <f>IF(AND('Mapa final'!$AJ$30="Media",'Mapa final'!$AL$30="Leve"),CONCATENATE("R2C",'Mapa final'!$S$30),"")</f>
        <v/>
      </c>
      <c r="M34" s="54" t="str">
        <f>IF(AND('Mapa final'!$AJ$31="Media",'Mapa final'!$AL$31="Leve"),CONCATENATE("R2C",'Mapa final'!$S$31),"")</f>
        <v/>
      </c>
      <c r="N34" s="54" t="str">
        <f>IF(AND('Mapa final'!$AJ$32="Media",'Mapa final'!$AL$32="Leve"),CONCATENATE("R2C",'Mapa final'!$S$32),"")</f>
        <v/>
      </c>
      <c r="O34" s="54" t="str">
        <f>IF(AND('Mapa final'!$AJ$33="Media",'Mapa final'!$AL$33="Leve"),CONCATENATE("R2C",'Mapa final'!$S$33),"")</f>
        <v/>
      </c>
      <c r="P34" s="55" t="str">
        <f>IF(AND('Mapa final'!$AJ$34="Media",'Mapa final'!$AL$34="Leve"),CONCATENATE("R2C",'Mapa final'!$S$34),"")</f>
        <v/>
      </c>
      <c r="Q34" s="53" t="str">
        <f>IF(AND('Mapa final'!$AJ$29="Media",'Mapa final'!$AL$29="Menor"),CONCATENATE("R2C",'Mapa final'!$S$29),"")</f>
        <v/>
      </c>
      <c r="R34" s="54" t="str">
        <f>IF(AND('Mapa final'!$AJ$30="Media",'Mapa final'!$AL$30="Menor"),CONCATENATE("R2C",'Mapa final'!$S$30),"")</f>
        <v/>
      </c>
      <c r="S34" s="54" t="str">
        <f>IF(AND('Mapa final'!$AJ$31="Media",'Mapa final'!$AL$31="Menor"),CONCATENATE("R2C",'Mapa final'!$S$31),"")</f>
        <v/>
      </c>
      <c r="T34" s="54" t="str">
        <f>IF(AND('Mapa final'!$AJ$32="Media",'Mapa final'!$AL$32="Menor"),CONCATENATE("R2C",'Mapa final'!$S$32),"")</f>
        <v/>
      </c>
      <c r="U34" s="54" t="str">
        <f>IF(AND('Mapa final'!$AJ$33="Media",'Mapa final'!$AL$33="Menor"),CONCATENATE("R2C",'Mapa final'!$S$33),"")</f>
        <v/>
      </c>
      <c r="V34" s="55" t="str">
        <f>IF(AND('Mapa final'!$AJ$34="Media",'Mapa final'!$AL$34="Menor"),CONCATENATE("R2C",'Mapa final'!$S$34),"")</f>
        <v/>
      </c>
      <c r="W34" s="53" t="str">
        <f>IF(AND('Mapa final'!$AJ$29="Media",'Mapa final'!$AL$29="Moderado"),CONCATENATE("R2C",'Mapa final'!$S$29),"")</f>
        <v/>
      </c>
      <c r="X34" s="54" t="str">
        <f>IF(AND('Mapa final'!$AJ$30="Media",'Mapa final'!$AL$30="Moderado"),CONCATENATE("R2C",'Mapa final'!$S$30),"")</f>
        <v/>
      </c>
      <c r="Y34" s="54" t="str">
        <f>IF(AND('Mapa final'!$AJ$31="Media",'Mapa final'!$AL$31="Moderado"),CONCATENATE("R2C",'Mapa final'!$S$31),"")</f>
        <v/>
      </c>
      <c r="Z34" s="54" t="str">
        <f>IF(AND('Mapa final'!$AJ$32="Media",'Mapa final'!$AL$32="Moderado"),CONCATENATE("R2C",'Mapa final'!$S$32),"")</f>
        <v/>
      </c>
      <c r="AA34" s="54" t="str">
        <f>IF(AND('Mapa final'!$AJ$33="Media",'Mapa final'!$AL$33="Moderado"),CONCATENATE("R2C",'Mapa final'!$S$33),"")</f>
        <v/>
      </c>
      <c r="AB34" s="55" t="str">
        <f>IF(AND('Mapa final'!$AJ$34="Media",'Mapa final'!$AL$34="Moderado"),CONCATENATE("R2C",'Mapa final'!$S$34),"")</f>
        <v/>
      </c>
      <c r="AC34" s="38" t="str">
        <f>IF(AND('Mapa final'!$AJ$29="Media",'Mapa final'!$AL$29="Mayor"),CONCATENATE("R2C",'Mapa final'!$S$29),"")</f>
        <v/>
      </c>
      <c r="AD34" s="39" t="str">
        <f>IF(AND('Mapa final'!$AJ$30="Media",'Mapa final'!$AL$30="Mayor"),CONCATENATE("R2C",'Mapa final'!$S$30),"")</f>
        <v/>
      </c>
      <c r="AE34" s="39" t="str">
        <f>IF(AND('Mapa final'!$AJ$31="Media",'Mapa final'!$AL$31="Mayor"),CONCATENATE("R2C",'Mapa final'!$S$31),"")</f>
        <v/>
      </c>
      <c r="AF34" s="39" t="str">
        <f>IF(AND('Mapa final'!$AJ$32="Media",'Mapa final'!$AL$32="Mayor"),CONCATENATE("R2C",'Mapa final'!$S$32),"")</f>
        <v/>
      </c>
      <c r="AG34" s="39" t="str">
        <f>IF(AND('Mapa final'!$AJ$33="Media",'Mapa final'!$AL$33="Mayor"),CONCATENATE("R2C",'Mapa final'!$S$33),"")</f>
        <v/>
      </c>
      <c r="AH34" s="40" t="str">
        <f>IF(AND('Mapa final'!$AJ$34="Media",'Mapa final'!$AL$34="Mayor"),CONCATENATE("R2C",'Mapa final'!$S$34),"")</f>
        <v/>
      </c>
      <c r="AI34" s="41" t="str">
        <f>IF(AND('Mapa final'!$AJ$29="Media",'Mapa final'!$AL$29="Catastrófico"),CONCATENATE("R2C",'Mapa final'!$S$29),"")</f>
        <v/>
      </c>
      <c r="AJ34" s="42" t="str">
        <f>IF(AND('Mapa final'!$AJ$30="Media",'Mapa final'!$AL$30="Catastrófico"),CONCATENATE("R2C",'Mapa final'!$S$30),"")</f>
        <v/>
      </c>
      <c r="AK34" s="42" t="str">
        <f>IF(AND('Mapa final'!$AJ$31="Media",'Mapa final'!$AL$31="Catastrófico"),CONCATENATE("R2C",'Mapa final'!$S$31),"")</f>
        <v/>
      </c>
      <c r="AL34" s="42" t="str">
        <f>IF(AND('Mapa final'!$AJ$32="Media",'Mapa final'!$AL$32="Catastrófico"),CONCATENATE("R2C",'Mapa final'!$S$32),"")</f>
        <v/>
      </c>
      <c r="AM34" s="42" t="str">
        <f>IF(AND('Mapa final'!$AJ$33="Media",'Mapa final'!$AL$33="Catastrófico"),CONCATENATE("R2C",'Mapa final'!$S$33),"")</f>
        <v/>
      </c>
      <c r="AN34" s="43" t="str">
        <f>IF(AND('Mapa final'!$AJ$34="Media",'Mapa final'!$AL$34="Catastrófico"),CONCATENATE("R2C",'Mapa final'!$S$34),"")</f>
        <v/>
      </c>
      <c r="AO34" s="69"/>
      <c r="AP34" s="507"/>
      <c r="AQ34" s="508"/>
      <c r="AR34" s="508"/>
      <c r="AS34" s="508"/>
      <c r="AT34" s="508"/>
      <c r="AU34" s="50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422"/>
      <c r="D35" s="422"/>
      <c r="E35" s="423"/>
      <c r="F35" s="465"/>
      <c r="G35" s="466"/>
      <c r="H35" s="466"/>
      <c r="I35" s="466"/>
      <c r="J35" s="467"/>
      <c r="K35" s="53" t="str">
        <f>IF(AND('Mapa final'!$AJ$35="Media",'Mapa final'!$AL$35="Leve"),CONCATENATE("R2C",'Mapa final'!$S$35),"")</f>
        <v/>
      </c>
      <c r="L35" s="54" t="str">
        <f>IF(AND('Mapa final'!$AJ$36="Media",'Mapa final'!$AL$36="Leve"),CONCATENATE("R2C",'Mapa final'!$S$36),"")</f>
        <v/>
      </c>
      <c r="M35" s="54" t="str">
        <f>IF(AND('Mapa final'!$AJ$37="Media",'Mapa final'!$AL$37="Leve"),CONCATENATE("R2C",'Mapa final'!$S$37),"")</f>
        <v/>
      </c>
      <c r="N35" s="54" t="str">
        <f>IF(AND('Mapa final'!$AJ$38="Media",'Mapa final'!$AL$38="Leve"),CONCATENATE("R2C",'Mapa final'!$S$38),"")</f>
        <v/>
      </c>
      <c r="O35" s="54" t="str">
        <f>IF(AND('Mapa final'!$AJ$39="Media",'Mapa final'!$AL$39="Leve"),CONCATENATE("R2C",'Mapa final'!$S$39),"")</f>
        <v/>
      </c>
      <c r="P35" s="55" t="str">
        <f>IF(AND('Mapa final'!$AJ$40="Media",'Mapa final'!$AL$40="Leve"),CONCATENATE("R2C",'Mapa final'!$S$40),"")</f>
        <v/>
      </c>
      <c r="Q35" s="53" t="str">
        <f>IF(AND('Mapa final'!$AJ$35="Media",'Mapa final'!$AL$35="Menor"),CONCATENATE("R2C",'Mapa final'!$S$35),"")</f>
        <v/>
      </c>
      <c r="R35" s="54" t="str">
        <f>IF(AND('Mapa final'!$AJ$36="Media",'Mapa final'!$AL$36="Menor"),CONCATENATE("R2C",'Mapa final'!$S$36),"")</f>
        <v/>
      </c>
      <c r="S35" s="54" t="str">
        <f>IF(AND('Mapa final'!$AJ$37="Media",'Mapa final'!$AL$37="Menor"),CONCATENATE("R2C",'Mapa final'!$S$37),"")</f>
        <v/>
      </c>
      <c r="T35" s="54" t="str">
        <f>IF(AND('Mapa final'!$AJ$38="Media",'Mapa final'!$AL$38="Menor"),CONCATENATE("R2C",'Mapa final'!$S$38),"")</f>
        <v/>
      </c>
      <c r="U35" s="54" t="str">
        <f>IF(AND('Mapa final'!$AJ$39="Media",'Mapa final'!$AL$39="LMenor"),CONCATENATE("R2C",'Mapa final'!$S$39),"")</f>
        <v/>
      </c>
      <c r="V35" s="55" t="str">
        <f>IF(AND('Mapa final'!$AJ$40="Media",'Mapa final'!$AL$40="Menor"),CONCATENATE("R2C",'Mapa final'!$S$40),"")</f>
        <v/>
      </c>
      <c r="W35" s="53" t="str">
        <f>IF(AND('Mapa final'!$AJ$35="Media",'Mapa final'!$AL$35="Moderado"),CONCATENATE("R2C",'Mapa final'!$S$35),"")</f>
        <v/>
      </c>
      <c r="X35" s="54" t="str">
        <f>IF(AND('Mapa final'!$AJ$36="Media",'Mapa final'!$AL$36="Moderado"),CONCATENATE("R2C",'Mapa final'!$S$36),"")</f>
        <v/>
      </c>
      <c r="Y35" s="54" t="str">
        <f>IF(AND('Mapa final'!$AJ$37="Media",'Mapa final'!$AL$37="Moderado"),CONCATENATE("R2C",'Mapa final'!$S$37),"")</f>
        <v/>
      </c>
      <c r="Z35" s="54" t="str">
        <f>IF(AND('Mapa final'!$AJ$38="Media",'Mapa final'!$AL$38="Moderado"),CONCATENATE("R2C",'Mapa final'!$S$38),"")</f>
        <v/>
      </c>
      <c r="AA35" s="54" t="str">
        <f>IF(AND('Mapa final'!$AJ$39="Media",'Mapa final'!$AL$39="Moderado"),CONCATENATE("R2C",'Mapa final'!$S$39),"")</f>
        <v/>
      </c>
      <c r="AB35" s="55" t="str">
        <f>IF(AND('Mapa final'!$AJ$40="Media",'Mapa final'!$AL$40="Moderado"),CONCATENATE("R2C",'Mapa final'!$S$40),"")</f>
        <v/>
      </c>
      <c r="AC35" s="38" t="str">
        <f>IF(AND('Mapa final'!$AJ$35="Media",'Mapa final'!$AL$35="Mayor"),CONCATENATE("R2C",'Mapa final'!$S$35),"")</f>
        <v/>
      </c>
      <c r="AD35" s="39" t="str">
        <f>IF(AND('Mapa final'!$AJ$36="Media",'Mapa final'!$AL$36="Mayor"),CONCATENATE("R2C",'Mapa final'!$S$36),"")</f>
        <v/>
      </c>
      <c r="AE35" s="39" t="str">
        <f>IF(AND('Mapa final'!$AJ$37="Media",'Mapa final'!$AL$37="Mayor"),CONCATENATE("R2C",'Mapa final'!$S$37),"")</f>
        <v/>
      </c>
      <c r="AF35" s="39" t="str">
        <f>IF(AND('Mapa final'!$AJ$38="Media",'Mapa final'!$AL$38="Mayor"),CONCATENATE("R2C",'Mapa final'!$S$38),"")</f>
        <v/>
      </c>
      <c r="AG35" s="39" t="str">
        <f>IF(AND('Mapa final'!$AJ$39="Media",'Mapa final'!$AL$39="Mayor"),CONCATENATE("R2C",'Mapa final'!$S$39),"")</f>
        <v/>
      </c>
      <c r="AH35" s="40" t="str">
        <f>IF(AND('Mapa final'!$AJ$40="Media",'Mapa final'!$AL$40="Mayor"),CONCATENATE("R2C",'Mapa final'!$S$40),"")</f>
        <v/>
      </c>
      <c r="AI35" s="41" t="str">
        <f>IF(AND('Mapa final'!$AJ$35="Media",'Mapa final'!$AL$35="Catastrófico"),CONCATENATE("R2C",'Mapa final'!$S$35),"")</f>
        <v/>
      </c>
      <c r="AJ35" s="42" t="str">
        <f>IF(AND('Mapa final'!$AJ$36="Media",'Mapa final'!$AL$36="Catastrófico"),CONCATENATE("R2C",'Mapa final'!$S$36),"")</f>
        <v/>
      </c>
      <c r="AK35" s="42" t="str">
        <f>IF(AND('Mapa final'!$AJ$37="Media",'Mapa final'!$AL$37="Catastrófico"),CONCATENATE("R2C",'Mapa final'!$S$37),"")</f>
        <v/>
      </c>
      <c r="AL35" s="42" t="str">
        <f>IF(AND('Mapa final'!$AJ$38="Media",'Mapa final'!$AL$38="Catastrófico"),CONCATENATE("R2C",'Mapa final'!$S$38),"")</f>
        <v/>
      </c>
      <c r="AM35" s="42" t="str">
        <f>IF(AND('Mapa final'!$AJ$39="Media",'Mapa final'!$AL$39="LCatastrófico"),CONCATENATE("R2C",'Mapa final'!$S$39),"")</f>
        <v/>
      </c>
      <c r="AN35" s="43" t="str">
        <f>IF(AND('Mapa final'!$AJ$40="Media",'Mapa final'!$AL$40="Catastrófico"),CONCATENATE("R2C",'Mapa final'!$S$40),"")</f>
        <v/>
      </c>
      <c r="AO35" s="69"/>
      <c r="AP35" s="507"/>
      <c r="AQ35" s="508"/>
      <c r="AR35" s="508"/>
      <c r="AS35" s="508"/>
      <c r="AT35" s="508"/>
      <c r="AU35" s="50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422"/>
      <c r="D36" s="422"/>
      <c r="E36" s="423"/>
      <c r="F36" s="465"/>
      <c r="G36" s="466"/>
      <c r="H36" s="466"/>
      <c r="I36" s="466"/>
      <c r="J36" s="467"/>
      <c r="K36" s="53" t="str">
        <f>IF(AND('Mapa final'!$AJ$41="Media",'Mapa final'!$AL$41="Leve"),CONCATENATE("R2C",'Mapa final'!$S$41),"")</f>
        <v/>
      </c>
      <c r="L36" s="54" t="str">
        <f>IF(AND('Mapa final'!$AJ$42="Media",'Mapa final'!$AL$42="Leve"),CONCATENATE("R2C",'Mapa final'!$S$42),"")</f>
        <v/>
      </c>
      <c r="M36" s="54" t="str">
        <f>IF(AND('Mapa final'!$AJ$43="Media",'Mapa final'!$AL$43="Leve"),CONCATENATE("R2C",'Mapa final'!$S$43),"")</f>
        <v/>
      </c>
      <c r="N36" s="54" t="str">
        <f>IF(AND('Mapa final'!$AJ$44="Media",'Mapa final'!$AL$44="Leve"),CONCATENATE("R2C",'Mapa final'!$S$44),"")</f>
        <v/>
      </c>
      <c r="O36" s="54" t="str">
        <f>IF(AND('Mapa final'!$AJ$45="Media",'Mapa final'!$AL$45="Leve"),CONCATENATE("R2C",'Mapa final'!$S$45),"")</f>
        <v/>
      </c>
      <c r="P36" s="55" t="str">
        <f>IF(AND('Mapa final'!$AJ$46="Media",'Mapa final'!$AL$46="Leve"),CONCATENATE("R2C",'Mapa final'!$S$46),"")</f>
        <v/>
      </c>
      <c r="Q36" s="53" t="str">
        <f>IF(AND('Mapa final'!$AJ$41="Media",'Mapa final'!$AL$41="Menor"),CONCATENATE("R2C",'Mapa final'!$S$41),"")</f>
        <v/>
      </c>
      <c r="R36" s="54" t="str">
        <f>IF(AND('Mapa final'!$AJ$42="Media",'Mapa final'!$AL$42="Menor"),CONCATENATE("R2C",'Mapa final'!$S$42),"")</f>
        <v/>
      </c>
      <c r="S36" s="54" t="str">
        <f>IF(AND('Mapa final'!$AJ$43="Media",'Mapa final'!$AL$43="Menor"),CONCATENATE("R2C",'Mapa final'!$S$43),"")</f>
        <v/>
      </c>
      <c r="T36" s="54" t="str">
        <f>IF(AND('Mapa final'!$AJ$44="Media",'Mapa final'!$AL$44="Menor"),CONCATENATE("R2C",'Mapa final'!$S$44),"")</f>
        <v/>
      </c>
      <c r="U36" s="54" t="str">
        <f>IF(AND('Mapa final'!$AJ$45="Media",'Mapa final'!$AL$45="Menor"),CONCATENATE("R2C",'Mapa final'!$S$45),"")</f>
        <v/>
      </c>
      <c r="V36" s="55" t="str">
        <f>IF(AND('Mapa final'!$AJ$46="Media",'Mapa final'!$AL$46="Menor"),CONCATENATE("R2C",'Mapa final'!$S$46),"")</f>
        <v/>
      </c>
      <c r="W36" s="53" t="str">
        <f>IF(AND('Mapa final'!$AJ$41="Media",'Mapa final'!$AL$41="Moderado"),CONCATENATE("R2C",'Mapa final'!$S$41),"")</f>
        <v/>
      </c>
      <c r="X36" s="54" t="str">
        <f>IF(AND('Mapa final'!$AJ$42="Media",'Mapa final'!$AL$42="Moderado"),CONCATENATE("R2C",'Mapa final'!$S$42),"")</f>
        <v/>
      </c>
      <c r="Y36" s="54" t="str">
        <f>IF(AND('Mapa final'!$AJ$43="Media",'Mapa final'!$AL$43="Moderado"),CONCATENATE("R2C",'Mapa final'!$S$43),"")</f>
        <v/>
      </c>
      <c r="Z36" s="54" t="str">
        <f>IF(AND('Mapa final'!$AJ$44="Media",'Mapa final'!$AL$44="Moderado"),CONCATENATE("R2C",'Mapa final'!$S$44),"")</f>
        <v/>
      </c>
      <c r="AA36" s="54" t="str">
        <f>IF(AND('Mapa final'!$AJ$45="Media",'Mapa final'!$AL$45="Moderado"),CONCATENATE("R2C",'Mapa final'!$S$45),"")</f>
        <v/>
      </c>
      <c r="AB36" s="55" t="str">
        <f>IF(AND('Mapa final'!$AJ$46="Media",'Mapa final'!$AL$46="Moderado"),CONCATENATE("R2C",'Mapa final'!$S$46),"")</f>
        <v/>
      </c>
      <c r="AC36" s="38" t="str">
        <f>IF(AND('Mapa final'!$AJ$41="Media",'Mapa final'!$AL$41="Mayor"),CONCATENATE("R2C",'Mapa final'!$S$41),"")</f>
        <v/>
      </c>
      <c r="AD36" s="39" t="str">
        <f>IF(AND('Mapa final'!$AJ$42="Media",'Mapa final'!$AL$42="Mayor"),CONCATENATE("R2C",'Mapa final'!$S$42),"")</f>
        <v/>
      </c>
      <c r="AE36" s="39" t="str">
        <f>IF(AND('Mapa final'!$AJ$43="Media",'Mapa final'!$AL$43="Mayor"),CONCATENATE("R2C",'Mapa final'!$S$43),"")</f>
        <v/>
      </c>
      <c r="AF36" s="39" t="str">
        <f>IF(AND('Mapa final'!$AJ$44="Media",'Mapa final'!$AL$44="Mayor"),CONCATENATE("R2C",'Mapa final'!$S$44),"")</f>
        <v/>
      </c>
      <c r="AG36" s="39" t="str">
        <f>IF(AND('Mapa final'!$AJ$45="Media",'Mapa final'!$AL$45="Mayor"),CONCATENATE("R2C",'Mapa final'!$S$45),"")</f>
        <v/>
      </c>
      <c r="AH36" s="40" t="str">
        <f>IF(AND('Mapa final'!$AJ$46="Media",'Mapa final'!$AL$46="Mayor"),CONCATENATE("R2C",'Mapa final'!$S$46),"")</f>
        <v/>
      </c>
      <c r="AI36" s="41" t="str">
        <f>IF(AND('Mapa final'!$AJ$41="Media",'Mapa final'!$AL$41="Catastrófico"),CONCATENATE("R2C",'Mapa final'!$S$41),"")</f>
        <v/>
      </c>
      <c r="AJ36" s="42" t="str">
        <f>IF(AND('Mapa final'!$AJ$42="Media",'Mapa final'!$AL$42="Catastrófico"),CONCATENATE("R2C",'Mapa final'!$S$42),"")</f>
        <v/>
      </c>
      <c r="AK36" s="42" t="str">
        <f>IF(AND('Mapa final'!$AJ$43="Media",'Mapa final'!$AL$43="Catastrófico"),CONCATENATE("R2C",'Mapa final'!$S$43),"")</f>
        <v/>
      </c>
      <c r="AL36" s="42" t="str">
        <f>IF(AND('Mapa final'!$AJ$44="Media",'Mapa final'!$AL$44="Catastrófico"),CONCATENATE("R2C",'Mapa final'!$S$44),"")</f>
        <v/>
      </c>
      <c r="AM36" s="42" t="str">
        <f>IF(AND('Mapa final'!$AJ$45="Media",'Mapa final'!$AL$45="Catastrófico"),CONCATENATE("R2C",'Mapa final'!$S$45),"")</f>
        <v/>
      </c>
      <c r="AN36" s="43" t="str">
        <f>IF(AND('Mapa final'!$AJ$46="Media",'Mapa final'!$AL$46="Catastrófico"),CONCATENATE("R2C",'Mapa final'!$S$46),"")</f>
        <v/>
      </c>
      <c r="AO36" s="69"/>
      <c r="AP36" s="507"/>
      <c r="AQ36" s="508"/>
      <c r="AR36" s="508"/>
      <c r="AS36" s="508"/>
      <c r="AT36" s="508"/>
      <c r="AU36" s="50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422"/>
      <c r="D37" s="422"/>
      <c r="E37" s="423"/>
      <c r="F37" s="465"/>
      <c r="G37" s="466"/>
      <c r="H37" s="466"/>
      <c r="I37" s="466"/>
      <c r="J37" s="467"/>
      <c r="K37" s="53" t="str">
        <f>IF(AND('Mapa final'!$AJ$47="Media",'Mapa final'!$AL$47="Leve"),CONCATENATE("R2C",'Mapa final'!$S$47),"")</f>
        <v/>
      </c>
      <c r="L37" s="54" t="str">
        <f>IF(AND('Mapa final'!$AJ$48="Media",'Mapa final'!$AL$48="Leve"),CONCATENATE("R2C",'Mapa final'!$S$48),"")</f>
        <v/>
      </c>
      <c r="M37" s="54" t="str">
        <f>IF(AND('Mapa final'!$AJ$49="Media",'Mapa final'!$AL$49="Leve"),CONCATENATE("R2C",'Mapa final'!$S$49),"")</f>
        <v/>
      </c>
      <c r="N37" s="54" t="str">
        <f>IF(AND('Mapa final'!$AJ$50="Media",'Mapa final'!$AL$50="Leve"),CONCATENATE("R2C",'Mapa final'!$S$50),"")</f>
        <v/>
      </c>
      <c r="O37" s="54" t="str">
        <f>IF(AND('Mapa final'!$AJ$51="Media",'Mapa final'!$AL$51="Leve"),CONCATENATE("R2C",'Mapa final'!$S$51),"")</f>
        <v/>
      </c>
      <c r="P37" s="55" t="str">
        <f>IF(AND('Mapa final'!$AJ$62="Media",'Mapa final'!$AL$52="Leve"),CONCATENATE("R2C",'Mapa final'!$S$52),"")</f>
        <v/>
      </c>
      <c r="Q37" s="53" t="str">
        <f>IF(AND('Mapa final'!$AJ$47="Media",'Mapa final'!$AL$47="Menor"),CONCATENATE("R2C",'Mapa final'!$S$47),"")</f>
        <v/>
      </c>
      <c r="R37" s="54" t="str">
        <f>IF(AND('Mapa final'!$AJ$48="Media",'Mapa final'!$AL$48="Menor"),CONCATENATE("R2C",'Mapa final'!$S$48),"")</f>
        <v/>
      </c>
      <c r="S37" s="54" t="str">
        <f>IF(AND('Mapa final'!$AJ$49="Media",'Mapa final'!$AL$49="Menor"),CONCATENATE("R2C",'Mapa final'!$S$49),"")</f>
        <v/>
      </c>
      <c r="T37" s="54" t="str">
        <f>IF(AND('Mapa final'!$AJ$50="Media",'Mapa final'!$AL$50="Menor"),CONCATENATE("R2C",'Mapa final'!$S$50),"")</f>
        <v/>
      </c>
      <c r="U37" s="54" t="str">
        <f>IF(AND('Mapa final'!$AJ$51="Media",'Mapa final'!$AL$51="Menor"),CONCATENATE("R2C",'Mapa final'!$S$51),"")</f>
        <v/>
      </c>
      <c r="V37" s="55" t="str">
        <f>IF(AND('Mapa final'!$AJ$62="Media",'Mapa final'!$AL$52="Menor"),CONCATENATE("R2C",'Mapa final'!$S$52),"")</f>
        <v/>
      </c>
      <c r="W37" s="53" t="str">
        <f>IF(AND('Mapa final'!$AJ$47="Media",'Mapa final'!$AL$47="Moderado"),CONCATENATE("R2C",'Mapa final'!$S$47),"")</f>
        <v/>
      </c>
      <c r="X37" s="54" t="str">
        <f>IF(AND('Mapa final'!$AJ$48="Media",'Mapa final'!$AL$48="Moderado"),CONCATENATE("R2C",'Mapa final'!$S$48),"")</f>
        <v/>
      </c>
      <c r="Y37" s="54" t="str">
        <f>IF(AND('Mapa final'!$AJ$49="Media",'Mapa final'!$AL$49="Moderado"),CONCATENATE("R2C",'Mapa final'!$S$49),"")</f>
        <v/>
      </c>
      <c r="Z37" s="54" t="str">
        <f>IF(AND('Mapa final'!$AJ$50="Media",'Mapa final'!$AL$50="Moderado"),CONCATENATE("R2C",'Mapa final'!$S$50),"")</f>
        <v/>
      </c>
      <c r="AA37" s="54" t="str">
        <f>IF(AND('Mapa final'!$AJ$51="Media",'Mapa final'!$AL$51="Moderado"),CONCATENATE("R2C",'Mapa final'!$S$51),"")</f>
        <v/>
      </c>
      <c r="AB37" s="55" t="str">
        <f>IF(AND('Mapa final'!$AJ$62="Media",'Mapa final'!$AL$52="Moderado"),CONCATENATE("R2C",'Mapa final'!$S$52),"")</f>
        <v/>
      </c>
      <c r="AC37" s="38" t="str">
        <f>IF(AND('Mapa final'!$AJ$47="Media",'Mapa final'!$AL$47="Mayor"),CONCATENATE("R2C",'Mapa final'!$S$47),"")</f>
        <v/>
      </c>
      <c r="AD37" s="39" t="str">
        <f>IF(AND('Mapa final'!$AJ$48="Media",'Mapa final'!$AL$48="Mayor"),CONCATENATE("R2C",'Mapa final'!$S$48),"")</f>
        <v/>
      </c>
      <c r="AE37" s="39" t="str">
        <f>IF(AND('Mapa final'!$AJ$49="Media",'Mapa final'!$AL$49="Mayor"),CONCATENATE("R2C",'Mapa final'!$S$49),"")</f>
        <v/>
      </c>
      <c r="AF37" s="39" t="str">
        <f>IF(AND('Mapa final'!$AJ$50="Media",'Mapa final'!$AL$50="Mayor"),CONCATENATE("R2C",'Mapa final'!$S$50),"")</f>
        <v/>
      </c>
      <c r="AG37" s="39" t="str">
        <f>IF(AND('Mapa final'!$AJ$51="Media",'Mapa final'!$AL$51="Mayor"),CONCATENATE("R2C",'Mapa final'!$S$51),"")</f>
        <v/>
      </c>
      <c r="AH37" s="40" t="str">
        <f>IF(AND('Mapa final'!$AJ$62="Media",'Mapa final'!$AL$52="Mayor"),CONCATENATE("R2C",'Mapa final'!$S$52),"")</f>
        <v/>
      </c>
      <c r="AI37" s="41" t="str">
        <f>IF(AND('Mapa final'!$AJ$47="Media",'Mapa final'!$AL$47="Catastrófico"),CONCATENATE("R2C",'Mapa final'!$S$47),"")</f>
        <v/>
      </c>
      <c r="AJ37" s="42" t="str">
        <f>IF(AND('Mapa final'!$AJ$48="Media",'Mapa final'!$AL$48="Catastrófico"),CONCATENATE("R2C",'Mapa final'!$S$48),"")</f>
        <v/>
      </c>
      <c r="AK37" s="42" t="str">
        <f>IF(AND('Mapa final'!$AJ$49="Media",'Mapa final'!$AL$49="Catastrófico"),CONCATENATE("R2C",'Mapa final'!$S$49),"")</f>
        <v/>
      </c>
      <c r="AL37" s="42" t="str">
        <f>IF(AND('Mapa final'!$AJ$50="Media",'Mapa final'!$AL$50="Catastrófico"),CONCATENATE("R2C",'Mapa final'!$S$50),"")</f>
        <v/>
      </c>
      <c r="AM37" s="42" t="str">
        <f>IF(AND('Mapa final'!$AJ$51="Media",'Mapa final'!$AL$51="Catastrófico"),CONCATENATE("R2C",'Mapa final'!$S$51),"")</f>
        <v/>
      </c>
      <c r="AN37" s="43" t="str">
        <f>IF(AND('Mapa final'!$AJ$62="Media",'Mapa final'!$AL$52="Catastrófico"),CONCATENATE("R2C",'Mapa final'!$S$52),"")</f>
        <v/>
      </c>
      <c r="AO37" s="69"/>
      <c r="AP37" s="507"/>
      <c r="AQ37" s="508"/>
      <c r="AR37" s="508"/>
      <c r="AS37" s="508"/>
      <c r="AT37" s="508"/>
      <c r="AU37" s="50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422"/>
      <c r="D38" s="422"/>
      <c r="E38" s="423"/>
      <c r="F38" s="465"/>
      <c r="G38" s="466"/>
      <c r="H38" s="466"/>
      <c r="I38" s="466"/>
      <c r="J38" s="467"/>
      <c r="K38" s="53" t="str">
        <f>IF(AND('Mapa final'!$AJ$53="Media",'Mapa final'!$AL$53="Leve"),CONCATENATE("R2C",'Mapa final'!$S$53),"")</f>
        <v/>
      </c>
      <c r="L38" s="54" t="str">
        <f>IF(AND('Mapa final'!$AJ$54="Media",'Mapa final'!$AL$54="Leve"),CONCATENATE("R2C",'Mapa final'!$S$54),"")</f>
        <v/>
      </c>
      <c r="M38" s="54" t="str">
        <f>IF(AND('Mapa final'!$AJ$55="Media",'Mapa final'!$AL$55="Leve"),CONCATENATE("R2C",'Mapa final'!$S$55),"")</f>
        <v/>
      </c>
      <c r="N38" s="54" t="str">
        <f>IF(AND('Mapa final'!$AJ$56="Media",'Mapa final'!$AL$56="Leve"),CONCATENATE("R2C",'Mapa final'!$S$56),"")</f>
        <v/>
      </c>
      <c r="O38" s="54" t="str">
        <f>IF(AND('Mapa final'!$AJ$57="Media",'Mapa final'!$AL$57="Leve"),CONCATENATE("R2C",'Mapa final'!$S$57),"")</f>
        <v/>
      </c>
      <c r="P38" s="55" t="str">
        <f>IF(AND('Mapa final'!$AJ$58="Media",'Mapa final'!$AL$58="Leve"),CONCATENATE("R2C",'Mapa final'!$S$58),"")</f>
        <v/>
      </c>
      <c r="Q38" s="53" t="str">
        <f>IF(AND('Mapa final'!$AJ$53="Media",'Mapa final'!$AL$53="Menor"),CONCATENATE("R2C",'Mapa final'!$S$53),"")</f>
        <v/>
      </c>
      <c r="R38" s="54" t="str">
        <f>IF(AND('Mapa final'!$AJ$54="Media",'Mapa final'!$AL$54="Menor"),CONCATENATE("R2C",'Mapa final'!$S$54),"")</f>
        <v/>
      </c>
      <c r="S38" s="54" t="str">
        <f>IF(AND('Mapa final'!$AJ$55="Media",'Mapa final'!$AL$55="Menor"),CONCATENATE("R2C",'Mapa final'!$S$55),"")</f>
        <v/>
      </c>
      <c r="T38" s="54" t="str">
        <f>IF(AND('Mapa final'!$AJ$56="Media",'Mapa final'!$AL$56="Menor"),CONCATENATE("R2C",'Mapa final'!$S$56),"")</f>
        <v/>
      </c>
      <c r="U38" s="54" t="str">
        <f>IF(AND('Mapa final'!$AJ$57="Media",'Mapa final'!$AL$57="Menor"),CONCATENATE("R2C",'Mapa final'!$S$57),"")</f>
        <v/>
      </c>
      <c r="V38" s="55" t="str">
        <f>IF(AND('Mapa final'!$AJ$58="Media",'Mapa final'!$AL$58="Menor"),CONCATENATE("R2C",'Mapa final'!$S$58),"")</f>
        <v/>
      </c>
      <c r="W38" s="53" t="str">
        <f>IF(AND('Mapa final'!$AJ$53="Media",'Mapa final'!$AL$53="Moderado"),CONCATENATE("R2C",'Mapa final'!$S$53),"")</f>
        <v/>
      </c>
      <c r="X38" s="54" t="str">
        <f>IF(AND('Mapa final'!$AJ$54="Media",'Mapa final'!$AL$54="Moderado"),CONCATENATE("R2C",'Mapa final'!$S$54),"")</f>
        <v/>
      </c>
      <c r="Y38" s="54" t="str">
        <f>IF(AND('Mapa final'!$AJ$55="Media",'Mapa final'!$AL$55="Moderado"),CONCATENATE("R2C",'Mapa final'!$S$55),"")</f>
        <v/>
      </c>
      <c r="Z38" s="54" t="str">
        <f>IF(AND('Mapa final'!$AJ$56="Media",'Mapa final'!$AL$56="Moderado"),CONCATENATE("R2C",'Mapa final'!$S$56),"")</f>
        <v/>
      </c>
      <c r="AA38" s="54" t="str">
        <f>IF(AND('Mapa final'!$AJ$57="Media",'Mapa final'!$AL$57="Moderado"),CONCATENATE("R2C",'Mapa final'!$S$57),"")</f>
        <v/>
      </c>
      <c r="AB38" s="55" t="str">
        <f>IF(AND('Mapa final'!$AJ$58="Media",'Mapa final'!$AL$58="Moderado"),CONCATENATE("R2C",'Mapa final'!$S$58),"")</f>
        <v/>
      </c>
      <c r="AC38" s="38" t="str">
        <f>IF(AND('Mapa final'!$AJ$53="Media",'Mapa final'!$AL$53="Mayor"),CONCATENATE("R2C",'Mapa final'!$S$53),"")</f>
        <v/>
      </c>
      <c r="AD38" s="39" t="str">
        <f>IF(AND('Mapa final'!$AJ$54="Media",'Mapa final'!$AL$54="Mayor"),CONCATENATE("R2C",'Mapa final'!$S$54),"")</f>
        <v/>
      </c>
      <c r="AE38" s="39" t="str">
        <f>IF(AND('Mapa final'!$AJ$55="Media",'Mapa final'!$AL$55="Mayor"),CONCATENATE("R2C",'Mapa final'!$S$55),"")</f>
        <v/>
      </c>
      <c r="AF38" s="39" t="str">
        <f>IF(AND('Mapa final'!$AJ$56="Media",'Mapa final'!$AL$56="Mayor"),CONCATENATE("R2C",'Mapa final'!$S$56),"")</f>
        <v/>
      </c>
      <c r="AG38" s="39" t="str">
        <f>IF(AND('Mapa final'!$AJ$57="Media",'Mapa final'!$AL$57="Mayor"),CONCATENATE("R2C",'Mapa final'!$S$57),"")</f>
        <v/>
      </c>
      <c r="AH38" s="40" t="str">
        <f>IF(AND('Mapa final'!$AJ$58="Media",'Mapa final'!$AL$58="Mayor"),CONCATENATE("R2C",'Mapa final'!$S$58),"")</f>
        <v/>
      </c>
      <c r="AI38" s="41" t="str">
        <f>IF(AND('Mapa final'!$AJ$53="Media",'Mapa final'!$AL$53="Catastrófico"),CONCATENATE("R2C",'Mapa final'!$S$53),"")</f>
        <v/>
      </c>
      <c r="AJ38" s="42" t="str">
        <f>IF(AND('Mapa final'!$AJ$54="Media",'Mapa final'!$AL$54="Catastrófico"),CONCATENATE("R2C",'Mapa final'!$S$54),"")</f>
        <v/>
      </c>
      <c r="AK38" s="42" t="str">
        <f>IF(AND('Mapa final'!$AJ$55="Media",'Mapa final'!$AL$55="Catastrófico"),CONCATENATE("R2C",'Mapa final'!$S$55),"")</f>
        <v/>
      </c>
      <c r="AL38" s="42" t="str">
        <f>IF(AND('Mapa final'!$AJ$56="Media",'Mapa final'!$AL$56="Catastrófico"),CONCATENATE("R2C",'Mapa final'!$S$56),"")</f>
        <v/>
      </c>
      <c r="AM38" s="42" t="str">
        <f>IF(AND('Mapa final'!$AJ$57="Media",'Mapa final'!$AL$57="Catastrófico"),CONCATENATE("R2C",'Mapa final'!$S$57),"")</f>
        <v/>
      </c>
      <c r="AN38" s="43" t="str">
        <f>IF(AND('Mapa final'!$AJ$58="Media",'Mapa final'!$AL$58="Catastrófico"),CONCATENATE("R2C",'Mapa final'!$S$58),"")</f>
        <v/>
      </c>
      <c r="AO38" s="69"/>
      <c r="AP38" s="507"/>
      <c r="AQ38" s="508"/>
      <c r="AR38" s="508"/>
      <c r="AS38" s="508"/>
      <c r="AT38" s="508"/>
      <c r="AU38" s="50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422"/>
      <c r="D39" s="422"/>
      <c r="E39" s="423"/>
      <c r="F39" s="465"/>
      <c r="G39" s="466"/>
      <c r="H39" s="466"/>
      <c r="I39" s="466"/>
      <c r="J39" s="467"/>
      <c r="K39" s="53" t="str">
        <f>IF(AND('Mapa final'!$AJ$59="Media",'Mapa final'!$AL$59="Leve"),CONCATENATE("R2C",'Mapa final'!$S$59),"")</f>
        <v/>
      </c>
      <c r="L39" s="54" t="str">
        <f>IF(AND('Mapa final'!$AJ$60="Media",'Mapa final'!$AL$60="Leve"),CONCATENATE("R2C",'Mapa final'!$S$60),"")</f>
        <v/>
      </c>
      <c r="M39" s="54" t="str">
        <f>IF(AND('Mapa final'!$AJ$61="Media",'Mapa final'!$AL$61="Leve"),CONCATENATE("R2C",'Mapa final'!$S$61),"")</f>
        <v/>
      </c>
      <c r="N39" s="54" t="str">
        <f>IF(AND('Mapa final'!$AJ$62="Media",'Mapa final'!$AL$62="Leve"),CONCATENATE("R2C",'Mapa final'!$S$62),"")</f>
        <v/>
      </c>
      <c r="O39" s="54" t="str">
        <f>IF(AND('Mapa final'!$AJ$63="Media",'Mapa final'!$AL$63="Leve"),CONCATENATE("R2C",'Mapa final'!$S$63),"")</f>
        <v/>
      </c>
      <c r="P39" s="55" t="str">
        <f>IF(AND('Mapa final'!$AJ$64="Media",'Mapa final'!$AL$64="Leve"),CONCATENATE("R2C",'Mapa final'!$S$64),"")</f>
        <v/>
      </c>
      <c r="Q39" s="53" t="str">
        <f>IF(AND('Mapa final'!$AJ$59="Media",'Mapa final'!$AL$59="Menor"),CONCATENATE("R2C",'Mapa final'!$S$59),"")</f>
        <v/>
      </c>
      <c r="R39" s="54" t="str">
        <f>IF(AND('Mapa final'!$AJ$60="Media",'Mapa final'!$AL$60="Menor"),CONCATENATE("R2C",'Mapa final'!$S$60),"")</f>
        <v/>
      </c>
      <c r="S39" s="54" t="str">
        <f>IF(AND('Mapa final'!$AJ$61="Media",'Mapa final'!$AL$61="Menor"),CONCATENATE("R2C",'Mapa final'!$S$61),"")</f>
        <v/>
      </c>
      <c r="T39" s="54" t="str">
        <f>IF(AND('Mapa final'!$AJ$62="Media",'Mapa final'!$AL$62="Menor"),CONCATENATE("R2C",'Mapa final'!$S$62),"")</f>
        <v/>
      </c>
      <c r="U39" s="54" t="str">
        <f>IF(AND('Mapa final'!$AJ$63="Media",'Mapa final'!$AL$63="Menor"),CONCATENATE("R2C",'Mapa final'!$S$63),"")</f>
        <v/>
      </c>
      <c r="V39" s="55" t="str">
        <f>IF(AND('Mapa final'!$AJ$64="Media",'Mapa final'!$AL$64="Menor"),CONCATENATE("R2C",'Mapa final'!$S$64),"")</f>
        <v/>
      </c>
      <c r="W39" s="53" t="str">
        <f>IF(AND('Mapa final'!$AJ$59="Media",'Mapa final'!$AL$59="Moderado"),CONCATENATE("R2C",'Mapa final'!$S$59),"")</f>
        <v/>
      </c>
      <c r="X39" s="54" t="str">
        <f>IF(AND('Mapa final'!$AJ$60="Media",'Mapa final'!$AL$60="Moderado"),CONCATENATE("R2C",'Mapa final'!$S$60),"")</f>
        <v/>
      </c>
      <c r="Y39" s="54" t="str">
        <f>IF(AND('Mapa final'!$AJ$61="Media",'Mapa final'!$AL$61="Moderado"),CONCATENATE("R2C",'Mapa final'!$S$61),"")</f>
        <v/>
      </c>
      <c r="Z39" s="54" t="str">
        <f>IF(AND('Mapa final'!$AJ$62="Media",'Mapa final'!$AL$62="Moderado"),CONCATENATE("R2C",'Mapa final'!$S$62),"")</f>
        <v/>
      </c>
      <c r="AA39" s="54" t="str">
        <f>IF(AND('Mapa final'!$AJ$63="Media",'Mapa final'!$AL$63="Moderado"),CONCATENATE("R2C",'Mapa final'!$S$63),"")</f>
        <v/>
      </c>
      <c r="AB39" s="55" t="str">
        <f>IF(AND('Mapa final'!$AJ$64="Media",'Mapa final'!$AL$64="Moderado"),CONCATENATE("R2C",'Mapa final'!$S$64),"")</f>
        <v/>
      </c>
      <c r="AC39" s="38" t="str">
        <f>IF(AND('Mapa final'!$AJ$59="Media",'Mapa final'!$AL$59="Mayor"),CONCATENATE("R2C",'Mapa final'!$S$59),"")</f>
        <v/>
      </c>
      <c r="AD39" s="39" t="str">
        <f>IF(AND('Mapa final'!$AJ$60="Media",'Mapa final'!$AL$60="Mayor"),CONCATENATE("R2C",'Mapa final'!$S$60),"")</f>
        <v/>
      </c>
      <c r="AE39" s="39" t="str">
        <f>IF(AND('Mapa final'!$AJ$61="Media",'Mapa final'!$AL$61="Mayor"),CONCATENATE("R2C",'Mapa final'!$S$61),"")</f>
        <v/>
      </c>
      <c r="AF39" s="39" t="str">
        <f>IF(AND('Mapa final'!$AJ$62="Media",'Mapa final'!$AL$62="Mayor"),CONCATENATE("R2C",'Mapa final'!$S$62),"")</f>
        <v/>
      </c>
      <c r="AG39" s="39" t="str">
        <f>IF(AND('Mapa final'!$AJ$63="Media",'Mapa final'!$AL$63="Mayor"),CONCATENATE("R2C",'Mapa final'!$S$63),"")</f>
        <v/>
      </c>
      <c r="AH39" s="40" t="str">
        <f>IF(AND('Mapa final'!$AJ$64="Media",'Mapa final'!$AL$64="Mayor"),CONCATENATE("R2C",'Mapa final'!$S$64),"")</f>
        <v/>
      </c>
      <c r="AI39" s="41" t="str">
        <f>IF(AND('Mapa final'!$AJ$59="Media",'Mapa final'!$AL$59="Catastrófico"),CONCATENATE("R2C",'Mapa final'!$S$59),"")</f>
        <v/>
      </c>
      <c r="AJ39" s="42" t="str">
        <f>IF(AND('Mapa final'!$AJ$60="Media",'Mapa final'!$AL$60="Catastrófico"),CONCATENATE("R2C",'Mapa final'!$S$60),"")</f>
        <v/>
      </c>
      <c r="AK39" s="42" t="str">
        <f>IF(AND('Mapa final'!$AJ$61="Media",'Mapa final'!$AL$61="Catastrófico"),CONCATENATE("R2C",'Mapa final'!$S$61),"")</f>
        <v/>
      </c>
      <c r="AL39" s="42" t="str">
        <f>IF(AND('Mapa final'!$AJ$62="Media",'Mapa final'!$AL$62="Catastrófico"),CONCATENATE("R2C",'Mapa final'!$S$62),"")</f>
        <v/>
      </c>
      <c r="AM39" s="42" t="str">
        <f>IF(AND('Mapa final'!$AJ$63="Media",'Mapa final'!$AL$63="Catastrófico"),CONCATENATE("R2C",'Mapa final'!$S$63),"")</f>
        <v/>
      </c>
      <c r="AN39" s="43" t="str">
        <f>IF(AND('Mapa final'!$AJ$64="Media",'Mapa final'!$AL$64="Catastrófico"),CONCATENATE("R2C",'Mapa final'!$S$64),"")</f>
        <v/>
      </c>
      <c r="AO39" s="69"/>
      <c r="AP39" s="507"/>
      <c r="AQ39" s="508"/>
      <c r="AR39" s="508"/>
      <c r="AS39" s="508"/>
      <c r="AT39" s="508"/>
      <c r="AU39" s="50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422"/>
      <c r="D40" s="422"/>
      <c r="E40" s="423"/>
      <c r="F40" s="465"/>
      <c r="G40" s="466"/>
      <c r="H40" s="466"/>
      <c r="I40" s="466"/>
      <c r="J40" s="467"/>
      <c r="K40" s="53" t="str">
        <f>IF(AND('Mapa final'!$AJ$65="Media",'Mapa final'!$AL$65="Leve"),CONCATENATE("R2C",'Mapa final'!$S$65),"")</f>
        <v/>
      </c>
      <c r="L40" s="54" t="str">
        <f>IF(AND('Mapa final'!$AJ$66="Media",'Mapa final'!$AL$66="Leve"),CONCATENATE("R2C",'Mapa final'!$S$66),"")</f>
        <v/>
      </c>
      <c r="M40" s="54" t="str">
        <f>IF(AND('Mapa final'!$AJ$67="Media",'Mapa final'!$AL$67="Leve"),CONCATENATE("R2C",'Mapa final'!$S$67),"")</f>
        <v/>
      </c>
      <c r="N40" s="54" t="str">
        <f>IF(AND('Mapa final'!$AJ$68="Media",'Mapa final'!$AL$68="Leve"),CONCATENATE("R2C",'Mapa final'!$S$68),"")</f>
        <v/>
      </c>
      <c r="O40" s="54" t="str">
        <f>IF(AND('Mapa final'!$AJ$69="Media",'Mapa final'!$AL$69="Leve"),CONCATENATE("R2C",'Mapa final'!$S$69),"")</f>
        <v/>
      </c>
      <c r="P40" s="55" t="str">
        <f>IF(AND('Mapa final'!$AJ$70="Media",'Mapa final'!$AL$70="Leve"),CONCATENATE("R2C",'Mapa final'!$S$70),"")</f>
        <v/>
      </c>
      <c r="Q40" s="53" t="str">
        <f>IF(AND('Mapa final'!$AJ$65="Media",'Mapa final'!$AL$65="Menor"),CONCATENATE("R2C",'Mapa final'!$S$65),"")</f>
        <v/>
      </c>
      <c r="R40" s="54" t="str">
        <f>IF(AND('Mapa final'!$AJ$66="Media",'Mapa final'!$AL$66="Menor"),CONCATENATE("R2C",'Mapa final'!$S$66),"")</f>
        <v/>
      </c>
      <c r="S40" s="54" t="str">
        <f>IF(AND('Mapa final'!$AJ$67="Media",'Mapa final'!$AL$67="Menor"),CONCATENATE("R2C",'Mapa final'!$S$67),"")</f>
        <v/>
      </c>
      <c r="T40" s="54" t="str">
        <f>IF(AND('Mapa final'!$AJ$68="Media",'Mapa final'!$AL$68="Menor"),CONCATENATE("R2C",'Mapa final'!$S$68),"")</f>
        <v/>
      </c>
      <c r="U40" s="54" t="str">
        <f>IF(AND('Mapa final'!$AJ$69="Media",'Mapa final'!$AL$69="Menor"),CONCATENATE("R2C",'Mapa final'!$S$69),"")</f>
        <v/>
      </c>
      <c r="V40" s="55" t="str">
        <f>IF(AND('Mapa final'!$AJ$70="Media",'Mapa final'!$AL$70="Menor"),CONCATENATE("R2C",'Mapa final'!$S$70),"")</f>
        <v/>
      </c>
      <c r="W40" s="53" t="str">
        <f>IF(AND('Mapa final'!$AJ$65="Media",'Mapa final'!$AL$65="Moderado"),CONCATENATE("R2C",'Mapa final'!$S$65),"")</f>
        <v/>
      </c>
      <c r="X40" s="54" t="str">
        <f>IF(AND('Mapa final'!$AJ$66="Media",'Mapa final'!$AL$66="Moderado"),CONCATENATE("R2C",'Mapa final'!$S$66),"")</f>
        <v/>
      </c>
      <c r="Y40" s="54" t="str">
        <f>IF(AND('Mapa final'!$AJ$67="Media",'Mapa final'!$AL$67="Moderado"),CONCATENATE("R2C",'Mapa final'!$S$67),"")</f>
        <v/>
      </c>
      <c r="Z40" s="54" t="str">
        <f>IF(AND('Mapa final'!$AJ$68="Media",'Mapa final'!$AL$68="Moderado"),CONCATENATE("R2C",'Mapa final'!$S$68),"")</f>
        <v/>
      </c>
      <c r="AA40" s="54" t="str">
        <f>IF(AND('Mapa final'!$AJ$69="Media",'Mapa final'!$AL$69="Moderado"),CONCATENATE("R2C",'Mapa final'!$S$69),"")</f>
        <v/>
      </c>
      <c r="AB40" s="55" t="str">
        <f>IF(AND('Mapa final'!$AJ$70="Media",'Mapa final'!$AL$70="Moderado"),CONCATENATE("R2C",'Mapa final'!$S$70),"")</f>
        <v/>
      </c>
      <c r="AC40" s="38" t="str">
        <f>IF(AND('Mapa final'!$AJ$65="Media",'Mapa final'!$AL$65="Mayor"),CONCATENATE("R2C",'Mapa final'!$S$65),"")</f>
        <v/>
      </c>
      <c r="AD40" s="39" t="str">
        <f>IF(AND('Mapa final'!$AJ$66="Media",'Mapa final'!$AL$66="Mayor"),CONCATENATE("R2C",'Mapa final'!$S$66),"")</f>
        <v/>
      </c>
      <c r="AE40" s="39" t="str">
        <f>IF(AND('Mapa final'!$AJ$67="Media",'Mapa final'!$AL$67="Mayor"),CONCATENATE("R2C",'Mapa final'!$S$67),"")</f>
        <v/>
      </c>
      <c r="AF40" s="39" t="str">
        <f>IF(AND('Mapa final'!$AJ$68="Media",'Mapa final'!$AL$68="Mayor"),CONCATENATE("R2C",'Mapa final'!$S$68),"")</f>
        <v/>
      </c>
      <c r="AG40" s="39" t="str">
        <f>IF(AND('Mapa final'!$AJ$69="Media",'Mapa final'!$AL$69="Mayor"),CONCATENATE("R2C",'Mapa final'!$S$69),"")</f>
        <v/>
      </c>
      <c r="AH40" s="40" t="str">
        <f>IF(AND('Mapa final'!$AJ$70="Media",'Mapa final'!$AL$70="Mayor"),CONCATENATE("R2C",'Mapa final'!$S$70),"")</f>
        <v/>
      </c>
      <c r="AI40" s="41" t="str">
        <f>IF(AND('Mapa final'!$AJ$65="Media",'Mapa final'!$AL$65="Catastrófico"),CONCATENATE("R2C",'Mapa final'!$S$65),"")</f>
        <v/>
      </c>
      <c r="AJ40" s="42" t="str">
        <f>IF(AND('Mapa final'!$AJ$66="Media",'Mapa final'!$AL$66="Catastrófico"),CONCATENATE("R2C",'Mapa final'!$S$66),"")</f>
        <v/>
      </c>
      <c r="AK40" s="42" t="str">
        <f>IF(AND('Mapa final'!$AJ$67="Media",'Mapa final'!$AL$67="Catastrófico"),CONCATENATE("R2C",'Mapa final'!$S$67),"")</f>
        <v/>
      </c>
      <c r="AL40" s="42" t="str">
        <f>IF(AND('Mapa final'!$AJ$68="Media",'Mapa final'!$AL$68="Catastrófico"),CONCATENATE("R2C",'Mapa final'!$S$68),"")</f>
        <v/>
      </c>
      <c r="AM40" s="42" t="str">
        <f>IF(AND('Mapa final'!$AJ$69="Media",'Mapa final'!$AL$69="Catastrófico"),CONCATENATE("R2C",'Mapa final'!$S$69),"")</f>
        <v/>
      </c>
      <c r="AN40" s="43" t="str">
        <f>IF(AND('Mapa final'!$AJ$70="Media",'Mapa final'!$AL$70="Catastrófico"),CONCATENATE("R2C",'Mapa final'!$S$70),"")</f>
        <v/>
      </c>
      <c r="AO40" s="69"/>
      <c r="AP40" s="507"/>
      <c r="AQ40" s="508"/>
      <c r="AR40" s="508"/>
      <c r="AS40" s="508"/>
      <c r="AT40" s="508"/>
      <c r="AU40" s="50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422"/>
      <c r="D41" s="422"/>
      <c r="E41" s="423"/>
      <c r="F41" s="468"/>
      <c r="G41" s="469"/>
      <c r="H41" s="469"/>
      <c r="I41" s="469"/>
      <c r="J41" s="470"/>
      <c r="K41" s="53" t="str">
        <f>IF(AND('Mapa final'!$AJ$71="Media",'Mapa final'!$AL$71="Leve"),CONCATENATE("R2C",'Mapa final'!$S$71),"")</f>
        <v/>
      </c>
      <c r="L41" s="54" t="str">
        <f>IF(AND('Mapa final'!$AJ$72="Media",'Mapa final'!$AL$72="Leve"),CONCATENATE("R2C",'Mapa final'!$S$72),"")</f>
        <v/>
      </c>
      <c r="M41" s="54" t="str">
        <f>IF(AND('Mapa final'!$AJ$73="Media",'Mapa final'!$AL$73="Leve"),CONCATENATE("R2C",'Mapa final'!$S$73),"")</f>
        <v/>
      </c>
      <c r="N41" s="54" t="str">
        <f>IF(AND('Mapa final'!$AJ$74="Media",'Mapa final'!$AL$74="Leve"),CONCATENATE("R2C",'Mapa final'!$S$74),"")</f>
        <v/>
      </c>
      <c r="O41" s="54" t="str">
        <f>IF(AND('Mapa final'!$AJ$76="Media",'Mapa final'!$AL$76="Leve"),CONCATENATE("R2C",'Mapa final'!$S$76),"")</f>
        <v/>
      </c>
      <c r="P41" s="55" t="str">
        <f>IF(AND('Mapa final'!$AJ$77="Media",'Mapa final'!$AL$77="Leve"),CONCATENATE("R2C",'Mapa final'!$S$77),"")</f>
        <v/>
      </c>
      <c r="Q41" s="53" t="str">
        <f>IF(AND('Mapa final'!$AJ$71="Media",'Mapa final'!$AL$71="Menor"),CONCATENATE("R2C",'Mapa final'!$S$71),"")</f>
        <v/>
      </c>
      <c r="R41" s="54" t="str">
        <f>IF(AND('Mapa final'!$AJ$72="Media",'Mapa final'!$AL$72="Menor"),CONCATENATE("R2C",'Mapa final'!$S$72),"")</f>
        <v/>
      </c>
      <c r="S41" s="54" t="str">
        <f>IF(AND('Mapa final'!$AJ$73="Media",'Mapa final'!$AL$73="Menor"),CONCATENATE("R2C",'Mapa final'!$S$73),"")</f>
        <v/>
      </c>
      <c r="T41" s="54" t="str">
        <f>IF(AND('Mapa final'!$AJ$74="Media",'Mapa final'!$AL$74="Menor"),CONCATENATE("R2C",'Mapa final'!$S$74),"")</f>
        <v/>
      </c>
      <c r="U41" s="54" t="str">
        <f>IF(AND('Mapa final'!$AJ$76="Media",'Mapa final'!$AL$76="Menor"),CONCATENATE("R2C",'Mapa final'!$S$76),"")</f>
        <v/>
      </c>
      <c r="V41" s="55" t="str">
        <f>IF(AND('Mapa final'!$AJ$77="Media",'Mapa final'!$AL$77="Menor"),CONCATENATE("R2C",'Mapa final'!$S$77),"")</f>
        <v/>
      </c>
      <c r="W41" s="53" t="str">
        <f>IF(AND('Mapa final'!$AJ$71="Media",'Mapa final'!$AL$71="Moderado"),CONCATENATE("R2C",'Mapa final'!$S$71),"")</f>
        <v/>
      </c>
      <c r="X41" s="54" t="str">
        <f>IF(AND('Mapa final'!$AJ$72="Media",'Mapa final'!$AL$72="Moderado"),CONCATENATE("R2C",'Mapa final'!$S$72),"")</f>
        <v/>
      </c>
      <c r="Y41" s="54" t="str">
        <f>IF(AND('Mapa final'!$AJ$73="Media",'Mapa final'!$AL$73="Moderado"),CONCATENATE("R2C",'Mapa final'!$S$73),"")</f>
        <v/>
      </c>
      <c r="Z41" s="54" t="str">
        <f>IF(AND('Mapa final'!$AJ$74="Media",'Mapa final'!$AL$74="Moderado"),CONCATENATE("R2C",'Mapa final'!$S$74),"")</f>
        <v/>
      </c>
      <c r="AA41" s="54" t="str">
        <f>IF(AND('Mapa final'!$AJ$76="Media",'Mapa final'!$AL$76="Moderado"),CONCATENATE("R2C",'Mapa final'!$S$76),"")</f>
        <v/>
      </c>
      <c r="AB41" s="55" t="str">
        <f>IF(AND('Mapa final'!$AJ$77="Media",'Mapa final'!$AL$77="Moderado"),CONCATENATE("R2C",'Mapa final'!$S$77),"")</f>
        <v/>
      </c>
      <c r="AC41" s="38" t="str">
        <f>IF(AND('Mapa final'!$AJ$71="Media",'Mapa final'!$AL$71="Mayor"),CONCATENATE("R2C",'Mapa final'!$S$71),"")</f>
        <v/>
      </c>
      <c r="AD41" s="178" t="str">
        <f>IF(AND('Mapa final'!$AJ$72="Media",'Mapa final'!$AL$72="Mayor"),CONCATENATE("R2C",'Mapa final'!$S$72),"")</f>
        <v/>
      </c>
      <c r="AE41" s="178" t="str">
        <f>IF(AND('Mapa final'!$AJ$73="Media",'Mapa final'!$AL$73="Mayor"),CONCATENATE("R2C",'Mapa final'!$S$73),"")</f>
        <v/>
      </c>
      <c r="AF41" s="178" t="str">
        <f>IF(AND('Mapa final'!$AJ$74="Media",'Mapa final'!$AL$74="Mayor"),CONCATENATE("R2C",'Mapa final'!$S$74),"")</f>
        <v/>
      </c>
      <c r="AG41" s="178" t="str">
        <f>IF(AND('Mapa final'!$AJ$76="Media",'Mapa final'!$AL$76="Mayor"),CONCATENATE("R2C",'Mapa final'!$S$76),"")</f>
        <v/>
      </c>
      <c r="AH41" s="40" t="str">
        <f>IF(AND('Mapa final'!$AJ$77="Media",'Mapa final'!$AL$77="Mayor"),CONCATENATE("R2C",'Mapa final'!$S$77),"")</f>
        <v/>
      </c>
      <c r="AI41" s="47" t="str">
        <f>IF(AND('Mapa final'!$AJ$71="Media",'Mapa final'!$AL$71="Catastrófico"),CONCATENATE("R2C",'Mapa final'!$S$71),"")</f>
        <v/>
      </c>
      <c r="AJ41" s="48" t="str">
        <f>IF(AND('Mapa final'!$AJ$72="Media",'Mapa final'!$AL$72="Catastrófico"),CONCATENATE("R2C",'Mapa final'!$S$72),"")</f>
        <v/>
      </c>
      <c r="AK41" s="48" t="str">
        <f>IF(AND('Mapa final'!$AJ$73="Media",'Mapa final'!$AL$73="Catastrófico"),CONCATENATE("R2C",'Mapa final'!$S$73),"")</f>
        <v/>
      </c>
      <c r="AL41" s="48" t="str">
        <f>IF(AND('Mapa final'!$AJ$74="Media",'Mapa final'!$AL$74="Catastrófico"),CONCATENATE("R2C",'Mapa final'!$S$74),"")</f>
        <v/>
      </c>
      <c r="AM41" s="48" t="str">
        <f>IF(AND('Mapa final'!$AJ$76="Media",'Mapa final'!$AL$76="Catastrófico"),CONCATENATE("R2C",'Mapa final'!$S$76),"")</f>
        <v/>
      </c>
      <c r="AN41" s="49" t="str">
        <f>IF(AND('Mapa final'!$AJ$77="Muy Alta",'Mapa final'!$AL$77="Catastrófico"),CONCATENATE("R2C",'Mapa final'!$S$77),"")</f>
        <v/>
      </c>
      <c r="AO41" s="69"/>
      <c r="AP41" s="510"/>
      <c r="AQ41" s="511"/>
      <c r="AR41" s="511"/>
      <c r="AS41" s="511"/>
      <c r="AT41" s="511"/>
      <c r="AU41" s="512"/>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422"/>
      <c r="D42" s="422"/>
      <c r="E42" s="423"/>
      <c r="F42" s="462" t="s">
        <v>113</v>
      </c>
      <c r="G42" s="463"/>
      <c r="H42" s="463"/>
      <c r="I42" s="463"/>
      <c r="J42" s="463"/>
      <c r="K42" s="59" t="str">
        <f ca="1">IF(AND('Mapa final'!$AJ$15="Baja",'Mapa final'!$AL$15="Leve"),CONCATENATE("R2C",'Mapa final'!$S$15),"")</f>
        <v/>
      </c>
      <c r="L42" s="60" t="str">
        <f ca="1">IF(AND('Mapa final'!$AJ$17="Baja",'Mapa final'!$AL$17="Leve"),CONCATENATE("R2C",'Mapa final'!$D$17),"")</f>
        <v/>
      </c>
      <c r="M42" s="60" t="str">
        <f ca="1">IF(AND('Mapa final'!$AJ$18="Baja",'Mapa final'!$AL$18="Leve"),CONCATENATE("R2C",'Mapa final'!$S$18),"")</f>
        <v/>
      </c>
      <c r="N42" s="60" t="str">
        <f ca="1">IF(AND('Mapa final'!$AJ$18="Baja",'Mapa final'!$AL$18="Leve"),CONCATENATE("R2C",'Mapa final'!$S$18),"")</f>
        <v/>
      </c>
      <c r="O42" s="60" t="str">
        <f>IF(AND('Mapa final'!$AJ$19="Baja",'Mapa final'!$AL$19="Leve"),CONCATENATE("R2C",'Mapa final'!$S$19),"")</f>
        <v/>
      </c>
      <c r="P42" s="61" t="str">
        <f>IF(AND('Mapa final'!$AJ$20="Baja",'Mapa final'!$AL$20="Leve"),CONCATENATE("R2C",'Mapa final'!$S$20),"")</f>
        <v/>
      </c>
      <c r="Q42" s="50" t="str">
        <f ca="1">IF(AND('Mapa final'!$AJ$15="Baja",'Mapa final'!$AL$15="Menor"),CONCATENATE("R2C",'Mapa final'!$S$15),"")</f>
        <v/>
      </c>
      <c r="R42" s="51" t="str">
        <f ca="1">IF(AND('Mapa final'!$AJ$16="Baja",'Mapa final'!$AL$16="Menore"),CONCATENATE("R2C",'Mapa final'!$S$16),"")</f>
        <v/>
      </c>
      <c r="S42" s="51" t="str">
        <f ca="1">IF(AND('Mapa final'!$AJ$17="Baja",'Mapa final'!$AL$17="Menor"),CONCATENATE("R2C",'Mapa final'!$S$17),"")</f>
        <v/>
      </c>
      <c r="T42" s="51" t="str">
        <f ca="1">IF(AND('Mapa final'!$AJ$18="Baja",'Mapa final'!$AL$18="Menor"),CONCATENATE("R2C",'Mapa final'!$S$18),"")</f>
        <v/>
      </c>
      <c r="U42" s="51" t="str">
        <f>IF(AND('Mapa final'!$AJ$19="Baja",'Mapa final'!$AL$19="Menor"),CONCATENATE("R2C",'Mapa final'!$S$19),"")</f>
        <v/>
      </c>
      <c r="V42" s="52" t="str">
        <f>IF(AND('Mapa final'!$AJ$20="Baja",'Mapa final'!$AL$20="Menor"),CONCATENATE("R2C",'Mapa final'!$S$20),"")</f>
        <v/>
      </c>
      <c r="W42" s="50" t="str">
        <f ca="1">IF(AND('Mapa final'!$AJ$15="Baja",'Mapa final'!$AL$15="Moderado"),CONCATENATE("R2C",'Mapa final'!$S$15),"")</f>
        <v/>
      </c>
      <c r="X42" s="51" t="str">
        <f ca="1">IF(AND('Mapa final'!$AJ$16="Baja",'Mapa final'!$AL$16="Moderado"),CONCATENATE("R2C",'Mapa final'!$S$16),"")</f>
        <v/>
      </c>
      <c r="Y42" s="51"/>
      <c r="Z42" s="51" t="str">
        <f ca="1">IF(AND('Mapa final'!$AJ$18="Baja",'Mapa final'!$AL$18="Moderado"),CONCATENATE("R2C",'Mapa final'!$S$18),"")</f>
        <v/>
      </c>
      <c r="AA42" s="51" t="str">
        <f>IF(AND('Mapa final'!$AJ$19="Baja",'Mapa final'!$AL$19="Moderado"),CONCATENATE("R2C",'Mapa final'!$S$19),"")</f>
        <v/>
      </c>
      <c r="AB42" s="52" t="str">
        <f>IF(AND('Mapa final'!$AJ$20="Baja",'Mapa final'!$AL$20="Moderado"),CONCATENATE("R2C",'Mapa final'!$S$20),"")</f>
        <v/>
      </c>
      <c r="AC42" s="32" t="str">
        <f ca="1">IF(AND('Mapa final'!$AJ$15="Baja",'Mapa final'!$AL$15="Mayor"),CONCATENATE("R2C",'Mapa final'!$D$15),"")</f>
        <v>R2C1</v>
      </c>
      <c r="AD42" s="33" t="str">
        <f ca="1">IF(AND('Mapa final'!$AJ$16="Baja",'Mapa final'!$AL$16="Mayor"),CONCATENATE("R2C",'Mapa final'!$S$16),"")</f>
        <v/>
      </c>
      <c r="AE42" s="33" t="str">
        <f ca="1">IF(AND('Mapa final'!$AJ$17="Baja",'Mapa final'!$AL$17="Mayor"),CONCATENATE("R2C",'Mapa final'!$D$17),"")</f>
        <v/>
      </c>
      <c r="AF42" s="33" t="str">
        <f ca="1">IF(AND('Mapa final'!$AJ$17="Baja",'Mapa final'!$AL$17="Mayor"),CONCATENATE("R2C",'Mapa final'!$D$17),"")</f>
        <v/>
      </c>
      <c r="AG42" s="33" t="str">
        <f>IF(AND('Mapa final'!$AJ$19="Baja",'Mapa final'!$AL$19="Mayor"),CONCATENATE("R2C",'Mapa final'!$S$19),"")</f>
        <v/>
      </c>
      <c r="AH42" s="34" t="str">
        <f>IF(AND('Mapa final'!$AJ$20="Baja",'Mapa final'!$AL$20="Mayor"),CONCATENATE("R2C",'Mapa final'!$S$20),"")</f>
        <v/>
      </c>
      <c r="AI42" s="35" t="str">
        <f ca="1">IF(AND('Mapa final'!$AJ$15="Baja",'Mapa final'!$AL$15="Catastrófico"),CONCATENATE("R2C",'Mapa final'!$S$15),"")</f>
        <v/>
      </c>
      <c r="AJ42" s="36" t="str">
        <f ca="1">IF(AND('Mapa final'!$AJ$16="Baja",'Mapa final'!$AL$16="Catastrófico"),CONCATENATE("R2C",'Mapa final'!$D$16),"")</f>
        <v>R2C2</v>
      </c>
      <c r="AK42" s="36" t="str">
        <f ca="1">IF(AND('Mapa final'!$AJ$17="Baja",'Mapa final'!$AL$17="Catastrófico"),CONCATENATE("R2C",'Mapa final'!$S$17),"")</f>
        <v/>
      </c>
      <c r="AL42" s="36" t="str">
        <f ca="1">IF(AND('Mapa final'!$AJ$18="Baja",'Mapa final'!$AL$18="Catastrófico"),CONCATENATE("R2C",'Mapa final'!$S$18),"")</f>
        <v/>
      </c>
      <c r="AM42" s="36" t="str">
        <f>IF(AND('Mapa final'!$AJ$19="Baja",'Mapa final'!$AL$19="Catastrófico"),CONCATENATE("R2C",'Mapa final'!$S$19),"")</f>
        <v/>
      </c>
      <c r="AN42" s="37" t="str">
        <f>IF(AND('Mapa final'!$AJ$20="Baja",'Mapa final'!$AL$20="Catastrófico"),CONCATENATE("R2C",'Mapa final'!$S$20),"")</f>
        <v/>
      </c>
      <c r="AO42" s="69"/>
      <c r="AP42" s="495" t="s">
        <v>81</v>
      </c>
      <c r="AQ42" s="496"/>
      <c r="AR42" s="496"/>
      <c r="AS42" s="496"/>
      <c r="AT42" s="496"/>
      <c r="AU42" s="497"/>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422"/>
      <c r="D43" s="422"/>
      <c r="E43" s="423"/>
      <c r="F43" s="481"/>
      <c r="G43" s="466"/>
      <c r="H43" s="466"/>
      <c r="I43" s="466"/>
      <c r="J43" s="466"/>
      <c r="K43" s="62" t="str">
        <f>IF(AND('Mapa final'!$AJ$23="Baja",'Mapa final'!$AL$23="Leve"),CONCATENATE("R2C",'Mapa final'!$S$23),"")</f>
        <v/>
      </c>
      <c r="L43" s="63" t="str">
        <f>IF(AND('Mapa final'!$AJ$24="Baja",'Mapa final'!$AL$24="Leve"),CONCATENATE("R2C",'Mapa final'!$S$24),"")</f>
        <v/>
      </c>
      <c r="M43" s="63" t="str">
        <f>IF(AND('Mapa final'!$AJ$25="Baja",'Mapa final'!$AL$25="Leve"),CONCATENATE("R2C",'Mapa final'!$S$25),"")</f>
        <v/>
      </c>
      <c r="N43" s="63" t="str">
        <f>IF(AND('Mapa final'!$AJ$26="Baja",'Mapa final'!$AL$26="Leve"),CONCATENATE("R2C",'Mapa final'!$S$26),"")</f>
        <v/>
      </c>
      <c r="O43" s="63" t="str">
        <f>IF(AND('Mapa final'!$AJ$27="Baja",'Mapa final'!$AL$27="Leve"),CONCATENATE("R2C",'Mapa final'!$S$27),"")</f>
        <v/>
      </c>
      <c r="P43" s="64" t="str">
        <f>IF(AND('Mapa final'!$AJ$28="Baja",'Mapa final'!$AL$28="Leve"),CONCATENATE("R2C",'Mapa final'!$S$28),"")</f>
        <v/>
      </c>
      <c r="Q43" s="53" t="str">
        <f>IF(AND('Mapa final'!$AJ$23="Baja",'Mapa final'!$AL$23="Menor"),CONCATENATE("R2C",'Mapa final'!$S$23),"")</f>
        <v/>
      </c>
      <c r="R43" s="54" t="str">
        <f>IF(AND('Mapa final'!$AJ$24="Baja",'Mapa final'!$AL$24="Menor"),CONCATENATE("R2C",'Mapa final'!$S$24),"")</f>
        <v/>
      </c>
      <c r="S43" s="54" t="str">
        <f>IF(AND('Mapa final'!$AJ$25="Baja",'Mapa final'!$AL$25="Menor"),CONCATENATE("R2C",'Mapa final'!$S$25),"")</f>
        <v/>
      </c>
      <c r="T43" s="54" t="str">
        <f>IF(AND('Mapa final'!$AJ$26="Baja",'Mapa final'!$AL$26="Menor"),CONCATENATE("R2C",'Mapa final'!$S$26),"")</f>
        <v/>
      </c>
      <c r="U43" s="54" t="str">
        <f>IF(AND('Mapa final'!$AJ$27="Baja",'Mapa final'!$AL$27="Menor"),CONCATENATE("R2C",'Mapa final'!$S$27),"")</f>
        <v/>
      </c>
      <c r="V43" s="55" t="str">
        <f>IF(AND('Mapa final'!$AJ$28="Baja",'Mapa final'!$AL$28="Menor"),CONCATENATE("R2C",'Mapa final'!$S$28),"")</f>
        <v/>
      </c>
      <c r="W43" s="53" t="str">
        <f>IF(AND('Mapa final'!$AJ$23="Baja",'Mapa final'!$AL$23="Moderado"),CONCATENATE("R2C",'Mapa final'!$S$23),"")</f>
        <v/>
      </c>
      <c r="X43" s="54" t="str">
        <f>IF(AND('Mapa final'!$AJ$24="Baja",'Mapa final'!$AL$24="Moderado"),CONCATENATE("R2C",'Mapa final'!$S$24),"")</f>
        <v/>
      </c>
      <c r="Y43" s="54" t="str">
        <f>IF(AND('Mapa final'!$AJ$25="Baja",'Mapa final'!$AL$25="Moderado"),CONCATENATE("R2C",'Mapa final'!$S$25),"")</f>
        <v/>
      </c>
      <c r="Z43" s="54" t="str">
        <f>IF(AND('Mapa final'!$AJ$26="Baja",'Mapa final'!$AL$26="Moderado"),CONCATENATE("R2C",'Mapa final'!$S$26),"")</f>
        <v/>
      </c>
      <c r="AA43" s="54" t="str">
        <f>IF(AND('Mapa final'!$AJ$27="Baja",'Mapa final'!$AL$27="Moderado"),CONCATENATE("R2C",'Mapa final'!$S$27),"")</f>
        <v/>
      </c>
      <c r="AB43" s="55" t="str">
        <f>IF(AND('Mapa final'!$AJ$28="Baja",'Mapa final'!$AL$28="Moderado"),CONCATENATE("R2C",'Mapa final'!$S$28),"")</f>
        <v/>
      </c>
      <c r="AC43" s="38" t="str">
        <f>IF(AND('Mapa final'!$AJ$23="Baja",'Mapa final'!$AL$23="Mayor"),CONCATENATE("R2C",'Mapa final'!$S$23),"")</f>
        <v/>
      </c>
      <c r="AD43" s="178" t="str">
        <f>IF(AND('Mapa final'!$AJ$24="Baja",'Mapa final'!$AL$24="Mayor"),CONCATENATE("R2C",'Mapa final'!$S$24),"")</f>
        <v/>
      </c>
      <c r="AE43" s="178" t="str">
        <f>IF(AND('Mapa final'!$AJ$25="Baja",'Mapa final'!$AL$25="Mayor"),CONCATENATE("R2C",'Mapa final'!$S$25),"")</f>
        <v/>
      </c>
      <c r="AF43" s="178" t="str">
        <f>IF(AND('Mapa final'!$AJ$26="Baja",'Mapa final'!$AL$26="Mayor"),CONCATENATE("R2C",'Mapa final'!$S$26),"")</f>
        <v/>
      </c>
      <c r="AG43" s="178" t="str">
        <f>IF(AND('Mapa final'!$AJ$27="Baja",'Mapa final'!$AL$27="Mayor"),CONCATENATE("R2C",'Mapa final'!$S$27),"")</f>
        <v/>
      </c>
      <c r="AH43" s="40" t="str">
        <f>IF(AND('Mapa final'!$AJ$28="Baja",'Mapa final'!$AL$28="Mayor"),CONCATENATE("R2C",'Mapa final'!$S$28),"")</f>
        <v/>
      </c>
      <c r="AI43" s="41" t="str">
        <f>IF(AND('Mapa final'!$AJ$23="Baja",'Mapa final'!$AL$23="Catastrófico"),CONCATENATE("R2C",'Mapa final'!$S$23),"")</f>
        <v/>
      </c>
      <c r="AJ43" s="42" t="str">
        <f>IF(AND('Mapa final'!$AJ$24="Baja",'Mapa final'!$AL$24="Catastrófico"),CONCATENATE("R2C",'Mapa final'!$S$24),"")</f>
        <v/>
      </c>
      <c r="AK43" s="42" t="str">
        <f>IF(AND('Mapa final'!$AJ$25="Baja",'Mapa final'!$AL$25="Catastrófico"),CONCATENATE("R2C",'Mapa final'!$S$25),"")</f>
        <v/>
      </c>
      <c r="AL43" s="42" t="str">
        <f>IF(AND('Mapa final'!$AJ$26="Baja",'Mapa final'!$AL$26="Catastrófico"),CONCATENATE("R2C",'Mapa final'!$S$26),"")</f>
        <v/>
      </c>
      <c r="AM43" s="42" t="str">
        <f>IF(AND('Mapa final'!$AJ$27="Baja",'Mapa final'!$AL$27="Catastrófico"),CONCATENATE("R2C",'Mapa final'!$S$27),"")</f>
        <v/>
      </c>
      <c r="AN43" s="43" t="str">
        <f>IF(AND('Mapa final'!$AJ$28="Baja",'Mapa final'!$AL$28="Catastrófico"),CONCATENATE("R2C",'Mapa final'!$S$28),"")</f>
        <v/>
      </c>
      <c r="AO43" s="69"/>
      <c r="AP43" s="498"/>
      <c r="AQ43" s="499"/>
      <c r="AR43" s="499"/>
      <c r="AS43" s="499"/>
      <c r="AT43" s="499"/>
      <c r="AU43" s="500"/>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422"/>
      <c r="D44" s="422"/>
      <c r="E44" s="423"/>
      <c r="F44" s="465"/>
      <c r="G44" s="466"/>
      <c r="H44" s="466"/>
      <c r="I44" s="466"/>
      <c r="J44" s="466"/>
      <c r="K44" s="62" t="str">
        <f>IF(AND('Mapa final'!$AJ$29="Baja",'Mapa final'!$AL$29="Leve"),CONCATENATE("R2C",'Mapa final'!$S$29),"")</f>
        <v/>
      </c>
      <c r="L44" s="63" t="str">
        <f>IF(AND('Mapa final'!$AJ$30="Baja",'Mapa final'!$AL$30="Leve"),CONCATENATE("R2C",'Mapa final'!$S$30),"")</f>
        <v/>
      </c>
      <c r="M44" s="63" t="str">
        <f>IF(AND('Mapa final'!$AJ$31="Baja",'Mapa final'!$AL$31="Leve"),CONCATENATE("R2C",'Mapa final'!$S$31),"")</f>
        <v/>
      </c>
      <c r="N44" s="63" t="str">
        <f>IF(AND('Mapa final'!$AJ$32="Baja",'Mapa final'!$AL$32="Leve"),CONCATENATE("R2C",'Mapa final'!$S$32),"")</f>
        <v/>
      </c>
      <c r="O44" s="63" t="str">
        <f>IF(AND('Mapa final'!$AJ$33="Baja",'Mapa final'!$AL$33="Leve"),CONCATENATE("R2C",'Mapa final'!$S$33),"")</f>
        <v/>
      </c>
      <c r="P44" s="64" t="str">
        <f>IF(AND('Mapa final'!$AJ$34="Baja",'Mapa final'!$AL$34="Leve"),CONCATENATE("R2C",'Mapa final'!$S$34),"")</f>
        <v/>
      </c>
      <c r="Q44" s="53" t="str">
        <f>IF(AND('Mapa final'!$AJ$29="Baja",'Mapa final'!$AL$29="Menor"),CONCATENATE("R2C",'Mapa final'!$S$29),"")</f>
        <v/>
      </c>
      <c r="R44" s="54" t="str">
        <f>IF(AND('Mapa final'!$AJ$30="Baja",'Mapa final'!$AL$30="Menor"),CONCATENATE("R2C",'Mapa final'!$S$30),"")</f>
        <v/>
      </c>
      <c r="S44" s="54" t="str">
        <f>IF(AND('Mapa final'!$AJ$31="Baja",'Mapa final'!$AL$31="Menor"),CONCATENATE("R2C",'Mapa final'!$S$31),"")</f>
        <v/>
      </c>
      <c r="T44" s="54" t="str">
        <f>IF(AND('Mapa final'!$AJ$32="Baja",'Mapa final'!$AL$32="Menor"),CONCATENATE("R2C",'Mapa final'!$S$32),"")</f>
        <v/>
      </c>
      <c r="U44" s="54" t="str">
        <f>IF(AND('Mapa final'!$AJ$33="Baja",'Mapa final'!$AL$33="Menor"),CONCATENATE("R2C",'Mapa final'!$S$33),"")</f>
        <v/>
      </c>
      <c r="V44" s="55" t="str">
        <f>IF(AND('Mapa final'!$AJ$34="Baja",'Mapa final'!$AL$34="Menor"),CONCATENATE("R2C",'Mapa final'!$S$34),"")</f>
        <v/>
      </c>
      <c r="W44" s="53" t="str">
        <f>IF(AND('Mapa final'!$AJ$29="Baja",'Mapa final'!$AL$29="Moderado"),CONCATENATE("R2C",'Mapa final'!$S$29),"")</f>
        <v/>
      </c>
      <c r="X44" s="54" t="str">
        <f>IF(AND('Mapa final'!$AJ$30="Baja",'Mapa final'!$AL$30="Moderado"),CONCATENATE("R2C",'Mapa final'!$S$30),"")</f>
        <v/>
      </c>
      <c r="Y44" s="54" t="str">
        <f>IF(AND('Mapa final'!$AJ$31="Baja",'Mapa final'!$AL$31="Moderado"),CONCATENATE("R2C",'Mapa final'!$S$31),"")</f>
        <v/>
      </c>
      <c r="Z44" s="54" t="str">
        <f>IF(AND('Mapa final'!$AJ$32="Baja",'Mapa final'!$AL$32="Moderado"),CONCATENATE("R2C",'Mapa final'!$S$32),"")</f>
        <v/>
      </c>
      <c r="AA44" s="54" t="str">
        <f>IF(AND('Mapa final'!$AJ$33="Baja",'Mapa final'!$AL$33="Moderado"),CONCATENATE("R2C",'Mapa final'!$S$33),"")</f>
        <v/>
      </c>
      <c r="AB44" s="55" t="str">
        <f>IF(AND('Mapa final'!$AJ$34="Baja",'Mapa final'!$AL$34="Moderado"),CONCATENATE("R2C",'Mapa final'!$S$34),"")</f>
        <v/>
      </c>
      <c r="AC44" s="38" t="str">
        <f>IF(AND('Mapa final'!$AJ$29="Baja",'Mapa final'!$AL$29="Mayor"),CONCATENATE("R2C",'Mapa final'!$S$29),"")</f>
        <v/>
      </c>
      <c r="AD44" s="178" t="str">
        <f>IF(AND('Mapa final'!$AJ$30="Baja",'Mapa final'!$AL$30="Mayor"),CONCATENATE("R2C",'Mapa final'!$S$30),"")</f>
        <v/>
      </c>
      <c r="AE44" s="178" t="str">
        <f>IF(AND('Mapa final'!$AJ$31="Baja",'Mapa final'!$AL$31="Mayor"),CONCATENATE("R2C",'Mapa final'!$S$31),"")</f>
        <v/>
      </c>
      <c r="AF44" s="178" t="str">
        <f>IF(AND('Mapa final'!$AJ$32="Baja",'Mapa final'!$AL$32="Mayor"),CONCATENATE("R2C",'Mapa final'!$S$32),"")</f>
        <v/>
      </c>
      <c r="AG44" s="178" t="str">
        <f>IF(AND('Mapa final'!$AJ$33="Baja",'Mapa final'!$AL$33="Mayor"),CONCATENATE("R2C",'Mapa final'!$S$33),"")</f>
        <v/>
      </c>
      <c r="AH44" s="40" t="str">
        <f>IF(AND('Mapa final'!$AJ$34="Baja",'Mapa final'!$AL$34="Mayor"),CONCATENATE("R2C",'Mapa final'!$S$34),"")</f>
        <v/>
      </c>
      <c r="AI44" s="41" t="str">
        <f>IF(AND('Mapa final'!$AJ$29="Baja",'Mapa final'!$AL$29="Catastrófico"),CONCATENATE("R2C",'Mapa final'!$S$29),"")</f>
        <v/>
      </c>
      <c r="AJ44" s="42" t="str">
        <f>IF(AND('Mapa final'!$AJ$30="Baja",'Mapa final'!$AL$30="Catastrófico"),CONCATENATE("R2C",'Mapa final'!$S$30),"")</f>
        <v/>
      </c>
      <c r="AK44" s="42" t="str">
        <f>IF(AND('Mapa final'!$AJ$31="Baja",'Mapa final'!$AL$31="Catastrófico"),CONCATENATE("R2C",'Mapa final'!$S$31),"")</f>
        <v/>
      </c>
      <c r="AL44" s="42" t="str">
        <f>IF(AND('Mapa final'!$AJ$32="Baja",'Mapa final'!$AL$32="Catastrófico"),CONCATENATE("R2C",'Mapa final'!$S$32),"")</f>
        <v/>
      </c>
      <c r="AM44" s="42" t="str">
        <f>IF(AND('Mapa final'!$AJ$33="Baja",'Mapa final'!$AL$33="Catastrófico"),CONCATENATE("R2C",'Mapa final'!$S$33),"")</f>
        <v/>
      </c>
      <c r="AN44" s="43" t="str">
        <f>IF(AND('Mapa final'!$AJ$34="Baja",'Mapa final'!$AL$34="Catastrófico"),CONCATENATE("R2C",'Mapa final'!$S$34),"")</f>
        <v/>
      </c>
      <c r="AO44" s="69"/>
      <c r="AP44" s="498"/>
      <c r="AQ44" s="499"/>
      <c r="AR44" s="499"/>
      <c r="AS44" s="499"/>
      <c r="AT44" s="499"/>
      <c r="AU44" s="500"/>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422"/>
      <c r="D45" s="422"/>
      <c r="E45" s="423"/>
      <c r="F45" s="465"/>
      <c r="G45" s="466"/>
      <c r="H45" s="466"/>
      <c r="I45" s="466"/>
      <c r="J45" s="466"/>
      <c r="K45" s="62" t="str">
        <f>IF(AND('Mapa final'!$AJ$35="Baja",'Mapa final'!$AL$35="Leve"),CONCATENATE("R2C",'Mapa final'!$S$35),"")</f>
        <v/>
      </c>
      <c r="L45" s="63" t="str">
        <f>IF(AND('Mapa final'!$AJ$36="Baja",'Mapa final'!$AL$36="Leve"),CONCATENATE("R2C",'Mapa final'!$S$36),"")</f>
        <v/>
      </c>
      <c r="M45" s="63" t="str">
        <f>IF(AND('Mapa final'!$AJ$37="Baja",'Mapa final'!$AL$37="Leve"),CONCATENATE("R2C",'Mapa final'!$S$37),"")</f>
        <v/>
      </c>
      <c r="N45" s="63" t="str">
        <f>IF(AND('Mapa final'!$AJ$38="Baja",'Mapa final'!$AL$38="Leve"),CONCATENATE("R2C",'Mapa final'!$S$38),"")</f>
        <v/>
      </c>
      <c r="O45" s="63" t="str">
        <f>IF(AND('Mapa final'!$AJ$39="Baja",'Mapa final'!$AL$39="Leve"),CONCATENATE("R2C",'Mapa final'!$S$39),"")</f>
        <v/>
      </c>
      <c r="P45" s="64" t="str">
        <f>IF(AND('Mapa final'!$AJ$40="Baja",'Mapa final'!$AL$40="Leve"),CONCATENATE("R2C",'Mapa final'!$S$40),"")</f>
        <v/>
      </c>
      <c r="Q45" s="53" t="str">
        <f>IF(AND('Mapa final'!$AJ$35="Baja",'Mapa final'!$AL$35="Menor"),CONCATENATE("R2C",'Mapa final'!$S$35),"")</f>
        <v/>
      </c>
      <c r="R45" s="54" t="str">
        <f>IF(AND('Mapa final'!$AJ$36="Baja",'Mapa final'!$AL$36="Menor"),CONCATENATE("R2C",'Mapa final'!$S$36),"")</f>
        <v/>
      </c>
      <c r="S45" s="54" t="str">
        <f>IF(AND('Mapa final'!$AJ$37="Baja",'Mapa final'!$AL$37="Menor"),CONCATENATE("R2C",'Mapa final'!$S$37),"")</f>
        <v/>
      </c>
      <c r="T45" s="54" t="str">
        <f>IF(AND('Mapa final'!$AJ$38="Baja",'Mapa final'!$AL$38="Menor"),CONCATENATE("R2C",'Mapa final'!$S$38),"")</f>
        <v/>
      </c>
      <c r="U45" s="54" t="str">
        <f>IF(AND('Mapa final'!$AJ$39="Baja",'Mapa final'!$AL$39="LMenor"),CONCATENATE("R2C",'Mapa final'!$S$39),"")</f>
        <v/>
      </c>
      <c r="V45" s="55" t="str">
        <f>IF(AND('Mapa final'!$AJ$40="Baja",'Mapa final'!$AL$40="Menor"),CONCATENATE("R2C",'Mapa final'!$S$40),"")</f>
        <v/>
      </c>
      <c r="W45" s="53" t="str">
        <f>IF(AND('Mapa final'!$AJ$35="Baja",'Mapa final'!$AL$35="Moderado"),CONCATENATE("R2C",'Mapa final'!$S$35),"")</f>
        <v/>
      </c>
      <c r="X45" s="54" t="str">
        <f>IF(AND('Mapa final'!$AJ$36="Baja",'Mapa final'!$AL$36="Moderado"),CONCATENATE("R2C",'Mapa final'!$S$36),"")</f>
        <v/>
      </c>
      <c r="Y45" s="54" t="str">
        <f>IF(AND('Mapa final'!$AJ$37="Baja",'Mapa final'!$AL$37="Moderado"),CONCATENATE("R2C",'Mapa final'!$S$37),"")</f>
        <v/>
      </c>
      <c r="Z45" s="54" t="str">
        <f>IF(AND('Mapa final'!$AJ$38="Baja",'Mapa final'!$AL$38="Moderado"),CONCATENATE("R2C",'Mapa final'!$S$38),"")</f>
        <v/>
      </c>
      <c r="AA45" s="54" t="str">
        <f>IF(AND('Mapa final'!$AJ$39="Baja",'Mapa final'!$AL$39="Moderado"),CONCATENATE("R2C",'Mapa final'!$S$39),"")</f>
        <v/>
      </c>
      <c r="AB45" s="55" t="str">
        <f>IF(AND('Mapa final'!$AJ$40="Baja",'Mapa final'!$AL$40="Moderado"),CONCATENATE("R2C",'Mapa final'!$S$40),"")</f>
        <v/>
      </c>
      <c r="AC45" s="38" t="str">
        <f>IF(AND('Mapa final'!$AJ$35="Baja",'Mapa final'!$AL$35="Mayor"),CONCATENATE("R2C",'Mapa final'!$S$35),"")</f>
        <v/>
      </c>
      <c r="AD45" s="178" t="str">
        <f>IF(AND('Mapa final'!$AJ$36="Baja",'Mapa final'!$AL$36="Mayor"),CONCATENATE("R2C",'Mapa final'!$S$36),"")</f>
        <v/>
      </c>
      <c r="AE45" s="178" t="str">
        <f>IF(AND('Mapa final'!$AJ$37="Baja",'Mapa final'!$AL$37="Mayor"),CONCATENATE("R2C",'Mapa final'!$S$37),"")</f>
        <v/>
      </c>
      <c r="AF45" s="178" t="str">
        <f>IF(AND('Mapa final'!$AJ$38="Baja",'Mapa final'!$AL$38="Mayor"),CONCATENATE("R2C",'Mapa final'!$S$38),"")</f>
        <v/>
      </c>
      <c r="AG45" s="178" t="str">
        <f>IF(AND('Mapa final'!$AJ$39="Baja",'Mapa final'!$AL$39="Mayor"),CONCATENATE("R2C",'Mapa final'!$S$39),"")</f>
        <v/>
      </c>
      <c r="AH45" s="40" t="str">
        <f>IF(AND('Mapa final'!$AJ$40="Baja",'Mapa final'!$AL$40="Mayor"),CONCATENATE("R2C",'Mapa final'!$S$40),"")</f>
        <v/>
      </c>
      <c r="AI45" s="41" t="str">
        <f>IF(AND('Mapa final'!$AJ$35="Baja",'Mapa final'!$AL$35="Catastrófico"),CONCATENATE("R2C",'Mapa final'!$S$35),"")</f>
        <v/>
      </c>
      <c r="AJ45" s="42" t="str">
        <f>IF(AND('Mapa final'!$AJ$36="Baja",'Mapa final'!$AL$36="Catastrófico"),CONCATENATE("R2C",'Mapa final'!$S$36),"")</f>
        <v/>
      </c>
      <c r="AK45" s="42" t="str">
        <f>IF(AND('Mapa final'!$AJ$37="Baja",'Mapa final'!$AL$37="Catastrófico"),CONCATENATE("R2C",'Mapa final'!$S$37),"")</f>
        <v/>
      </c>
      <c r="AL45" s="42" t="str">
        <f>IF(AND('Mapa final'!$AJ$38="Baja",'Mapa final'!$AL$38="Catastrófico"),CONCATENATE("R2C",'Mapa final'!$S$38),"")</f>
        <v/>
      </c>
      <c r="AM45" s="42" t="str">
        <f>IF(AND('Mapa final'!$AJ$39="Baja",'Mapa final'!$AL$39="LCatastrófico"),CONCATENATE("R2C",'Mapa final'!$S$39),"")</f>
        <v/>
      </c>
      <c r="AN45" s="43" t="str">
        <f>IF(AND('Mapa final'!$AJ$40="Baja",'Mapa final'!$AL$40="Catastrófico"),CONCATENATE("R2C",'Mapa final'!$S$40),"")</f>
        <v/>
      </c>
      <c r="AO45" s="69"/>
      <c r="AP45" s="498"/>
      <c r="AQ45" s="499"/>
      <c r="AR45" s="499"/>
      <c r="AS45" s="499"/>
      <c r="AT45" s="499"/>
      <c r="AU45" s="500"/>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422"/>
      <c r="D46" s="422"/>
      <c r="E46" s="423"/>
      <c r="F46" s="465"/>
      <c r="G46" s="466"/>
      <c r="H46" s="466"/>
      <c r="I46" s="466"/>
      <c r="J46" s="466"/>
      <c r="K46" s="62" t="str">
        <f>IF(AND('Mapa final'!$AJ$41="Baja",'Mapa final'!$AL$41="Leve"),CONCATENATE("R2C",'Mapa final'!$S$41),"")</f>
        <v/>
      </c>
      <c r="L46" s="63" t="str">
        <f>IF(AND('Mapa final'!$AJ$42="Baja",'Mapa final'!$AL$42="Leve"),CONCATENATE("R2C",'Mapa final'!$S$42),"")</f>
        <v/>
      </c>
      <c r="M46" s="63" t="str">
        <f>IF(AND('Mapa final'!$AJ$43="Baja",'Mapa final'!$AL$43="Leve"),CONCATENATE("R2C",'Mapa final'!$S$43),"")</f>
        <v/>
      </c>
      <c r="N46" s="63" t="str">
        <f>IF(AND('Mapa final'!$AJ$44="Baja",'Mapa final'!$AL$44="Leve"),CONCATENATE("R2C",'Mapa final'!$S$44),"")</f>
        <v/>
      </c>
      <c r="O46" s="63" t="str">
        <f>IF(AND('Mapa final'!$AJ$45="Baja",'Mapa final'!$AL$45="Leve"),CONCATENATE("R2C",'Mapa final'!$S$45),"")</f>
        <v/>
      </c>
      <c r="P46" s="64" t="str">
        <f>IF(AND('Mapa final'!$AJ$46="Baja",'Mapa final'!$AL$46="Leve"),CONCATENATE("R2C",'Mapa final'!$S$46),"")</f>
        <v/>
      </c>
      <c r="Q46" s="53" t="str">
        <f>IF(AND('Mapa final'!$AJ$41="Baja",'Mapa final'!$AL$41="Menor"),CONCATENATE("R2C",'Mapa final'!$S$41),"")</f>
        <v/>
      </c>
      <c r="R46" s="54" t="str">
        <f>IF(AND('Mapa final'!$AJ$42="Baja",'Mapa final'!$AL$42="Menor"),CONCATENATE("R2C",'Mapa final'!$S$42),"")</f>
        <v/>
      </c>
      <c r="S46" s="54" t="str">
        <f>IF(AND('Mapa final'!$AJ$43="Baja",'Mapa final'!$AL$43="Menor"),CONCATENATE("R2C",'Mapa final'!$S$43),"")</f>
        <v/>
      </c>
      <c r="T46" s="54" t="str">
        <f>IF(AND('Mapa final'!$AJ$44="Baja",'Mapa final'!$AL$44="Menor"),CONCATENATE("R2C",'Mapa final'!$S$44),"")</f>
        <v/>
      </c>
      <c r="U46" s="54" t="str">
        <f>IF(AND('Mapa final'!$AJ$45="Baja",'Mapa final'!$AL$45="Menor"),CONCATENATE("R2C",'Mapa final'!$S$45),"")</f>
        <v/>
      </c>
      <c r="V46" s="55" t="str">
        <f>IF(AND('Mapa final'!$AJ$46="Baja",'Mapa final'!$AL$46="Menor"),CONCATENATE("R2C",'Mapa final'!$S$46),"")</f>
        <v/>
      </c>
      <c r="W46" s="53" t="str">
        <f>IF(AND('Mapa final'!$AJ$41="Baja",'Mapa final'!$AL$41="Moderado"),CONCATENATE("R2C",'Mapa final'!$S$41),"")</f>
        <v/>
      </c>
      <c r="X46" s="54" t="str">
        <f>IF(AND('Mapa final'!$AJ$42="Baja",'Mapa final'!$AL$42="Moderado"),CONCATENATE("R2C",'Mapa final'!$S$42),"")</f>
        <v/>
      </c>
      <c r="Y46" s="54" t="str">
        <f>IF(AND('Mapa final'!$AJ$43="Baja",'Mapa final'!$AL$43="Moderado"),CONCATENATE("R2C",'Mapa final'!$S$43),"")</f>
        <v/>
      </c>
      <c r="Z46" s="54" t="str">
        <f>IF(AND('Mapa final'!$AJ$44="Baja",'Mapa final'!$AL$44="Moderado"),CONCATENATE("R2C",'Mapa final'!$S$44),"")</f>
        <v/>
      </c>
      <c r="AA46" s="54" t="str">
        <f>IF(AND('Mapa final'!$AJ$45="Baja",'Mapa final'!$AL$45="Moderado"),CONCATENATE("R2C",'Mapa final'!$S$45),"")</f>
        <v/>
      </c>
      <c r="AB46" s="55" t="str">
        <f>IF(AND('Mapa final'!$AJ$46="Baja",'Mapa final'!$AL$46="Moderado"),CONCATENATE("R2C",'Mapa final'!$S$46),"")</f>
        <v/>
      </c>
      <c r="AC46" s="38" t="str">
        <f>IF(AND('Mapa final'!$AJ$41="Baja",'Mapa final'!$AL$41="Mayor"),CONCATENATE("R2C",'Mapa final'!$S$41),"")</f>
        <v/>
      </c>
      <c r="AD46" s="178" t="str">
        <f>IF(AND('Mapa final'!$AJ$42="Baja",'Mapa final'!$AL$42="Mayor"),CONCATENATE("R2C",'Mapa final'!$S$42),"")</f>
        <v/>
      </c>
      <c r="AE46" s="178" t="str">
        <f>IF(AND('Mapa final'!$AJ$43="Baja",'Mapa final'!$AL$43="Mayor"),CONCATENATE("R2C",'Mapa final'!$S$43),"")</f>
        <v/>
      </c>
      <c r="AF46" s="178" t="str">
        <f>IF(AND('Mapa final'!$AJ$44="Baja",'Mapa final'!$AL$44="Mayor"),CONCATENATE("R2C",'Mapa final'!$S$44),"")</f>
        <v/>
      </c>
      <c r="AG46" s="178" t="str">
        <f>IF(AND('Mapa final'!$AJ$45="Baja",'Mapa final'!$AL$45="Mayor"),CONCATENATE("R2C",'Mapa final'!$S$45),"")</f>
        <v/>
      </c>
      <c r="AH46" s="40" t="str">
        <f>IF(AND('Mapa final'!$AJ$46="Baja",'Mapa final'!$AL$46="Mayor"),CONCATENATE("R2C",'Mapa final'!$S$46),"")</f>
        <v/>
      </c>
      <c r="AI46" s="41" t="str">
        <f>IF(AND('Mapa final'!$AJ$41="Baja",'Mapa final'!$AL$41="Catastrófico"),CONCATENATE("R2C",'Mapa final'!$S$41),"")</f>
        <v/>
      </c>
      <c r="AJ46" s="42" t="str">
        <f>IF(AND('Mapa final'!$AJ$42="Baja",'Mapa final'!$AL$42="Catastrófico"),CONCATENATE("R2C",'Mapa final'!$S$42),"")</f>
        <v/>
      </c>
      <c r="AK46" s="42" t="str">
        <f>IF(AND('Mapa final'!$AJ$43="Baja",'Mapa final'!$AL$43="Catastrófico"),CONCATENATE("R2C",'Mapa final'!$S$43),"")</f>
        <v/>
      </c>
      <c r="AL46" s="42" t="str">
        <f>IF(AND('Mapa final'!$AJ$44="Baja",'Mapa final'!$AL$44="Catastrófico"),CONCATENATE("R2C",'Mapa final'!$S$44),"")</f>
        <v/>
      </c>
      <c r="AM46" s="42" t="str">
        <f>IF(AND('Mapa final'!$AJ$45="Baja",'Mapa final'!$AL$45="Catastrófico"),CONCATENATE("R2C",'Mapa final'!$S$45),"")</f>
        <v/>
      </c>
      <c r="AN46" s="43" t="str">
        <f>IF(AND('Mapa final'!$AJ$46="Baja",'Mapa final'!$AL$46="Catastrófico"),CONCATENATE("R2C",'Mapa final'!$S$46),"")</f>
        <v/>
      </c>
      <c r="AO46" s="69"/>
      <c r="AP46" s="498"/>
      <c r="AQ46" s="499"/>
      <c r="AR46" s="499"/>
      <c r="AS46" s="499"/>
      <c r="AT46" s="499"/>
      <c r="AU46" s="500"/>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422"/>
      <c r="D47" s="422"/>
      <c r="E47" s="423"/>
      <c r="F47" s="465"/>
      <c r="G47" s="466"/>
      <c r="H47" s="466"/>
      <c r="I47" s="466"/>
      <c r="J47" s="466"/>
      <c r="K47" s="62" t="str">
        <f>IF(AND('Mapa final'!$AJ$47="Baja",'Mapa final'!$AL$47="Leve"),CONCATENATE("R2C",'Mapa final'!$S$47),"")</f>
        <v/>
      </c>
      <c r="L47" s="63" t="str">
        <f>IF(AND('Mapa final'!$AJ$48="Baja",'Mapa final'!$AL$48="Leve"),CONCATENATE("R2C",'Mapa final'!$S$48),"")</f>
        <v/>
      </c>
      <c r="M47" s="63" t="str">
        <f>IF(AND('Mapa final'!$AJ$49="Baja",'Mapa final'!$AL$49="Leve"),CONCATENATE("R2C",'Mapa final'!$S$49),"")</f>
        <v/>
      </c>
      <c r="N47" s="63" t="str">
        <f>IF(AND('Mapa final'!$AJ$50="Baja",'Mapa final'!$AL$50="Leve"),CONCATENATE("R2C",'Mapa final'!$S$50),"")</f>
        <v/>
      </c>
      <c r="O47" s="63" t="str">
        <f>IF(AND('Mapa final'!$AJ$51="Baja",'Mapa final'!$AL$51="Leve"),CONCATENATE("R2C",'Mapa final'!$S$51),"")</f>
        <v/>
      </c>
      <c r="P47" s="64" t="str">
        <f>IF(AND('Mapa final'!$AJ$62="Baja",'Mapa final'!$AL$52="Leve"),CONCATENATE("R2C",'Mapa final'!$S$52),"")</f>
        <v/>
      </c>
      <c r="Q47" s="53" t="str">
        <f>IF(AND('Mapa final'!$AJ$47="Baja",'Mapa final'!$AL$47="Menor"),CONCATENATE("R2C",'Mapa final'!$S$47),"")</f>
        <v/>
      </c>
      <c r="R47" s="54" t="str">
        <f>IF(AND('Mapa final'!$AJ$48="Baja",'Mapa final'!$AL$48="Menor"),CONCATENATE("R2C",'Mapa final'!$S$48),"")</f>
        <v/>
      </c>
      <c r="S47" s="54" t="str">
        <f>IF(AND('Mapa final'!$AJ$49="Baja",'Mapa final'!$AL$49="Menor"),CONCATENATE("R2C",'Mapa final'!$S$49),"")</f>
        <v/>
      </c>
      <c r="T47" s="54" t="str">
        <f>IF(AND('Mapa final'!$AJ$50="Baja",'Mapa final'!$AL$50="Menor"),CONCATENATE("R2C",'Mapa final'!$S$50),"")</f>
        <v/>
      </c>
      <c r="U47" s="54" t="str">
        <f>IF(AND('Mapa final'!$AJ$51="Baja",'Mapa final'!$AL$51="Menor"),CONCATENATE("R2C",'Mapa final'!$S$51),"")</f>
        <v/>
      </c>
      <c r="V47" s="55" t="str">
        <f>IF(AND('Mapa final'!$AJ$62="Baja",'Mapa final'!$AL$52="Menor"),CONCATENATE("R2C",'Mapa final'!$S$52),"")</f>
        <v/>
      </c>
      <c r="W47" s="53" t="str">
        <f>IF(AND('Mapa final'!$AJ$47="Baja",'Mapa final'!$AL$47="Moderado"),CONCATENATE("R2C",'Mapa final'!$S$47),"")</f>
        <v/>
      </c>
      <c r="X47" s="54" t="str">
        <f>IF(AND('Mapa final'!$AJ$48="Baja",'Mapa final'!$AL$48="Moderado"),CONCATENATE("R2C",'Mapa final'!$S$48),"")</f>
        <v/>
      </c>
      <c r="Y47" s="54" t="str">
        <f>IF(AND('Mapa final'!$AJ$49="Baja",'Mapa final'!$AL$49="Moderado"),CONCATENATE("R2C",'Mapa final'!$S$49),"")</f>
        <v/>
      </c>
      <c r="Z47" s="54" t="str">
        <f>IF(AND('Mapa final'!$AJ$50="Baja",'Mapa final'!$AL$50="Moderado"),CONCATENATE("R2C",'Mapa final'!$S$50),"")</f>
        <v/>
      </c>
      <c r="AA47" s="54" t="str">
        <f>IF(AND('Mapa final'!$AJ$51="Baja",'Mapa final'!$AL$51="Moderado"),CONCATENATE("R2C",'Mapa final'!$S$51),"")</f>
        <v/>
      </c>
      <c r="AB47" s="55" t="str">
        <f>IF(AND('Mapa final'!$AJ$62="Baja",'Mapa final'!$AL$52="Moderado"),CONCATENATE("R2C",'Mapa final'!$S$52),"")</f>
        <v/>
      </c>
      <c r="AC47" s="38" t="str">
        <f>IF(AND('Mapa final'!$AJ$47="Baja",'Mapa final'!$AL$47="Mayor"),CONCATENATE("R2C",'Mapa final'!$S$47),"")</f>
        <v/>
      </c>
      <c r="AD47" s="178" t="str">
        <f>IF(AND('Mapa final'!$AJ$48="Baja",'Mapa final'!$AL$48="Mayor"),CONCATENATE("R2C",'Mapa final'!$S$48),"")</f>
        <v/>
      </c>
      <c r="AE47" s="178" t="str">
        <f>IF(AND('Mapa final'!$AJ$49="Baja",'Mapa final'!$AL$49="Mayor"),CONCATENATE("R2C",'Mapa final'!$S$49),"")</f>
        <v/>
      </c>
      <c r="AF47" s="178" t="str">
        <f>IF(AND('Mapa final'!$AJ$50="Baja",'Mapa final'!$AL$50="Mayor"),CONCATENATE("R2C",'Mapa final'!$S$50),"")</f>
        <v/>
      </c>
      <c r="AG47" s="178" t="str">
        <f>IF(AND('Mapa final'!$AJ$51="Baja",'Mapa final'!$AL$51="Mayor"),CONCATENATE("R2C",'Mapa final'!$S$51),"")</f>
        <v/>
      </c>
      <c r="AH47" s="40" t="str">
        <f>IF(AND('Mapa final'!$AJ$62="Baja",'Mapa final'!$AL$52="Mayor"),CONCATENATE("R2C",'Mapa final'!$S$52),"")</f>
        <v/>
      </c>
      <c r="AI47" s="41" t="str">
        <f>IF(AND('Mapa final'!$AJ$47="Baja",'Mapa final'!$AL$47="Catastrófico"),CONCATENATE("R2C",'Mapa final'!$S$47),"")</f>
        <v/>
      </c>
      <c r="AJ47" s="42" t="str">
        <f>IF(AND('Mapa final'!$AJ$48="Baja",'Mapa final'!$AL$48="Catastrófico"),CONCATENATE("R2C",'Mapa final'!$S$48),"")</f>
        <v/>
      </c>
      <c r="AK47" s="42" t="str">
        <f>IF(AND('Mapa final'!$AJ$49="Baja",'Mapa final'!$AL$49="Catastrófico"),CONCATENATE("R2C",'Mapa final'!$S$49),"")</f>
        <v/>
      </c>
      <c r="AL47" s="42" t="str">
        <f>IF(AND('Mapa final'!$AJ$50="Baja",'Mapa final'!$AL$50="Catastrófico"),CONCATENATE("R2C",'Mapa final'!$S$50),"")</f>
        <v/>
      </c>
      <c r="AM47" s="42" t="str">
        <f>IF(AND('Mapa final'!$AJ$51="Baja",'Mapa final'!$AL$51="Catastrófico"),CONCATENATE("R2C",'Mapa final'!$S$51),"")</f>
        <v/>
      </c>
      <c r="AN47" s="43" t="str">
        <f>IF(AND('Mapa final'!$AJ$62="Baja",'Mapa final'!$AL$52="Catastrófico"),CONCATENATE("R2C",'Mapa final'!$S$52),"")</f>
        <v/>
      </c>
      <c r="AO47" s="69"/>
      <c r="AP47" s="498"/>
      <c r="AQ47" s="499"/>
      <c r="AR47" s="499"/>
      <c r="AS47" s="499"/>
      <c r="AT47" s="499"/>
      <c r="AU47" s="500"/>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422"/>
      <c r="D48" s="422"/>
      <c r="E48" s="423"/>
      <c r="F48" s="465"/>
      <c r="G48" s="466"/>
      <c r="H48" s="466"/>
      <c r="I48" s="466"/>
      <c r="J48" s="466"/>
      <c r="K48" s="62" t="str">
        <f>IF(AND('Mapa final'!$AJ$53="Baja",'Mapa final'!$AL$53="Leve"),CONCATENATE("R2C",'Mapa final'!$S$53),"")</f>
        <v/>
      </c>
      <c r="L48" s="63" t="str">
        <f>IF(AND('Mapa final'!$AJ$54="Baja",'Mapa final'!$AL$54="Leve"),CONCATENATE("R2C",'Mapa final'!$S$54),"")</f>
        <v/>
      </c>
      <c r="M48" s="63" t="str">
        <f>IF(AND('Mapa final'!$AJ$55="Baja",'Mapa final'!$AL$55="Leve"),CONCATENATE("R2C",'Mapa final'!$S$55),"")</f>
        <v/>
      </c>
      <c r="N48" s="63" t="str">
        <f>IF(AND('Mapa final'!$AJ$56="Baja",'Mapa final'!$AL$56="Leve"),CONCATENATE("R2C",'Mapa final'!$S$56),"")</f>
        <v/>
      </c>
      <c r="O48" s="63" t="str">
        <f>IF(AND('Mapa final'!$AJ$57="Baja",'Mapa final'!$AL$57="Leve"),CONCATENATE("R2C",'Mapa final'!$S$57),"")</f>
        <v/>
      </c>
      <c r="P48" s="64" t="str">
        <f>IF(AND('Mapa final'!$AJ$58="Baja",'Mapa final'!$AL$58="Leve"),CONCATENATE("R2C",'Mapa final'!$S$58),"")</f>
        <v/>
      </c>
      <c r="Q48" s="53" t="str">
        <f>IF(AND('Mapa final'!$AJ$53="Baja",'Mapa final'!$AL$53="Menor"),CONCATENATE("R2C",'Mapa final'!$S$53),"")</f>
        <v/>
      </c>
      <c r="R48" s="54" t="str">
        <f>IF(AND('Mapa final'!$AJ$54="Baja",'Mapa final'!$AL$54="Menor"),CONCATENATE("R2C",'Mapa final'!$S$54),"")</f>
        <v/>
      </c>
      <c r="S48" s="54" t="str">
        <f>IF(AND('Mapa final'!$AJ$55="Baja",'Mapa final'!$AL$55="Menor"),CONCATENATE("R2C",'Mapa final'!$S$55),"")</f>
        <v/>
      </c>
      <c r="T48" s="54" t="str">
        <f>IF(AND('Mapa final'!$AJ$56="Baja",'Mapa final'!$AL$56="Menor"),CONCATENATE("R2C",'Mapa final'!$S$56),"")</f>
        <v/>
      </c>
      <c r="U48" s="54" t="str">
        <f>IF(AND('Mapa final'!$AJ$57="Baja",'Mapa final'!$AL$57="Menor"),CONCATENATE("R2C",'Mapa final'!$S$57),"")</f>
        <v/>
      </c>
      <c r="V48" s="55" t="str">
        <f>IF(AND('Mapa final'!$AJ$58="Baja",'Mapa final'!$AL$58="Menor"),CONCATENATE("R2C",'Mapa final'!$S$58),"")</f>
        <v/>
      </c>
      <c r="W48" s="53" t="str">
        <f>IF(AND('Mapa final'!$AJ$53="Baja",'Mapa final'!$AL$53="Moderado"),CONCATENATE("R2C",'Mapa final'!$S$53),"")</f>
        <v/>
      </c>
      <c r="X48" s="54" t="str">
        <f>IF(AND('Mapa final'!$AJ$54="Baja",'Mapa final'!$AL$54="Moderado"),CONCATENATE("R2C",'Mapa final'!$S$54),"")</f>
        <v/>
      </c>
      <c r="Y48" s="54" t="str">
        <f>IF(AND('Mapa final'!$AJ$55="Baja",'Mapa final'!$AL$55="Moderado"),CONCATENATE("R2C",'Mapa final'!$S$55),"")</f>
        <v/>
      </c>
      <c r="Z48" s="54" t="str">
        <f>IF(AND('Mapa final'!$AJ$56="Baja",'Mapa final'!$AL$56="Moderado"),CONCATENATE("R2C",'Mapa final'!$S$56),"")</f>
        <v/>
      </c>
      <c r="AA48" s="54" t="str">
        <f>IF(AND('Mapa final'!$AJ$57="Baja",'Mapa final'!$AL$57="Moderado"),CONCATENATE("R2C",'Mapa final'!$S$57),"")</f>
        <v/>
      </c>
      <c r="AB48" s="55" t="str">
        <f>IF(AND('Mapa final'!$AJ$58="Baja",'Mapa final'!$AL$58="Moderado"),CONCATENATE("R2C",'Mapa final'!$S$58),"")</f>
        <v/>
      </c>
      <c r="AC48" s="38" t="str">
        <f>IF(AND('Mapa final'!$AJ$53="Baja",'Mapa final'!$AL$53="Mayor"),CONCATENATE("R2C",'Mapa final'!$S$53),"")</f>
        <v/>
      </c>
      <c r="AD48" s="178" t="str">
        <f>IF(AND('Mapa final'!$AJ$54="Baja",'Mapa final'!$AL$54="Mayor"),CONCATENATE("R2C",'Mapa final'!$S$54),"")</f>
        <v/>
      </c>
      <c r="AE48" s="178" t="str">
        <f>IF(AND('Mapa final'!$AJ$55="Baja",'Mapa final'!$AL$55="Mayor"),CONCATENATE("R2C",'Mapa final'!$S$55),"")</f>
        <v/>
      </c>
      <c r="AF48" s="178" t="str">
        <f>IF(AND('Mapa final'!$AJ$56="Baja",'Mapa final'!$AL$56="Mayor"),CONCATENATE("R2C",'Mapa final'!$S$56),"")</f>
        <v/>
      </c>
      <c r="AG48" s="178" t="str">
        <f>IF(AND('Mapa final'!$AJ$57="Baja",'Mapa final'!$AL$57="Mayor"),CONCATENATE("R2C",'Mapa final'!$S$57),"")</f>
        <v/>
      </c>
      <c r="AH48" s="40" t="str">
        <f>IF(AND('Mapa final'!$AJ$58="Baja",'Mapa final'!$AL$58="Mayor"),CONCATENATE("R2C",'Mapa final'!$S$58),"")</f>
        <v/>
      </c>
      <c r="AI48" s="41" t="str">
        <f>IF(AND('Mapa final'!$AJ$53="Baja",'Mapa final'!$AL$53="Catastrófico"),CONCATENATE("R2C",'Mapa final'!$S$53),"")</f>
        <v/>
      </c>
      <c r="AJ48" s="42" t="str">
        <f>IF(AND('Mapa final'!$AJ$54="Baja",'Mapa final'!$AL$54="Catastrófico"),CONCATENATE("R2C",'Mapa final'!$S$54),"")</f>
        <v/>
      </c>
      <c r="AK48" s="42" t="str">
        <f>IF(AND('Mapa final'!$AJ$55="Baja",'Mapa final'!$AL$55="Catastrófico"),CONCATENATE("R2C",'Mapa final'!$S$55),"")</f>
        <v/>
      </c>
      <c r="AL48" s="42" t="str">
        <f>IF(AND('Mapa final'!$AJ$56="Baja",'Mapa final'!$AL$56="Catastrófico"),CONCATENATE("R2C",'Mapa final'!$S$56),"")</f>
        <v/>
      </c>
      <c r="AM48" s="42" t="str">
        <f>IF(AND('Mapa final'!$AJ$57="Baja",'Mapa final'!$AL$57="Catastrófico"),CONCATENATE("R2C",'Mapa final'!$S$57),"")</f>
        <v/>
      </c>
      <c r="AN48" s="43" t="str">
        <f>IF(AND('Mapa final'!$AJ$58="Baja",'Mapa final'!$AL$58="Catastrófico"),CONCATENATE("R2C",'Mapa final'!$S$58),"")</f>
        <v/>
      </c>
      <c r="AO48" s="69"/>
      <c r="AP48" s="498"/>
      <c r="AQ48" s="499"/>
      <c r="AR48" s="499"/>
      <c r="AS48" s="499"/>
      <c r="AT48" s="499"/>
      <c r="AU48" s="500"/>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422"/>
      <c r="D49" s="422"/>
      <c r="E49" s="423"/>
      <c r="F49" s="465"/>
      <c r="G49" s="466"/>
      <c r="H49" s="466"/>
      <c r="I49" s="466"/>
      <c r="J49" s="466"/>
      <c r="K49" s="62" t="str">
        <f>IF(AND('Mapa final'!$AJ$59="Baja",'Mapa final'!$AL$59="Leve"),CONCATENATE("R2C",'Mapa final'!$S$59),"")</f>
        <v/>
      </c>
      <c r="L49" s="63" t="str">
        <f>IF(AND('Mapa final'!$AJ$60="Baja",'Mapa final'!$AL$60="Leve"),CONCATENATE("R2C",'Mapa final'!$S$60),"")</f>
        <v/>
      </c>
      <c r="M49" s="63" t="str">
        <f>IF(AND('Mapa final'!$AJ$61="Baja",'Mapa final'!$AL$61="Leve"),CONCATENATE("R2C",'Mapa final'!$S$61),"")</f>
        <v/>
      </c>
      <c r="N49" s="63" t="str">
        <f>IF(AND('Mapa final'!$AJ$62="Baja",'Mapa final'!$AL$62="Leve"),CONCATENATE("R2C",'Mapa final'!$S$62),"")</f>
        <v/>
      </c>
      <c r="O49" s="63" t="str">
        <f>IF(AND('Mapa final'!$AJ$63="Baja",'Mapa final'!$AL$63="Leve"),CONCATENATE("R2C",'Mapa final'!$S$63),"")</f>
        <v/>
      </c>
      <c r="P49" s="64" t="str">
        <f>IF(AND('Mapa final'!$AJ$64="Baja",'Mapa final'!$AL$64="Leve"),CONCATENATE("R2C",'Mapa final'!$S$64),"")</f>
        <v/>
      </c>
      <c r="Q49" s="53" t="str">
        <f>IF(AND('Mapa final'!$AJ$59="Baja",'Mapa final'!$AL$59="Menor"),CONCATENATE("R2C",'Mapa final'!$S$59),"")</f>
        <v/>
      </c>
      <c r="R49" s="54" t="str">
        <f>IF(AND('Mapa final'!$AJ$60="Baja",'Mapa final'!$AL$60="Menor"),CONCATENATE("R2C",'Mapa final'!$S$60),"")</f>
        <v/>
      </c>
      <c r="S49" s="54" t="str">
        <f>IF(AND('Mapa final'!$AJ$61="Baja",'Mapa final'!$AL$61="Menor"),CONCATENATE("R2C",'Mapa final'!$S$61),"")</f>
        <v/>
      </c>
      <c r="T49" s="54" t="str">
        <f>IF(AND('Mapa final'!$AJ$62="Baja",'Mapa final'!$AL$62="Menor"),CONCATENATE("R2C",'Mapa final'!$S$62),"")</f>
        <v/>
      </c>
      <c r="U49" s="54" t="str">
        <f>IF(AND('Mapa final'!$AJ$63="Baja",'Mapa final'!$AL$63="Menor"),CONCATENATE("R2C",'Mapa final'!$S$63),"")</f>
        <v/>
      </c>
      <c r="V49" s="55" t="str">
        <f>IF(AND('Mapa final'!$AJ$64="Baja",'Mapa final'!$AL$64="Menor"),CONCATENATE("R2C",'Mapa final'!$S$64),"")</f>
        <v/>
      </c>
      <c r="W49" s="53" t="str">
        <f>IF(AND('Mapa final'!$AJ$59="Baja",'Mapa final'!$AL$59="Moderado"),CONCATENATE("R2C",'Mapa final'!$S$59),"")</f>
        <v/>
      </c>
      <c r="X49" s="54" t="str">
        <f>IF(AND('Mapa final'!$AJ$60="Baja",'Mapa final'!$AL$60="Moderado"),CONCATENATE("R2C",'Mapa final'!$S$60),"")</f>
        <v/>
      </c>
      <c r="Y49" s="54" t="str">
        <f>IF(AND('Mapa final'!$AJ$61="Baja",'Mapa final'!$AL$61="Moderado"),CONCATENATE("R2C",'Mapa final'!$S$61),"")</f>
        <v/>
      </c>
      <c r="Z49" s="54" t="str">
        <f>IF(AND('Mapa final'!$AJ$62="Baja",'Mapa final'!$AL$62="Moderado"),CONCATENATE("R2C",'Mapa final'!$S$62),"")</f>
        <v/>
      </c>
      <c r="AA49" s="54" t="str">
        <f>IF(AND('Mapa final'!$AJ$63="Baja",'Mapa final'!$AL$63="Moderado"),CONCATENATE("R2C",'Mapa final'!$S$63),"")</f>
        <v/>
      </c>
      <c r="AB49" s="55" t="str">
        <f>IF(AND('Mapa final'!$AJ$64="Baja",'Mapa final'!$AL$64="Moderado"),CONCATENATE("R2C",'Mapa final'!$S$64),"")</f>
        <v/>
      </c>
      <c r="AC49" s="38" t="str">
        <f>IF(AND('Mapa final'!$AJ$59="Baja",'Mapa final'!$AL$59="Mayor"),CONCATENATE("R2C",'Mapa final'!$S$59),"")</f>
        <v/>
      </c>
      <c r="AD49" s="178" t="str">
        <f>IF(AND('Mapa final'!$AJ$60="Baja",'Mapa final'!$AL$60="Mayor"),CONCATENATE("R2C",'Mapa final'!$S$60),"")</f>
        <v/>
      </c>
      <c r="AE49" s="178" t="str">
        <f>IF(AND('Mapa final'!$AJ$61="Baja",'Mapa final'!$AL$61="Mayor"),CONCATENATE("R2C",'Mapa final'!$S$61),"")</f>
        <v/>
      </c>
      <c r="AF49" s="178" t="str">
        <f>IF(AND('Mapa final'!$AJ$62="Baja",'Mapa final'!$AL$62="Mayor"),CONCATENATE("R2C",'Mapa final'!$S$62),"")</f>
        <v/>
      </c>
      <c r="AG49" s="178" t="str">
        <f>IF(AND('Mapa final'!$AJ$63="Baja",'Mapa final'!$AL$63="Mayor"),CONCATENATE("R2C",'Mapa final'!$S$63),"")</f>
        <v/>
      </c>
      <c r="AH49" s="40" t="str">
        <f>IF(AND('Mapa final'!$AJ$64="Baja",'Mapa final'!$AL$64="Mayor"),CONCATENATE("R2C",'Mapa final'!$S$64),"")</f>
        <v/>
      </c>
      <c r="AI49" s="41" t="str">
        <f>IF(AND('Mapa final'!$AJ$59="Baja",'Mapa final'!$AL$59="Catastrófico"),CONCATENATE("R2C",'Mapa final'!$S$59),"")</f>
        <v/>
      </c>
      <c r="AJ49" s="42" t="str">
        <f>IF(AND('Mapa final'!$AJ$60="Baja",'Mapa final'!$AL$60="Catastrófico"),CONCATENATE("R2C",'Mapa final'!$S$60),"")</f>
        <v/>
      </c>
      <c r="AK49" s="42" t="str">
        <f>IF(AND('Mapa final'!$AJ$61="Baja",'Mapa final'!$AL$61="Catastrófico"),CONCATENATE("R2C",'Mapa final'!$S$61),"")</f>
        <v/>
      </c>
      <c r="AL49" s="42" t="str">
        <f>IF(AND('Mapa final'!$AJ$62="Baja",'Mapa final'!$AL$62="Catastrófico"),CONCATENATE("R2C",'Mapa final'!$S$62),"")</f>
        <v/>
      </c>
      <c r="AM49" s="42" t="str">
        <f>IF(AND('Mapa final'!$AJ$63="Baja",'Mapa final'!$AL$63="Catastrófico"),CONCATENATE("R2C",'Mapa final'!$S$63),"")</f>
        <v/>
      </c>
      <c r="AN49" s="43" t="str">
        <f>IF(AND('Mapa final'!$AJ$64="Baja",'Mapa final'!$AL$64="Catastrófico"),CONCATENATE("R2C",'Mapa final'!$S$64),"")</f>
        <v/>
      </c>
      <c r="AO49" s="69"/>
      <c r="AP49" s="498"/>
      <c r="AQ49" s="499"/>
      <c r="AR49" s="499"/>
      <c r="AS49" s="499"/>
      <c r="AT49" s="499"/>
      <c r="AU49" s="500"/>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422"/>
      <c r="D50" s="422"/>
      <c r="E50" s="423"/>
      <c r="F50" s="465"/>
      <c r="G50" s="466"/>
      <c r="H50" s="466"/>
      <c r="I50" s="466"/>
      <c r="J50" s="466"/>
      <c r="K50" s="62" t="str">
        <f>IF(AND('Mapa final'!$AJ$65="Baja",'Mapa final'!$AL$65="Leve"),CONCATENATE("R2C",'Mapa final'!$S$65),"")</f>
        <v/>
      </c>
      <c r="L50" s="63" t="str">
        <f>IF(AND('Mapa final'!$AJ$66="Baja",'Mapa final'!$AL$66="Leve"),CONCATENATE("R2C",'Mapa final'!$S$66),"")</f>
        <v/>
      </c>
      <c r="M50" s="63" t="str">
        <f>IF(AND('Mapa final'!$AJ$67="Baja",'Mapa final'!$AL$67="Leve"),CONCATENATE("R2C",'Mapa final'!$S$67),"")</f>
        <v/>
      </c>
      <c r="N50" s="63" t="str">
        <f>IF(AND('Mapa final'!$AJ$68="Baja",'Mapa final'!$AL$68="Leve"),CONCATENATE("R2C",'Mapa final'!$S$68),"")</f>
        <v/>
      </c>
      <c r="O50" s="63" t="str">
        <f>IF(AND('Mapa final'!$AJ$69="Baja",'Mapa final'!$AL$69="Leve"),CONCATENATE("R2C",'Mapa final'!$S$69),"")</f>
        <v/>
      </c>
      <c r="P50" s="64" t="str">
        <f>IF(AND('Mapa final'!$AJ$70="Baja",'Mapa final'!$AL$70="Leve"),CONCATENATE("R2C",'Mapa final'!$S$70),"")</f>
        <v/>
      </c>
      <c r="Q50" s="53" t="str">
        <f>IF(AND('Mapa final'!$AJ$65="Baja",'Mapa final'!$AL$65="Menor"),CONCATENATE("R2C",'Mapa final'!$S$65),"")</f>
        <v/>
      </c>
      <c r="R50" s="54" t="str">
        <f>IF(AND('Mapa final'!$AJ$66="Baja",'Mapa final'!$AL$66="Menor"),CONCATENATE("R2C",'Mapa final'!$S$66),"")</f>
        <v/>
      </c>
      <c r="S50" s="54" t="str">
        <f>IF(AND('Mapa final'!$AJ$67="Baja",'Mapa final'!$AL$67="Menor"),CONCATENATE("R2C",'Mapa final'!$S$67),"")</f>
        <v/>
      </c>
      <c r="T50" s="54" t="str">
        <f>IF(AND('Mapa final'!$AJ$68="Baja",'Mapa final'!$AL$68="Menor"),CONCATENATE("R2C",'Mapa final'!$S$68),"")</f>
        <v/>
      </c>
      <c r="U50" s="54" t="str">
        <f>IF(AND('Mapa final'!$AJ$69="Baja",'Mapa final'!$AL$69="Menor"),CONCATENATE("R2C",'Mapa final'!$S$69),"")</f>
        <v/>
      </c>
      <c r="V50" s="55" t="str">
        <f>IF(AND('Mapa final'!$AJ$70="Baja",'Mapa final'!$AL$70="Menor"),CONCATENATE("R2C",'Mapa final'!$S$70),"")</f>
        <v/>
      </c>
      <c r="W50" s="53" t="str">
        <f>IF(AND('Mapa final'!$AJ$65="Baja",'Mapa final'!$AL$65="Moderado"),CONCATENATE("R2C",'Mapa final'!$S$65),"")</f>
        <v/>
      </c>
      <c r="X50" s="54" t="str">
        <f>IF(AND('Mapa final'!$AJ$66="Baja",'Mapa final'!$AL$66="Moderado"),CONCATENATE("R2C",'Mapa final'!$S$66),"")</f>
        <v/>
      </c>
      <c r="Y50" s="54" t="str">
        <f>IF(AND('Mapa final'!$AJ$67="Baja",'Mapa final'!$AL$67="Moderado"),CONCATENATE("R2C",'Mapa final'!$S$67),"")</f>
        <v/>
      </c>
      <c r="Z50" s="54" t="str">
        <f>IF(AND('Mapa final'!$AJ$68="Baja",'Mapa final'!$AL$68="Moderado"),CONCATENATE("R2C",'Mapa final'!$S$68),"")</f>
        <v/>
      </c>
      <c r="AA50" s="54" t="str">
        <f>IF(AND('Mapa final'!$AJ$69="Baja",'Mapa final'!$AL$69="Moderado"),CONCATENATE("R2C",'Mapa final'!$S$69),"")</f>
        <v/>
      </c>
      <c r="AB50" s="55" t="str">
        <f>IF(AND('Mapa final'!$AJ$70="Baja",'Mapa final'!$AL$70="Moderado"),CONCATENATE("R2C",'Mapa final'!$S$70),"")</f>
        <v/>
      </c>
      <c r="AC50" s="38" t="str">
        <f>IF(AND('Mapa final'!$AJ$65="Baja",'Mapa final'!$AL$65="Mayor"),CONCATENATE("R2C",'Mapa final'!$S$65),"")</f>
        <v/>
      </c>
      <c r="AD50" s="178" t="str">
        <f>IF(AND('Mapa final'!$AJ$66="Baja",'Mapa final'!$AL$66="Mayor"),CONCATENATE("R2C",'Mapa final'!$S$66),"")</f>
        <v/>
      </c>
      <c r="AE50" s="178" t="str">
        <f>IF(AND('Mapa final'!$AJ$67="Baja",'Mapa final'!$AL$67="Mayor"),CONCATENATE("R2C",'Mapa final'!$S$67),"")</f>
        <v/>
      </c>
      <c r="AF50" s="178" t="str">
        <f>IF(AND('Mapa final'!$AJ$68="Baja",'Mapa final'!$AL$68="Mayor"),CONCATENATE("R2C",'Mapa final'!$S$68),"")</f>
        <v/>
      </c>
      <c r="AG50" s="178" t="str">
        <f>IF(AND('Mapa final'!$AJ$69="Baja",'Mapa final'!$AL$69="Mayor"),CONCATENATE("R2C",'Mapa final'!$S$69),"")</f>
        <v/>
      </c>
      <c r="AH50" s="40" t="str">
        <f>IF(AND('Mapa final'!$AJ$70="Baja",'Mapa final'!$AL$70="Mayor"),CONCATENATE("R2C",'Mapa final'!$S$70),"")</f>
        <v/>
      </c>
      <c r="AI50" s="41" t="str">
        <f>IF(AND('Mapa final'!$AJ$65="Baja",'Mapa final'!$AL$65="Catastrófico"),CONCATENATE("R2C",'Mapa final'!$S$65),"")</f>
        <v/>
      </c>
      <c r="AJ50" s="42" t="str">
        <f>IF(AND('Mapa final'!$AJ$66="Baja",'Mapa final'!$AL$66="Catastrófico"),CONCATENATE("R2C",'Mapa final'!$S$66),"")</f>
        <v/>
      </c>
      <c r="AK50" s="42" t="str">
        <f>IF(AND('Mapa final'!$AJ$67="Baja",'Mapa final'!$AL$67="Catastrófico"),CONCATENATE("R2C",'Mapa final'!$S$67),"")</f>
        <v/>
      </c>
      <c r="AL50" s="42" t="str">
        <f>IF(AND('Mapa final'!$AJ$68="Baja",'Mapa final'!$AL$68="Catastrófico"),CONCATENATE("R2C",'Mapa final'!$S$68),"")</f>
        <v/>
      </c>
      <c r="AM50" s="42" t="str">
        <f>IF(AND('Mapa final'!$AJ$69="Baja",'Mapa final'!$AL$69="Catastrófico"),CONCATENATE("R2C",'Mapa final'!$S$69),"")</f>
        <v/>
      </c>
      <c r="AN50" s="43" t="str">
        <f>IF(AND('Mapa final'!$AJ$70="Baja",'Mapa final'!$AL$70="Catastrófico"),CONCATENATE("R2C",'Mapa final'!$S$70),"")</f>
        <v/>
      </c>
      <c r="AO50" s="69"/>
      <c r="AP50" s="498"/>
      <c r="AQ50" s="499"/>
      <c r="AR50" s="499"/>
      <c r="AS50" s="499"/>
      <c r="AT50" s="499"/>
      <c r="AU50" s="500"/>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422"/>
      <c r="D51" s="422"/>
      <c r="E51" s="423"/>
      <c r="F51" s="468"/>
      <c r="G51" s="469"/>
      <c r="H51" s="469"/>
      <c r="I51" s="469"/>
      <c r="J51" s="469"/>
      <c r="K51" s="65" t="str">
        <f>IF(AND('Mapa final'!$AJ$71="Baja",'Mapa final'!$AL$71="Leve"),CONCATENATE("R2C",'Mapa final'!$S$71),"")</f>
        <v/>
      </c>
      <c r="L51" s="66" t="str">
        <f>IF(AND('Mapa final'!$AJ$72="Baja",'Mapa final'!$AL$72="Leve"),CONCATENATE("R2C",'Mapa final'!$S$72),"")</f>
        <v/>
      </c>
      <c r="M51" s="66" t="str">
        <f>IF(AND('Mapa final'!$AJ$73="Baja",'Mapa final'!$AL$73="Leve"),CONCATENATE("R2C",'Mapa final'!$S$73),"")</f>
        <v/>
      </c>
      <c r="N51" s="66" t="str">
        <f>IF(AND('Mapa final'!$AJ$74="Baja",'Mapa final'!$AL$74="Leve"),CONCATENATE("R2C",'Mapa final'!$S$74),"")</f>
        <v/>
      </c>
      <c r="O51" s="66" t="str">
        <f>IF(AND('Mapa final'!$AJ$76="Baja",'Mapa final'!$AL$76="Leve"),CONCATENATE("R2C",'Mapa final'!$S$76),"")</f>
        <v/>
      </c>
      <c r="P51" s="67" t="str">
        <f>IF(AND('Mapa final'!$AJ$77="Baja",'Mapa final'!$AL$77="Leve"),CONCATENATE("R2C",'Mapa final'!$S$77),"")</f>
        <v/>
      </c>
      <c r="Q51" s="53" t="str">
        <f>IF(AND('Mapa final'!$AJ$71="Baja",'Mapa final'!$AL$71="Menor"),CONCATENATE("R2C",'Mapa final'!$S$71),"")</f>
        <v/>
      </c>
      <c r="R51" s="54" t="str">
        <f>IF(AND('Mapa final'!$AJ$72="Baja",'Mapa final'!$AL$72="Menor"),CONCATENATE("R2C",'Mapa final'!$S$72),"")</f>
        <v/>
      </c>
      <c r="S51" s="54" t="str">
        <f>IF(AND('Mapa final'!$AJ$73="Baja",'Mapa final'!$AL$73="Menor"),CONCATENATE("R2C",'Mapa final'!$S$73),"")</f>
        <v/>
      </c>
      <c r="T51" s="54" t="str">
        <f>IF(AND('Mapa final'!$AJ$74="Baja",'Mapa final'!$AL$74="Menor"),CONCATENATE("R2C",'Mapa final'!$S$74),"")</f>
        <v/>
      </c>
      <c r="U51" s="54" t="str">
        <f>IF(AND('Mapa final'!$AJ$76="Baja",'Mapa final'!$AL$76="Menor"),CONCATENATE("R2C",'Mapa final'!$S$76),"")</f>
        <v/>
      </c>
      <c r="V51" s="55" t="str">
        <f>IF(AND('Mapa final'!$AJ$77="Baja",'Mapa final'!$AL$77="Menor"),CONCATENATE("R2C",'Mapa final'!$S$77),"")</f>
        <v/>
      </c>
      <c r="W51" s="56" t="str">
        <f>IF(AND('Mapa final'!$AJ$71="Baja",'Mapa final'!$AL$71="Moderado"),CONCATENATE("R2C",'Mapa final'!$S$71),"")</f>
        <v/>
      </c>
      <c r="X51" s="57" t="str">
        <f>IF(AND('Mapa final'!$AJ$72="Baja",'Mapa final'!$AL$72="Moderado"),CONCATENATE("R2C",'Mapa final'!$S$72),"")</f>
        <v/>
      </c>
      <c r="Y51" s="57" t="str">
        <f>IF(AND('Mapa final'!$AJ$73="Baja",'Mapa final'!$AL$73="Moderado"),CONCATENATE("R2C",'Mapa final'!$S$73),"")</f>
        <v/>
      </c>
      <c r="Z51" s="57" t="str">
        <f>IF(AND('Mapa final'!$AJ$74="Baja",'Mapa final'!$AL$74="Moderado"),CONCATENATE("R2C",'Mapa final'!$S$74),"")</f>
        <v/>
      </c>
      <c r="AA51" s="57" t="str">
        <f>IF(AND('Mapa final'!$AJ$76="Baja",'Mapa final'!$AL$76="Moderado"),CONCATENATE("R2C",'Mapa final'!$S$76),"")</f>
        <v/>
      </c>
      <c r="AB51" s="58" t="str">
        <f>IF(AND('Mapa final'!$AJ$77="Baja",'Mapa final'!$AL$77="Moderado"),CONCATENATE("R2C",'Mapa final'!$S$77),"")</f>
        <v/>
      </c>
      <c r="AC51" s="44" t="str">
        <f>IF(AND('Mapa final'!$AJ$71="Baja",'Mapa final'!$AL$71="Mayor"),CONCATENATE("R2C",'Mapa final'!$S$71),"")</f>
        <v/>
      </c>
      <c r="AD51" s="45" t="str">
        <f>IF(AND('Mapa final'!$AJ$72="Baja",'Mapa final'!$AL$72="Mayor"),CONCATENATE("R2C",'Mapa final'!$S$72),"")</f>
        <v/>
      </c>
      <c r="AE51" s="45" t="str">
        <f>IF(AND('Mapa final'!$AJ$73="Baja",'Mapa final'!$AL$73="Mayor"),CONCATENATE("R2C",'Mapa final'!$S$73),"")</f>
        <v/>
      </c>
      <c r="AF51" s="45" t="str">
        <f>IF(AND('Mapa final'!$AJ$74="Baja",'Mapa final'!$AL$74="Mayor"),CONCATENATE("R2C",'Mapa final'!$S$74),"")</f>
        <v/>
      </c>
      <c r="AG51" s="45" t="str">
        <f>IF(AND('Mapa final'!$AJ$76="Baja",'Mapa final'!$AL$76="Mayor"),CONCATENATE("R2C",'Mapa final'!$S$76),"")</f>
        <v/>
      </c>
      <c r="AH51" s="46" t="str">
        <f>IF(AND('Mapa final'!$AJ$77="Baja",'Mapa final'!$AL$77="Mayor"),CONCATENATE("R2C",'Mapa final'!$S$77),"")</f>
        <v/>
      </c>
      <c r="AI51" s="47" t="str">
        <f>IF(AND('Mapa final'!$AJ$71="Baja",'Mapa final'!$AL$71="Catastrófico"),CONCATENATE("R2C",'Mapa final'!$S$71),"")</f>
        <v/>
      </c>
      <c r="AJ51" s="48" t="str">
        <f>IF(AND('Mapa final'!$AJ$72="Baja",'Mapa final'!$AL$72="Catastrófico"),CONCATENATE("R2C",'Mapa final'!$S$72),"")</f>
        <v/>
      </c>
      <c r="AK51" s="48" t="str">
        <f>IF(AND('Mapa final'!$AJ$73="Baja",'Mapa final'!$AL$73="Catastrófico"),CONCATENATE("R2C",'Mapa final'!$S$73),"")</f>
        <v/>
      </c>
      <c r="AL51" s="48" t="str">
        <f>IF(AND('Mapa final'!$AJ$74="Baja",'Mapa final'!$AL$74="Catastrófico"),CONCATENATE("R2C",'Mapa final'!$S$74),"")</f>
        <v/>
      </c>
      <c r="AM51" s="48" t="str">
        <f>IF(AND('Mapa final'!$AJ$76="Baja",'Mapa final'!$AL$76="Catastrófico"),CONCATENATE("R2C",'Mapa final'!$S$76),"")</f>
        <v/>
      </c>
      <c r="AN51" s="49" t="str">
        <f>IF(AND('Mapa final'!$AJ$77="Baja",'Mapa final'!$AL$77="Catastrófico"),CONCATENATE("R2C",'Mapa final'!$S$77),"")</f>
        <v/>
      </c>
      <c r="AO51" s="69"/>
      <c r="AP51" s="501"/>
      <c r="AQ51" s="502"/>
      <c r="AR51" s="502"/>
      <c r="AS51" s="502"/>
      <c r="AT51" s="502"/>
      <c r="AU51" s="503"/>
    </row>
    <row r="52" spans="2:81" ht="41.25" customHeight="1" x14ac:dyDescent="0.35">
      <c r="B52" s="69"/>
      <c r="C52" s="422"/>
      <c r="D52" s="422"/>
      <c r="E52" s="423"/>
      <c r="F52" s="462" t="s">
        <v>112</v>
      </c>
      <c r="G52" s="463"/>
      <c r="H52" s="463"/>
      <c r="I52" s="463"/>
      <c r="J52" s="464"/>
      <c r="K52" s="59" t="str">
        <f ca="1">IF(AND('Mapa final'!$AJ$15="Muy Baja",'Mapa final'!$AL$15="Leve"),CONCATENATE("R2C",'Mapa final'!$S$15),"")</f>
        <v/>
      </c>
      <c r="L52" s="60" t="str">
        <f ca="1">IF(AND('Mapa final'!$AJ$16="Muy Baja",'Mapa final'!$AL$16="Leve"),CONCATENATE("R2C",'Mapa final'!$D$16),"")</f>
        <v/>
      </c>
      <c r="M52" s="60" t="str">
        <f ca="1">IF(AND('Mapa final'!$AJ$17="Muy Baja",'Mapa final'!$AL$17="Leve"),CONCATENATE("R2C",'Mapa final'!$D$17),"")</f>
        <v/>
      </c>
      <c r="N52" s="60" t="str">
        <f ca="1">IF(AND('Mapa final'!$AJ$18="Muy Baja",'Mapa final'!$AL$18="Leve"),CONCATENATE("R2C",'Mapa final'!$S$18),"")</f>
        <v/>
      </c>
      <c r="O52" s="60" t="str">
        <f>IF(AND('Mapa final'!$AJ$19="Muy Baja",'Mapa final'!$AL$19="Leve"),CONCATENATE("R2C",'Mapa final'!$S$19),"")</f>
        <v/>
      </c>
      <c r="P52" s="61" t="str">
        <f>IF(AND('Mapa final'!$AJ$20="Muy Baja",'Mapa final'!$AL$20="Leve"),CONCATENATE("R2C",'Mapa final'!$S$20),"")</f>
        <v/>
      </c>
      <c r="Q52" s="59" t="str">
        <f ca="1">IF(AND('Mapa final'!$AJ$15="Muy Baja",'Mapa final'!$AL$15="Menor"),CONCATENATE("R2C",'Mapa final'!$S$15),"")</f>
        <v/>
      </c>
      <c r="R52" s="60" t="str">
        <f ca="1">IF(AND('Mapa final'!$AJ$16="Muy Baja",'Mapa final'!$AL$16="Menore"),CONCATENATE("R2C",'Mapa final'!$S$16),"")</f>
        <v/>
      </c>
      <c r="S52" s="60" t="str">
        <f ca="1">IF(AND('Mapa final'!$AJ$17="Muy Baja",'Mapa final'!$AL$17="Menor"),CONCATENATE("R2C",'Mapa final'!$D$17),"")</f>
        <v/>
      </c>
      <c r="T52" s="60" t="str">
        <f ca="1">IF(AND('Mapa final'!$AJ$18="Muy Baja",'Mapa final'!$AL$18="Menor"),CONCATENATE("R2C",'Mapa final'!$S$18),"")</f>
        <v/>
      </c>
      <c r="U52" s="60" t="str">
        <f>IF(AND('Mapa final'!$AJ$19="Muy Baja",'Mapa final'!$AL$19="Menor"),CONCATENATE("R2C",'Mapa final'!$S$19),"")</f>
        <v/>
      </c>
      <c r="V52" s="61" t="str">
        <f>IF(AND('Mapa final'!$AJ$20="Muy Baja",'Mapa final'!$AL$20="Menor"),CONCATENATE("R2C",'Mapa final'!$S$20),"")</f>
        <v/>
      </c>
      <c r="W52" s="50" t="str">
        <f ca="1">IF(AND('Mapa final'!$AJ$15="Muy Baja",'Mapa final'!$AL$15="Moderado"),CONCATENATE("R2C",'Mapa final'!$S$15),"")</f>
        <v/>
      </c>
      <c r="X52" s="68" t="str">
        <f ca="1">IF(AND('Mapa final'!$AJ$16="Muy Baja",'Mapa final'!$AL$16="Moderado"),CONCATENATE("R2C",'Mapa final'!$S$16),"")</f>
        <v/>
      </c>
      <c r="Y52" s="51"/>
      <c r="Z52" s="51" t="str">
        <f ca="1">IF(AND('Mapa final'!$AJ$18="Muy Baja",'Mapa final'!$AL$18="Moderado"),CONCATENATE("R2C",'Mapa final'!$S$18),"")</f>
        <v/>
      </c>
      <c r="AA52" s="51" t="str">
        <f>IF(AND('Mapa final'!$AJ$19="Muy Baja",'Mapa final'!$AL$19="Moderado"),CONCATENATE("R2C",'Mapa final'!$S$19),"")</f>
        <v/>
      </c>
      <c r="AB52" s="52" t="str">
        <f>IF(AND('Mapa final'!$AJ$20="Muy Baja",'Mapa final'!$AL$20="Moderado"),CONCATENATE("R2C",'Mapa final'!$S$20),"")</f>
        <v/>
      </c>
      <c r="AC52" s="32" t="str">
        <f ca="1">IF(AND('Mapa final'!$AJ$15="Muy Baja",'Mapa final'!$AL$15="Mayor"),CONCATENATE("R2C",'Mapa final'!$S$15),"")</f>
        <v/>
      </c>
      <c r="AD52" s="33" t="str">
        <f ca="1">IF(AND('Mapa final'!$AJ$16="Muy Baja",'Mapa final'!$AL$16="Mayor"),CONCATENATE("R2C",'Mapa final'!$S$16),"")</f>
        <v/>
      </c>
      <c r="AE52" s="33" t="str">
        <f ca="1">IF(AND('Mapa final'!$AJ$17="Muy Baja",'Mapa final'!$AL$17="Mayor"),CONCATENATE("R2C",'Mapa final'!$S$17),"")</f>
        <v/>
      </c>
      <c r="AF52" s="33" t="str">
        <f ca="1">IF(AND('Mapa final'!$AJ$18="Muy Baja",'Mapa final'!$AL$18="Mayor"),CONCATENATE("R2C",'Mapa final'!$S$18),"")</f>
        <v/>
      </c>
      <c r="AG52" s="33" t="str">
        <f>IF(AND('Mapa final'!$AJ$19="Muy Baja",'Mapa final'!$AL$19="Mayor"),CONCATENATE("R2C",'Mapa final'!$S$19),"")</f>
        <v/>
      </c>
      <c r="AH52" s="34" t="str">
        <f>IF(AND('Mapa final'!$AJ$20="Muy Baja",'Mapa final'!$AL$20="Mayor"),CONCATENATE("R2C",'Mapa final'!$S$20),"")</f>
        <v/>
      </c>
      <c r="AI52" s="35" t="str">
        <f ca="1">IF(AND('Mapa final'!$AJ$15="Muy Baja",'Mapa final'!$AL$15="Catastrófico"),CONCATENATE("R2C",'Mapa final'!$S$15),"")</f>
        <v/>
      </c>
      <c r="AJ52" s="36" t="str">
        <f ca="1">IF(AND('Mapa final'!$AJ$16="Muy Baja",'Mapa final'!$AL$16="Catastrófico"),CONCATENATE("R2C",'Mapa final'!$S$16),"")</f>
        <v/>
      </c>
      <c r="AK52" s="36" t="str">
        <f ca="1">IF(AND('Mapa final'!$AJ$17="Muy Baja",'Mapa final'!$AL$17="Catastrófico"),CONCATENATE("R2C",'Mapa final'!$S$17),"")</f>
        <v/>
      </c>
      <c r="AL52" s="36" t="str">
        <f ca="1">IF(AND('Mapa final'!$AJ$18="Muy Baja",'Mapa final'!$AL$18="Catastrófico"),CONCATENATE("R2C",'Mapa final'!$S$18),"")</f>
        <v/>
      </c>
      <c r="AM52" s="36" t="str">
        <f>IF(AND('Mapa final'!$AJ$19="Muy Baja",'Mapa final'!$AL$19="Catastrófico"),CONCATENATE("R2C",'Mapa final'!$S$19),"")</f>
        <v/>
      </c>
      <c r="AN52" s="37" t="str">
        <f>IF(AND('Mapa final'!$AJ$20="Muy Baja",'Mapa final'!$AL$20="Catastrófico"),CONCATENATE("R2C",'Mapa final'!$S$20),"")</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422"/>
      <c r="D53" s="422"/>
      <c r="E53" s="423"/>
      <c r="F53" s="481"/>
      <c r="G53" s="466"/>
      <c r="H53" s="466"/>
      <c r="I53" s="466"/>
      <c r="J53" s="467"/>
      <c r="K53" s="62" t="str">
        <f>IF(AND('Mapa final'!$AJ$23="Muy Baja",'Mapa final'!$AL$23="Leve"),CONCATENATE("R2C",'Mapa final'!$S$23),"")</f>
        <v/>
      </c>
      <c r="L53" s="63" t="str">
        <f>IF(AND('Mapa final'!$AJ$24="Muy Baja",'Mapa final'!$AL$24="Leve"),CONCATENATE("R2C",'Mapa final'!$S$24),"")</f>
        <v/>
      </c>
      <c r="M53" s="63" t="str">
        <f>IF(AND('Mapa final'!$AJ$25="Muy Baja",'Mapa final'!$AL$25="Leve"),CONCATENATE("R2C",'Mapa final'!$S$25),"")</f>
        <v/>
      </c>
      <c r="N53" s="63" t="str">
        <f>IF(AND('Mapa final'!$AJ$26="Muy Baja",'Mapa final'!$AL$26="Leve"),CONCATENATE("R2C",'Mapa final'!$S$26),"")</f>
        <v/>
      </c>
      <c r="O53" s="63" t="str">
        <f>IF(AND('Mapa final'!$AJ$27="Muy Baja",'Mapa final'!$AL$27="Leve"),CONCATENATE("R2C",'Mapa final'!$S$27),"")</f>
        <v/>
      </c>
      <c r="P53" s="64" t="str">
        <f>IF(AND('Mapa final'!$AJ$28="Muy Baja",'Mapa final'!$AL$28="Leve"),CONCATENATE("R2C",'Mapa final'!$S$28),"")</f>
        <v/>
      </c>
      <c r="Q53" s="62" t="str">
        <f>IF(AND('Mapa final'!$AJ$23="Muy Baja",'Mapa final'!$AL$23="Menor"),CONCATENATE("R2C",'Mapa final'!$S$23),"")</f>
        <v/>
      </c>
      <c r="R53" s="63" t="str">
        <f>IF(AND('Mapa final'!$AJ$24="Muy Baja",'Mapa final'!$AL$24="Menor"),CONCATENATE("R2C",'Mapa final'!$S$24),"")</f>
        <v/>
      </c>
      <c r="S53" s="63" t="str">
        <f>IF(AND('Mapa final'!$AJ$25="Muy Baja",'Mapa final'!$AL$25="Menor"),CONCATENATE("R2C",'Mapa final'!$S$25),"")</f>
        <v/>
      </c>
      <c r="T53" s="63" t="str">
        <f>IF(AND('Mapa final'!$AJ$26="Muy Baja",'Mapa final'!$AL$26="Menor"),CONCATENATE("R2C",'Mapa final'!$S$26),"")</f>
        <v/>
      </c>
      <c r="U53" s="63" t="str">
        <f>IF(AND('Mapa final'!$AJ$27="Muy Baja",'Mapa final'!$AL$27="Menor"),CONCATENATE("R2C",'Mapa final'!$S$27),"")</f>
        <v/>
      </c>
      <c r="V53" s="64" t="str">
        <f>IF(AND('Mapa final'!$AJ$28="Muy Baja",'Mapa final'!$AL$28="Menor"),CONCATENATE("R2C",'Mapa final'!$S$28),"")</f>
        <v/>
      </c>
      <c r="W53" s="53" t="str">
        <f>IF(AND('Mapa final'!$AJ$23="Muy Baja",'Mapa final'!$AL$23="Moderado"),CONCATENATE("R2C",'Mapa final'!$S$23),"")</f>
        <v/>
      </c>
      <c r="X53" s="54" t="str">
        <f>IF(AND('Mapa final'!$AJ$24="Muy Baja",'Mapa final'!$AL$24="Moderado"),CONCATENATE("R2C",'Mapa final'!$S$24),"")</f>
        <v/>
      </c>
      <c r="Y53" s="54" t="str">
        <f>IF(AND('Mapa final'!$AJ$25="Muy Baja",'Mapa final'!$AL$25="Moderado"),CONCATENATE("R2C",'Mapa final'!$S$25),"")</f>
        <v/>
      </c>
      <c r="Z53" s="54" t="str">
        <f>IF(AND('Mapa final'!$AJ$26="Muy Baja",'Mapa final'!$AL$26="Moderado"),CONCATENATE("R2C",'Mapa final'!$S$26),"")</f>
        <v/>
      </c>
      <c r="AA53" s="54" t="str">
        <f>IF(AND('Mapa final'!$AJ$27="Muy Baja",'Mapa final'!$AL$27="Moderado"),CONCATENATE("R2C",'Mapa final'!$S$27),"")</f>
        <v/>
      </c>
      <c r="AB53" s="55" t="str">
        <f>IF(AND('Mapa final'!$AJ$28="Muy Baja",'Mapa final'!$AL$28="Moderado"),CONCATENATE("R2C",'Mapa final'!$S$28),"")</f>
        <v/>
      </c>
      <c r="AC53" s="38" t="str">
        <f>IF(AND('Mapa final'!$AJ$23="Muy Baja",'Mapa final'!$AL$23="Mayor"),CONCATENATE("R2C",'Mapa final'!$S$23),"")</f>
        <v/>
      </c>
      <c r="AD53" s="39" t="str">
        <f>IF(AND('Mapa final'!$AJ$24="Muy Baja",'Mapa final'!$AL$24="Mayor"),CONCATENATE("R2C",'Mapa final'!$S$24),"")</f>
        <v/>
      </c>
      <c r="AE53" s="39" t="str">
        <f>IF(AND('Mapa final'!$AJ$25="Muy Baja",'Mapa final'!$AL$25="Mayor"),CONCATENATE("R2C",'Mapa final'!$S$25),"")</f>
        <v/>
      </c>
      <c r="AF53" s="39" t="str">
        <f>IF(AND('Mapa final'!$AJ$26="Muy Baja",'Mapa final'!$AL$26="Mayor"),CONCATENATE("R2C",'Mapa final'!$S$26),"")</f>
        <v/>
      </c>
      <c r="AG53" s="39" t="str">
        <f>IF(AND('Mapa final'!$AJ$27="Muy Baja",'Mapa final'!$AL$27="Mayor"),CONCATENATE("R2C",'Mapa final'!$S$27),"")</f>
        <v/>
      </c>
      <c r="AH53" s="40" t="str">
        <f>IF(AND('Mapa final'!$AJ$28="Muy Baja",'Mapa final'!$AL$28="Mayor"),CONCATENATE("R2C",'Mapa final'!$S$28),"")</f>
        <v/>
      </c>
      <c r="AI53" s="41" t="str">
        <f>IF(AND('Mapa final'!$AJ$23="Muy Baja",'Mapa final'!$AL$23="Catastrófico"),CONCATENATE("R2C",'Mapa final'!$S$23),"")</f>
        <v/>
      </c>
      <c r="AJ53" s="42" t="str">
        <f>IF(AND('Mapa final'!$AJ$24="Muy Baja",'Mapa final'!$AL$24="Catastrófico"),CONCATENATE("R2C",'Mapa final'!$S$24),"")</f>
        <v/>
      </c>
      <c r="AK53" s="42" t="str">
        <f>IF(AND('Mapa final'!$AJ$25="Muy Baja",'Mapa final'!$AL$25="Catastrófico"),CONCATENATE("R2C",'Mapa final'!$S$25),"")</f>
        <v/>
      </c>
      <c r="AL53" s="42" t="str">
        <f>IF(AND('Mapa final'!$AJ$26="Muy Baja",'Mapa final'!$AL$26="Catastrófico"),CONCATENATE("R2C",'Mapa final'!$S$26),"")</f>
        <v/>
      </c>
      <c r="AM53" s="42" t="str">
        <f>IF(AND('Mapa final'!$AJ$27="Muy Baja",'Mapa final'!$AL$27="Catastrófico"),CONCATENATE("R2C",'Mapa final'!$S$27),"")</f>
        <v/>
      </c>
      <c r="AN53" s="43" t="str">
        <f>IF(AND('Mapa final'!$AJ$28="Muy Baja",'Mapa final'!$AL$28="Catastrófico"),CONCATENATE("R2C",'Mapa final'!$S$28),"")</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422"/>
      <c r="D54" s="422"/>
      <c r="E54" s="423"/>
      <c r="F54" s="481"/>
      <c r="G54" s="466"/>
      <c r="H54" s="466"/>
      <c r="I54" s="466"/>
      <c r="J54" s="467"/>
      <c r="K54" s="62" t="str">
        <f>IF(AND('Mapa final'!$AJ$29="Muy Baja",'Mapa final'!$AL$29="Leve"),CONCATENATE("R2C",'Mapa final'!$S$29),"")</f>
        <v/>
      </c>
      <c r="L54" s="63" t="str">
        <f>IF(AND('Mapa final'!$AJ$30="Muy Baja",'Mapa final'!$AL$30="Leve"),CONCATENATE("R2C",'Mapa final'!$S$30),"")</f>
        <v/>
      </c>
      <c r="M54" s="63" t="str">
        <f>IF(AND('Mapa final'!$AJ$31="Muy Baja",'Mapa final'!$AL$31="Leve"),CONCATENATE("R2C",'Mapa final'!$S$31),"")</f>
        <v/>
      </c>
      <c r="N54" s="63" t="str">
        <f>IF(AND('Mapa final'!$AJ$32="Muy Baja",'Mapa final'!$AL$32="Leve"),CONCATENATE("R2C",'Mapa final'!$S$32),"")</f>
        <v/>
      </c>
      <c r="O54" s="63" t="str">
        <f>IF(AND('Mapa final'!$AJ$33="Muy Baja",'Mapa final'!$AL$33="Leve"),CONCATENATE("R2C",'Mapa final'!$S$33),"")</f>
        <v/>
      </c>
      <c r="P54" s="64" t="str">
        <f>IF(AND('Mapa final'!$AJ$34="Muy Baja",'Mapa final'!$AL$34="Leve"),CONCATENATE("R2C",'Mapa final'!$S$34),"")</f>
        <v/>
      </c>
      <c r="Q54" s="62" t="str">
        <f>IF(AND('Mapa final'!$AJ$29="Muy Baja",'Mapa final'!$AL$29="Menor"),CONCATENATE("R2C",'Mapa final'!$S$29),"")</f>
        <v/>
      </c>
      <c r="R54" s="63" t="str">
        <f>IF(AND('Mapa final'!$AJ$30="Muy Baja",'Mapa final'!$AL$30="Menor"),CONCATENATE("R2C",'Mapa final'!$S$30),"")</f>
        <v/>
      </c>
      <c r="S54" s="63" t="str">
        <f>IF(AND('Mapa final'!$AJ$31="Muy Baja",'Mapa final'!$AL$31="Menor"),CONCATENATE("R2C",'Mapa final'!$S$31),"")</f>
        <v/>
      </c>
      <c r="T54" s="63" t="str">
        <f>IF(AND('Mapa final'!$AJ$32="Muy Baja",'Mapa final'!$AL$32="Menor"),CONCATENATE("R2C",'Mapa final'!$S$32),"")</f>
        <v/>
      </c>
      <c r="U54" s="63" t="str">
        <f>IF(AND('Mapa final'!$AJ$33="Muy Baja",'Mapa final'!$AL$33="Menor"),CONCATENATE("R2C",'Mapa final'!$S$33),"")</f>
        <v/>
      </c>
      <c r="V54" s="64" t="str">
        <f>IF(AND('Mapa final'!$AJ$34="Muy Baja",'Mapa final'!$AL$34="Menor"),CONCATENATE("R2C",'Mapa final'!$S$34),"")</f>
        <v/>
      </c>
      <c r="W54" s="53" t="str">
        <f>IF(AND('Mapa final'!$AJ$29="Muy Baja",'Mapa final'!$AL$29="Moderado"),CONCATENATE("R2C",'Mapa final'!$S$29),"")</f>
        <v/>
      </c>
      <c r="X54" s="54" t="str">
        <f>IF(AND('Mapa final'!$AJ$30="Muy Baja",'Mapa final'!$AL$30="Moderado"),CONCATENATE("R2C",'Mapa final'!$S$30),"")</f>
        <v/>
      </c>
      <c r="Y54" s="54" t="str">
        <f>IF(AND('Mapa final'!$AJ$31="Muy Baja",'Mapa final'!$AL$31="Moderado"),CONCATENATE("R2C",'Mapa final'!$S$31),"")</f>
        <v/>
      </c>
      <c r="Z54" s="54" t="str">
        <f>IF(AND('Mapa final'!$AJ$32="Muy Baja",'Mapa final'!$AL$32="Moderado"),CONCATENATE("R2C",'Mapa final'!$S$32),"")</f>
        <v/>
      </c>
      <c r="AA54" s="54" t="str">
        <f>IF(AND('Mapa final'!$AJ$33="Muy Baja",'Mapa final'!$AL$33="Moderado"),CONCATENATE("R2C",'Mapa final'!$S$33),"")</f>
        <v/>
      </c>
      <c r="AB54" s="55" t="str">
        <f>IF(AND('Mapa final'!$AJ$34="Muy Baja",'Mapa final'!$AL$34="Moderado"),CONCATENATE("R2C",'Mapa final'!$S$34),"")</f>
        <v/>
      </c>
      <c r="AC54" s="38" t="str">
        <f>IF(AND('Mapa final'!$AJ$29="Muy Baja",'Mapa final'!$AL$29="Mayor"),CONCATENATE("R2C",'Mapa final'!$S$29),"")</f>
        <v/>
      </c>
      <c r="AD54" s="39" t="str">
        <f>IF(AND('Mapa final'!$AJ$30="Muy Baja",'Mapa final'!$AL$30="Mayor"),CONCATENATE("R2C",'Mapa final'!$S$30),"")</f>
        <v/>
      </c>
      <c r="AE54" s="39" t="str">
        <f>IF(AND('Mapa final'!$AJ$31="Muy Baja",'Mapa final'!$AL$31="Mayor"),CONCATENATE("R2C",'Mapa final'!$S$31),"")</f>
        <v/>
      </c>
      <c r="AF54" s="39" t="str">
        <f>IF(AND('Mapa final'!$AJ$32="Muy Baja",'Mapa final'!$AL$32="Mayor"),CONCATENATE("R2C",'Mapa final'!$S$32),"")</f>
        <v/>
      </c>
      <c r="AG54" s="39" t="str">
        <f>IF(AND('Mapa final'!$AJ$33="Muy Baja",'Mapa final'!$AL$33="Mayor"),CONCATENATE("R2C",'Mapa final'!$S$33),"")</f>
        <v/>
      </c>
      <c r="AH54" s="40" t="str">
        <f>IF(AND('Mapa final'!$AJ$34="Muy Baja",'Mapa final'!$AL$34="Mayor"),CONCATENATE("R2C",'Mapa final'!$S$34),"")</f>
        <v/>
      </c>
      <c r="AI54" s="41" t="str">
        <f>IF(AND('Mapa final'!$AJ$29="Muy Baja",'Mapa final'!$AL$29="Catastrófico"),CONCATENATE("R2C",'Mapa final'!$S$29),"")</f>
        <v/>
      </c>
      <c r="AJ54" s="42" t="str">
        <f>IF(AND('Mapa final'!$AJ$30="Muy Baja",'Mapa final'!$AL$30="Catastrófico"),CONCATENATE("R2C",'Mapa final'!$S$30),"")</f>
        <v/>
      </c>
      <c r="AK54" s="42" t="str">
        <f>IF(AND('Mapa final'!$AJ$31="Muy Baja",'Mapa final'!$AL$31="Catastrófico"),CONCATENATE("R2C",'Mapa final'!$S$31),"")</f>
        <v/>
      </c>
      <c r="AL54" s="42" t="str">
        <f>IF(AND('Mapa final'!$AJ$32="Muy Baja",'Mapa final'!$AL$32="Catastrófico"),CONCATENATE("R2C",'Mapa final'!$S$32),"")</f>
        <v/>
      </c>
      <c r="AM54" s="42" t="str">
        <f>IF(AND('Mapa final'!$AJ$33="Muy Baja",'Mapa final'!$AL$33="Catastrófico"),CONCATENATE("R2C",'Mapa final'!$S$33),"")</f>
        <v/>
      </c>
      <c r="AN54" s="43" t="str">
        <f>IF(AND('Mapa final'!$AJ$34="Muy Baja",'Mapa final'!$AL$34="Catastrófico"),CONCATENATE("R2C",'Mapa final'!$S$34),"")</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422"/>
      <c r="D55" s="422"/>
      <c r="E55" s="423"/>
      <c r="F55" s="465"/>
      <c r="G55" s="466"/>
      <c r="H55" s="466"/>
      <c r="I55" s="466"/>
      <c r="J55" s="467"/>
      <c r="K55" s="62" t="str">
        <f>IF(AND('Mapa final'!$AJ$35="Muy Baja",'Mapa final'!$AL$35="Leve"),CONCATENATE("R2C",'Mapa final'!$S$35),"")</f>
        <v/>
      </c>
      <c r="L55" s="63" t="str">
        <f>IF(AND('Mapa final'!$AJ$36="Muy Baja",'Mapa final'!$AL$36="Leve"),CONCATENATE("R2C",'Mapa final'!$S$36),"")</f>
        <v/>
      </c>
      <c r="M55" s="63" t="str">
        <f>IF(AND('Mapa final'!$AJ$37="Muy Baja",'Mapa final'!$AL$37="Leve"),CONCATENATE("R2C",'Mapa final'!$S$37),"")</f>
        <v/>
      </c>
      <c r="N55" s="63" t="str">
        <f>IF(AND('Mapa final'!$AJ$38="Muy Baja",'Mapa final'!$AL$38="Leve"),CONCATENATE("R2C",'Mapa final'!$S$38),"")</f>
        <v/>
      </c>
      <c r="O55" s="63" t="str">
        <f>IF(AND('Mapa final'!$AJ$39="Muy Baja",'Mapa final'!$AL$39="Leve"),CONCATENATE("R2C",'Mapa final'!$S$39),"")</f>
        <v/>
      </c>
      <c r="P55" s="64" t="str">
        <f>IF(AND('Mapa final'!$AJ$40="Muy Baja",'Mapa final'!$AL$40="Leve"),CONCATENATE("R2C",'Mapa final'!$S$40),"")</f>
        <v/>
      </c>
      <c r="Q55" s="62" t="str">
        <f>IF(AND('Mapa final'!$AJ$35="Muy Baja",'Mapa final'!$AL$35="Menor"),CONCATENATE("R2C",'Mapa final'!$S$35),"")</f>
        <v/>
      </c>
      <c r="R55" s="63" t="str">
        <f>IF(AND('Mapa final'!$AJ$36="Muy Baja",'Mapa final'!$AL$36="Menor"),CONCATENATE("R2C",'Mapa final'!$S$36),"")</f>
        <v/>
      </c>
      <c r="S55" s="63" t="str">
        <f>IF(AND('Mapa final'!$AJ$37="Muy Baja",'Mapa final'!$AL$37="Menor"),CONCATENATE("R2C",'Mapa final'!$S$37),"")</f>
        <v/>
      </c>
      <c r="T55" s="63" t="str">
        <f>IF(AND('Mapa final'!$AJ$38="Muy Baja",'Mapa final'!$AL$38="Menor"),CONCATENATE("R2C",'Mapa final'!$S$38),"")</f>
        <v/>
      </c>
      <c r="U55" s="63" t="str">
        <f>IF(AND('Mapa final'!$AJ$39="Muy Baja",'Mapa final'!$AL$39="LMenor"),CONCATENATE("R2C",'Mapa final'!$S$39),"")</f>
        <v/>
      </c>
      <c r="V55" s="64" t="str">
        <f>IF(AND('Mapa final'!$AJ$40="Muy Baja",'Mapa final'!$AL$40="Menor"),CONCATENATE("R2C",'Mapa final'!$S$40),"")</f>
        <v/>
      </c>
      <c r="W55" s="53" t="str">
        <f>IF(AND('Mapa final'!$AJ$35="Muy Baja",'Mapa final'!$AL$35="Moderado"),CONCATENATE("R2C",'Mapa final'!$S$35),"")</f>
        <v/>
      </c>
      <c r="X55" s="54" t="str">
        <f>IF(AND('Mapa final'!$AJ$36="Muy Baja",'Mapa final'!$AL$36="Moderado"),CONCATENATE("R2C",'Mapa final'!$S$36),"")</f>
        <v/>
      </c>
      <c r="Y55" s="54" t="str">
        <f>IF(AND('Mapa final'!$AJ$37="Muy Baja",'Mapa final'!$AL$37="Moderado"),CONCATENATE("R2C",'Mapa final'!$S$37),"")</f>
        <v/>
      </c>
      <c r="Z55" s="54" t="str">
        <f>IF(AND('Mapa final'!$AJ$38="Muy Baja",'Mapa final'!$AL$38="Moderado"),CONCATENATE("R2C",'Mapa final'!$S$38),"")</f>
        <v/>
      </c>
      <c r="AA55" s="54" t="str">
        <f>IF(AND('Mapa final'!$AJ$39="Muy Baja",'Mapa final'!$AL$39="Moderado"),CONCATENATE("R2C",'Mapa final'!$S$39),"")</f>
        <v/>
      </c>
      <c r="AB55" s="55" t="str">
        <f>IF(AND('Mapa final'!$AJ$40="Muy Baja",'Mapa final'!$AL$40="Moderado"),CONCATENATE("R2C",'Mapa final'!$S$40),"")</f>
        <v/>
      </c>
      <c r="AC55" s="38" t="str">
        <f>IF(AND('Mapa final'!$AJ$35="Muy Baja",'Mapa final'!$AL$35="Mayor"),CONCATENATE("R2C",'Mapa final'!$S$35),"")</f>
        <v/>
      </c>
      <c r="AD55" s="39" t="str">
        <f>IF(AND('Mapa final'!$AJ$36="Muy Baja",'Mapa final'!$AL$36="Mayor"),CONCATENATE("R2C",'Mapa final'!$S$36),"")</f>
        <v/>
      </c>
      <c r="AE55" s="39" t="str">
        <f>IF(AND('Mapa final'!$AJ$37="Muy Baja",'Mapa final'!$AL$37="Mayor"),CONCATENATE("R2C",'Mapa final'!$S$37),"")</f>
        <v/>
      </c>
      <c r="AF55" s="39" t="str">
        <f>IF(AND('Mapa final'!$AJ$38="Muy Baja",'Mapa final'!$AL$38="Mayor"),CONCATENATE("R2C",'Mapa final'!$S$38),"")</f>
        <v/>
      </c>
      <c r="AG55" s="39" t="str">
        <f>IF(AND('Mapa final'!$AJ$39="Muy Baja",'Mapa final'!$AL$39="Mayor"),CONCATENATE("R2C",'Mapa final'!$S$39),"")</f>
        <v/>
      </c>
      <c r="AH55" s="40" t="str">
        <f>IF(AND('Mapa final'!$AJ$40="Muy Baja",'Mapa final'!$AL$40="Mayor"),CONCATENATE("R2C",'Mapa final'!$S$40),"")</f>
        <v/>
      </c>
      <c r="AI55" s="41" t="str">
        <f>IF(AND('Mapa final'!$AJ$35="Muy Baja",'Mapa final'!$AL$35="Catastrófico"),CONCATENATE("R2C",'Mapa final'!$S$35),"")</f>
        <v/>
      </c>
      <c r="AJ55" s="42" t="str">
        <f>IF(AND('Mapa final'!$AJ$36="Muy Baja",'Mapa final'!$AL$36="Catastrófico"),CONCATENATE("R2C",'Mapa final'!$S$36),"")</f>
        <v/>
      </c>
      <c r="AK55" s="42" t="str">
        <f>IF(AND('Mapa final'!$AJ$37="Muy Baja",'Mapa final'!$AL$37="Catastrófico"),CONCATENATE("R2C",'Mapa final'!$S$37),"")</f>
        <v/>
      </c>
      <c r="AL55" s="42" t="str">
        <f>IF(AND('Mapa final'!$AJ$38="Muy Baja",'Mapa final'!$AL$38="Catastrófico"),CONCATENATE("R2C",'Mapa final'!$S$38),"")</f>
        <v/>
      </c>
      <c r="AM55" s="42" t="str">
        <f>IF(AND('Mapa final'!$AJ$39="Muy Baja",'Mapa final'!$AL$39="LCatastrófico"),CONCATENATE("R2C",'Mapa final'!$S$39),"")</f>
        <v/>
      </c>
      <c r="AN55" s="43" t="str">
        <f>IF(AND('Mapa final'!$AJ$40="Muy Baja",'Mapa final'!$AL$40="Catastrófico"),CONCATENATE("R2C",'Mapa final'!$S$40),"")</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422"/>
      <c r="D56" s="422"/>
      <c r="E56" s="423"/>
      <c r="F56" s="465"/>
      <c r="G56" s="466"/>
      <c r="H56" s="466"/>
      <c r="I56" s="466"/>
      <c r="J56" s="467"/>
      <c r="K56" s="62" t="str">
        <f>IF(AND('Mapa final'!$AJ$41="Muy Baja",'Mapa final'!$AL$41="Leve"),CONCATENATE("R2C",'Mapa final'!$S$41),"")</f>
        <v/>
      </c>
      <c r="L56" s="63" t="str">
        <f>IF(AND('Mapa final'!$AJ$42="Muy Baja",'Mapa final'!$AL$42="Leve"),CONCATENATE("R2C",'Mapa final'!$S$42),"")</f>
        <v/>
      </c>
      <c r="M56" s="63" t="str">
        <f>IF(AND('Mapa final'!$AJ$43="Muy Baja",'Mapa final'!$AL$43="Leve"),CONCATENATE("R2C",'Mapa final'!$S$43),"")</f>
        <v/>
      </c>
      <c r="N56" s="63" t="str">
        <f>IF(AND('Mapa final'!$AJ$44="Muy Baja",'Mapa final'!$AL$44="Leve"),CONCATENATE("R2C",'Mapa final'!$S$44),"")</f>
        <v/>
      </c>
      <c r="O56" s="63" t="str">
        <f>IF(AND('Mapa final'!$AJ$45="Muy Baja",'Mapa final'!$AL$45="Leve"),CONCATENATE("R2C",'Mapa final'!$S$45),"")</f>
        <v/>
      </c>
      <c r="P56" s="64" t="str">
        <f>IF(AND('Mapa final'!$AJ$46="Muy Baja",'Mapa final'!$AL$46="Leve"),CONCATENATE("R2C",'Mapa final'!$S$46),"")</f>
        <v/>
      </c>
      <c r="Q56" s="62" t="str">
        <f>IF(AND('Mapa final'!$AJ$41="Muy Baja",'Mapa final'!$AL$41="Menor"),CONCATENATE("R2C",'Mapa final'!$S$41),"")</f>
        <v/>
      </c>
      <c r="R56" s="63" t="str">
        <f>IF(AND('Mapa final'!$AJ$42="Muy Baja",'Mapa final'!$AL$42="Menor"),CONCATENATE("R2C",'Mapa final'!$S$42),"")</f>
        <v/>
      </c>
      <c r="S56" s="63" t="str">
        <f>IF(AND('Mapa final'!$AJ$43="Muy Baja",'Mapa final'!$AL$43="Menor"),CONCATENATE("R2C",'Mapa final'!$S$43),"")</f>
        <v/>
      </c>
      <c r="T56" s="63" t="str">
        <f>IF(AND('Mapa final'!$AJ$44="Muy Baja",'Mapa final'!$AL$44="Menor"),CONCATENATE("R2C",'Mapa final'!$S$44),"")</f>
        <v/>
      </c>
      <c r="U56" s="63" t="str">
        <f>IF(AND('Mapa final'!$AJ$45="Muy Baja",'Mapa final'!$AL$45="Menor"),CONCATENATE("R2C",'Mapa final'!$S$45),"")</f>
        <v/>
      </c>
      <c r="V56" s="64" t="str">
        <f>IF(AND('Mapa final'!$AJ$46="Muy Baja",'Mapa final'!$AL$46="Menor"),CONCATENATE("R2C",'Mapa final'!$S$46),"")</f>
        <v/>
      </c>
      <c r="W56" s="53" t="str">
        <f>IF(AND('Mapa final'!$AJ$41="Muy Baja",'Mapa final'!$AL$41="Moderado"),CONCATENATE("R2C",'Mapa final'!$S$41),"")</f>
        <v/>
      </c>
      <c r="X56" s="54" t="str">
        <f>IF(AND('Mapa final'!$AJ$42="Muy Baja",'Mapa final'!$AL$42="Moderado"),CONCATENATE("R2C",'Mapa final'!$S$42),"")</f>
        <v/>
      </c>
      <c r="Y56" s="54" t="str">
        <f>IF(AND('Mapa final'!$AJ$43="Muy Baja",'Mapa final'!$AL$43="Moderado"),CONCATENATE("R2C",'Mapa final'!$S$43),"")</f>
        <v/>
      </c>
      <c r="Z56" s="54" t="str">
        <f>IF(AND('Mapa final'!$AJ$44="Muy Baja",'Mapa final'!$AL$44="Moderado"),CONCATENATE("R2C",'Mapa final'!$S$44),"")</f>
        <v/>
      </c>
      <c r="AA56" s="54" t="str">
        <f>IF(AND('Mapa final'!$AJ$45="Muy Baja",'Mapa final'!$AL$45="Moderado"),CONCATENATE("R2C",'Mapa final'!$S$45),"")</f>
        <v/>
      </c>
      <c r="AB56" s="55" t="str">
        <f>IF(AND('Mapa final'!$AJ$46="Muy Baja",'Mapa final'!$AL$46="Moderado"),CONCATENATE("R2C",'Mapa final'!$S$46),"")</f>
        <v/>
      </c>
      <c r="AC56" s="38" t="str">
        <f>IF(AND('Mapa final'!$AJ$41="Muy Baja",'Mapa final'!$AL$41="Mayor"),CONCATENATE("R2C",'Mapa final'!$S$41),"")</f>
        <v/>
      </c>
      <c r="AD56" s="39" t="str">
        <f>IF(AND('Mapa final'!$AJ$42="Muy Baja",'Mapa final'!$AL$42="Mayor"),CONCATENATE("R2C",'Mapa final'!$S$42),"")</f>
        <v/>
      </c>
      <c r="AE56" s="39" t="str">
        <f>IF(AND('Mapa final'!$AJ$43="Muy Baja",'Mapa final'!$AL$43="Mayor"),CONCATENATE("R2C",'Mapa final'!$S$43),"")</f>
        <v/>
      </c>
      <c r="AF56" s="39" t="str">
        <f>IF(AND('Mapa final'!$AJ$44="Muy Baja",'Mapa final'!$AL$44="Mayor"),CONCATENATE("R2C",'Mapa final'!$S$44),"")</f>
        <v/>
      </c>
      <c r="AG56" s="39" t="str">
        <f>IF(AND('Mapa final'!$AJ$45="Muy Baja",'Mapa final'!$AL$45="Mayor"),CONCATENATE("R2C",'Mapa final'!$S$45),"")</f>
        <v/>
      </c>
      <c r="AH56" s="40" t="str">
        <f>IF(AND('Mapa final'!$AJ$46="Muy Baja",'Mapa final'!$AL$46="Mayor"),CONCATENATE("R2C",'Mapa final'!$S$46),"")</f>
        <v/>
      </c>
      <c r="AI56" s="41" t="str">
        <f>IF(AND('Mapa final'!$AJ$41="Muy Baja",'Mapa final'!$AL$41="Catastrófico"),CONCATENATE("R2C",'Mapa final'!$S$41),"")</f>
        <v/>
      </c>
      <c r="AJ56" s="42" t="str">
        <f>IF(AND('Mapa final'!$AJ$42="Muy Baja",'Mapa final'!$AL$42="Catastrófico"),CONCATENATE("R2C",'Mapa final'!$S$42),"")</f>
        <v/>
      </c>
      <c r="AK56" s="42" t="str">
        <f>IF(AND('Mapa final'!$AJ$43="Muy Baja",'Mapa final'!$AL$43="Catastrófico"),CONCATENATE("R2C",'Mapa final'!$S$43),"")</f>
        <v/>
      </c>
      <c r="AL56" s="42" t="str">
        <f>IF(AND('Mapa final'!$AJ$44="Muy Baja",'Mapa final'!$AL$44="Catastrófico"),CONCATENATE("R2C",'Mapa final'!$S$44),"")</f>
        <v/>
      </c>
      <c r="AM56" s="42" t="str">
        <f>IF(AND('Mapa final'!$AJ$45="Muy Baja",'Mapa final'!$AL$45="Catastrófico"),CONCATENATE("R2C",'Mapa final'!$S$45),"")</f>
        <v/>
      </c>
      <c r="AN56" s="43" t="str">
        <f>IF(AND('Mapa final'!$AJ$46="Muy Baja",'Mapa final'!$AL$46="Catastrófico"),CONCATENATE("R2C",'Mapa final'!$S$46),"")</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422"/>
      <c r="D57" s="422"/>
      <c r="E57" s="423"/>
      <c r="F57" s="465"/>
      <c r="G57" s="466"/>
      <c r="H57" s="466"/>
      <c r="I57" s="466"/>
      <c r="J57" s="467"/>
      <c r="K57" s="62" t="str">
        <f>IF(AND('Mapa final'!$AJ$47="Muy Baja",'Mapa final'!$AL$47="Leve"),CONCATENATE("R2C",'Mapa final'!$S$47),"")</f>
        <v/>
      </c>
      <c r="L57" s="63" t="str">
        <f>IF(AND('Mapa final'!$AJ$48="Muy Baja",'Mapa final'!$AL$48="Leve"),CONCATENATE("R2C",'Mapa final'!$S$48),"")</f>
        <v/>
      </c>
      <c r="M57" s="63" t="str">
        <f>IF(AND('Mapa final'!$AJ$49="Muy Baja",'Mapa final'!$AL$49="Leve"),CONCATENATE("R2C",'Mapa final'!$S$49),"")</f>
        <v/>
      </c>
      <c r="N57" s="63" t="str">
        <f>IF(AND('Mapa final'!$AJ$50="Muy Baja",'Mapa final'!$AL$50="Leve"),CONCATENATE("R2C",'Mapa final'!$S$50),"")</f>
        <v/>
      </c>
      <c r="O57" s="63" t="str">
        <f>IF(AND('Mapa final'!$AJ$51="Muy Baja",'Mapa final'!$AL$51="Leve"),CONCATENATE("R2C",'Mapa final'!$S$51),"")</f>
        <v/>
      </c>
      <c r="P57" s="64" t="str">
        <f>IF(AND('Mapa final'!$AJ$62="Muy Baja",'Mapa final'!$AL$52="Leve"),CONCATENATE("R2C",'Mapa final'!$S$52),"")</f>
        <v/>
      </c>
      <c r="Q57" s="62" t="str">
        <f>IF(AND('Mapa final'!$AJ$47="Muy Baja",'Mapa final'!$AL$47="Menor"),CONCATENATE("R2C",'Mapa final'!$S$47),"")</f>
        <v/>
      </c>
      <c r="R57" s="63" t="str">
        <f>IF(AND('Mapa final'!$AJ$48="Muy Baja",'Mapa final'!$AL$48="Menor"),CONCATENATE("R2C",'Mapa final'!$S$48),"")</f>
        <v/>
      </c>
      <c r="S57" s="63" t="str">
        <f>IF(AND('Mapa final'!$AJ$49="Muy Baja",'Mapa final'!$AL$49="Menor"),CONCATENATE("R2C",'Mapa final'!$S$49),"")</f>
        <v/>
      </c>
      <c r="T57" s="63" t="str">
        <f>IF(AND('Mapa final'!$AJ$50="Muy Baja",'Mapa final'!$AL$50="Menor"),CONCATENATE("R2C",'Mapa final'!$S$50),"")</f>
        <v/>
      </c>
      <c r="U57" s="63" t="str">
        <f>IF(AND('Mapa final'!$AJ$51="Muy Baja",'Mapa final'!$AL$51="Menor"),CONCATENATE("R2C",'Mapa final'!$S$51),"")</f>
        <v/>
      </c>
      <c r="V57" s="64" t="str">
        <f>IF(AND('Mapa final'!$AJ$62="Muy Baja",'Mapa final'!$AL$52="Menor"),CONCATENATE("R2C",'Mapa final'!$S$52),"")</f>
        <v/>
      </c>
      <c r="W57" s="53" t="str">
        <f>IF(AND('Mapa final'!$AJ$47="Muy Baja",'Mapa final'!$AL$47="Moderado"),CONCATENATE("R2C",'Mapa final'!$S$47),"")</f>
        <v/>
      </c>
      <c r="X57" s="54" t="str">
        <f>IF(AND('Mapa final'!$AJ$48="Muy Baja",'Mapa final'!$AL$48="Moderado"),CONCATENATE("R2C",'Mapa final'!$S$48),"")</f>
        <v/>
      </c>
      <c r="Y57" s="54" t="str">
        <f>IF(AND('Mapa final'!$AJ$49="Muy Baja",'Mapa final'!$AL$49="Moderado"),CONCATENATE("R2C",'Mapa final'!$S$49),"")</f>
        <v/>
      </c>
      <c r="Z57" s="54" t="str">
        <f>IF(AND('Mapa final'!$AJ$50="Muy Baja",'Mapa final'!$AL$50="Moderado"),CONCATENATE("R2C",'Mapa final'!$S$50),"")</f>
        <v/>
      </c>
      <c r="AA57" s="54" t="str">
        <f>IF(AND('Mapa final'!$AJ$51="Muy Baja",'Mapa final'!$AL$51="Moderado"),CONCATENATE("R2C",'Mapa final'!$S$51),"")</f>
        <v/>
      </c>
      <c r="AB57" s="55" t="str">
        <f>IF(AND('Mapa final'!$AJ$62="Muy Baja",'Mapa final'!$AL$52="Moderado"),CONCATENATE("R2C",'Mapa final'!$S$52),"")</f>
        <v/>
      </c>
      <c r="AC57" s="38" t="str">
        <f>IF(AND('Mapa final'!$AJ$47="Muy Baja",'Mapa final'!$AL$47="Mayor"),CONCATENATE("R2C",'Mapa final'!$S$47),"")</f>
        <v/>
      </c>
      <c r="AD57" s="39" t="str">
        <f>IF(AND('Mapa final'!$AJ$48="Muy Baja",'Mapa final'!$AL$48="Mayor"),CONCATENATE("R2C",'Mapa final'!$S$48),"")</f>
        <v/>
      </c>
      <c r="AE57" s="39" t="str">
        <f>IF(AND('Mapa final'!$AJ$49="Muy Baja",'Mapa final'!$AL$49="Mayor"),CONCATENATE("R2C",'Mapa final'!$S$49),"")</f>
        <v/>
      </c>
      <c r="AF57" s="39" t="str">
        <f>IF(AND('Mapa final'!$AJ$50="Muy Baja",'Mapa final'!$AL$50="Mayor"),CONCATENATE("R2C",'Mapa final'!$S$50),"")</f>
        <v/>
      </c>
      <c r="AG57" s="39" t="str">
        <f>IF(AND('Mapa final'!$AJ$51="Muy Baja",'Mapa final'!$AL$51="Mayor"),CONCATENATE("R2C",'Mapa final'!$S$51),"")</f>
        <v/>
      </c>
      <c r="AH57" s="40" t="str">
        <f>IF(AND('Mapa final'!$AJ$62="Muy Baja",'Mapa final'!$AL$52="Mayor"),CONCATENATE("R2C",'Mapa final'!$S$52),"")</f>
        <v/>
      </c>
      <c r="AI57" s="41" t="str">
        <f>IF(AND('Mapa final'!$AJ$47="Muy Baja",'Mapa final'!$AL$47="Catastrófico"),CONCATENATE("R2C",'Mapa final'!$S$47),"")</f>
        <v/>
      </c>
      <c r="AJ57" s="42" t="str">
        <f>IF(AND('Mapa final'!$AJ$48="Muy Baja",'Mapa final'!$AL$48="Catastrófico"),CONCATENATE("R2C",'Mapa final'!$S$48),"")</f>
        <v/>
      </c>
      <c r="AK57" s="42" t="str">
        <f>IF(AND('Mapa final'!$AJ$49="Muy Baja",'Mapa final'!$AL$49="Catastrófico"),CONCATENATE("R2C",'Mapa final'!$S$49),"")</f>
        <v/>
      </c>
      <c r="AL57" s="42" t="str">
        <f>IF(AND('Mapa final'!$AJ$50="Muy Baja",'Mapa final'!$AL$50="Catastrófico"),CONCATENATE("R2C",'Mapa final'!$S$50),"")</f>
        <v/>
      </c>
      <c r="AM57" s="42" t="str">
        <f>IF(AND('Mapa final'!$AJ$51="Muy Baja",'Mapa final'!$AL$51="Catastrófico"),CONCATENATE("R2C",'Mapa final'!$S$51),"")</f>
        <v/>
      </c>
      <c r="AN57" s="43" t="str">
        <f>IF(AND('Mapa final'!$AJ$62="Muy Baja",'Mapa final'!$AL$52="Catastrófico"),CONCATENATE("R2C",'Mapa final'!$S$52),"")</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422"/>
      <c r="D58" s="422"/>
      <c r="E58" s="423"/>
      <c r="F58" s="465"/>
      <c r="G58" s="466"/>
      <c r="H58" s="466"/>
      <c r="I58" s="466"/>
      <c r="J58" s="467"/>
      <c r="K58" s="62" t="str">
        <f>IF(AND('Mapa final'!$AJ$53="Muy Baja",'Mapa final'!$AL$53="Leve"),CONCATENATE("R2C",'Mapa final'!$S$53),"")</f>
        <v/>
      </c>
      <c r="L58" s="63" t="str">
        <f>IF(AND('Mapa final'!$AJ$54="Muy Baja",'Mapa final'!$AL$54="Leve"),CONCATENATE("R2C",'Mapa final'!$S$54),"")</f>
        <v/>
      </c>
      <c r="M58" s="63" t="str">
        <f>IF(AND('Mapa final'!$AJ$55="Muy Baja",'Mapa final'!$AL$55="Leve"),CONCATENATE("R2C",'Mapa final'!$S$55),"")</f>
        <v/>
      </c>
      <c r="N58" s="63" t="str">
        <f>IF(AND('Mapa final'!$AJ$56="Muy Baja",'Mapa final'!$AL$56="Leve"),CONCATENATE("R2C",'Mapa final'!$S$56),"")</f>
        <v/>
      </c>
      <c r="O58" s="63" t="str">
        <f>IF(AND('Mapa final'!$AJ$57="Muy Baja",'Mapa final'!$AL$57="Leve"),CONCATENATE("R2C",'Mapa final'!$S$57),"")</f>
        <v/>
      </c>
      <c r="P58" s="64" t="str">
        <f>IF(AND('Mapa final'!$AJ$58="Muy Baja",'Mapa final'!$AL$58="Leve"),CONCATENATE("R2C",'Mapa final'!$S$58),"")</f>
        <v/>
      </c>
      <c r="Q58" s="62" t="str">
        <f>IF(AND('Mapa final'!$AJ$53="Muy Baja",'Mapa final'!$AL$53="Menor"),CONCATENATE("R2C",'Mapa final'!$S$53),"")</f>
        <v/>
      </c>
      <c r="R58" s="63" t="str">
        <f>IF(AND('Mapa final'!$AJ$54="Muy Baja",'Mapa final'!$AL$54="Menor"),CONCATENATE("R2C",'Mapa final'!$S$54),"")</f>
        <v/>
      </c>
      <c r="S58" s="63" t="str">
        <f>IF(AND('Mapa final'!$AJ$55="Muy Baja",'Mapa final'!$AL$55="Menor"),CONCATENATE("R2C",'Mapa final'!$S$55),"")</f>
        <v/>
      </c>
      <c r="T58" s="63" t="str">
        <f>IF(AND('Mapa final'!$AJ$56="Muy Baja",'Mapa final'!$AL$56="Menor"),CONCATENATE("R2C",'Mapa final'!$S$56),"")</f>
        <v/>
      </c>
      <c r="U58" s="63" t="str">
        <f>IF(AND('Mapa final'!$AJ$57="Muy Baja",'Mapa final'!$AL$57="Menor"),CONCATENATE("R2C",'Mapa final'!$S$57),"")</f>
        <v/>
      </c>
      <c r="V58" s="64" t="str">
        <f>IF(AND('Mapa final'!$AJ$58="Muy Baja",'Mapa final'!$AL$58="Menor"),CONCATENATE("R2C",'Mapa final'!$S$58),"")</f>
        <v/>
      </c>
      <c r="W58" s="53" t="str">
        <f>IF(AND('Mapa final'!$AJ$53="Muy Baja",'Mapa final'!$AL$53="Moderado"),CONCATENATE("R2C",'Mapa final'!$S$53),"")</f>
        <v/>
      </c>
      <c r="X58" s="54" t="str">
        <f>IF(AND('Mapa final'!$AJ$54="Muy Baja",'Mapa final'!$AL$54="Moderado"),CONCATENATE("R2C",'Mapa final'!$S$54),"")</f>
        <v/>
      </c>
      <c r="Y58" s="54" t="str">
        <f>IF(AND('Mapa final'!$AJ$55="Muy Baja",'Mapa final'!$AL$55="Moderado"),CONCATENATE("R2C",'Mapa final'!$S$55),"")</f>
        <v/>
      </c>
      <c r="Z58" s="54" t="str">
        <f>IF(AND('Mapa final'!$AJ$56="Muy Baja",'Mapa final'!$AL$56="Moderado"),CONCATENATE("R2C",'Mapa final'!$S$56),"")</f>
        <v/>
      </c>
      <c r="AA58" s="54" t="str">
        <f>IF(AND('Mapa final'!$AJ$57="Muy Baja",'Mapa final'!$AL$57="Moderado"),CONCATENATE("R2C",'Mapa final'!$S$57),"")</f>
        <v/>
      </c>
      <c r="AB58" s="55" t="str">
        <f>IF(AND('Mapa final'!$AJ$58="Muy Baja",'Mapa final'!$AL$58="Moderado"),CONCATENATE("R2C",'Mapa final'!$S$58),"")</f>
        <v/>
      </c>
      <c r="AC58" s="38" t="str">
        <f>IF(AND('Mapa final'!$AJ$53="Muy Baja",'Mapa final'!$AL$53="Mayor"),CONCATENATE("R2C",'Mapa final'!$S$53),"")</f>
        <v/>
      </c>
      <c r="AD58" s="39" t="str">
        <f>IF(AND('Mapa final'!$AJ$54="Muy Baja",'Mapa final'!$AL$54="Mayor"),CONCATENATE("R2C",'Mapa final'!$S$54),"")</f>
        <v/>
      </c>
      <c r="AE58" s="39" t="str">
        <f>IF(AND('Mapa final'!$AJ$55="Muy Baja",'Mapa final'!$AL$55="Mayor"),CONCATENATE("R2C",'Mapa final'!$S$55),"")</f>
        <v/>
      </c>
      <c r="AF58" s="39" t="str">
        <f>IF(AND('Mapa final'!$AJ$56="Muy Baja",'Mapa final'!$AL$56="Mayor"),CONCATENATE("R2C",'Mapa final'!$S$56),"")</f>
        <v/>
      </c>
      <c r="AG58" s="39" t="str">
        <f>IF(AND('Mapa final'!$AJ$57="Muy Baja",'Mapa final'!$AL$57="Mayor"),CONCATENATE("R2C",'Mapa final'!$S$57),"")</f>
        <v/>
      </c>
      <c r="AH58" s="40" t="str">
        <f>IF(AND('Mapa final'!$AJ$58="Muy Baja",'Mapa final'!$AL$58="Mayor"),CONCATENATE("R2C",'Mapa final'!$S$58),"")</f>
        <v/>
      </c>
      <c r="AI58" s="41" t="str">
        <f>IF(AND('Mapa final'!$AJ$53="Muy Baja",'Mapa final'!$AL$53="Catastrófico"),CONCATENATE("R2C",'Mapa final'!$S$53),"")</f>
        <v/>
      </c>
      <c r="AJ58" s="42" t="str">
        <f>IF(AND('Mapa final'!$AJ$54="Muy Baja",'Mapa final'!$AL$54="Catastrófico"),CONCATENATE("R2C",'Mapa final'!$S$54),"")</f>
        <v/>
      </c>
      <c r="AK58" s="42" t="str">
        <f>IF(AND('Mapa final'!$AJ$55="Muy Baja",'Mapa final'!$AL$55="Catastrófico"),CONCATENATE("R2C",'Mapa final'!$S$55),"")</f>
        <v/>
      </c>
      <c r="AL58" s="42" t="str">
        <f>IF(AND('Mapa final'!$AJ$56="Muy Baja",'Mapa final'!$AL$56="Catastrófico"),CONCATENATE("R2C",'Mapa final'!$S$56),"")</f>
        <v/>
      </c>
      <c r="AM58" s="42" t="str">
        <f>IF(AND('Mapa final'!$AJ$57="Muy Baja",'Mapa final'!$AL$57="Catastrófico"),CONCATENATE("R2C",'Mapa final'!$S$57),"")</f>
        <v/>
      </c>
      <c r="AN58" s="43" t="str">
        <f>IF(AND('Mapa final'!$AJ$58="Muy Baja",'Mapa final'!$AL$58="Catastrófico"),CONCATENATE("R2C",'Mapa final'!$S$58),"")</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422"/>
      <c r="D59" s="422"/>
      <c r="E59" s="423"/>
      <c r="F59" s="465"/>
      <c r="G59" s="466"/>
      <c r="H59" s="466"/>
      <c r="I59" s="466"/>
      <c r="J59" s="467"/>
      <c r="K59" s="62" t="str">
        <f>IF(AND('Mapa final'!$AJ$59="Muy Baja",'Mapa final'!$AL$59="Leve"),CONCATENATE("R2C",'Mapa final'!$S$59),"")</f>
        <v/>
      </c>
      <c r="L59" s="63" t="str">
        <f>IF(AND('Mapa final'!$AJ$60="Muy Baja",'Mapa final'!$AL$60="Leve"),CONCATENATE("R2C",'Mapa final'!$S$60),"")</f>
        <v/>
      </c>
      <c r="M59" s="63" t="str">
        <f>IF(AND('Mapa final'!$AJ$61="Muy Baja",'Mapa final'!$AL$61="Leve"),CONCATENATE("R2C",'Mapa final'!$S$61),"")</f>
        <v/>
      </c>
      <c r="N59" s="63" t="str">
        <f>IF(AND('Mapa final'!$AJ$62="Muy Baja",'Mapa final'!$AL$62="Leve"),CONCATENATE("R2C",'Mapa final'!$S$62),"")</f>
        <v/>
      </c>
      <c r="O59" s="63" t="str">
        <f>IF(AND('Mapa final'!$AJ$63="Muy Baja",'Mapa final'!$AL$63="Leve"),CONCATENATE("R2C",'Mapa final'!$S$63),"")</f>
        <v/>
      </c>
      <c r="P59" s="64" t="str">
        <f>IF(AND('Mapa final'!$AJ$64="Muy Baja",'Mapa final'!$AL$64="Leve"),CONCATENATE("R2C",'Mapa final'!$S$64),"")</f>
        <v/>
      </c>
      <c r="Q59" s="62" t="str">
        <f>IF(AND('Mapa final'!$AJ$59="Muy Baja",'Mapa final'!$AL$59="Menor"),CONCATENATE("R2C",'Mapa final'!$S$59),"")</f>
        <v/>
      </c>
      <c r="R59" s="63" t="str">
        <f>IF(AND('Mapa final'!$AJ$60="Muy Baja",'Mapa final'!$AL$60="Menor"),CONCATENATE("R2C",'Mapa final'!$S$60),"")</f>
        <v/>
      </c>
      <c r="S59" s="63" t="str">
        <f>IF(AND('Mapa final'!$AJ$61="Muy Baja",'Mapa final'!$AL$61="Menor"),CONCATENATE("R2C",'Mapa final'!$S$61),"")</f>
        <v/>
      </c>
      <c r="T59" s="63" t="str">
        <f>IF(AND('Mapa final'!$AJ$62="Muy Baja",'Mapa final'!$AL$62="Menor"),CONCATENATE("R2C",'Mapa final'!$S$62),"")</f>
        <v/>
      </c>
      <c r="U59" s="63" t="str">
        <f>IF(AND('Mapa final'!$AJ$63="Muy Baja",'Mapa final'!$AL$63="Menor"),CONCATENATE("R2C",'Mapa final'!$S$63),"")</f>
        <v/>
      </c>
      <c r="V59" s="64" t="str">
        <f>IF(AND('Mapa final'!$AJ$64="Muy Baja",'Mapa final'!$AL$64="Menor"),CONCATENATE("R2C",'Mapa final'!$S$64),"")</f>
        <v/>
      </c>
      <c r="W59" s="53" t="str">
        <f>IF(AND('Mapa final'!$AJ$59="Muy Baja",'Mapa final'!$AL$59="Moderado"),CONCATENATE("R2C",'Mapa final'!$S$59),"")</f>
        <v/>
      </c>
      <c r="X59" s="54" t="str">
        <f>IF(AND('Mapa final'!$AJ$60="Muy Baja",'Mapa final'!$AL$60="Moderado"),CONCATENATE("R2C",'Mapa final'!$S$60),"")</f>
        <v/>
      </c>
      <c r="Y59" s="54" t="str">
        <f>IF(AND('Mapa final'!$AJ$61="Muy Baja",'Mapa final'!$AL$61="Moderado"),CONCATENATE("R2C",'Mapa final'!$S$61),"")</f>
        <v/>
      </c>
      <c r="Z59" s="54" t="str">
        <f>IF(AND('Mapa final'!$AJ$62="Muy Baja",'Mapa final'!$AL$62="Moderado"),CONCATENATE("R2C",'Mapa final'!$S$62),"")</f>
        <v/>
      </c>
      <c r="AA59" s="54" t="str">
        <f>IF(AND('Mapa final'!$AJ$63="Muy Baja",'Mapa final'!$AL$63="Moderado"),CONCATENATE("R2C",'Mapa final'!$S$63),"")</f>
        <v/>
      </c>
      <c r="AB59" s="55" t="str">
        <f>IF(AND('Mapa final'!$AJ$64="Muy Baja",'Mapa final'!$AL$64="Moderado"),CONCATENATE("R2C",'Mapa final'!$S$64),"")</f>
        <v/>
      </c>
      <c r="AC59" s="38" t="str">
        <f>IF(AND('Mapa final'!$AJ$59="Muy Baja",'Mapa final'!$AL$59="Mayor"),CONCATENATE("R2C",'Mapa final'!$S$59),"")</f>
        <v/>
      </c>
      <c r="AD59" s="39" t="str">
        <f>IF(AND('Mapa final'!$AJ$60="Muy Baja",'Mapa final'!$AL$60="Mayor"),CONCATENATE("R2C",'Mapa final'!$S$60),"")</f>
        <v/>
      </c>
      <c r="AE59" s="39" t="str">
        <f>IF(AND('Mapa final'!$AJ$61="Muy Baja",'Mapa final'!$AL$61="Mayor"),CONCATENATE("R2C",'Mapa final'!$S$61),"")</f>
        <v/>
      </c>
      <c r="AF59" s="39" t="str">
        <f>IF(AND('Mapa final'!$AJ$62="Muy Baja",'Mapa final'!$AL$62="Mayor"),CONCATENATE("R2C",'Mapa final'!$S$62),"")</f>
        <v/>
      </c>
      <c r="AG59" s="39" t="str">
        <f>IF(AND('Mapa final'!$AJ$63="Muy Baja",'Mapa final'!$AL$63="Mayor"),CONCATENATE("R2C",'Mapa final'!$S$63),"")</f>
        <v/>
      </c>
      <c r="AH59" s="40" t="str">
        <f>IF(AND('Mapa final'!$AJ$64="Muy Baja",'Mapa final'!$AL$64="Mayor"),CONCATENATE("R2C",'Mapa final'!$S$64),"")</f>
        <v/>
      </c>
      <c r="AI59" s="41" t="str">
        <f>IF(AND('Mapa final'!$AJ$59="Muy Baja",'Mapa final'!$AL$59="Catastrófico"),CONCATENATE("R2C",'Mapa final'!$S$59),"")</f>
        <v/>
      </c>
      <c r="AJ59" s="42" t="str">
        <f>IF(AND('Mapa final'!$AJ$60="Muy Baja",'Mapa final'!$AL$60="Catastrófico"),CONCATENATE("R2C",'Mapa final'!$S$60),"")</f>
        <v/>
      </c>
      <c r="AK59" s="42" t="str">
        <f>IF(AND('Mapa final'!$AJ$61="Muy Baja",'Mapa final'!$AL$61="Catastrófico"),CONCATENATE("R2C",'Mapa final'!$S$61),"")</f>
        <v/>
      </c>
      <c r="AL59" s="42" t="str">
        <f>IF(AND('Mapa final'!$AJ$62="Muy Baja",'Mapa final'!$AL$62="Catastrófico"),CONCATENATE("R2C",'Mapa final'!$S$62),"")</f>
        <v/>
      </c>
      <c r="AM59" s="42" t="str">
        <f>IF(AND('Mapa final'!$AJ$63="Muy Baja",'Mapa final'!$AL$63="Catastrófico"),CONCATENATE("R2C",'Mapa final'!$S$63),"")</f>
        <v/>
      </c>
      <c r="AN59" s="43" t="str">
        <f>IF(AND('Mapa final'!$AJ$64="Muy Baja",'Mapa final'!$AL$64="Catastrófico"),CONCATENATE("R2C",'Mapa final'!$S$64),"")</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422"/>
      <c r="D60" s="422"/>
      <c r="E60" s="423"/>
      <c r="F60" s="465"/>
      <c r="G60" s="466"/>
      <c r="H60" s="466"/>
      <c r="I60" s="466"/>
      <c r="J60" s="467"/>
      <c r="K60" s="62" t="str">
        <f>IF(AND('Mapa final'!$AJ$65="Muy Baja",'Mapa final'!$AL$65="Leve"),CONCATENATE("R2C",'Mapa final'!$S$65),"")</f>
        <v/>
      </c>
      <c r="L60" s="63" t="str">
        <f>IF(AND('Mapa final'!$AJ$66="Muy Baja",'Mapa final'!$AL$66="Leve"),CONCATENATE("R2C",'Mapa final'!$S$66),"")</f>
        <v/>
      </c>
      <c r="M60" s="63" t="str">
        <f>IF(AND('Mapa final'!$AJ$67="Muy Baja",'Mapa final'!$AL$67="Leve"),CONCATENATE("R2C",'Mapa final'!$S$67),"")</f>
        <v/>
      </c>
      <c r="N60" s="63" t="str">
        <f>IF(AND('Mapa final'!$AJ$68="Muy Baja",'Mapa final'!$AL$68="Leve"),CONCATENATE("R2C",'Mapa final'!$S$68),"")</f>
        <v/>
      </c>
      <c r="O60" s="63" t="str">
        <f>IF(AND('Mapa final'!$AJ$69="Muy Baja",'Mapa final'!$AL$69="Leve"),CONCATENATE("R2C",'Mapa final'!$S$69),"")</f>
        <v/>
      </c>
      <c r="P60" s="64" t="str">
        <f>IF(AND('Mapa final'!$AJ$70="Muy Baja",'Mapa final'!$AL$70="Leve"),CONCATENATE("R2C",'Mapa final'!$S$70),"")</f>
        <v/>
      </c>
      <c r="Q60" s="62" t="str">
        <f>IF(AND('Mapa final'!$AJ$65="Muy Baja",'Mapa final'!$AL$65="Menor"),CONCATENATE("R2C",'Mapa final'!$S$65),"")</f>
        <v/>
      </c>
      <c r="R60" s="63" t="str">
        <f>IF(AND('Mapa final'!$AJ$66="Muy Baja",'Mapa final'!$AL$66="Menor"),CONCATENATE("R2C",'Mapa final'!$S$66),"")</f>
        <v/>
      </c>
      <c r="S60" s="63" t="str">
        <f>IF(AND('Mapa final'!$AJ$67="Muy Baja",'Mapa final'!$AL$67="Menor"),CONCATENATE("R2C",'Mapa final'!$S$67),"")</f>
        <v/>
      </c>
      <c r="T60" s="63" t="str">
        <f>IF(AND('Mapa final'!$AJ$68="Muy Baja",'Mapa final'!$AL$68="Menor"),CONCATENATE("R2C",'Mapa final'!$S$68),"")</f>
        <v/>
      </c>
      <c r="U60" s="63" t="str">
        <f>IF(AND('Mapa final'!$AJ$69="Muy Baja",'Mapa final'!$AL$69="Menor"),CONCATENATE("R2C",'Mapa final'!$S$69),"")</f>
        <v/>
      </c>
      <c r="V60" s="64" t="str">
        <f>IF(AND('Mapa final'!$AJ$70="Muy Baja",'Mapa final'!$AL$70="Menor"),CONCATENATE("R2C",'Mapa final'!$S$70),"")</f>
        <v/>
      </c>
      <c r="W60" s="53" t="str">
        <f>IF(AND('Mapa final'!$AJ$65="Muy Baja",'Mapa final'!$AL$65="Moderado"),CONCATENATE("R2C",'Mapa final'!$S$65),"")</f>
        <v/>
      </c>
      <c r="X60" s="54" t="str">
        <f>IF(AND('Mapa final'!$AJ$66="Muy Baja",'Mapa final'!$AL$66="Moderado"),CONCATENATE("R2C",'Mapa final'!$S$66),"")</f>
        <v/>
      </c>
      <c r="Y60" s="54" t="str">
        <f>IF(AND('Mapa final'!$AJ$67="Muy Baja",'Mapa final'!$AL$67="Moderado"),CONCATENATE("R2C",'Mapa final'!$S$67),"")</f>
        <v/>
      </c>
      <c r="Z60" s="54" t="str">
        <f>IF(AND('Mapa final'!$AJ$68="Muy Baja",'Mapa final'!$AL$68="Moderado"),CONCATENATE("R2C",'Mapa final'!$S$68),"")</f>
        <v/>
      </c>
      <c r="AA60" s="54" t="str">
        <f>IF(AND('Mapa final'!$AJ$69="Muy Baja",'Mapa final'!$AL$69="Moderado"),CONCATENATE("R2C",'Mapa final'!$S$69),"")</f>
        <v/>
      </c>
      <c r="AB60" s="55" t="str">
        <f>IF(AND('Mapa final'!$AJ$70="Muy Baja",'Mapa final'!$AL$70="Moderado"),CONCATENATE("R2C",'Mapa final'!$S$70),"")</f>
        <v/>
      </c>
      <c r="AC60" s="38" t="str">
        <f>IF(AND('Mapa final'!$AJ$65="Muy Baja",'Mapa final'!$AL$65="Mayor"),CONCATENATE("R2C",'Mapa final'!$S$65),"")</f>
        <v/>
      </c>
      <c r="AD60" s="39" t="str">
        <f>IF(AND('Mapa final'!$AJ$66="Muy Baja",'Mapa final'!$AL$66="Mayor"),CONCATENATE("R2C",'Mapa final'!$S$66),"")</f>
        <v/>
      </c>
      <c r="AE60" s="39" t="str">
        <f>IF(AND('Mapa final'!$AJ$67="Muy Baja",'Mapa final'!$AL$67="Mayor"),CONCATENATE("R2C",'Mapa final'!$S$67),"")</f>
        <v/>
      </c>
      <c r="AF60" s="39" t="str">
        <f>IF(AND('Mapa final'!$AJ$68="Muy Baja",'Mapa final'!$AL$68="Mayor"),CONCATENATE("R2C",'Mapa final'!$S$68),"")</f>
        <v/>
      </c>
      <c r="AG60" s="39" t="str">
        <f>IF(AND('Mapa final'!$AJ$69="Muy Baja",'Mapa final'!$AL$69="Mayor"),CONCATENATE("R2C",'Mapa final'!$S$69),"")</f>
        <v/>
      </c>
      <c r="AH60" s="40" t="str">
        <f>IF(AND('Mapa final'!$AJ$70="Muy Baja",'Mapa final'!$AL$70="Mayor"),CONCATENATE("R2C",'Mapa final'!$S$70),"")</f>
        <v/>
      </c>
      <c r="AI60" s="41" t="str">
        <f>IF(AND('Mapa final'!$AJ$65="Muy Baja",'Mapa final'!$AL$65="Catastrófico"),CONCATENATE("R2C",'Mapa final'!$S$65),"")</f>
        <v/>
      </c>
      <c r="AJ60" s="42" t="str">
        <f>IF(AND('Mapa final'!$AJ$66="Muy Baja",'Mapa final'!$AL$66="Catastrófico"),CONCATENATE("R2C",'Mapa final'!$S$66),"")</f>
        <v/>
      </c>
      <c r="AK60" s="42" t="str">
        <f>IF(AND('Mapa final'!$AJ$67="Muy Baja",'Mapa final'!$AL$67="Catastrófico"),CONCATENATE("R2C",'Mapa final'!$S$67),"")</f>
        <v/>
      </c>
      <c r="AL60" s="42" t="str">
        <f>IF(AND('Mapa final'!$AJ$68="Muy Baja",'Mapa final'!$AL$68="Catastrófico"),CONCATENATE("R2C",'Mapa final'!$S$68),"")</f>
        <v/>
      </c>
      <c r="AM60" s="42" t="str">
        <f>IF(AND('Mapa final'!$AJ$69="Muy Baja",'Mapa final'!$AL$69="Catastrófico"),CONCATENATE("R2C",'Mapa final'!$S$69),"")</f>
        <v/>
      </c>
      <c r="AN60" s="43" t="str">
        <f>IF(AND('Mapa final'!$AJ$70="Muy Baja",'Mapa final'!$AL$70="Catastrófico"),CONCATENATE("R2C",'Mapa final'!$S$70),"")</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422"/>
      <c r="D61" s="422"/>
      <c r="E61" s="423"/>
      <c r="F61" s="468"/>
      <c r="G61" s="469"/>
      <c r="H61" s="469"/>
      <c r="I61" s="469"/>
      <c r="J61" s="470"/>
      <c r="K61" s="65" t="str">
        <f>IF(AND('Mapa final'!$AJ$71="Muy Baja",'Mapa final'!$AL$71="Leve"),CONCATENATE("R2C",'Mapa final'!$S$71),"")</f>
        <v/>
      </c>
      <c r="L61" s="66" t="str">
        <f>IF(AND('Mapa final'!$AJ$72="Muy Baja",'Mapa final'!$AL$72="Leve"),CONCATENATE("R2C",'Mapa final'!$S$72),"")</f>
        <v/>
      </c>
      <c r="M61" s="66" t="str">
        <f>IF(AND('Mapa final'!$AJ$73="Muy Baja",'Mapa final'!$AL$73="Leve"),CONCATENATE("R2C",'Mapa final'!$S$73),"")</f>
        <v/>
      </c>
      <c r="N61" s="66" t="str">
        <f>IF(AND('Mapa final'!$AJ$74="Muy Baja",'Mapa final'!$AL$74="Leve"),CONCATENATE("R2C",'Mapa final'!$S$74),"")</f>
        <v/>
      </c>
      <c r="O61" s="66" t="str">
        <f>IF(AND('Mapa final'!$AJ$76="Muy Baja",'Mapa final'!$AL$76="Leve"),CONCATENATE("R2C",'Mapa final'!$S$76),"")</f>
        <v/>
      </c>
      <c r="P61" s="67" t="str">
        <f>IF(AND('Mapa final'!$AJ$77="Muy Baja",'Mapa final'!$AL$77="Leve"),CONCATENATE("R2C",'Mapa final'!$S$77),"")</f>
        <v/>
      </c>
      <c r="Q61" s="65" t="str">
        <f>IF(AND('Mapa final'!$AJ$71="Muy Baja",'Mapa final'!$AL$71="Menor"),CONCATENATE("R2C",'Mapa final'!$S$71),"")</f>
        <v/>
      </c>
      <c r="R61" s="66" t="str">
        <f>IF(AND('Mapa final'!$AJ$72="Muy Baja",'Mapa final'!$AL$72="Menor"),CONCATENATE("R2C",'Mapa final'!$S$72),"")</f>
        <v/>
      </c>
      <c r="S61" s="66" t="str">
        <f>IF(AND('Mapa final'!$AJ$73="Muy Baja",'Mapa final'!$AL$73="Menor"),CONCATENATE("R2C",'Mapa final'!$S$73),"")</f>
        <v/>
      </c>
      <c r="T61" s="66" t="str">
        <f>IF(AND('Mapa final'!$AJ$74="Muy Baja",'Mapa final'!$AL$74="Menor"),CONCATENATE("R2C",'Mapa final'!$S$74),"")</f>
        <v/>
      </c>
      <c r="U61" s="66" t="str">
        <f>IF(AND('Mapa final'!$AJ$76="Muy Baja",'Mapa final'!$AL$76="Menor"),CONCATENATE("R2C",'Mapa final'!$S$76),"")</f>
        <v/>
      </c>
      <c r="V61" s="67" t="str">
        <f>IF(AND('Mapa final'!$AJ$77="Muy Baja",'Mapa final'!$AL$77="Menor"),CONCATENATE("R2C",'Mapa final'!$S$77),"")</f>
        <v/>
      </c>
      <c r="W61" s="56" t="str">
        <f>IF(AND('Mapa final'!$AJ$71="Muy Baja",'Mapa final'!$AL$71="Moderado"),CONCATENATE("R2C",'Mapa final'!$S$71),"")</f>
        <v/>
      </c>
      <c r="X61" s="57" t="str">
        <f>IF(AND('Mapa final'!$AJ$72="Muy Baja",'Mapa final'!$AL$72="Moderado"),CONCATENATE("R2C",'Mapa final'!$S$72),"")</f>
        <v/>
      </c>
      <c r="Y61" s="57" t="str">
        <f>IF(AND('Mapa final'!$AJ$73="Muy Baja",'Mapa final'!$AL$73="Moderado"),CONCATENATE("R2C",'Mapa final'!$S$73),"")</f>
        <v/>
      </c>
      <c r="Z61" s="57" t="str">
        <f>IF(AND('Mapa final'!$AJ$74="Muy Baja",'Mapa final'!$AL$74="Moderado"),CONCATENATE("R2C",'Mapa final'!$S$74),"")</f>
        <v/>
      </c>
      <c r="AA61" s="57" t="str">
        <f>IF(AND('Mapa final'!$AJ$76="Muy Baja",'Mapa final'!$AL$76="Moderado"),CONCATENATE("R2C",'Mapa final'!$S$76),"")</f>
        <v/>
      </c>
      <c r="AB61" s="58" t="str">
        <f>IF(AND('Mapa final'!$AJ$77="Muy Baja",'Mapa final'!$AL$77="Moderado"),CONCATENATE("R2C",'Mapa final'!$S$77),"")</f>
        <v/>
      </c>
      <c r="AC61" s="44" t="str">
        <f>IF(AND('Mapa final'!$AJ$71="Muy Baja",'Mapa final'!$AL$71="Mayor"),CONCATENATE("R2C",'Mapa final'!$S$71),"")</f>
        <v/>
      </c>
      <c r="AD61" s="45" t="str">
        <f>IF(AND('Mapa final'!$AJ$72="Muy Baja",'Mapa final'!$AL$72="Mayor"),CONCATENATE("R2C",'Mapa final'!$S$72),"")</f>
        <v/>
      </c>
      <c r="AE61" s="45" t="str">
        <f>IF(AND('Mapa final'!$AJ$73="Muy Baja",'Mapa final'!$AL$73="Mayor"),CONCATENATE("R2C",'Mapa final'!$S$73),"")</f>
        <v/>
      </c>
      <c r="AF61" s="45" t="str">
        <f>IF(AND('Mapa final'!$AJ$74="Muy Baja",'Mapa final'!$AL$74="Mayor"),CONCATENATE("R2C",'Mapa final'!$S$74),"")</f>
        <v/>
      </c>
      <c r="AG61" s="45" t="str">
        <f>IF(AND('Mapa final'!$AJ$76="Muy Baja",'Mapa final'!$AL$76="Mayor"),CONCATENATE("R2C",'Mapa final'!$S$76),"")</f>
        <v/>
      </c>
      <c r="AH61" s="46" t="str">
        <f>IF(AND('Mapa final'!$AJ$77="Muy Baja",'Mapa final'!$AL$77="Mayor"),CONCATENATE("R2C",'Mapa final'!$S$77),"")</f>
        <v/>
      </c>
      <c r="AI61" s="47" t="str">
        <f>IF(AND('Mapa final'!$AJ$71="Muy Baja",'Mapa final'!$AL$71="Catastrófico"),CONCATENATE("R2C",'Mapa final'!$S$71),"")</f>
        <v/>
      </c>
      <c r="AJ61" s="48" t="str">
        <f>IF(AND('Mapa final'!$AJ$72="Muy Baja",'Mapa final'!$AL$72="Catastrófico"),CONCATENATE("R2C",'Mapa final'!$S$72),"")</f>
        <v/>
      </c>
      <c r="AK61" s="48" t="str">
        <f>IF(AND('Mapa final'!$AJ$73="Muy Baja",'Mapa final'!$AL$73="Catastrófico"),CONCATENATE("R2C",'Mapa final'!$S$73),"")</f>
        <v/>
      </c>
      <c r="AL61" s="48" t="str">
        <f>IF(AND('Mapa final'!$AJ$74="Muy Baja",'Mapa final'!$AL$74="Catastrófico"),CONCATENATE("R2C",'Mapa final'!$S$74),"")</f>
        <v/>
      </c>
      <c r="AM61" s="48" t="str">
        <f>IF(AND('Mapa final'!$AJ$76="Muy Baja",'Mapa final'!$AL$76="Catastrófico"),CONCATENATE("R2C",'Mapa final'!$S$76),"")</f>
        <v/>
      </c>
      <c r="AN61" s="49" t="str">
        <f>IF(AND('Mapa final'!$AJ$77="Muy Baja",'Mapa final'!$AL$77="Catastrófico"),CONCATENATE("R2C",'Mapa final'!$S$77),"")</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62" t="s">
        <v>111</v>
      </c>
      <c r="L62" s="463"/>
      <c r="M62" s="463"/>
      <c r="N62" s="463"/>
      <c r="O62" s="463"/>
      <c r="P62" s="464"/>
      <c r="Q62" s="462" t="s">
        <v>110</v>
      </c>
      <c r="R62" s="463"/>
      <c r="S62" s="463"/>
      <c r="T62" s="463"/>
      <c r="U62" s="463"/>
      <c r="V62" s="464"/>
      <c r="W62" s="462" t="s">
        <v>109</v>
      </c>
      <c r="X62" s="463"/>
      <c r="Y62" s="463"/>
      <c r="Z62" s="463"/>
      <c r="AA62" s="463"/>
      <c r="AB62" s="464"/>
      <c r="AC62" s="462" t="s">
        <v>108</v>
      </c>
      <c r="AD62" s="471"/>
      <c r="AE62" s="463"/>
      <c r="AF62" s="463"/>
      <c r="AG62" s="463"/>
      <c r="AH62" s="464"/>
      <c r="AI62" s="462" t="s">
        <v>107</v>
      </c>
      <c r="AJ62" s="463"/>
      <c r="AK62" s="463"/>
      <c r="AL62" s="463"/>
      <c r="AM62" s="463"/>
      <c r="AN62" s="464"/>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65"/>
      <c r="L63" s="466"/>
      <c r="M63" s="466"/>
      <c r="N63" s="466"/>
      <c r="O63" s="466"/>
      <c r="P63" s="467"/>
      <c r="Q63" s="465"/>
      <c r="R63" s="466"/>
      <c r="S63" s="466"/>
      <c r="T63" s="466"/>
      <c r="U63" s="466"/>
      <c r="V63" s="467"/>
      <c r="W63" s="465"/>
      <c r="X63" s="466"/>
      <c r="Y63" s="466"/>
      <c r="Z63" s="466"/>
      <c r="AA63" s="466"/>
      <c r="AB63" s="467"/>
      <c r="AC63" s="465"/>
      <c r="AD63" s="466"/>
      <c r="AE63" s="466"/>
      <c r="AF63" s="466"/>
      <c r="AG63" s="466"/>
      <c r="AH63" s="467"/>
      <c r="AI63" s="465"/>
      <c r="AJ63" s="466"/>
      <c r="AK63" s="466"/>
      <c r="AL63" s="466"/>
      <c r="AM63" s="466"/>
      <c r="AN63" s="467"/>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65"/>
      <c r="L64" s="466"/>
      <c r="M64" s="466"/>
      <c r="N64" s="466"/>
      <c r="O64" s="466"/>
      <c r="P64" s="467"/>
      <c r="Q64" s="465"/>
      <c r="R64" s="466"/>
      <c r="S64" s="466"/>
      <c r="T64" s="466"/>
      <c r="U64" s="466"/>
      <c r="V64" s="467"/>
      <c r="W64" s="465"/>
      <c r="X64" s="466"/>
      <c r="Y64" s="466"/>
      <c r="Z64" s="466"/>
      <c r="AA64" s="466"/>
      <c r="AB64" s="467"/>
      <c r="AC64" s="465"/>
      <c r="AD64" s="466"/>
      <c r="AE64" s="466"/>
      <c r="AF64" s="466"/>
      <c r="AG64" s="466"/>
      <c r="AH64" s="467"/>
      <c r="AI64" s="465"/>
      <c r="AJ64" s="466"/>
      <c r="AK64" s="466"/>
      <c r="AL64" s="466"/>
      <c r="AM64" s="466"/>
      <c r="AN64" s="467"/>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65"/>
      <c r="L65" s="466"/>
      <c r="M65" s="466"/>
      <c r="N65" s="466"/>
      <c r="O65" s="466"/>
      <c r="P65" s="467"/>
      <c r="Q65" s="465"/>
      <c r="R65" s="466"/>
      <c r="S65" s="466"/>
      <c r="T65" s="466"/>
      <c r="U65" s="466"/>
      <c r="V65" s="467"/>
      <c r="W65" s="465"/>
      <c r="X65" s="466"/>
      <c r="Y65" s="466"/>
      <c r="Z65" s="466"/>
      <c r="AA65" s="466"/>
      <c r="AB65" s="467"/>
      <c r="AC65" s="465"/>
      <c r="AD65" s="466"/>
      <c r="AE65" s="466"/>
      <c r="AF65" s="466"/>
      <c r="AG65" s="466"/>
      <c r="AH65" s="467"/>
      <c r="AI65" s="465"/>
      <c r="AJ65" s="466"/>
      <c r="AK65" s="466"/>
      <c r="AL65" s="466"/>
      <c r="AM65" s="466"/>
      <c r="AN65" s="467"/>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65"/>
      <c r="L66" s="466"/>
      <c r="M66" s="466"/>
      <c r="N66" s="466"/>
      <c r="O66" s="466"/>
      <c r="P66" s="467"/>
      <c r="Q66" s="465"/>
      <c r="R66" s="466"/>
      <c r="S66" s="466"/>
      <c r="T66" s="466"/>
      <c r="U66" s="466"/>
      <c r="V66" s="467"/>
      <c r="W66" s="465"/>
      <c r="X66" s="466"/>
      <c r="Y66" s="466"/>
      <c r="Z66" s="466"/>
      <c r="AA66" s="466"/>
      <c r="AB66" s="467"/>
      <c r="AC66" s="465"/>
      <c r="AD66" s="466"/>
      <c r="AE66" s="466"/>
      <c r="AF66" s="466"/>
      <c r="AG66" s="466"/>
      <c r="AH66" s="467"/>
      <c r="AI66" s="465"/>
      <c r="AJ66" s="466"/>
      <c r="AK66" s="466"/>
      <c r="AL66" s="466"/>
      <c r="AM66" s="466"/>
      <c r="AN66" s="467"/>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68"/>
      <c r="L67" s="469"/>
      <c r="M67" s="469"/>
      <c r="N67" s="469"/>
      <c r="O67" s="469"/>
      <c r="P67" s="470"/>
      <c r="Q67" s="468"/>
      <c r="R67" s="469"/>
      <c r="S67" s="469"/>
      <c r="T67" s="469"/>
      <c r="U67" s="469"/>
      <c r="V67" s="470"/>
      <c r="W67" s="468"/>
      <c r="X67" s="469"/>
      <c r="Y67" s="469"/>
      <c r="Z67" s="469"/>
      <c r="AA67" s="469"/>
      <c r="AB67" s="470"/>
      <c r="AC67" s="468"/>
      <c r="AD67" s="469"/>
      <c r="AE67" s="469"/>
      <c r="AF67" s="469"/>
      <c r="AG67" s="469"/>
      <c r="AH67" s="470"/>
      <c r="AI67" s="468"/>
      <c r="AJ67" s="469"/>
      <c r="AK67" s="469"/>
      <c r="AL67" s="469"/>
      <c r="AM67" s="469"/>
      <c r="AN67" s="470"/>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C2:J5"/>
    <mergeCell ref="K2:AN5"/>
    <mergeCell ref="AO2:AU2"/>
    <mergeCell ref="AO3:AU3"/>
    <mergeCell ref="AO4:AU4"/>
    <mergeCell ref="AO5:AU5"/>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A8:B8"/>
    <mergeCell ref="K62:P67"/>
    <mergeCell ref="Q62:V67"/>
    <mergeCell ref="W62:AB67"/>
    <mergeCell ref="AC62:AH6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tabSelected="1" workbookViewId="0">
      <selection activeCell="H18" sqref="H18"/>
    </sheetView>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13" t="s">
        <v>244</v>
      </c>
      <c r="C2" s="516" t="s">
        <v>205</v>
      </c>
      <c r="D2" s="517"/>
      <c r="E2" s="124" t="s">
        <v>390</v>
      </c>
      <c r="F2" s="125"/>
    </row>
    <row r="3" spans="1:6" ht="15.75" customHeight="1" x14ac:dyDescent="0.25">
      <c r="B3" s="514"/>
      <c r="C3" s="243"/>
      <c r="D3" s="245"/>
      <c r="E3" s="124" t="s">
        <v>264</v>
      </c>
      <c r="F3" s="125"/>
    </row>
    <row r="4" spans="1:6" ht="16.5" customHeight="1" x14ac:dyDescent="0.25">
      <c r="B4" s="514"/>
      <c r="C4" s="243"/>
      <c r="D4" s="245"/>
      <c r="E4" s="124" t="s">
        <v>389</v>
      </c>
      <c r="F4" s="125"/>
    </row>
    <row r="5" spans="1:6" ht="15" customHeight="1" thickBot="1" x14ac:dyDescent="0.3">
      <c r="B5" s="515"/>
      <c r="C5" s="518"/>
      <c r="D5" s="519"/>
      <c r="E5" s="124" t="s">
        <v>245</v>
      </c>
      <c r="F5" s="125"/>
    </row>
    <row r="7" spans="1:6" x14ac:dyDescent="0.25">
      <c r="A7" s="520" t="s">
        <v>266</v>
      </c>
      <c r="B7" s="142" t="s">
        <v>246</v>
      </c>
      <c r="C7" s="143" t="s">
        <v>247</v>
      </c>
      <c r="D7" s="143" t="s">
        <v>248</v>
      </c>
      <c r="E7" s="143" t="s">
        <v>249</v>
      </c>
    </row>
    <row r="8" spans="1:6" x14ac:dyDescent="0.25">
      <c r="A8" s="520"/>
      <c r="B8" s="126">
        <v>45687</v>
      </c>
      <c r="C8" s="127" t="s">
        <v>397</v>
      </c>
      <c r="D8" s="128" t="s">
        <v>432</v>
      </c>
      <c r="E8" s="128" t="s">
        <v>396</v>
      </c>
    </row>
    <row r="9" spans="1:6" x14ac:dyDescent="0.25">
      <c r="A9" s="520"/>
      <c r="B9" s="126"/>
      <c r="C9" s="127"/>
      <c r="D9" s="128"/>
      <c r="E9" s="128"/>
    </row>
    <row r="10" spans="1:6" x14ac:dyDescent="0.25">
      <c r="A10" s="520"/>
      <c r="B10" s="126"/>
      <c r="C10" s="127"/>
      <c r="D10" s="128"/>
      <c r="E10" s="128"/>
    </row>
    <row r="11" spans="1:6" x14ac:dyDescent="0.25">
      <c r="A11" s="520"/>
      <c r="B11" s="126"/>
      <c r="C11" s="127"/>
      <c r="D11" s="128"/>
      <c r="E11" s="128"/>
    </row>
    <row r="12" spans="1:6" x14ac:dyDescent="0.25">
      <c r="A12" s="520"/>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cp:lastModifiedBy>
  <cp:lastPrinted>2020-05-13T01:12:22Z</cp:lastPrinted>
  <dcterms:created xsi:type="dcterms:W3CDTF">2020-03-24T23:12:47Z</dcterms:created>
  <dcterms:modified xsi:type="dcterms:W3CDTF">2025-02-01T01:23:08Z</dcterms:modified>
</cp:coreProperties>
</file>