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1.xml" ContentType="application/vnd.openxmlformats-officedocument.spreadsheetml.pivot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codeName="ThisWorkbook" hidePivotFieldList="1" defaultThemeVersion="124226"/>
  <mc:AlternateContent xmlns:mc="http://schemas.openxmlformats.org/markup-compatibility/2006">
    <mc:Choice Requires="x15">
      <x15ac:absPath xmlns:x15ac="http://schemas.microsoft.com/office/spreadsheetml/2010/11/ac" url="https://itceduco-my.sharepoint.com/personal/mipg_itc_edu_co/Documents/SIG/Gestión de riesgos/Matrices de riesgos 2026/Gestión de Adquisiciones/"/>
    </mc:Choice>
  </mc:AlternateContent>
  <xr:revisionPtr revIDLastSave="0" documentId="8_{FFA2F9D9-5E95-F445-8B8B-E10FB5243780}" xr6:coauthVersionLast="47" xr6:coauthVersionMax="47" xr10:uidLastSave="{00000000-0000-0000-0000-000000000000}"/>
  <bookViews>
    <workbookView xWindow="0" yWindow="520" windowWidth="19660" windowHeight="12800" tabRatio="882" activeTab="2" xr2:uid="{00000000-000D-0000-FFFF-FFFF00000000}"/>
  </bookViews>
  <sheets>
    <sheet name="PORTADA " sheetId="22" r:id="rId1"/>
    <sheet name="CRITERIOS R CORRUPCION" sheetId="27" r:id="rId2"/>
    <sheet name="Mapa final" sheetId="1" r:id="rId3"/>
    <sheet name="Datos" sheetId="32" state="hidden" r:id="rId4"/>
    <sheet name="Formulas" sheetId="28" state="hidden" r:id="rId5"/>
    <sheet name="Apayo Visual " sheetId="31" r:id="rId6"/>
    <sheet name="eliminar" sheetId="30" state="hidden" r:id="rId7"/>
    <sheet name="Matriz Calor Inherente" sheetId="18" r:id="rId8"/>
    <sheet name="Matriz Calor Residual" sheetId="19" r:id="rId9"/>
    <sheet name="CAMBIOS REGISTRO" sheetId="25" state="hidden" r:id="rId10"/>
    <sheet name="SGI" sheetId="24" state="hidden" r:id="rId11"/>
    <sheet name="Intructivo" sheetId="20" r:id="rId12"/>
    <sheet name="CONTROL DE CAMBIOS REGISTRO " sheetId="23" state="hidden" r:id="rId13"/>
    <sheet name="Listas" sheetId="21" state="hidden" r:id="rId14"/>
    <sheet name="Hoja3" sheetId="29" state="hidden" r:id="rId15"/>
    <sheet name="Control de Cambios FORMATO " sheetId="26" r:id="rId16"/>
    <sheet name="Tabla probabilidad" sheetId="12" r:id="rId17"/>
    <sheet name="Tabla Impacto" sheetId="13" r:id="rId18"/>
    <sheet name="Tabla Valoración controles" sheetId="15" r:id="rId19"/>
    <sheet name="Hoja4" sheetId="34" r:id="rId20"/>
    <sheet name="Hoja2" sheetId="33" state="hidden" r:id="rId21"/>
    <sheet name="Opciones Tratamiento" sheetId="16" state="hidden" r:id="rId22"/>
    <sheet name="Hoja1" sheetId="11" state="hidden" r:id="rId23"/>
  </sheets>
  <definedNames>
    <definedName name="A_Obj1" localSheetId="9">OFFSET(#REF!,0,0,COUNTA(#REF!)-1,1)</definedName>
    <definedName name="A_Obj1" localSheetId="15">OFFSET(#REF!,0,0,COUNTA(#REF!)-1,1)</definedName>
    <definedName name="A_Obj1">OFFSET(#REF!,0,0,COUNTA(#REF!)-1,1)</definedName>
    <definedName name="A_Obj2" localSheetId="9">OFFSET(#REF!,0,0,COUNTA(#REF!)-1,1)</definedName>
    <definedName name="A_Obj2" localSheetId="15">OFFSET(#REF!,0,0,COUNTA(#REF!)-1,1)</definedName>
    <definedName name="A_Obj2">OFFSET(#REF!,0,0,COUNTA(#REF!)-1,1)</definedName>
    <definedName name="A_Obj3" localSheetId="9">OFFSET(#REF!,0,0,COUNTA(#REF!)-1,1)</definedName>
    <definedName name="A_Obj3" localSheetId="15">OFFSET(#REF!,0,0,COUNTA(#REF!)-1,1)</definedName>
    <definedName name="A_Obj3">OFFSET(#REF!,0,0,COUNTA(#REF!)-1,1)</definedName>
    <definedName name="A_Obj4" localSheetId="9">OFFSET(#REF!,0,0,COUNTA(#REF!)-1,1)</definedName>
    <definedName name="A_Obj4" localSheetId="15">OFFSET(#REF!,0,0,COUNTA(#REF!)-1,1)</definedName>
    <definedName name="A_Obj4">OFFSET(#REF!,0,0,COUNTA(#REF!)-1,1)</definedName>
    <definedName name="Acc_1" localSheetId="9">#REF!</definedName>
    <definedName name="Acc_1" localSheetId="15">#REF!</definedName>
    <definedName name="Acc_1">#REF!</definedName>
    <definedName name="Acc_2" localSheetId="9">#REF!</definedName>
    <definedName name="Acc_2" localSheetId="15">#REF!</definedName>
    <definedName name="Acc_2">#REF!</definedName>
    <definedName name="Acc_3" localSheetId="9">#REF!</definedName>
    <definedName name="Acc_3" localSheetId="15">#REF!</definedName>
    <definedName name="Acc_3">#REF!</definedName>
    <definedName name="Acc_4" localSheetId="9">#REF!</definedName>
    <definedName name="Acc_4" localSheetId="15">#REF!</definedName>
    <definedName name="Acc_4">#REF!</definedName>
    <definedName name="Acc_5" localSheetId="9">#REF!</definedName>
    <definedName name="Acc_5" localSheetId="15">#REF!</definedName>
    <definedName name="Acc_5">#REF!</definedName>
    <definedName name="Acc_6" localSheetId="9">#REF!</definedName>
    <definedName name="Acc_6" localSheetId="15">#REF!</definedName>
    <definedName name="Acc_6">#REF!</definedName>
    <definedName name="Acc_7" localSheetId="9">#REF!</definedName>
    <definedName name="Acc_7" localSheetId="15">#REF!</definedName>
    <definedName name="Acc_7">#REF!</definedName>
    <definedName name="Acc_8" localSheetId="9">#REF!</definedName>
    <definedName name="Acc_8" localSheetId="15">#REF!</definedName>
    <definedName name="Acc_8">#REF!</definedName>
    <definedName name="Acc_9" localSheetId="9">#REF!</definedName>
    <definedName name="Acc_9" localSheetId="15">#REF!</definedName>
    <definedName name="Acc_9">#REF!</definedName>
    <definedName name="_xlnm.Print_Area" localSheetId="9">'CAMBIOS REGISTRO'!$A$1:$E$23</definedName>
    <definedName name="_xlnm.Print_Area" localSheetId="15">'Control de Cambios FORMATO '!$A$1:$L$27</definedName>
    <definedName name="Causafactor3">#REF!</definedName>
    <definedName name="ControlTipo">#REF!</definedName>
    <definedName name="Criterios_Impacto">Criterios[Criterios_Impacto]</definedName>
    <definedName name="Departamentos" localSheetId="9">#REF!</definedName>
    <definedName name="Departamentos" localSheetId="15">#REF!</definedName>
    <definedName name="Departamentos">#REF!</definedName>
    <definedName name="Fuentes" localSheetId="9">#REF!</definedName>
    <definedName name="Fuentes" localSheetId="15">#REF!</definedName>
    <definedName name="Fuentes">#REF!</definedName>
    <definedName name="Indicadores" localSheetId="9">#REF!</definedName>
    <definedName name="Indicadores" localSheetId="15">#REF!</definedName>
    <definedName name="Indicadores">#REF!</definedName>
    <definedName name="No_aplica" localSheetId="15">#REF!</definedName>
    <definedName name="No_aplica">#REF!</definedName>
    <definedName name="Objetivos" localSheetId="9">OFFSET(#REF!,0,0,COUNTA(#REF!)-1,1)</definedName>
    <definedName name="Objetivos" localSheetId="15">OFFSET(#REF!,0,0,COUNTA(#REF!)-1,1)</definedName>
    <definedName name="Objetivos">OFFSET(#REF!,0,0,COUNTA(#REF!)-1,1)</definedName>
    <definedName name="OLE_LINK2" localSheetId="9">'CAMBIOS REGISTRO'!$A$1</definedName>
    <definedName name="Posibilidad">#REF!</definedName>
    <definedName name="RiesgoClase3">#REF!</definedName>
    <definedName name="SiNo">#REF!</definedName>
  </definedNames>
  <calcPr calcId="181029" iterateDelta="1E-4"/>
  <pivotCaches>
    <pivotCache cacheId="1"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O17" i="1" l="1"/>
  <c r="P17" i="1" s="1"/>
  <c r="AB17" i="1"/>
  <c r="Y17" i="1"/>
  <c r="S17" i="1"/>
  <c r="T17" i="1" s="1"/>
  <c r="AK17" i="1" l="1"/>
  <c r="AJ17" i="1" s="1"/>
  <c r="U17" i="1"/>
  <c r="Q17" i="1"/>
  <c r="AG17" i="1" s="1"/>
  <c r="AB20" i="1"/>
  <c r="Y20" i="1"/>
  <c r="AG19" i="1"/>
  <c r="AI19" i="1" s="1"/>
  <c r="AB19" i="1"/>
  <c r="Y19" i="1"/>
  <c r="S19" i="1"/>
  <c r="T19" i="1" s="1"/>
  <c r="P19" i="1"/>
  <c r="Q19" i="1" s="1"/>
  <c r="AB18" i="1"/>
  <c r="Y18" i="1"/>
  <c r="AI17" i="1" l="1"/>
  <c r="AH17" i="1"/>
  <c r="AL17" i="1" s="1"/>
  <c r="AK19" i="1"/>
  <c r="AJ19" i="1" s="1"/>
  <c r="U19" i="1"/>
  <c r="AH19" i="1"/>
  <c r="AL19" i="1" l="1"/>
  <c r="AB16" i="1"/>
  <c r="Y16" i="1"/>
  <c r="Y15" i="1"/>
  <c r="AB15" i="1"/>
  <c r="N23" i="19" l="1"/>
  <c r="N24" i="19"/>
  <c r="N25" i="19"/>
  <c r="N26" i="19"/>
  <c r="N27" i="19"/>
  <c r="N28" i="19"/>
  <c r="N29" i="19"/>
  <c r="N30" i="19"/>
  <c r="N31" i="19"/>
  <c r="N32" i="19"/>
  <c r="N33" i="19"/>
  <c r="N34" i="19"/>
  <c r="N35" i="19"/>
  <c r="N36" i="19"/>
  <c r="N37" i="19"/>
  <c r="N38" i="19"/>
  <c r="N39" i="19"/>
  <c r="N40" i="19"/>
  <c r="N41" i="19"/>
  <c r="N42" i="19"/>
  <c r="N43" i="19"/>
  <c r="N44" i="19"/>
  <c r="N45" i="19"/>
  <c r="N46" i="19"/>
  <c r="N47" i="19"/>
  <c r="N48" i="19"/>
  <c r="N49" i="19"/>
  <c r="N50" i="19"/>
  <c r="N51" i="19"/>
  <c r="N52" i="19"/>
  <c r="N53" i="19"/>
  <c r="N54" i="19"/>
  <c r="N55" i="19"/>
  <c r="N56" i="19"/>
  <c r="N57" i="19"/>
  <c r="N58" i="19"/>
  <c r="N59" i="19"/>
  <c r="N60" i="19"/>
  <c r="N61" i="19"/>
  <c r="P15" i="1" l="1"/>
  <c r="Q15" i="1" s="1"/>
  <c r="AG15" i="1" s="1"/>
  <c r="P21" i="1"/>
  <c r="S21" i="1"/>
  <c r="T21" i="1" s="1"/>
  <c r="S15" i="1"/>
  <c r="AB21" i="1"/>
  <c r="Y21" i="1"/>
  <c r="AK21" i="1" l="1"/>
  <c r="AE51" i="19"/>
  <c r="U15" i="1" l="1"/>
  <c r="Q21" i="1"/>
  <c r="AN61" i="19"/>
  <c r="AM61" i="19"/>
  <c r="AL61" i="19"/>
  <c r="AK61" i="19"/>
  <c r="AJ61" i="19"/>
  <c r="AI61" i="19"/>
  <c r="AH61" i="19"/>
  <c r="AG61" i="19"/>
  <c r="AF61" i="19"/>
  <c r="AE61" i="19"/>
  <c r="AD61" i="19"/>
  <c r="AC61" i="19"/>
  <c r="AB61" i="19"/>
  <c r="AA61" i="19"/>
  <c r="Z61" i="19"/>
  <c r="Y61" i="19"/>
  <c r="X61" i="19"/>
  <c r="W61" i="19"/>
  <c r="V61" i="19"/>
  <c r="U61" i="19"/>
  <c r="T61" i="19"/>
  <c r="S61" i="19"/>
  <c r="R61" i="19"/>
  <c r="Q61" i="19"/>
  <c r="P61" i="19"/>
  <c r="O61" i="19"/>
  <c r="M61" i="19"/>
  <c r="L61" i="19"/>
  <c r="K61" i="19"/>
  <c r="AN60" i="19"/>
  <c r="AM60" i="19"/>
  <c r="AL60" i="19"/>
  <c r="AK60" i="19"/>
  <c r="AJ60" i="19"/>
  <c r="AI60" i="19"/>
  <c r="AH60" i="19"/>
  <c r="AG60" i="19"/>
  <c r="AF60" i="19"/>
  <c r="AE60" i="19"/>
  <c r="AD60" i="19"/>
  <c r="AC60" i="19"/>
  <c r="AB60" i="19"/>
  <c r="AA60" i="19"/>
  <c r="Z60" i="19"/>
  <c r="Y60" i="19"/>
  <c r="X60" i="19"/>
  <c r="W60" i="19"/>
  <c r="V60" i="19"/>
  <c r="U60" i="19"/>
  <c r="T60" i="19"/>
  <c r="S60" i="19"/>
  <c r="R60" i="19"/>
  <c r="Q60" i="19"/>
  <c r="P60" i="19"/>
  <c r="O60" i="19"/>
  <c r="M60" i="19"/>
  <c r="L60" i="19"/>
  <c r="K60" i="19"/>
  <c r="AN59" i="19"/>
  <c r="AM59" i="19"/>
  <c r="AL59" i="19"/>
  <c r="AK59" i="19"/>
  <c r="AJ59" i="19"/>
  <c r="AI59" i="19"/>
  <c r="AH59" i="19"/>
  <c r="AG59" i="19"/>
  <c r="AF59" i="19"/>
  <c r="AE59" i="19"/>
  <c r="AD59" i="19"/>
  <c r="AC59" i="19"/>
  <c r="AB59" i="19"/>
  <c r="AA59" i="19"/>
  <c r="Z59" i="19"/>
  <c r="Y59" i="19"/>
  <c r="X59" i="19"/>
  <c r="W59" i="19"/>
  <c r="V59" i="19"/>
  <c r="U59" i="19"/>
  <c r="T59" i="19"/>
  <c r="S59" i="19"/>
  <c r="R59" i="19"/>
  <c r="Q59" i="19"/>
  <c r="P59" i="19"/>
  <c r="O59" i="19"/>
  <c r="M59" i="19"/>
  <c r="L59" i="19"/>
  <c r="K59" i="19"/>
  <c r="AN58" i="19"/>
  <c r="AM58" i="19"/>
  <c r="AL58" i="19"/>
  <c r="AK58" i="19"/>
  <c r="AJ58" i="19"/>
  <c r="AI58" i="19"/>
  <c r="AH58" i="19"/>
  <c r="AG58" i="19"/>
  <c r="AF58" i="19"/>
  <c r="AE58" i="19"/>
  <c r="AD58" i="19"/>
  <c r="AC58" i="19"/>
  <c r="AB58" i="19"/>
  <c r="AA58" i="19"/>
  <c r="Z58" i="19"/>
  <c r="Y58" i="19"/>
  <c r="X58" i="19"/>
  <c r="W58" i="19"/>
  <c r="V58" i="19"/>
  <c r="U58" i="19"/>
  <c r="T58" i="19"/>
  <c r="S58" i="19"/>
  <c r="R58" i="19"/>
  <c r="Q58" i="19"/>
  <c r="P58" i="19"/>
  <c r="O58" i="19"/>
  <c r="M58" i="19"/>
  <c r="L58" i="19"/>
  <c r="K58" i="19"/>
  <c r="AN57" i="19"/>
  <c r="AM57" i="19"/>
  <c r="AL57" i="19"/>
  <c r="AK57" i="19"/>
  <c r="AJ57" i="19"/>
  <c r="AI57" i="19"/>
  <c r="AH57" i="19"/>
  <c r="AG57" i="19"/>
  <c r="AF57" i="19"/>
  <c r="AE57" i="19"/>
  <c r="AD57" i="19"/>
  <c r="AC57" i="19"/>
  <c r="AB57" i="19"/>
  <c r="AA57" i="19"/>
  <c r="Z57" i="19"/>
  <c r="Y57" i="19"/>
  <c r="X57" i="19"/>
  <c r="W57" i="19"/>
  <c r="V57" i="19"/>
  <c r="U57" i="19"/>
  <c r="T57" i="19"/>
  <c r="S57" i="19"/>
  <c r="R57" i="19"/>
  <c r="Q57" i="19"/>
  <c r="P57" i="19"/>
  <c r="O57" i="19"/>
  <c r="M57" i="19"/>
  <c r="L57" i="19"/>
  <c r="K57" i="19"/>
  <c r="AN56" i="19"/>
  <c r="AM56" i="19"/>
  <c r="AL56" i="19"/>
  <c r="AK56" i="19"/>
  <c r="AJ56" i="19"/>
  <c r="AI56" i="19"/>
  <c r="AH56" i="19"/>
  <c r="AG56" i="19"/>
  <c r="AF56" i="19"/>
  <c r="AE56" i="19"/>
  <c r="AD56" i="19"/>
  <c r="AC56" i="19"/>
  <c r="AB56" i="19"/>
  <c r="AA56" i="19"/>
  <c r="Z56" i="19"/>
  <c r="Y56" i="19"/>
  <c r="X56" i="19"/>
  <c r="W56" i="19"/>
  <c r="V56" i="19"/>
  <c r="U56" i="19"/>
  <c r="T56" i="19"/>
  <c r="S56" i="19"/>
  <c r="R56" i="19"/>
  <c r="Q56" i="19"/>
  <c r="P56" i="19"/>
  <c r="O56" i="19"/>
  <c r="M56" i="19"/>
  <c r="L56" i="19"/>
  <c r="K56" i="19"/>
  <c r="AN55" i="19"/>
  <c r="AM55" i="19"/>
  <c r="AL55" i="19"/>
  <c r="AK55" i="19"/>
  <c r="AJ55" i="19"/>
  <c r="AI55" i="19"/>
  <c r="AH55" i="19"/>
  <c r="AG55" i="19"/>
  <c r="AF55" i="19"/>
  <c r="AE55" i="19"/>
  <c r="AD55" i="19"/>
  <c r="AC55" i="19"/>
  <c r="AB55" i="19"/>
  <c r="AA55" i="19"/>
  <c r="Z55" i="19"/>
  <c r="Y55" i="19"/>
  <c r="X55" i="19"/>
  <c r="W55" i="19"/>
  <c r="V55" i="19"/>
  <c r="U55" i="19"/>
  <c r="T55" i="19"/>
  <c r="S55" i="19"/>
  <c r="R55" i="19"/>
  <c r="Q55" i="19"/>
  <c r="P55" i="19"/>
  <c r="O55" i="19"/>
  <c r="M55" i="19"/>
  <c r="L55" i="19"/>
  <c r="K55" i="19"/>
  <c r="AN54" i="19"/>
  <c r="AM54" i="19"/>
  <c r="AL54" i="19"/>
  <c r="AK54" i="19"/>
  <c r="AJ54" i="19"/>
  <c r="AI54" i="19"/>
  <c r="AH54" i="19"/>
  <c r="AG54" i="19"/>
  <c r="AF54" i="19"/>
  <c r="AE54" i="19"/>
  <c r="AD54" i="19"/>
  <c r="AC54" i="19"/>
  <c r="AB54" i="19"/>
  <c r="AA54" i="19"/>
  <c r="Z54" i="19"/>
  <c r="Y54" i="19"/>
  <c r="X54" i="19"/>
  <c r="W54" i="19"/>
  <c r="V54" i="19"/>
  <c r="U54" i="19"/>
  <c r="T54" i="19"/>
  <c r="S54" i="19"/>
  <c r="R54" i="19"/>
  <c r="Q54" i="19"/>
  <c r="P54" i="19"/>
  <c r="O54" i="19"/>
  <c r="M54" i="19"/>
  <c r="L54" i="19"/>
  <c r="K54" i="19"/>
  <c r="AN53" i="19"/>
  <c r="AM53" i="19"/>
  <c r="AL53" i="19"/>
  <c r="AK53" i="19"/>
  <c r="AH53" i="19"/>
  <c r="AG53" i="19"/>
  <c r="AF53" i="19"/>
  <c r="AE53" i="19"/>
  <c r="AB53" i="19"/>
  <c r="AA53" i="19"/>
  <c r="Z53" i="19"/>
  <c r="Y53" i="19"/>
  <c r="V53" i="19"/>
  <c r="U53" i="19"/>
  <c r="T53" i="19"/>
  <c r="S53" i="19"/>
  <c r="P53" i="19"/>
  <c r="O53" i="19"/>
  <c r="M53" i="19"/>
  <c r="AN51" i="19"/>
  <c r="AM51" i="19"/>
  <c r="AL51" i="19"/>
  <c r="AK51" i="19"/>
  <c r="AJ51" i="19"/>
  <c r="AI51" i="19"/>
  <c r="AH51" i="19"/>
  <c r="AG51" i="19"/>
  <c r="AF51" i="19"/>
  <c r="AD51" i="19"/>
  <c r="AC51" i="19"/>
  <c r="AB51" i="19"/>
  <c r="AA51" i="19"/>
  <c r="Z51" i="19"/>
  <c r="Y51" i="19"/>
  <c r="X51" i="19"/>
  <c r="W51" i="19"/>
  <c r="V51" i="19"/>
  <c r="U51" i="19"/>
  <c r="T51" i="19"/>
  <c r="S51" i="19"/>
  <c r="R51" i="19"/>
  <c r="Q51" i="19"/>
  <c r="P51" i="19"/>
  <c r="O51" i="19"/>
  <c r="M51" i="19"/>
  <c r="L51" i="19"/>
  <c r="K51" i="19"/>
  <c r="AN50" i="19"/>
  <c r="AM50" i="19"/>
  <c r="AL50" i="19"/>
  <c r="AK50" i="19"/>
  <c r="AJ50" i="19"/>
  <c r="AI50" i="19"/>
  <c r="AH50" i="19"/>
  <c r="AG50" i="19"/>
  <c r="AF50" i="19"/>
  <c r="AE50" i="19"/>
  <c r="AD50" i="19"/>
  <c r="AC50" i="19"/>
  <c r="AB50" i="19"/>
  <c r="AA50" i="19"/>
  <c r="Z50" i="19"/>
  <c r="Y50" i="19"/>
  <c r="X50" i="19"/>
  <c r="W50" i="19"/>
  <c r="V50" i="19"/>
  <c r="U50" i="19"/>
  <c r="T50" i="19"/>
  <c r="S50" i="19"/>
  <c r="R50" i="19"/>
  <c r="Q50" i="19"/>
  <c r="P50" i="19"/>
  <c r="O50" i="19"/>
  <c r="M50" i="19"/>
  <c r="L50" i="19"/>
  <c r="K50" i="19"/>
  <c r="AN49" i="19"/>
  <c r="AM49" i="19"/>
  <c r="AL49" i="19"/>
  <c r="AK49" i="19"/>
  <c r="AJ49" i="19"/>
  <c r="AI49" i="19"/>
  <c r="AH49" i="19"/>
  <c r="AG49" i="19"/>
  <c r="AF49" i="19"/>
  <c r="AE49" i="19"/>
  <c r="AD49" i="19"/>
  <c r="AC49" i="19"/>
  <c r="AB49" i="19"/>
  <c r="AA49" i="19"/>
  <c r="Z49" i="19"/>
  <c r="Y49" i="19"/>
  <c r="X49" i="19"/>
  <c r="W49" i="19"/>
  <c r="V49" i="19"/>
  <c r="U49" i="19"/>
  <c r="T49" i="19"/>
  <c r="S49" i="19"/>
  <c r="R49" i="19"/>
  <c r="Q49" i="19"/>
  <c r="P49" i="19"/>
  <c r="O49" i="19"/>
  <c r="M49" i="19"/>
  <c r="L49" i="19"/>
  <c r="K49" i="19"/>
  <c r="AN48" i="19"/>
  <c r="AM48" i="19"/>
  <c r="AL48" i="19"/>
  <c r="AK48" i="19"/>
  <c r="AJ48" i="19"/>
  <c r="AI48" i="19"/>
  <c r="AH48" i="19"/>
  <c r="AG48" i="19"/>
  <c r="AF48" i="19"/>
  <c r="AE48" i="19"/>
  <c r="AD48" i="19"/>
  <c r="AC48" i="19"/>
  <c r="AB48" i="19"/>
  <c r="AA48" i="19"/>
  <c r="Z48" i="19"/>
  <c r="Y48" i="19"/>
  <c r="X48" i="19"/>
  <c r="W48" i="19"/>
  <c r="V48" i="19"/>
  <c r="U48" i="19"/>
  <c r="T48" i="19"/>
  <c r="S48" i="19"/>
  <c r="R48" i="19"/>
  <c r="Q48" i="19"/>
  <c r="P48" i="19"/>
  <c r="O48" i="19"/>
  <c r="M48" i="19"/>
  <c r="L48" i="19"/>
  <c r="K48" i="19"/>
  <c r="AN47" i="19"/>
  <c r="AM47" i="19"/>
  <c r="AL47" i="19"/>
  <c r="AK47" i="19"/>
  <c r="AJ47" i="19"/>
  <c r="AI47" i="19"/>
  <c r="AH47" i="19"/>
  <c r="AG47" i="19"/>
  <c r="AF47" i="19"/>
  <c r="AE47" i="19"/>
  <c r="AD47" i="19"/>
  <c r="AC47" i="19"/>
  <c r="AB47" i="19"/>
  <c r="AA47" i="19"/>
  <c r="Z47" i="19"/>
  <c r="Y47" i="19"/>
  <c r="X47" i="19"/>
  <c r="W47" i="19"/>
  <c r="V47" i="19"/>
  <c r="U47" i="19"/>
  <c r="T47" i="19"/>
  <c r="S47" i="19"/>
  <c r="R47" i="19"/>
  <c r="Q47" i="19"/>
  <c r="P47" i="19"/>
  <c r="O47" i="19"/>
  <c r="M47" i="19"/>
  <c r="L47" i="19"/>
  <c r="K47" i="19"/>
  <c r="AN46" i="19"/>
  <c r="AM46" i="19"/>
  <c r="AL46" i="19"/>
  <c r="AK46" i="19"/>
  <c r="AJ46" i="19"/>
  <c r="AI46" i="19"/>
  <c r="AH46" i="19"/>
  <c r="AG46" i="19"/>
  <c r="AF46" i="19"/>
  <c r="AE46" i="19"/>
  <c r="AD46" i="19"/>
  <c r="AC46" i="19"/>
  <c r="AB46" i="19"/>
  <c r="AA46" i="19"/>
  <c r="Z46" i="19"/>
  <c r="Y46" i="19"/>
  <c r="X46" i="19"/>
  <c r="W46" i="19"/>
  <c r="V46" i="19"/>
  <c r="U46" i="19"/>
  <c r="T46" i="19"/>
  <c r="S46" i="19"/>
  <c r="R46" i="19"/>
  <c r="Q46" i="19"/>
  <c r="P46" i="19"/>
  <c r="O46" i="19"/>
  <c r="M46" i="19"/>
  <c r="L46" i="19"/>
  <c r="K46" i="19"/>
  <c r="AN45" i="19"/>
  <c r="AM45" i="19"/>
  <c r="AL45" i="19"/>
  <c r="AK45" i="19"/>
  <c r="AJ45" i="19"/>
  <c r="AI45" i="19"/>
  <c r="AH45" i="19"/>
  <c r="AG45" i="19"/>
  <c r="AF45" i="19"/>
  <c r="AE45" i="19"/>
  <c r="AD45" i="19"/>
  <c r="AC45" i="19"/>
  <c r="AB45" i="19"/>
  <c r="AA45" i="19"/>
  <c r="Z45" i="19"/>
  <c r="Y45" i="19"/>
  <c r="X45" i="19"/>
  <c r="W45" i="19"/>
  <c r="V45" i="19"/>
  <c r="U45" i="19"/>
  <c r="T45" i="19"/>
  <c r="S45" i="19"/>
  <c r="R45" i="19"/>
  <c r="Q45" i="19"/>
  <c r="P45" i="19"/>
  <c r="O45" i="19"/>
  <c r="M45" i="19"/>
  <c r="L45" i="19"/>
  <c r="K45" i="19"/>
  <c r="AN44" i="19"/>
  <c r="AM44" i="19"/>
  <c r="AL44" i="19"/>
  <c r="AK44" i="19"/>
  <c r="AJ44" i="19"/>
  <c r="AI44" i="19"/>
  <c r="AH44" i="19"/>
  <c r="AG44" i="19"/>
  <c r="AF44" i="19"/>
  <c r="AE44" i="19"/>
  <c r="AD44" i="19"/>
  <c r="AC44" i="19"/>
  <c r="AB44" i="19"/>
  <c r="AA44" i="19"/>
  <c r="Z44" i="19"/>
  <c r="Y44" i="19"/>
  <c r="X44" i="19"/>
  <c r="W44" i="19"/>
  <c r="V44" i="19"/>
  <c r="U44" i="19"/>
  <c r="T44" i="19"/>
  <c r="S44" i="19"/>
  <c r="R44" i="19"/>
  <c r="Q44" i="19"/>
  <c r="P44" i="19"/>
  <c r="O44" i="19"/>
  <c r="M44" i="19"/>
  <c r="L44" i="19"/>
  <c r="K44" i="19"/>
  <c r="AN43" i="19"/>
  <c r="AM43" i="19"/>
  <c r="AL43" i="19"/>
  <c r="AK43" i="19"/>
  <c r="AH43" i="19"/>
  <c r="AG43" i="19"/>
  <c r="AF43" i="19"/>
  <c r="AE43" i="19"/>
  <c r="AB43" i="19"/>
  <c r="AA43" i="19"/>
  <c r="Z43" i="19"/>
  <c r="Y43" i="19"/>
  <c r="V43" i="19"/>
  <c r="U43" i="19"/>
  <c r="T43" i="19"/>
  <c r="S43" i="19"/>
  <c r="P43" i="19"/>
  <c r="O43" i="19"/>
  <c r="M43" i="19"/>
  <c r="AM41" i="19"/>
  <c r="AL41" i="19"/>
  <c r="AK41" i="19"/>
  <c r="AJ41" i="19"/>
  <c r="AI41" i="19"/>
  <c r="AH41" i="19"/>
  <c r="AG41" i="19"/>
  <c r="AF41" i="19"/>
  <c r="AE41" i="19"/>
  <c r="AD41" i="19"/>
  <c r="AC41" i="19"/>
  <c r="AB41" i="19"/>
  <c r="AA41" i="19"/>
  <c r="Z41" i="19"/>
  <c r="Y41" i="19"/>
  <c r="X41" i="19"/>
  <c r="W41" i="19"/>
  <c r="V41" i="19"/>
  <c r="U41" i="19"/>
  <c r="T41" i="19"/>
  <c r="S41" i="19"/>
  <c r="R41" i="19"/>
  <c r="Q41" i="19"/>
  <c r="P41" i="19"/>
  <c r="O41" i="19"/>
  <c r="M41" i="19"/>
  <c r="L41" i="19"/>
  <c r="K41" i="19"/>
  <c r="AN40" i="19"/>
  <c r="AM40" i="19"/>
  <c r="AL40" i="19"/>
  <c r="AK40" i="19"/>
  <c r="AJ40" i="19"/>
  <c r="AI40" i="19"/>
  <c r="AH40" i="19"/>
  <c r="AG40" i="19"/>
  <c r="AF40" i="19"/>
  <c r="AE40" i="19"/>
  <c r="AD40" i="19"/>
  <c r="AC40" i="19"/>
  <c r="AB40" i="19"/>
  <c r="AA40" i="19"/>
  <c r="Z40" i="19"/>
  <c r="Y40" i="19"/>
  <c r="X40" i="19"/>
  <c r="W40" i="19"/>
  <c r="V40" i="19"/>
  <c r="U40" i="19"/>
  <c r="T40" i="19"/>
  <c r="S40" i="19"/>
  <c r="R40" i="19"/>
  <c r="Q40" i="19"/>
  <c r="P40" i="19"/>
  <c r="O40" i="19"/>
  <c r="M40" i="19"/>
  <c r="L40" i="19"/>
  <c r="K40" i="19"/>
  <c r="AN39" i="19"/>
  <c r="AM39" i="19"/>
  <c r="AL39" i="19"/>
  <c r="AK39" i="19"/>
  <c r="AJ39" i="19"/>
  <c r="AI39" i="19"/>
  <c r="AH39" i="19"/>
  <c r="AG39" i="19"/>
  <c r="AF39" i="19"/>
  <c r="AE39" i="19"/>
  <c r="AD39" i="19"/>
  <c r="AC39" i="19"/>
  <c r="AB39" i="19"/>
  <c r="AA39" i="19"/>
  <c r="Z39" i="19"/>
  <c r="Y39" i="19"/>
  <c r="X39" i="19"/>
  <c r="W39" i="19"/>
  <c r="V39" i="19"/>
  <c r="U39" i="19"/>
  <c r="T39" i="19"/>
  <c r="S39" i="19"/>
  <c r="R39" i="19"/>
  <c r="Q39" i="19"/>
  <c r="P39" i="19"/>
  <c r="O39" i="19"/>
  <c r="M39" i="19"/>
  <c r="L39" i="19"/>
  <c r="K39" i="19"/>
  <c r="AN38" i="19"/>
  <c r="AM38" i="19"/>
  <c r="AL38" i="19"/>
  <c r="AK38" i="19"/>
  <c r="AJ38" i="19"/>
  <c r="AI38" i="19"/>
  <c r="AH38" i="19"/>
  <c r="AG38" i="19"/>
  <c r="AF38" i="19"/>
  <c r="AE38" i="19"/>
  <c r="AD38" i="19"/>
  <c r="AC38" i="19"/>
  <c r="AB38" i="19"/>
  <c r="AA38" i="19"/>
  <c r="Z38" i="19"/>
  <c r="Y38" i="19"/>
  <c r="X38" i="19"/>
  <c r="W38" i="19"/>
  <c r="V38" i="19"/>
  <c r="U38" i="19"/>
  <c r="T38" i="19"/>
  <c r="S38" i="19"/>
  <c r="R38" i="19"/>
  <c r="Q38" i="19"/>
  <c r="P38" i="19"/>
  <c r="O38" i="19"/>
  <c r="M38" i="19"/>
  <c r="L38" i="19"/>
  <c r="K38" i="19"/>
  <c r="AN37" i="19"/>
  <c r="AM37" i="19"/>
  <c r="AL37" i="19"/>
  <c r="AK37" i="19"/>
  <c r="AJ37" i="19"/>
  <c r="AI37" i="19"/>
  <c r="AH37" i="19"/>
  <c r="AG37" i="19"/>
  <c r="AF37" i="19"/>
  <c r="AE37" i="19"/>
  <c r="AD37" i="19"/>
  <c r="AC37" i="19"/>
  <c r="AB37" i="19"/>
  <c r="AA37" i="19"/>
  <c r="Z37" i="19"/>
  <c r="Y37" i="19"/>
  <c r="X37" i="19"/>
  <c r="W37" i="19"/>
  <c r="V37" i="19"/>
  <c r="U37" i="19"/>
  <c r="T37" i="19"/>
  <c r="S37" i="19"/>
  <c r="R37" i="19"/>
  <c r="Q37" i="19"/>
  <c r="P37" i="19"/>
  <c r="O37" i="19"/>
  <c r="M37" i="19"/>
  <c r="L37" i="19"/>
  <c r="K37" i="19"/>
  <c r="AN36" i="19"/>
  <c r="AM36" i="19"/>
  <c r="AL36" i="19"/>
  <c r="AK36" i="19"/>
  <c r="AJ36" i="19"/>
  <c r="AI36" i="19"/>
  <c r="AH36" i="19"/>
  <c r="AG36" i="19"/>
  <c r="AF36" i="19"/>
  <c r="AE36" i="19"/>
  <c r="AD36" i="19"/>
  <c r="AC36" i="19"/>
  <c r="AB36" i="19"/>
  <c r="AA36" i="19"/>
  <c r="Z36" i="19"/>
  <c r="Y36" i="19"/>
  <c r="X36" i="19"/>
  <c r="W36" i="19"/>
  <c r="V36" i="19"/>
  <c r="U36" i="19"/>
  <c r="T36" i="19"/>
  <c r="S36" i="19"/>
  <c r="R36" i="19"/>
  <c r="Q36" i="19"/>
  <c r="P36" i="19"/>
  <c r="O36" i="19"/>
  <c r="M36" i="19"/>
  <c r="L36" i="19"/>
  <c r="K36" i="19"/>
  <c r="AN35" i="19"/>
  <c r="AM35" i="19"/>
  <c r="AL35" i="19"/>
  <c r="AK35" i="19"/>
  <c r="AJ35" i="19"/>
  <c r="AI35" i="19"/>
  <c r="AH35" i="19"/>
  <c r="AG35" i="19"/>
  <c r="AF35" i="19"/>
  <c r="AE35" i="19"/>
  <c r="AD35" i="19"/>
  <c r="AC35" i="19"/>
  <c r="AB35" i="19"/>
  <c r="AA35" i="19"/>
  <c r="Z35" i="19"/>
  <c r="Y35" i="19"/>
  <c r="X35" i="19"/>
  <c r="W35" i="19"/>
  <c r="V35" i="19"/>
  <c r="U35" i="19"/>
  <c r="T35" i="19"/>
  <c r="S35" i="19"/>
  <c r="R35" i="19"/>
  <c r="Q35" i="19"/>
  <c r="P35" i="19"/>
  <c r="O35" i="19"/>
  <c r="M35" i="19"/>
  <c r="L35" i="19"/>
  <c r="K35" i="19"/>
  <c r="AN34" i="19"/>
  <c r="AM34" i="19"/>
  <c r="AL34" i="19"/>
  <c r="AK34" i="19"/>
  <c r="AJ34" i="19"/>
  <c r="AI34" i="19"/>
  <c r="AH34" i="19"/>
  <c r="AG34" i="19"/>
  <c r="AF34" i="19"/>
  <c r="AE34" i="19"/>
  <c r="AD34" i="19"/>
  <c r="AC34" i="19"/>
  <c r="AB34" i="19"/>
  <c r="AA34" i="19"/>
  <c r="Z34" i="19"/>
  <c r="Y34" i="19"/>
  <c r="X34" i="19"/>
  <c r="W34" i="19"/>
  <c r="V34" i="19"/>
  <c r="U34" i="19"/>
  <c r="T34" i="19"/>
  <c r="S34" i="19"/>
  <c r="R34" i="19"/>
  <c r="Q34" i="19"/>
  <c r="P34" i="19"/>
  <c r="O34" i="19"/>
  <c r="M34" i="19"/>
  <c r="L34" i="19"/>
  <c r="K34" i="19"/>
  <c r="AN33" i="19"/>
  <c r="AM33" i="19"/>
  <c r="AL33" i="19"/>
  <c r="AK33" i="19"/>
  <c r="AH33" i="19"/>
  <c r="AG33" i="19"/>
  <c r="AF33" i="19"/>
  <c r="AE33" i="19"/>
  <c r="AB33" i="19"/>
  <c r="AA33" i="19"/>
  <c r="Z33" i="19"/>
  <c r="Y33" i="19"/>
  <c r="V33" i="19"/>
  <c r="U33" i="19"/>
  <c r="T33" i="19"/>
  <c r="S33" i="19"/>
  <c r="P33" i="19"/>
  <c r="O33" i="19"/>
  <c r="M33" i="19"/>
  <c r="AM31" i="19"/>
  <c r="AL31" i="19"/>
  <c r="AK31" i="19"/>
  <c r="AJ31" i="19"/>
  <c r="AI31" i="19"/>
  <c r="AH31" i="19"/>
  <c r="AG31" i="19"/>
  <c r="AF31" i="19"/>
  <c r="AE31" i="19"/>
  <c r="AD31" i="19"/>
  <c r="AC31" i="19"/>
  <c r="AB31" i="19"/>
  <c r="AA31" i="19"/>
  <c r="Z31" i="19"/>
  <c r="Y31" i="19"/>
  <c r="X31" i="19"/>
  <c r="W31" i="19"/>
  <c r="V31" i="19"/>
  <c r="U31" i="19"/>
  <c r="T31" i="19"/>
  <c r="S31" i="19"/>
  <c r="R31" i="19"/>
  <c r="Q31" i="19"/>
  <c r="P31" i="19"/>
  <c r="O31" i="19"/>
  <c r="M31" i="19"/>
  <c r="L31" i="19"/>
  <c r="K31" i="19"/>
  <c r="AN30" i="19"/>
  <c r="AM30" i="19"/>
  <c r="AL30" i="19"/>
  <c r="AK30" i="19"/>
  <c r="AJ30" i="19"/>
  <c r="AI30" i="19"/>
  <c r="AH30" i="19"/>
  <c r="AG30" i="19"/>
  <c r="AF30" i="19"/>
  <c r="AE30" i="19"/>
  <c r="AD30" i="19"/>
  <c r="AC30" i="19"/>
  <c r="AB30" i="19"/>
  <c r="AA30" i="19"/>
  <c r="Z30" i="19"/>
  <c r="Y30" i="19"/>
  <c r="X30" i="19"/>
  <c r="W30" i="19"/>
  <c r="V30" i="19"/>
  <c r="U30" i="19"/>
  <c r="T30" i="19"/>
  <c r="S30" i="19"/>
  <c r="R30" i="19"/>
  <c r="Q30" i="19"/>
  <c r="P30" i="19"/>
  <c r="O30" i="19"/>
  <c r="M30" i="19"/>
  <c r="L30" i="19"/>
  <c r="K30" i="19"/>
  <c r="AN29" i="19"/>
  <c r="AM29" i="19"/>
  <c r="AL29" i="19"/>
  <c r="AK29" i="19"/>
  <c r="AJ29" i="19"/>
  <c r="AI29" i="19"/>
  <c r="AH29" i="19"/>
  <c r="AG29" i="19"/>
  <c r="AF29" i="19"/>
  <c r="AE29" i="19"/>
  <c r="AD29" i="19"/>
  <c r="AC29" i="19"/>
  <c r="AB29" i="19"/>
  <c r="AA29" i="19"/>
  <c r="Z29" i="19"/>
  <c r="Y29" i="19"/>
  <c r="X29" i="19"/>
  <c r="W29" i="19"/>
  <c r="V29" i="19"/>
  <c r="U29" i="19"/>
  <c r="T29" i="19"/>
  <c r="S29" i="19"/>
  <c r="R29" i="19"/>
  <c r="Q29" i="19"/>
  <c r="P29" i="19"/>
  <c r="O29" i="19"/>
  <c r="M29" i="19"/>
  <c r="L29" i="19"/>
  <c r="K29" i="19"/>
  <c r="AN28" i="19"/>
  <c r="AM28" i="19"/>
  <c r="AL28" i="19"/>
  <c r="AK28" i="19"/>
  <c r="AJ28" i="19"/>
  <c r="AI28" i="19"/>
  <c r="AH28" i="19"/>
  <c r="AG28" i="19"/>
  <c r="AF28" i="19"/>
  <c r="AE28" i="19"/>
  <c r="AD28" i="19"/>
  <c r="AC28" i="19"/>
  <c r="AB28" i="19"/>
  <c r="AA28" i="19"/>
  <c r="Z28" i="19"/>
  <c r="Y28" i="19"/>
  <c r="X28" i="19"/>
  <c r="W28" i="19"/>
  <c r="V28" i="19"/>
  <c r="U28" i="19"/>
  <c r="T28" i="19"/>
  <c r="S28" i="19"/>
  <c r="R28" i="19"/>
  <c r="Q28" i="19"/>
  <c r="P28" i="19"/>
  <c r="O28" i="19"/>
  <c r="M28" i="19"/>
  <c r="L28" i="19"/>
  <c r="K28" i="19"/>
  <c r="AN27" i="19"/>
  <c r="AM27" i="19"/>
  <c r="AL27" i="19"/>
  <c r="AK27" i="19"/>
  <c r="AJ27" i="19"/>
  <c r="AI27" i="19"/>
  <c r="AH27" i="19"/>
  <c r="AG27" i="19"/>
  <c r="AF27" i="19"/>
  <c r="AE27" i="19"/>
  <c r="AD27" i="19"/>
  <c r="AC27" i="19"/>
  <c r="AB27" i="19"/>
  <c r="AA27" i="19"/>
  <c r="Z27" i="19"/>
  <c r="Y27" i="19"/>
  <c r="X27" i="19"/>
  <c r="W27" i="19"/>
  <c r="V27" i="19"/>
  <c r="U27" i="19"/>
  <c r="T27" i="19"/>
  <c r="S27" i="19"/>
  <c r="R27" i="19"/>
  <c r="Q27" i="19"/>
  <c r="P27" i="19"/>
  <c r="O27" i="19"/>
  <c r="M27" i="19"/>
  <c r="L27" i="19"/>
  <c r="K27" i="19"/>
  <c r="AN26" i="19"/>
  <c r="AM26" i="19"/>
  <c r="AL26" i="19"/>
  <c r="AK26" i="19"/>
  <c r="AJ26" i="19"/>
  <c r="AI26" i="19"/>
  <c r="AH26" i="19"/>
  <c r="AG26" i="19"/>
  <c r="AF26" i="19"/>
  <c r="AE26" i="19"/>
  <c r="AD26" i="19"/>
  <c r="AC26" i="19"/>
  <c r="AB26" i="19"/>
  <c r="AA26" i="19"/>
  <c r="Z26" i="19"/>
  <c r="Y26" i="19"/>
  <c r="X26" i="19"/>
  <c r="W26" i="19"/>
  <c r="V26" i="19"/>
  <c r="U26" i="19"/>
  <c r="T26" i="19"/>
  <c r="S26" i="19"/>
  <c r="R26" i="19"/>
  <c r="Q26" i="19"/>
  <c r="P26" i="19"/>
  <c r="O26" i="19"/>
  <c r="M26" i="19"/>
  <c r="L26" i="19"/>
  <c r="K26" i="19"/>
  <c r="AN25" i="19"/>
  <c r="AM25" i="19"/>
  <c r="AL25" i="19"/>
  <c r="AK25" i="19"/>
  <c r="AJ25" i="19"/>
  <c r="AI25" i="19"/>
  <c r="AH25" i="19"/>
  <c r="AG25" i="19"/>
  <c r="AF25" i="19"/>
  <c r="AE25" i="19"/>
  <c r="AD25" i="19"/>
  <c r="AC25" i="19"/>
  <c r="AB25" i="19"/>
  <c r="AA25" i="19"/>
  <c r="Z25" i="19"/>
  <c r="Y25" i="19"/>
  <c r="X25" i="19"/>
  <c r="W25" i="19"/>
  <c r="V25" i="19"/>
  <c r="U25" i="19"/>
  <c r="T25" i="19"/>
  <c r="S25" i="19"/>
  <c r="R25" i="19"/>
  <c r="Q25" i="19"/>
  <c r="P25" i="19"/>
  <c r="O25" i="19"/>
  <c r="M25" i="19"/>
  <c r="L25" i="19"/>
  <c r="K25" i="19"/>
  <c r="AN24" i="19"/>
  <c r="AM24" i="19"/>
  <c r="AL24" i="19"/>
  <c r="AK24" i="19"/>
  <c r="AJ24" i="19"/>
  <c r="AI24" i="19"/>
  <c r="AH24" i="19"/>
  <c r="AG24" i="19"/>
  <c r="AF24" i="19"/>
  <c r="AE24" i="19"/>
  <c r="AD24" i="19"/>
  <c r="AC24" i="19"/>
  <c r="AB24" i="19"/>
  <c r="AA24" i="19"/>
  <c r="Z24" i="19"/>
  <c r="Y24" i="19"/>
  <c r="X24" i="19"/>
  <c r="W24" i="19"/>
  <c r="V24" i="19"/>
  <c r="U24" i="19"/>
  <c r="T24" i="19"/>
  <c r="S24" i="19"/>
  <c r="R24" i="19"/>
  <c r="Q24" i="19"/>
  <c r="P24" i="19"/>
  <c r="O24" i="19"/>
  <c r="M24" i="19"/>
  <c r="L24" i="19"/>
  <c r="K24" i="19"/>
  <c r="AN23" i="19"/>
  <c r="AM23" i="19"/>
  <c r="AL23" i="19"/>
  <c r="AK23" i="19"/>
  <c r="AH23" i="19"/>
  <c r="AG23" i="19"/>
  <c r="AF23" i="19"/>
  <c r="AE23" i="19"/>
  <c r="AB23" i="19"/>
  <c r="AA23" i="19"/>
  <c r="Z23" i="19"/>
  <c r="Y23" i="19"/>
  <c r="V23" i="19"/>
  <c r="U23" i="19"/>
  <c r="T23" i="19"/>
  <c r="S23" i="19"/>
  <c r="P23" i="19"/>
  <c r="O23" i="19"/>
  <c r="M23" i="19"/>
  <c r="AN41" i="19"/>
  <c r="AN31" i="19"/>
  <c r="AN21" i="19"/>
  <c r="AM21" i="19"/>
  <c r="AL21" i="19"/>
  <c r="AK21" i="19"/>
  <c r="AJ21" i="19"/>
  <c r="AI21" i="19"/>
  <c r="AN20" i="19"/>
  <c r="AM20" i="19"/>
  <c r="AL20" i="19"/>
  <c r="AK20" i="19"/>
  <c r="AJ20" i="19"/>
  <c r="AI20" i="19"/>
  <c r="AN19" i="19"/>
  <c r="AM19" i="19"/>
  <c r="AL19" i="19"/>
  <c r="AK19" i="19"/>
  <c r="AJ19" i="19"/>
  <c r="AI19" i="19"/>
  <c r="AN18" i="19"/>
  <c r="AM18" i="19"/>
  <c r="AL18" i="19"/>
  <c r="AK18" i="19"/>
  <c r="AJ18" i="19"/>
  <c r="AI18" i="19"/>
  <c r="AN17" i="19"/>
  <c r="AM17" i="19"/>
  <c r="AL17" i="19"/>
  <c r="AK17" i="19"/>
  <c r="AJ17" i="19"/>
  <c r="AI17" i="19"/>
  <c r="AN16" i="19"/>
  <c r="AM16" i="19"/>
  <c r="AL16" i="19"/>
  <c r="AK16" i="19"/>
  <c r="AJ16" i="19"/>
  <c r="AI16" i="19"/>
  <c r="AN15" i="19"/>
  <c r="AM15" i="19"/>
  <c r="AL15" i="19"/>
  <c r="AK15" i="19"/>
  <c r="AJ15" i="19"/>
  <c r="AI15" i="19"/>
  <c r="AN14" i="19"/>
  <c r="AM14" i="19"/>
  <c r="AL14" i="19"/>
  <c r="AK14" i="19"/>
  <c r="AJ14" i="19"/>
  <c r="AI14" i="19"/>
  <c r="Q14" i="19"/>
  <c r="AN13" i="19"/>
  <c r="AM13" i="19"/>
  <c r="AL13" i="19"/>
  <c r="AK13" i="19"/>
  <c r="AC14" i="19"/>
  <c r="AD14" i="19"/>
  <c r="AE14" i="19"/>
  <c r="AF14" i="19"/>
  <c r="AH14" i="19"/>
  <c r="AG14" i="19"/>
  <c r="AH21" i="19"/>
  <c r="AF13" i="19"/>
  <c r="AE13" i="19"/>
  <c r="AG15" i="19"/>
  <c r="AG13" i="19"/>
  <c r="AH13" i="19"/>
  <c r="AG21" i="19"/>
  <c r="AF21" i="19"/>
  <c r="AE21" i="19"/>
  <c r="AD21" i="19"/>
  <c r="AC21" i="19"/>
  <c r="AH20" i="19"/>
  <c r="AG20" i="19"/>
  <c r="AF20" i="19"/>
  <c r="AE20" i="19"/>
  <c r="AD20" i="19"/>
  <c r="AC20" i="19"/>
  <c r="AH19" i="19"/>
  <c r="AG19" i="19"/>
  <c r="AF19" i="19"/>
  <c r="AE19" i="19"/>
  <c r="AD19" i="19"/>
  <c r="AC19" i="19"/>
  <c r="AH18" i="19"/>
  <c r="AG18" i="19"/>
  <c r="AF18" i="19"/>
  <c r="AE18" i="19"/>
  <c r="AD18" i="19"/>
  <c r="AC18" i="19"/>
  <c r="AH17" i="19"/>
  <c r="AG17" i="19"/>
  <c r="AF17" i="19"/>
  <c r="AE17" i="19"/>
  <c r="AD17" i="19"/>
  <c r="AC17" i="19"/>
  <c r="AH16" i="19"/>
  <c r="AG16" i="19"/>
  <c r="AF16" i="19"/>
  <c r="AE16" i="19"/>
  <c r="AD16" i="19"/>
  <c r="AC16" i="19"/>
  <c r="AH15" i="19"/>
  <c r="AF15" i="19"/>
  <c r="AE15" i="19"/>
  <c r="AD15" i="19"/>
  <c r="AC15" i="19"/>
  <c r="W21" i="19"/>
  <c r="X21" i="19"/>
  <c r="Y21" i="19"/>
  <c r="Z21" i="19"/>
  <c r="AA21" i="19"/>
  <c r="AB21" i="19"/>
  <c r="AB20" i="19"/>
  <c r="AA20" i="19"/>
  <c r="Z20" i="19"/>
  <c r="Y20" i="19"/>
  <c r="X20" i="19"/>
  <c r="W20" i="19"/>
  <c r="W19" i="19"/>
  <c r="X19" i="19"/>
  <c r="Y19" i="19"/>
  <c r="Z19" i="19"/>
  <c r="AA19" i="19"/>
  <c r="AB19" i="19"/>
  <c r="AB18" i="19"/>
  <c r="AA18" i="19"/>
  <c r="Z18" i="19"/>
  <c r="Y18" i="19"/>
  <c r="X18" i="19"/>
  <c r="W18" i="19"/>
  <c r="W17" i="19"/>
  <c r="X17" i="19"/>
  <c r="Y17" i="19"/>
  <c r="Z17" i="19"/>
  <c r="AA17" i="19"/>
  <c r="AB17" i="19"/>
  <c r="AB16" i="19"/>
  <c r="AA16" i="19"/>
  <c r="Z16" i="19"/>
  <c r="Y16" i="19"/>
  <c r="X16" i="19"/>
  <c r="W16" i="19"/>
  <c r="W15" i="19"/>
  <c r="X15" i="19"/>
  <c r="Y15" i="19"/>
  <c r="Z15" i="19"/>
  <c r="AA15" i="19"/>
  <c r="AB15" i="19"/>
  <c r="AB14" i="19"/>
  <c r="AA14" i="19"/>
  <c r="Z14" i="19"/>
  <c r="Y14" i="19"/>
  <c r="X14" i="19"/>
  <c r="W14" i="19"/>
  <c r="Y13" i="19"/>
  <c r="Z13" i="19"/>
  <c r="AA13" i="19"/>
  <c r="AB13" i="19"/>
  <c r="V21" i="19"/>
  <c r="U21" i="19"/>
  <c r="T21" i="19"/>
  <c r="S21" i="19"/>
  <c r="R21" i="19"/>
  <c r="Q21" i="19"/>
  <c r="Q20" i="19"/>
  <c r="R20" i="19"/>
  <c r="S20" i="19"/>
  <c r="T20" i="19"/>
  <c r="U20" i="19"/>
  <c r="V20" i="19"/>
  <c r="U19" i="19"/>
  <c r="V19" i="19"/>
  <c r="T19" i="19"/>
  <c r="S19" i="19"/>
  <c r="R19" i="19"/>
  <c r="Q19" i="19"/>
  <c r="Q18" i="19"/>
  <c r="R18" i="19"/>
  <c r="S18" i="19"/>
  <c r="T18" i="19"/>
  <c r="U18" i="19"/>
  <c r="V18" i="19"/>
  <c r="V17" i="19"/>
  <c r="U17" i="19"/>
  <c r="T17" i="19"/>
  <c r="S17" i="19"/>
  <c r="R17" i="19"/>
  <c r="Q17" i="19"/>
  <c r="Q16" i="19"/>
  <c r="R16" i="19"/>
  <c r="S16" i="19"/>
  <c r="T16" i="19"/>
  <c r="U16" i="19"/>
  <c r="V16" i="19"/>
  <c r="V15" i="19"/>
  <c r="U15" i="19"/>
  <c r="T15" i="19"/>
  <c r="S15" i="19"/>
  <c r="R15" i="19"/>
  <c r="Q15" i="19"/>
  <c r="V13" i="19"/>
  <c r="V14" i="19"/>
  <c r="U14" i="19"/>
  <c r="T14" i="19"/>
  <c r="S14" i="19"/>
  <c r="R14" i="19"/>
  <c r="S13" i="19"/>
  <c r="T13" i="19"/>
  <c r="U13" i="19"/>
  <c r="P21" i="19"/>
  <c r="O21" i="19"/>
  <c r="N21" i="19"/>
  <c r="M21" i="19"/>
  <c r="L21" i="19"/>
  <c r="K21" i="19"/>
  <c r="P20" i="19"/>
  <c r="O20" i="19"/>
  <c r="N20" i="19"/>
  <c r="M20" i="19"/>
  <c r="L20" i="19"/>
  <c r="K20" i="19"/>
  <c r="P19" i="19"/>
  <c r="O19" i="19"/>
  <c r="N19" i="19"/>
  <c r="M19" i="19"/>
  <c r="L19" i="19"/>
  <c r="K19" i="19"/>
  <c r="P18" i="19"/>
  <c r="O18" i="19"/>
  <c r="N18" i="19"/>
  <c r="M18" i="19"/>
  <c r="L18" i="19"/>
  <c r="K18" i="19"/>
  <c r="P17" i="19"/>
  <c r="O17" i="19"/>
  <c r="N17" i="19"/>
  <c r="M17" i="19"/>
  <c r="L17" i="19"/>
  <c r="K17" i="19"/>
  <c r="P16" i="19"/>
  <c r="O16" i="19"/>
  <c r="N16" i="19"/>
  <c r="M16" i="19"/>
  <c r="L16" i="19"/>
  <c r="K16" i="19"/>
  <c r="P15" i="19"/>
  <c r="O15" i="19"/>
  <c r="N15" i="19"/>
  <c r="M15" i="19"/>
  <c r="L15" i="19"/>
  <c r="K15" i="19"/>
  <c r="P14" i="19"/>
  <c r="O14" i="19"/>
  <c r="N14" i="19"/>
  <c r="M14" i="19"/>
  <c r="L14" i="19"/>
  <c r="K14" i="19"/>
  <c r="P13" i="19"/>
  <c r="O13" i="19"/>
  <c r="N13" i="19"/>
  <c r="M13" i="19"/>
  <c r="L49" i="18"/>
  <c r="N49" i="18"/>
  <c r="P49" i="18"/>
  <c r="R49" i="18"/>
  <c r="T49" i="18"/>
  <c r="V49" i="18"/>
  <c r="X49" i="18"/>
  <c r="Z49" i="18"/>
  <c r="AB49" i="18"/>
  <c r="AD49" i="18"/>
  <c r="AF49" i="18"/>
  <c r="AH49" i="18"/>
  <c r="AJ49" i="18"/>
  <c r="AL49" i="18"/>
  <c r="AN49" i="18"/>
  <c r="AN47" i="18"/>
  <c r="AH47" i="18"/>
  <c r="AB47" i="18"/>
  <c r="V47" i="18"/>
  <c r="P47" i="18"/>
  <c r="N47" i="18"/>
  <c r="N45" i="18"/>
  <c r="P45" i="18"/>
  <c r="P43" i="18"/>
  <c r="N43" i="18"/>
  <c r="L41" i="18"/>
  <c r="N41" i="18"/>
  <c r="P41" i="18"/>
  <c r="R41" i="18"/>
  <c r="T41" i="18"/>
  <c r="V41" i="18"/>
  <c r="X41" i="18"/>
  <c r="Z41" i="18"/>
  <c r="AB41" i="18"/>
  <c r="AD41" i="18"/>
  <c r="AF41" i="18"/>
  <c r="AH41" i="18"/>
  <c r="AJ41" i="18"/>
  <c r="AL41" i="18"/>
  <c r="AN41" i="18"/>
  <c r="AN39" i="18"/>
  <c r="AH39" i="18"/>
  <c r="AB39" i="18"/>
  <c r="V39" i="18"/>
  <c r="P39" i="18"/>
  <c r="N39" i="18"/>
  <c r="N37" i="18"/>
  <c r="P37" i="18"/>
  <c r="P35" i="18"/>
  <c r="N35" i="18"/>
  <c r="AN33" i="18"/>
  <c r="AL33" i="18"/>
  <c r="AJ33" i="18"/>
  <c r="AH33" i="18"/>
  <c r="AF33" i="18"/>
  <c r="AD33" i="18"/>
  <c r="AB33" i="18"/>
  <c r="Z33" i="18"/>
  <c r="X33" i="18"/>
  <c r="V33" i="18"/>
  <c r="T33" i="18"/>
  <c r="R33" i="18"/>
  <c r="P33" i="18"/>
  <c r="N33" i="18"/>
  <c r="L33" i="18"/>
  <c r="N31" i="18"/>
  <c r="P31" i="18"/>
  <c r="V31" i="18"/>
  <c r="AB31" i="18"/>
  <c r="AH31" i="18"/>
  <c r="AN31" i="18"/>
  <c r="P29" i="18"/>
  <c r="N29" i="18"/>
  <c r="P27" i="18"/>
  <c r="N27" i="18"/>
  <c r="AN25" i="18"/>
  <c r="AL25" i="18"/>
  <c r="AJ25" i="18"/>
  <c r="AN23" i="18"/>
  <c r="AH25" i="18"/>
  <c r="AF25" i="18"/>
  <c r="AD25" i="18"/>
  <c r="AH23" i="18"/>
  <c r="AB25" i="18"/>
  <c r="X25" i="18"/>
  <c r="Z25" i="18"/>
  <c r="AB23" i="18"/>
  <c r="V25" i="18"/>
  <c r="T25" i="18"/>
  <c r="R25" i="18"/>
  <c r="V23" i="18"/>
  <c r="P25" i="18"/>
  <c r="N25" i="18"/>
  <c r="L25" i="18"/>
  <c r="P23" i="18"/>
  <c r="N23" i="18"/>
  <c r="P21" i="18"/>
  <c r="N21" i="18"/>
  <c r="P19" i="18"/>
  <c r="N19" i="18"/>
  <c r="AN17" i="18"/>
  <c r="AL17" i="18"/>
  <c r="AJ17" i="18"/>
  <c r="AN15" i="18"/>
  <c r="AH17" i="18"/>
  <c r="AF17" i="18"/>
  <c r="AD17" i="18"/>
  <c r="AH15" i="18"/>
  <c r="AB17" i="18"/>
  <c r="Z17" i="18"/>
  <c r="X17" i="18"/>
  <c r="AB15" i="18"/>
  <c r="V17" i="18"/>
  <c r="V15" i="18"/>
  <c r="T17" i="18"/>
  <c r="R17" i="18"/>
  <c r="L17" i="18"/>
  <c r="P17" i="18"/>
  <c r="N17" i="18"/>
  <c r="P15" i="18"/>
  <c r="N15" i="18"/>
  <c r="P13" i="18"/>
  <c r="N13" i="18"/>
  <c r="P11" i="18"/>
  <c r="N11" i="18"/>
  <c r="AG21" i="1" l="1"/>
  <c r="AI53" i="19"/>
  <c r="AN13" i="18"/>
  <c r="AN29" i="18"/>
  <c r="AN37" i="18"/>
  <c r="AN21" i="18"/>
  <c r="AN45" i="18"/>
  <c r="AI15" i="1" l="1"/>
  <c r="AH15" i="1"/>
  <c r="AH21" i="1"/>
  <c r="AI21" i="1"/>
  <c r="F29" i="27"/>
  <c r="E29" i="27"/>
  <c r="G29" i="27" s="1"/>
  <c r="P26" i="1" l="1"/>
  <c r="F221" i="13" l="1"/>
  <c r="F211" i="13"/>
  <c r="F212" i="13"/>
  <c r="F213" i="13"/>
  <c r="F214" i="13"/>
  <c r="F215" i="13"/>
  <c r="F216" i="13"/>
  <c r="F217" i="13"/>
  <c r="F218" i="13"/>
  <c r="F219" i="13"/>
  <c r="F220" i="13"/>
  <c r="F210" i="13"/>
  <c r="B221" i="13" a="1"/>
  <c r="B221" i="13" l="1"/>
  <c r="B223" i="13" l="1"/>
  <c r="B222" i="13"/>
  <c r="H210" i="13" s="1"/>
  <c r="AD53" i="19" l="1"/>
  <c r="X23" i="19"/>
  <c r="AJ13" i="19"/>
  <c r="X13" i="19"/>
  <c r="R43" i="19"/>
  <c r="R33" i="19"/>
  <c r="R53" i="19"/>
  <c r="R23" i="19"/>
  <c r="AD13" i="19"/>
  <c r="X53" i="19"/>
  <c r="AJ43" i="19"/>
  <c r="L43" i="19"/>
  <c r="L33" i="19"/>
  <c r="L53" i="19"/>
  <c r="AJ33" i="19"/>
  <c r="AJ23" i="19"/>
  <c r="L23" i="19"/>
  <c r="X33" i="19"/>
  <c r="AD43" i="19"/>
  <c r="AD33" i="19"/>
  <c r="AJ53" i="19"/>
  <c r="AD23" i="19"/>
  <c r="X43" i="19"/>
  <c r="R13" i="19"/>
  <c r="L13" i="19"/>
  <c r="AC53" i="19"/>
  <c r="W43" i="19"/>
  <c r="W33" i="19"/>
  <c r="W23" i="19"/>
  <c r="W53" i="19"/>
  <c r="AI13" i="19"/>
  <c r="Q43" i="19"/>
  <c r="Q33" i="19"/>
  <c r="K13" i="19"/>
  <c r="Q53" i="19"/>
  <c r="Q23" i="19"/>
  <c r="AC13" i="19"/>
  <c r="AI43" i="19"/>
  <c r="K43" i="19"/>
  <c r="K33" i="19"/>
  <c r="K23" i="19"/>
  <c r="K53" i="19"/>
  <c r="AI33" i="19"/>
  <c r="AI23" i="19"/>
  <c r="AC23" i="19"/>
  <c r="W13" i="19"/>
  <c r="AC43" i="19"/>
  <c r="AC33" i="19"/>
  <c r="Q13" i="19"/>
  <c r="P52" i="19"/>
  <c r="AH42" i="19"/>
  <c r="AH32" i="19"/>
  <c r="AB12" i="19"/>
  <c r="P12" i="19"/>
  <c r="AH52" i="19"/>
  <c r="P42" i="19"/>
  <c r="P32" i="19"/>
  <c r="AH22" i="19"/>
  <c r="P22" i="19"/>
  <c r="AN12" i="19"/>
  <c r="V22" i="19"/>
  <c r="AB52" i="19"/>
  <c r="AB42" i="19"/>
  <c r="AB32" i="19"/>
  <c r="AB22" i="19"/>
  <c r="AH12" i="19"/>
  <c r="V12" i="19"/>
  <c r="AN42" i="19"/>
  <c r="AN32" i="19"/>
  <c r="AN52" i="19"/>
  <c r="V52" i="19"/>
  <c r="V42" i="19"/>
  <c r="V32" i="19"/>
  <c r="AN22" i="19"/>
  <c r="U52" i="19"/>
  <c r="U22" i="19"/>
  <c r="O12" i="19"/>
  <c r="O52" i="19"/>
  <c r="AG42" i="19"/>
  <c r="AG32" i="19"/>
  <c r="AG52" i="19"/>
  <c r="O42" i="19"/>
  <c r="O32" i="19"/>
  <c r="AG22" i="19"/>
  <c r="U12" i="19"/>
  <c r="AM12" i="19"/>
  <c r="AA22" i="19"/>
  <c r="U32" i="19"/>
  <c r="O22" i="19"/>
  <c r="AA52" i="19"/>
  <c r="AA42" i="19"/>
  <c r="AA32" i="19"/>
  <c r="AG12" i="19"/>
  <c r="U42" i="19"/>
  <c r="AM42" i="19"/>
  <c r="AM32" i="19"/>
  <c r="AA12" i="19"/>
  <c r="AM52" i="19"/>
  <c r="AM22" i="19"/>
  <c r="U21" i="1" l="1"/>
  <c r="L21" i="18"/>
  <c r="L37" i="18"/>
  <c r="R13" i="18"/>
  <c r="R37" i="18"/>
  <c r="AD29" i="18"/>
  <c r="L45" i="18"/>
  <c r="AD45" i="18"/>
  <c r="X13" i="18"/>
  <c r="AJ21" i="18"/>
  <c r="AD37" i="18"/>
  <c r="L13" i="18"/>
  <c r="X21" i="18"/>
  <c r="R21" i="18"/>
  <c r="X37" i="18"/>
  <c r="R29" i="18"/>
  <c r="X29" i="18"/>
  <c r="AJ13" i="18"/>
  <c r="AJ45" i="18"/>
  <c r="X45" i="18"/>
  <c r="R45" i="18"/>
  <c r="AJ29" i="18"/>
  <c r="AD13" i="18"/>
  <c r="L29" i="18"/>
  <c r="AJ37" i="18"/>
  <c r="AD21" i="18"/>
  <c r="Z31" i="18"/>
  <c r="AL23" i="18"/>
  <c r="Z15" i="18"/>
  <c r="Z23" i="18"/>
  <c r="AF39" i="18"/>
  <c r="Z39" i="18"/>
  <c r="AL31" i="18"/>
  <c r="T47" i="18"/>
  <c r="AF15" i="18"/>
  <c r="AL15" i="18"/>
  <c r="T39" i="18"/>
  <c r="AL47" i="18"/>
  <c r="AF23" i="18"/>
  <c r="AL39" i="18"/>
  <c r="T31" i="18"/>
  <c r="T15" i="18"/>
  <c r="AF31" i="18"/>
  <c r="AF47" i="18"/>
  <c r="T23" i="18"/>
  <c r="Z47" i="18"/>
  <c r="Z21" i="18"/>
  <c r="Z29" i="18"/>
  <c r="AL21" i="18"/>
  <c r="AF37" i="18"/>
  <c r="AL29" i="18"/>
  <c r="AF13" i="18"/>
  <c r="T21" i="18"/>
  <c r="AF29" i="18"/>
  <c r="T37" i="18"/>
  <c r="Z37" i="18"/>
  <c r="AL13" i="18"/>
  <c r="T45" i="18"/>
  <c r="T29" i="18"/>
  <c r="AF45" i="18"/>
  <c r="T13" i="18"/>
  <c r="Z45" i="18"/>
  <c r="AL37" i="18"/>
  <c r="AF21" i="18"/>
  <c r="Z13" i="18"/>
  <c r="AL45" i="18"/>
  <c r="R15" i="18"/>
  <c r="AJ23" i="18"/>
  <c r="R39" i="18"/>
  <c r="AJ39" i="18"/>
  <c r="R31" i="18"/>
  <c r="L47" i="18"/>
  <c r="X23" i="18"/>
  <c r="L39" i="18"/>
  <c r="L31" i="18"/>
  <c r="X15" i="18"/>
  <c r="X31" i="18"/>
  <c r="AD39" i="18"/>
  <c r="AJ31" i="18"/>
  <c r="R23" i="18"/>
  <c r="AJ47" i="18"/>
  <c r="AD23" i="18"/>
  <c r="X47" i="18"/>
  <c r="L23" i="18"/>
  <c r="R47" i="18"/>
  <c r="L15" i="18"/>
  <c r="AD31" i="18"/>
  <c r="AD15" i="18"/>
  <c r="AJ15" i="18"/>
  <c r="X39" i="18"/>
  <c r="AD47" i="18"/>
  <c r="AH29" i="18"/>
  <c r="V13" i="18"/>
  <c r="AB45" i="18"/>
  <c r="AH45" i="18"/>
  <c r="AB29" i="18"/>
  <c r="AB13" i="18"/>
  <c r="V29" i="18"/>
  <c r="V37" i="18"/>
  <c r="AH13" i="18"/>
  <c r="AH37" i="18"/>
  <c r="AB37" i="18"/>
  <c r="AB21" i="18"/>
  <c r="V21" i="18"/>
  <c r="V45" i="18"/>
  <c r="AH21" i="18"/>
  <c r="Z19" i="18"/>
  <c r="AL43" i="18"/>
  <c r="AF35" i="18"/>
  <c r="AF11" i="18"/>
  <c r="AN27" i="18"/>
  <c r="AN19" i="18"/>
  <c r="AB43" i="18"/>
  <c r="V27" i="18"/>
  <c r="AN43" i="18"/>
  <c r="AN35" i="18"/>
  <c r="AB19" i="18"/>
  <c r="V11" i="18"/>
  <c r="AN11" i="18"/>
  <c r="AH43" i="18"/>
  <c r="V19" i="18"/>
  <c r="AH35" i="18"/>
  <c r="AH19" i="18"/>
  <c r="AB35" i="18"/>
  <c r="V43" i="18"/>
  <c r="AB11" i="18"/>
  <c r="AH11" i="18"/>
  <c r="AH27" i="18"/>
  <c r="AB27" i="18"/>
  <c r="V35" i="18"/>
  <c r="AJ21" i="1" l="1"/>
  <c r="Z43" i="18"/>
  <c r="T15" i="1"/>
  <c r="AK15" i="1" s="1"/>
  <c r="AL35" i="18"/>
  <c r="AF27" i="18"/>
  <c r="AF19" i="18"/>
  <c r="T11" i="18"/>
  <c r="Z11" i="18"/>
  <c r="Z35" i="18"/>
  <c r="T43" i="18"/>
  <c r="T35" i="18"/>
  <c r="AF43" i="18"/>
  <c r="T19" i="18"/>
  <c r="AL19" i="18"/>
  <c r="AL27" i="18"/>
  <c r="T27" i="18"/>
  <c r="Z27" i="18"/>
  <c r="AL11" i="18"/>
  <c r="AF22" i="19"/>
  <c r="AL22" i="19"/>
  <c r="AF12" i="19"/>
  <c r="Z22" i="19"/>
  <c r="N22" i="19"/>
  <c r="T52" i="19"/>
  <c r="T42" i="19"/>
  <c r="Z32" i="19"/>
  <c r="AL42" i="19"/>
  <c r="Z52" i="19"/>
  <c r="T12" i="19"/>
  <c r="T32" i="19"/>
  <c r="AF32" i="19"/>
  <c r="T22" i="19"/>
  <c r="AF52" i="19"/>
  <c r="AL12" i="19"/>
  <c r="AL32" i="19"/>
  <c r="Z12" i="19"/>
  <c r="AF42" i="19"/>
  <c r="AL52" i="19"/>
  <c r="N12" i="19"/>
  <c r="Z42" i="19"/>
  <c r="M52" i="19" l="1"/>
  <c r="AL21" i="1"/>
  <c r="AK52" i="19"/>
  <c r="S42" i="19"/>
  <c r="M42" i="19"/>
  <c r="S32" i="19"/>
  <c r="S22" i="19"/>
  <c r="M32" i="19"/>
  <c r="AE42" i="19"/>
  <c r="AE52" i="19"/>
  <c r="AK32" i="19"/>
  <c r="AK42" i="19"/>
  <c r="M22" i="19"/>
  <c r="AE22" i="19"/>
  <c r="AK22" i="19"/>
  <c r="M12" i="19"/>
  <c r="AE32" i="19"/>
  <c r="AK12" i="19"/>
  <c r="S52" i="19"/>
  <c r="S12" i="19"/>
  <c r="AE12" i="19"/>
  <c r="AJ15" i="1"/>
  <c r="AL15" i="1" s="1"/>
  <c r="R12" i="19"/>
  <c r="X32" i="19"/>
  <c r="AD22" i="19"/>
  <c r="L22" i="19"/>
  <c r="X42" i="19"/>
  <c r="AD12" i="19"/>
  <c r="R52" i="19"/>
  <c r="AJ42" i="19"/>
  <c r="AD32" i="19"/>
  <c r="AJ32" i="19"/>
  <c r="R32" i="19"/>
  <c r="AJ52" i="19"/>
  <c r="AJ22" i="19"/>
  <c r="AJ12" i="19"/>
  <c r="R22" i="19"/>
  <c r="AD52" i="19"/>
  <c r="AD42" i="19"/>
  <c r="L42" i="19"/>
  <c r="L52" i="19"/>
  <c r="R42" i="19"/>
  <c r="L12" i="19"/>
  <c r="X22" i="19"/>
  <c r="X12" i="19"/>
  <c r="L32" i="19"/>
  <c r="X52" i="1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tc={31DE014E-1502-4058-AF14-D12B122223C2}</author>
    <author>tc={7319F458-F751-4993-B913-0ED035E30CF3}</author>
    <author>Calidad ETITC</author>
    <author>tc={1816B48D-01BB-448B-AFCC-2FEDB756BA42}</author>
    <author>tc={8ADAA9EE-5890-4480-85AE-C33717331CF8}</author>
    <author>tc={975DE72D-945A-4BAE-A64E-E42069A0D1CB}</author>
    <author>tc={837D0758-B511-4B9B-885F-44B15625A2B0}</author>
    <author>Stefany Parra</author>
  </authors>
  <commentList>
    <comment ref="F13" authorId="0" shapeId="0" xr:uid="{31DE014E-1502-4058-AF14-D12B122223C2}">
      <text>
        <t>[Comentario encadenado]
Tu versión de Excel te permite leer este comentario encadenado; sin embargo, las ediciones que se apliquen se quitarán si el archivo se abre en una versión más reciente de Excel. Más información: https://go.microsoft.com/fwlink/?linkid=870924
Comentario:
    Para el riesgo Fiscal, solo aplica IMPACTO ECONÓMICO</t>
      </text>
    </comment>
    <comment ref="G13" authorId="1" shapeId="0" xr:uid="{7319F458-F751-4993-B913-0ED035E30CF3}">
      <text>
        <t>[Comentario encadenado]
Tu versión de Excel te permite leer este comentario encadenado; sin embargo, las ediciones que se apliquen se quitarán si el archivo se abre en una versión más reciente de Excel. Más información: https://go.microsoft.com/fwlink/?linkid=870924
Comentario:
    Aplica para Riesgo FISCAL</t>
      </text>
    </comment>
    <comment ref="K13" authorId="2" shapeId="0" xr:uid="{00000000-0006-0000-0200-000001000000}">
      <text>
        <r>
          <rPr>
            <sz val="11"/>
            <color rgb="FF000000"/>
            <rFont val="Calibri"/>
            <family val="2"/>
          </rPr>
          <t xml:space="preserve">Inicia con el IMPACTO+ Conector (por) Causa(s) Inmediata(s)+ Conector (debido a) Causa(s) Raíz.
</t>
        </r>
        <r>
          <rPr>
            <sz val="11"/>
            <color rgb="FF000000"/>
            <rFont val="Calibri"/>
            <family val="2"/>
          </rPr>
          <t xml:space="preserve">
</t>
        </r>
        <r>
          <rPr>
            <sz val="11"/>
            <color rgb="FF000000"/>
            <rFont val="Calibri"/>
            <family val="2"/>
          </rPr>
          <t xml:space="preserve">Para el riesgo de Corrupción: se debe tener en cuenta: ACCIÓN U OMISIÓN + USO DEL PODER + DESVIACIÓN DE LA GESTIÓN DE
</t>
        </r>
        <r>
          <rPr>
            <sz val="11"/>
            <color rgb="FF000000"/>
            <rFont val="Calibri"/>
            <family val="2"/>
          </rPr>
          <t xml:space="preserve">LO PÚBLICO + EL BENEFICIO PRIVADO. Es decir tener en cuenta los anteriores criterios.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Aplica para riesgo Gestión/Fiscal/Seguridad de la Información: 
</t>
        </r>
        <r>
          <rPr>
            <sz val="11"/>
            <color rgb="FF000000"/>
            <rFont val="Calibri"/>
            <family val="2"/>
          </rPr>
          <t xml:space="preserve">
</t>
        </r>
        <r>
          <rPr>
            <sz val="11"/>
            <color rgb="FF000000"/>
            <rFont val="Calibri"/>
            <family val="2"/>
          </rPr>
          <t xml:space="preserve">Inicia: IMPACTO+ Conector (por) Causa inmediata+ Conector (debido a) Causa Raíz. 
</t>
        </r>
        <r>
          <rPr>
            <sz val="11"/>
            <color rgb="FF000000"/>
            <rFont val="Calibri"/>
            <family val="2"/>
          </rPr>
          <t xml:space="preserve">
</t>
        </r>
        <r>
          <rPr>
            <sz val="11"/>
            <color rgb="FF000000"/>
            <rFont val="Calibri"/>
            <family val="2"/>
          </rPr>
          <t xml:space="preserve">Riesgos de Corrupción; </t>
        </r>
      </text>
    </comment>
    <comment ref="AU13" authorId="3" shapeId="0" xr:uid="{1816B48D-01BB-448B-AFCC-2FEDB756BA4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realiza una descripción breve de lo ejecutado en el periodo. Así como las desviaciones presentadas en la aplicación del control. </t>
      </text>
    </comment>
    <comment ref="AV13" authorId="4" shapeId="0" xr:uid="{8ADAA9EE-5890-4480-85AE-C33717331CF8}">
      <text>
        <t>[Comentario encadenado]
Tu versión de Excel te permite leer este comentario encadenado; sin embargo, las ediciones que se apliquen se quitarán si el archivo se abre en una versión más reciente de Excel. Más información: https://go.microsoft.com/fwlink/?linkid=870924
Comentario:
    Se debe describir los soportes de la ejecución del control y punto de uso de la información. Ejemplo (enlaces de carpetas)</t>
      </text>
    </comment>
    <comment ref="AW13" authorId="5" shapeId="0" xr:uid="{975DE72D-945A-4BAE-A64E-E42069A0D1CB}">
      <text>
        <t>[Comentario encadenado]
Tu versión de Excel te permite leer este comentario encadenado; sin embargo, las ediciones que se apliquen se quitarán si el archivo se abre en una versión más reciente de Excel. Más información: https://go.microsoft.com/fwlink/?linkid=870924
Comentario:
    Se realiza una descripción breve de lo ejecutado en el periodo</t>
      </text>
    </comment>
    <comment ref="AX13" authorId="6" shapeId="0" xr:uid="{837D0758-B511-4B9B-885F-44B15625A2B0}">
      <text>
        <t>[Comentario encadenado]
Tu versión de Excel te permite leer este comentario encadenado; sin embargo, las ediciones que se apliquen se quitarán si el archivo se abre en una versión más reciente de Excel. Más información: https://go.microsoft.com/fwlink/?linkid=870924
Comentario:
    Se debe describir los soportes de la ejecución del control y punto de uso de la información. Ejemplo (enlaces de carpetas)</t>
      </text>
    </comment>
    <comment ref="O15" authorId="7" shapeId="0" xr:uid="{749F69DC-97DE-5041-AF4F-9BC67B1888E8}">
      <text>
        <r>
          <rPr>
            <b/>
            <sz val="10"/>
            <color rgb="FF000000"/>
            <rFont val="Tahoma"/>
            <family val="2"/>
          </rPr>
          <t>Stefany Parra:</t>
        </r>
        <r>
          <rPr>
            <sz val="10"/>
            <color rgb="FF000000"/>
            <rFont val="Tahoma"/>
            <family val="2"/>
          </rPr>
          <t xml:space="preserve">
</t>
        </r>
        <r>
          <rPr>
            <sz val="10"/>
            <color rgb="FF000000"/>
            <rFont val="Tahoma"/>
            <family val="2"/>
          </rPr>
          <t>numero de contratos suscritos en el 2025</t>
        </r>
      </text>
    </comment>
    <comment ref="O17" authorId="7" shapeId="0" xr:uid="{51D9DFE9-93D7-5F4C-AF10-488B164864C5}">
      <text>
        <r>
          <rPr>
            <b/>
            <sz val="10"/>
            <color rgb="FF000000"/>
            <rFont val="Tahoma"/>
            <family val="2"/>
          </rPr>
          <t>Stefany Parra:</t>
        </r>
        <r>
          <rPr>
            <sz val="10"/>
            <color rgb="FF000000"/>
            <rFont val="Tahoma"/>
            <family val="2"/>
          </rPr>
          <t xml:space="preserve">
</t>
        </r>
        <r>
          <rPr>
            <sz val="10"/>
            <color rgb="FF000000"/>
            <rFont val="Tahoma"/>
            <family val="2"/>
          </rPr>
          <t>Informes de supervisión 2025</t>
        </r>
      </text>
    </comment>
    <comment ref="O19" authorId="7" shapeId="0" xr:uid="{2AFEB9E5-0AC0-4847-A2CC-EC20FC2AB762}">
      <text>
        <r>
          <rPr>
            <b/>
            <sz val="10"/>
            <color rgb="FF000000"/>
            <rFont val="Tahoma"/>
            <family val="2"/>
          </rPr>
          <t>Stefany Parra:</t>
        </r>
        <r>
          <rPr>
            <sz val="10"/>
            <color rgb="FF000000"/>
            <rFont val="Tahoma"/>
            <family val="2"/>
          </rPr>
          <t xml:space="preserve">
</t>
        </r>
        <r>
          <rPr>
            <sz val="10"/>
            <color rgb="FF000000"/>
            <rFont val="Tahoma"/>
            <family val="2"/>
          </rPr>
          <t xml:space="preserve">numero de contratos suscritos en el 2025, </t>
        </r>
        <r>
          <rPr>
            <sz val="10"/>
            <color rgb="FF000000"/>
            <rFont val="Calibri"/>
            <family val="2"/>
          </rPr>
          <t>únicamente aquellos que correspondan a servicios cuya interrupción pueda afectar la continuidad de las actividades institucionales. No necesariamente todos los contratos de la entidad.</t>
        </r>
      </text>
    </comment>
    <comment ref="O21" authorId="7" shapeId="0" xr:uid="{8B1D7A7F-27BC-0A4A-8FBD-FBD7740C6ECB}">
      <text>
        <r>
          <rPr>
            <b/>
            <sz val="10"/>
            <color rgb="FF000000"/>
            <rFont val="Tahoma"/>
            <family val="2"/>
          </rPr>
          <t>Stefany Parra:</t>
        </r>
        <r>
          <rPr>
            <sz val="10"/>
            <color rgb="FF000000"/>
            <rFont val="Tahoma"/>
            <family val="2"/>
          </rPr>
          <t xml:space="preserve">
</t>
        </r>
        <r>
          <rPr>
            <sz val="10"/>
            <color rgb="FF000000"/>
            <rFont val="Calibri"/>
            <family val="2"/>
          </rPr>
          <t>Número de estudios previos elaborados y aprobados durante la vigencia 2025.</t>
        </r>
      </text>
    </comment>
  </commentList>
</comments>
</file>

<file path=xl/sharedStrings.xml><?xml version="1.0" encoding="utf-8"?>
<sst xmlns="http://schemas.openxmlformats.org/spreadsheetml/2006/main" count="801" uniqueCount="472">
  <si>
    <r>
      <rPr>
        <b/>
        <sz val="6"/>
        <color rgb="FF000000"/>
        <rFont val="Arial"/>
        <family val="2"/>
      </rPr>
      <t xml:space="preserve">Escuela Tecnológica Instituto Técnico Central
</t>
    </r>
    <r>
      <rPr>
        <b/>
        <sz val="5"/>
        <color rgb="FF000000"/>
        <rFont val="Arial"/>
        <family val="2"/>
      </rPr>
      <t>Establecimiento Público de Educación Superior</t>
    </r>
  </si>
  <si>
    <t>MAPA Y PLAN DE TRATAMIENTO DE RIESGOS</t>
  </si>
  <si>
    <t>CÓDIGO: GSI- CA-FO-09</t>
  </si>
  <si>
    <t>VERSIÓN: 9</t>
  </si>
  <si>
    <t>VIGENCIA: 2026-04-28</t>
  </si>
  <si>
    <t>PÁGINA:     1 de 1</t>
  </si>
  <si>
    <t xml:space="preserve">PREGUNTAR  RIESGOS DE CORRUPCIÓN </t>
  </si>
  <si>
    <t>CRITERIOS PARA CALIFICAR EL IMPACTO EN RIESGOS DE CORRUPCIÓN</t>
  </si>
  <si>
    <t>CÓDIGO:GSI- CA-FO-09</t>
  </si>
  <si>
    <t>REGRESAR</t>
  </si>
  <si>
    <t>ITEM</t>
  </si>
  <si>
    <t>Criterios para calificar el impacto en riesgos de corrupción</t>
  </si>
  <si>
    <t>MARACAR CON X</t>
  </si>
  <si>
    <t>Pregunta: ¿Si el riesgo de corrupción se materializa podría:</t>
  </si>
  <si>
    <t>SI</t>
  </si>
  <si>
    <t>NO</t>
  </si>
  <si>
    <t>¿Afectar al grupo de funcionarios del proceso?</t>
  </si>
  <si>
    <t>¿Afectar el cumplimiento de metas y objetivos de la dependencia?</t>
  </si>
  <si>
    <t>¿Afectar el cumplimiento de misión de la entidad?</t>
  </si>
  <si>
    <t>¿Afectar el cumplimiento de la misión del sector al que pertenece la entidad?</t>
  </si>
  <si>
    <t>¿Afectar el cumplimiento de misión del sector al que pertenece la entidad?</t>
  </si>
  <si>
    <t>¿Generar perdida de confianza de la entidad , afectando su reputación?</t>
  </si>
  <si>
    <t>¿Generar perdida de recursos económicos?</t>
  </si>
  <si>
    <t>¿Afectar la generación de los productos o la prestación de los servicios?</t>
  </si>
  <si>
    <t>¿Dar lugar al detrimento de la calidad de vida de la comunidad por la perdida del bien, servicio o recursos públicos?</t>
  </si>
  <si>
    <t>¿Generar pérdida de información de la entidad?</t>
  </si>
  <si>
    <t>¿Generar intervención de los órganos de control, de la Fiscalia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</si>
  <si>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</si>
  <si>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</si>
  <si>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</si>
  <si>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</si>
  <si>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</si>
  <si>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</si>
  <si>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</si>
  <si>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</si>
  <si>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</si>
  <si>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Para la calificación del impacto de los riesgos clasificados con tipología de corrupción, se deberá responder las siguientes preguntas, con el fin de determinar el nivel de impacto del riesgo en caso de llegarse a materializar. 
Una vez responda las diecinueve (19) preguntas para cada uno de los riesgos de corrupción, automáticamente la presente hoja se establecerá el nivel de impacto del riesgo que se encuentra valorando, segun los rangos descritos a continuación:</t>
  </si>
  <si>
    <t xml:space="preserve">
Escuela Tecnológica Instituto Técnico Central
Establecimiento Público de Educación Superior</t>
  </si>
  <si>
    <t>MAPA DE RIESGOS</t>
  </si>
  <si>
    <t>VERSIÓN:  9</t>
  </si>
  <si>
    <t>PÁGINA:    1 de 1</t>
  </si>
  <si>
    <t>Proceso:</t>
  </si>
  <si>
    <t>Objetivo:</t>
  </si>
  <si>
    <t>Alcance:</t>
  </si>
  <si>
    <t>PRIMERA LÍNEA DE DEFENSA (Líder del Proceso)</t>
  </si>
  <si>
    <t xml:space="preserve">
PRIMERA LÍNEA DE DEFENSA
MONITOREO  
</t>
  </si>
  <si>
    <t xml:space="preserve">SEGUNDA LÍNEA DE DEFENSA  (Oficina asesora de Planeación) 
</t>
  </si>
  <si>
    <t>TERCERA LÍNEA DE DEFENSA (Control Interno)</t>
  </si>
  <si>
    <t>Identificación del riesgo</t>
  </si>
  <si>
    <t>Análisis del riesgo inherente</t>
  </si>
  <si>
    <t>Evaluación del riesgo - Valoración de los controles</t>
  </si>
  <si>
    <t>Documentación</t>
  </si>
  <si>
    <t>Evaluación del riesgo - Nivel del riesgo residual</t>
  </si>
  <si>
    <t>Plan de Tratamiento</t>
  </si>
  <si>
    <t xml:space="preserve">Referencia </t>
  </si>
  <si>
    <t>Tipo de Riesgo  (Clasificación)</t>
  </si>
  <si>
    <t>Impacto</t>
  </si>
  <si>
    <t>Efecto Dañoso (Riesgo Fiscal)</t>
  </si>
  <si>
    <t>Factor</t>
  </si>
  <si>
    <t xml:space="preserve">Causa Inmediata
</t>
  </si>
  <si>
    <t>Causa Raíz-Amenazas</t>
  </si>
  <si>
    <t>Clasificación del Riesgo</t>
  </si>
  <si>
    <t xml:space="preserve">Seguridad de la Información </t>
  </si>
  <si>
    <t>Frecuencia con la cual se realiza la actividad</t>
  </si>
  <si>
    <t>Probabilidad Inherente</t>
  </si>
  <si>
    <t>%</t>
  </si>
  <si>
    <t>Criterios de impacto</t>
  </si>
  <si>
    <t>Impacto 
Inherente</t>
  </si>
  <si>
    <t>Zona de Riesgo Inherente</t>
  </si>
  <si>
    <t>No. Control</t>
  </si>
  <si>
    <t>Descripción del Control
Responsable+ Frecuencia+ Propósito+ Desviación</t>
  </si>
  <si>
    <t>Soportes del Control</t>
  </si>
  <si>
    <t>Afectación</t>
  </si>
  <si>
    <t>Atributos</t>
  </si>
  <si>
    <t>Probabilidad Residual</t>
  </si>
  <si>
    <t>Probabilidad Residual Final</t>
  </si>
  <si>
    <t>Impacto Residual Final</t>
  </si>
  <si>
    <t>Zona de Riesgo Final</t>
  </si>
  <si>
    <t>Tratamiento</t>
  </si>
  <si>
    <t>No. Acciones</t>
  </si>
  <si>
    <t xml:space="preserve"> Acción</t>
  </si>
  <si>
    <t>Responsable</t>
  </si>
  <si>
    <t xml:space="preserve"> Evidencia de la Acción</t>
  </si>
  <si>
    <t>Fecha Implementación</t>
  </si>
  <si>
    <t xml:space="preserve">Fecha de Reporte </t>
  </si>
  <si>
    <t>¿El riesgo se materializó?</t>
  </si>
  <si>
    <t xml:space="preserve">Evidencias de la ejecución del Control </t>
  </si>
  <si>
    <t>Evidencias de la ejecucióndel Plan de Tratamiento</t>
  </si>
  <si>
    <t xml:space="preserve">Estado del Plan de Acción </t>
  </si>
  <si>
    <t>Fecha Seguimiento</t>
  </si>
  <si>
    <t xml:space="preserve">Ubicación de las evidencias </t>
  </si>
  <si>
    <t xml:space="preserve">Seguimiento y Evaluación
</t>
  </si>
  <si>
    <t>Activo de información afectado</t>
  </si>
  <si>
    <t>Criterio afectado</t>
  </si>
  <si>
    <t>Tipo</t>
  </si>
  <si>
    <t>Implementación</t>
  </si>
  <si>
    <t>Calificación</t>
  </si>
  <si>
    <t>Frecuencia</t>
  </si>
  <si>
    <t>Evidencia</t>
  </si>
  <si>
    <t>Corrupción</t>
  </si>
  <si>
    <t>Detectivo</t>
  </si>
  <si>
    <t>Reducir (mitigar)</t>
  </si>
  <si>
    <t>NA</t>
  </si>
  <si>
    <r>
      <rPr>
        <sz val="11"/>
        <color theme="9"/>
        <rFont val="Arial"/>
        <family val="2"/>
      </rPr>
      <t xml:space="preserve">*Nota: </t>
    </r>
    <r>
      <rPr>
        <sz val="11"/>
        <color theme="1"/>
        <rFont val="Arial"/>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</si>
  <si>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r>
      <rPr>
        <b/>
        <sz val="14"/>
        <rFont val="Arial"/>
        <family val="2"/>
      </rPr>
      <t>LIDER DEL PROCESO:</t>
    </r>
    <r>
      <rPr>
        <sz val="14"/>
        <rFont val="Arial"/>
        <family val="2"/>
      </rPr>
      <t xml:space="preserve"> Hno. Ariosto Ardila Silva</t>
    </r>
  </si>
  <si>
    <t>Iniciada</t>
  </si>
  <si>
    <t>Sin iniciar</t>
  </si>
  <si>
    <t>CLASIF. DE CONFIDENCIALIDAD</t>
  </si>
  <si>
    <t>IPB</t>
  </si>
  <si>
    <t>CLASIF. DE INTEGRIDAD</t>
  </si>
  <si>
    <t>A</t>
  </si>
  <si>
    <t>CLASIF. DE DISPONIBILIDAD</t>
  </si>
  <si>
    <t>cumplida</t>
  </si>
  <si>
    <t xml:space="preserve">Documento controlado por el Sistema de Gestión de la Calidad
Asegúrese que corresponde a la última versión consultando el micrositio de calidad de la Escuela Tecnológica Instituto Técnico Central (ETITC) </t>
  </si>
  <si>
    <t>Incumplida</t>
  </si>
  <si>
    <t>Criterios_Impacto</t>
  </si>
  <si>
    <t xml:space="preserve">     Afectación menor a 10 SMLMV .</t>
  </si>
  <si>
    <t>Leve</t>
  </si>
  <si>
    <t xml:space="preserve">     Entre 10 y 50 SMLMV </t>
  </si>
  <si>
    <t>Menor</t>
  </si>
  <si>
    <t xml:space="preserve">     Entre 50 y 100 SMLMV </t>
  </si>
  <si>
    <t>Moderado</t>
  </si>
  <si>
    <t xml:space="preserve">     Entre 100 y 500 SMLMV </t>
  </si>
  <si>
    <t>Mayor</t>
  </si>
  <si>
    <t xml:space="preserve">     Mayor a 500 SMLMV </t>
  </si>
  <si>
    <t>Catastrófico</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</si>
  <si>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</si>
  <si>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</si>
  <si>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</si>
  <si>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</si>
  <si>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</si>
  <si>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Moderado (Corrupción)</t>
  </si>
  <si>
    <t>Mayor (Corrupción)</t>
  </si>
  <si>
    <t>Catastrófico (Corrupción)</t>
  </si>
  <si>
    <t>14.	Tipología de riesgos que enmarcan la política de administración del riesgo</t>
  </si>
  <si>
    <t>6.4.	 Identificación de áreas de factores de riesgo</t>
  </si>
  <si>
    <t>Efecto Dañoso (fiscal)</t>
  </si>
  <si>
    <t>FACTOR</t>
  </si>
  <si>
    <t xml:space="preserve">Clasificacion del riesgo </t>
  </si>
  <si>
    <t xml:space="preserve">Riesgo Materializado </t>
  </si>
  <si>
    <t>Activo de información</t>
  </si>
  <si>
    <t>Criterio</t>
  </si>
  <si>
    <t>Plan de accion (solo para la opción reducir)</t>
  </si>
  <si>
    <t>Gestión</t>
  </si>
  <si>
    <t>•	Procesos</t>
  </si>
  <si>
    <t>Económico</t>
  </si>
  <si>
    <t>Recursos Públicos</t>
  </si>
  <si>
    <t>Evento externo</t>
  </si>
  <si>
    <t>Daños Activos Fisicos</t>
  </si>
  <si>
    <t>Información</t>
  </si>
  <si>
    <t>Confidencialidad</t>
  </si>
  <si>
    <t>Preventivo</t>
  </si>
  <si>
    <t>Automático</t>
  </si>
  <si>
    <t>Documentado</t>
  </si>
  <si>
    <t>Continua</t>
  </si>
  <si>
    <t>Registro Sustancial</t>
  </si>
  <si>
    <t>Aceptar</t>
  </si>
  <si>
    <t>Finalizado</t>
  </si>
  <si>
    <t>•	Talento humano</t>
  </si>
  <si>
    <t>Reputacional</t>
  </si>
  <si>
    <t>Bienes Públicos</t>
  </si>
  <si>
    <t>Financiero</t>
  </si>
  <si>
    <t>Ejecucion y Administracion de procesos</t>
  </si>
  <si>
    <t xml:space="preserve">Software </t>
  </si>
  <si>
    <t>Disponibilidad</t>
  </si>
  <si>
    <t>Manual</t>
  </si>
  <si>
    <t>Sin Documentar</t>
  </si>
  <si>
    <t>Aleatoria</t>
  </si>
  <si>
    <t>Registro Material</t>
  </si>
  <si>
    <t>Evitar</t>
  </si>
  <si>
    <t>En curso</t>
  </si>
  <si>
    <t>Fiscal</t>
  </si>
  <si>
    <t>•	Tecnología</t>
  </si>
  <si>
    <t>Económico y Reputacional</t>
  </si>
  <si>
    <t>Intereses Patrimoniales de Naturaleza Pública</t>
  </si>
  <si>
    <t>Infraestructura</t>
  </si>
  <si>
    <t>Fallas Tecnologicas</t>
  </si>
  <si>
    <t>Hardware</t>
  </si>
  <si>
    <t>Integridad</t>
  </si>
  <si>
    <t>Correctivo</t>
  </si>
  <si>
    <t>Sin registro</t>
  </si>
  <si>
    <t>Reducir</t>
  </si>
  <si>
    <t>•	Infraestructura</t>
  </si>
  <si>
    <t>Procesos</t>
  </si>
  <si>
    <t>Fraude Externo</t>
  </si>
  <si>
    <t>Servicios</t>
  </si>
  <si>
    <t>NO APLICA</t>
  </si>
  <si>
    <t>•	Evento externo</t>
  </si>
  <si>
    <t>Talento humano</t>
  </si>
  <si>
    <t>Fraude Interno</t>
  </si>
  <si>
    <t>Intangibles</t>
  </si>
  <si>
    <t>Reducir (compartir)</t>
  </si>
  <si>
    <t>Tecnología</t>
  </si>
  <si>
    <t>Relaciones Laborales</t>
  </si>
  <si>
    <t>Componentes
de red</t>
  </si>
  <si>
    <t>Usuarios, productos y practicas , organizacionales</t>
  </si>
  <si>
    <t>Personas</t>
  </si>
  <si>
    <t>Instalaciones</t>
  </si>
  <si>
    <t>Redaccion del Riesgo General</t>
  </si>
  <si>
    <t xml:space="preserve">Redaccion del Riesgo  fiscal </t>
  </si>
  <si>
    <t>CONTEXTO - DOFA</t>
  </si>
  <si>
    <t>DEBILIDADES</t>
  </si>
  <si>
    <t>ESTADO</t>
  </si>
  <si>
    <t>D1. Falta de disponibilidad de recurso humano contratado, con cobertura en las diferentes sedes, Seccionales, Extensiones, unidades Agroambientales y Oficinas de la Universidad, que garantice el apoyo continuó durante todo el período académico</t>
  </si>
  <si>
    <t>D2. Falta de conocimiento de la normatividad legal vigente, aplicable y actualizada, relacionada con aspectos e impactos ambientales asociados al desempeño ambiental institucional y de su respectivo seguimiento.</t>
  </si>
  <si>
    <t>D3. Falta de conocimiento, participación, de la totalidad de  la comunidad universitaria y otras partes interesadas del  Sistema de Gestión Ambiental, y las actividades de implementación del mismo, de la Política Ambiental y  Programas ambientales del Plan Institucional de Gestión Ambiental PIGA.</t>
  </si>
  <si>
    <t>D4. Falta de compromiso y sentido de pertenencia con los temas ambientales por parte de algunos sectores de la comunidad universitaria y otras partes interesadas, reflejado en la falta de participación  en actividades del SGA y de lineamientos ambientales.</t>
  </si>
  <si>
    <t>D5. Falta de articulación de los lineamientos del SGA con los procesos del Modelo de Operación Digital</t>
  </si>
  <si>
    <t xml:space="preserve">D6. Falta de articulación con la academia en temas ambientales, reflejado en el bajo porcentaje de cobertura del Sistema de Gestión de Ambiental respecto a los estudiantes en relación en relación al porcentaje que representan en la comunidad universitaria. </t>
  </si>
  <si>
    <t xml:space="preserve">D7. Falta de articulación de temas ambientales con el Plan de Emergencias Institucional  </t>
  </si>
  <si>
    <t xml:space="preserve">D8. Falta de recursos disponibles de forma oportuna para el desarrollo y continuidad de actividades del Sistema de Gestión Ambiental. </t>
  </si>
  <si>
    <t>D9. Falta  de recursos para desplazamientos del equipo del Sistema de Gestión Ambiental.</t>
  </si>
  <si>
    <t>D10.  Incumplimiento del código de colores de clasificación de residuos institucional por desconocimiento, falta de conciencia ambiental y compromiso de parte de algunos sectores de la comunidad universitaria y otras partes interesadas, o por no contar con la totalidad de los dispositivos de almacenamiento requeridos.</t>
  </si>
  <si>
    <t>AMENAZAS</t>
  </si>
  <si>
    <t>A1. Prácticas ambientales inadecuadas por parte de vecinos de la comunidad circundante a las instalaciones de la Universidad, que puedan afectar su desempeño ambiental.</t>
  </si>
  <si>
    <t xml:space="preserve">A2. Afectación en el desarrollo de actividades presenciales o virtuales, internas y externas del SGA, debido al riesgo de contagio por virus que puedan alcanzar el nivel de pandemia </t>
  </si>
  <si>
    <t>A3. Falta  de alcance en servicios públicos o de comunicación, y condiciones específicas  de la infraestructura  de algunas sedes.</t>
  </si>
  <si>
    <t>A4. Falta de participación  de las partes interesadas externas en las actividades del Sistema de Gestión Ambiental.</t>
  </si>
  <si>
    <t>A5. Afectación de actividades  del Sistema de Gestión ambiental internas o externas), y  de recursos, elementos o insumos del Plan Institucional de Gestión Ambiental -PIGA, por alteraciones de orden público como manifestaciones, paros,  disturbios y asonadas.</t>
  </si>
  <si>
    <t>A6. Afectación de fenómenos naturales (Cambio climático, fenómeno del niño y la niña, sismos, incendios, caída de árboles, Vendavales) y antrópicos (Orden publico y manifestaciones estudiantiles) que puedan afectar las instalaciones.</t>
  </si>
  <si>
    <t xml:space="preserve">A7. Sanciones o multas por incumplimiento legal </t>
  </si>
  <si>
    <t>A8. Rotación constante de personal en diferentes procesos</t>
  </si>
  <si>
    <t>FORTALEZAS</t>
  </si>
  <si>
    <t>F1.Compromiso de la alta  Dirección para apoyar el proceso, reflejado en liderazgo de Directores Administrativos y del Rector.​</t>
  </si>
  <si>
    <t>F2. Articulación del Sistema de Gestión Ambiental a nivel institucional en Sede, Seccionales y Extensiones.</t>
  </si>
  <si>
    <t>F3. Equipo de profesionales del  Sistema de Gestión Ambiental con competencia  y actitud propositiva en el proceso de planeación, implementación, seguimiento y preparación para los procesos de auditoría del SGA.</t>
  </si>
  <si>
    <t>F4. Disponibilidad de la documentación del Sistema de Gestión ambiental en el sitio web del Modelo de Operación digital, en el marco del PHVA: Caracterización, Política y Objetivos de Gestión Ambiental, Plan Institucional de Gestión Ambiental - PIGA y programas ambientales, Procedimientos, Formatos, Matrices y otros registros SGA.</t>
  </si>
  <si>
    <t>F5.Asignación de rubro para implementación y certificación  del Sistema de Gestión Ambiental_ISO 14001:2015 a través del Proyecto UCundinamarca en Equilibrio con la Naturaleza.</t>
  </si>
  <si>
    <t>F6.Fortalecimiento de la cultura ambiental  a nivel institucional a través del #Reto Ambientalmente en equilibrio con la naturaleza, eventos y capacitaciones ambientales.</t>
  </si>
  <si>
    <t>F7.Divulgación de la Gestión ambiental con la comunidad universitaria y otras partes interesadas a través de publicaciones y eventos en canales institucionales como la página web, la agencia de noticias, redes sociales, revistas digitales de las Seccionales, Extensiones y Periódico digital institucional.</t>
  </si>
  <si>
    <t>F8. Implementación del código de colores de clasificación de residuos con la instalación gradual de Unidades Técnicas de Almacenamiento Central -UTAC-  y Puntos ecológicos en Sede, Seccionales y Extensiones.</t>
  </si>
  <si>
    <t>F9. Implementación de estrategias de sostenibilidad en la Sede, Seccionales y Extensiones, mediante la instalación de dispositivos de ahorro de agua y de energía como paneles fotovoltaicos e iluminación LED.</t>
  </si>
  <si>
    <t>F10.Articulación con los demás componentes del Sistema Integrado de Gestión como: SG SST, SGSI, SGC y con las diferentes procesos y dependencias.</t>
  </si>
  <si>
    <t>F11. Proceso de Medición de Huella de Carbono y reporte internacional de sostenibilidad GRI en articulación con Interacción Social Universitaria y diferentes dependencias relacionadas.</t>
  </si>
  <si>
    <t>F12. Articulación del Sistema de Gestión Ambiental  como parte del proceso de formación para la vida de la comunidad universitaria, desde la dimensión naturaleza del Modelo de Educación Digital Transmoderno -MEDIT.</t>
  </si>
  <si>
    <t>F13. Participación activa de los estudiantes en la Gestión Ambiental Institucional como practicantes y pasantes al SGA</t>
  </si>
  <si>
    <t>F14 Articulación de criterios  ambientales en los procesos  de compras institucionales.</t>
  </si>
  <si>
    <t>F15. Disponibilidad de canales institucionales para la comunicación de solicitudes, felicitaciones</t>
  </si>
  <si>
    <t>OPORTUNIDADES</t>
  </si>
  <si>
    <t xml:space="preserve">O1. Fortalecer la articulación  del  Sistema de Gestión ambiental, con las partes interesadas Internas y  Externas de forma translocal a través de la cultura ambiental.     </t>
  </si>
  <si>
    <t>O2. Ampliar la  cobertura  del proceso de cultura ambiental de la comunidad universitaria con base en la Política de Gestión Ambiental, y los programas del Plan Institucional de Gestión Ambiental -PIGA.</t>
  </si>
  <si>
    <t>O3. Ampliar la cobertura de contenedores para disposición de residuos sólidos y  Unidades Técnicas de Almacenamiento Central UTAC en Sedes, Seccionales y Extensiones</t>
  </si>
  <si>
    <t>O4.Pomover alianzas para el desarrollo de espacios verdes en las Sedes, Seccionales y Extensiones, mediante la  implementación de actividades del Programa de Uso Eficiente de Servicios Ecosistemicos -PUESE- generando un ambiente sano para la comunidad.</t>
  </si>
  <si>
    <t>O5. Fortalecer el acompañamiento y asesoría en las unidades regionales, en condiciones de Pandemia, con actividades virtuales y presenciales según las necesidades de la Sede, Seccional o Extensión.</t>
  </si>
  <si>
    <t>O6.Articulación en de Proyectos Ambientales Universitarios -PRAU- con partes interesadas internas y externas.</t>
  </si>
  <si>
    <t xml:space="preserve">O7. Ampliación de actividades de  medición  de impacto y desempeño institucional con proyección translocal.  </t>
  </si>
  <si>
    <t xml:space="preserve">O8. Instaurar lineamiento de austeridad del gasto con el proceso de Bienes y Servicios articulados con el  Sistema de Gestión Ambiental con el fin de  minimizar el consumo de  materiales a nivel institucional </t>
  </si>
  <si>
    <t xml:space="preserve">O9. Generar espacios virtuales o presenciales para  el fortalecimiento de la cultura ambiental de la comunidad educativa, a través de cursos, diplomados,  programas de voluntariado ( ambiental)  y proyectos que generen impacto ambiental positivo  mediante alianzas estratégicas. </t>
  </si>
  <si>
    <r>
      <rPr>
        <b/>
        <sz val="6"/>
        <color theme="1"/>
        <rFont val="Arial"/>
        <family val="2"/>
      </rPr>
      <t>Escuela Tecnológica Instituto Técnico Central</t>
    </r>
    <r>
      <rPr>
        <b/>
        <sz val="5"/>
        <color theme="1"/>
        <rFont val="Arial"/>
        <family val="2"/>
      </rPr>
      <t xml:space="preserve">
Establecimiento Público de Educación Superior</t>
    </r>
  </si>
  <si>
    <t>CÓDIGO: GDC-FO-09</t>
  </si>
  <si>
    <t>VIGENCIA: 2024-08-22</t>
  </si>
  <si>
    <t>Matriz de Calor Inherente</t>
  </si>
  <si>
    <t>Probabilidad</t>
  </si>
  <si>
    <t>Muy Alta
100%</t>
  </si>
  <si>
    <t>Extremo</t>
  </si>
  <si>
    <t>Alta
80%</t>
  </si>
  <si>
    <t>Alto</t>
  </si>
  <si>
    <t>Media
60%</t>
  </si>
  <si>
    <t>Baja
40%</t>
  </si>
  <si>
    <t>Bajo</t>
  </si>
  <si>
    <t>Muy Baja
20%</t>
  </si>
  <si>
    <t>Leve
20%</t>
  </si>
  <si>
    <t>Menor
40%</t>
  </si>
  <si>
    <t>Moderado
60%</t>
  </si>
  <si>
    <t>Mayor
80%</t>
  </si>
  <si>
    <t>Catastrófico
100%</t>
  </si>
  <si>
    <t>(Y('Mapa final'!$L$22="Muy Alta",'Mapa final'!$P$22="Leve"),CONCATENAR("R",'Mapa final'!$A$22),"")</t>
  </si>
  <si>
    <t xml:space="preserve"> Matriz de Calor Residual</t>
  </si>
  <si>
    <t>Escuela Tecnológica Instituto Técnico Central
Establecimiento Público de Educación Superior</t>
  </si>
  <si>
    <t>FECHA</t>
  </si>
  <si>
    <t>DESCRIPCIÓN DE LA ACTUALIZACIÓN</t>
  </si>
  <si>
    <t>RESPONSABLE</t>
  </si>
  <si>
    <t>CARGO</t>
  </si>
  <si>
    <t xml:space="preserve">Se actualiza en la versión 9 del formato, se eliminan los riesgos No 5 y 6 Para incluirlos como riesgo No 1 en los mapas de comunicaciones y Internacionalización </t>
  </si>
  <si>
    <t xml:space="preserve"> Hno. Ariosto Ardila Silva</t>
  </si>
  <si>
    <t xml:space="preserve">Rector </t>
  </si>
  <si>
    <r>
      <rPr>
        <b/>
        <sz val="11"/>
        <color theme="1"/>
        <rFont val="Arial"/>
        <family val="2"/>
      </rPr>
      <t>C</t>
    </r>
    <r>
      <rPr>
        <sz val="11"/>
        <color theme="1"/>
        <rFont val="Arial"/>
        <family val="2"/>
      </rPr>
      <t xml:space="preserve">ontexto:
Se elininaron las debilidades D3 Y D8:
Se incluyeron las debilidades D10, D11.
se eliminaron las fortalezas: F2,F11,F12,F13Y la F9 paso a fortaleza.
Riesgos: Se elimino el R1(Posibilidad de afectación económica y reputacional por recibir o solicitar cualquier dádiva o beneficio a nombre propio o de terceros al formular proyectos direccionados que no respondan a ninguna necesidad.) por racionalización de riesgos de integro al riesgo No2.
R2:Se cambiaron los controles del riesgos No2, se ajusto redacción en el control no1 y se implemento el control No2.
R4:Se ajusto redacción del riesgo y el control </t>
    </r>
  </si>
  <si>
    <t>Matriz Mapa de Riesgos</t>
  </si>
  <si>
    <t>X</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</si>
  <si>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V6</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</si>
  <si>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</si>
  <si>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</si>
  <si>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2,3 y 5 Mapa Final de Gestión, Corrupción y Seguridad de la Información: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</si>
  <si>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</si>
  <si>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</si>
  <si>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</si>
  <si>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</si>
  <si>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</si>
  <si>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</si>
  <si>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</si>
  <si>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</si>
  <si>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</si>
  <si>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</si>
  <si>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</si>
  <si>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</si>
  <si>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</si>
  <si>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</si>
  <si>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</si>
  <si>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</si>
  <si>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</si>
  <si>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</si>
  <si>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</si>
  <si>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</si>
  <si>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</si>
  <si>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</si>
  <si>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</si>
  <si>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</si>
  <si>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</si>
  <si>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</si>
  <si>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</si>
  <si>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</si>
  <si>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</si>
  <si>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</si>
  <si>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</si>
  <si>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</si>
  <si>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</si>
  <si>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</si>
  <si>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</si>
  <si>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</si>
  <si>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</si>
  <si>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</si>
  <si>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</si>
  <si>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</si>
  <si>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</si>
  <si>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</si>
  <si>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</si>
  <si>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</si>
  <si>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</si>
  <si>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6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</si>
  <si>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7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</si>
  <si>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8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</si>
  <si>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9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</si>
  <si>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10 Tabla de Valoración de Controles: </t>
    </r>
    <r>
      <rPr>
        <sz val="11"/>
        <rFont val="Arial Narrow"/>
        <family val="2"/>
      </rPr>
      <t>Tabla referente para todos los cálculos (no se diligencia)</t>
    </r>
  </si>
  <si>
    <t xml:space="preserve">Tipo </t>
  </si>
  <si>
    <t>Ambiental</t>
  </si>
  <si>
    <t>Software</t>
  </si>
  <si>
    <t>Estratégico</t>
  </si>
  <si>
    <t>Documental</t>
  </si>
  <si>
    <t>Seguridad digital</t>
  </si>
  <si>
    <t>SST</t>
  </si>
  <si>
    <t>Tecnológico</t>
  </si>
  <si>
    <t>VERSIÓN: 8</t>
  </si>
  <si>
    <t>VERSIÓN</t>
  </si>
  <si>
    <t>CAMBIOS</t>
  </si>
  <si>
    <t xml:space="preserve">Se incluye protada, control de cambios del registro, riesgos fiscales </t>
  </si>
  <si>
    <t>28/4/2026</t>
  </si>
  <si>
    <t xml:space="preserve">Se ajusta el formato en las siguientes condiciones: 
1- Se ajustan las tipologias de riesgos: Corrupción, Fiscal, Seguridad de la Información y Gestión.
2- Se incluye en los criterios de impacto de corrupción: Moderado, Mayor, Catastrófico.
3- Se ajusta las variables del diseño del control
4- Se ajustan la descripción para el monitoreo de la primera y segunda linea, así como la evaluación para la tercera linea de defensa. m
</t>
  </si>
  <si>
    <t>ELABORÓ</t>
  </si>
  <si>
    <t>REVISÓ</t>
  </si>
  <si>
    <t>APROBÓ</t>
  </si>
  <si>
    <t>ANAY PINTO</t>
  </si>
  <si>
    <t xml:space="preserve">JORGE HERRERA ORTIZ </t>
  </si>
  <si>
    <t>Profesional de Calidad</t>
  </si>
  <si>
    <t>Representante de la Dirección</t>
  </si>
  <si>
    <t>Documento controlado por el Sistema de Gestión de la Calidad</t>
  </si>
  <si>
    <t>Asegúrese que corresponde a la última versión consultando el micrositio de calidad de la Escuela Tecnológica Instituto Técnico Central (ETITC)</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</si>
  <si>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</si>
  <si>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</si>
  <si>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</si>
  <si>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</si>
  <si>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</si>
  <si>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</si>
  <si>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</si>
  <si>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</si>
  <si>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</si>
  <si>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</si>
  <si>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</si>
  <si>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</si>
  <si>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</si>
  <si>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</si>
  <si>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</si>
  <si>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</si>
  <si>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</si>
  <si>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</si>
  <si>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</si>
  <si>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</si>
  <si>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</si>
  <si>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</si>
  <si>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</si>
  <si>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</si>
  <si>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</si>
  <si>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 80%</t>
  </si>
  <si>
    <t xml:space="preserve">Entre 100 y 500 SMLMV </t>
  </si>
  <si>
    <t>El riesgo afecta la imagen de la entidad con efecto publicitario sostenido a nivel de sector administrativo, nivel departamental o municipal</t>
  </si>
  <si>
    <t>Catastrófico 100%</t>
  </si>
  <si>
    <t xml:space="preserve">Mayor a 500 SMLMV </t>
  </si>
  <si>
    <t>El riesgo afecta la imagen de la entidad a nivel nacional, con efecto publicitarios sostenible a nivel país</t>
  </si>
  <si>
    <t>Afectación_Económica_o_presupuestal</t>
  </si>
  <si>
    <t>Pérdida_Reputacional</t>
  </si>
  <si>
    <t>Criterios</t>
  </si>
  <si>
    <t>Subcriterios</t>
  </si>
  <si>
    <t>Afectación Económica o presupuestal</t>
  </si>
  <si>
    <t>Afectación menor a 10 SMLMV .</t>
  </si>
  <si>
    <t>El riesgo afecta la imagen de de la entidad con efecto publicitario sostenido a nivel de sector administrativo, nivel departamental o municipal</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</si>
  <si>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</si>
  <si>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</si>
  <si>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</si>
  <si>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</si>
  <si>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</si>
  <si>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</si>
  <si>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</si>
  <si>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</si>
  <si>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</si>
  <si>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</si>
  <si>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</si>
  <si>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</si>
  <si>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</si>
  <si>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</si>
  <si>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</si>
  <si>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</si>
  <si>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</si>
  <si>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</si>
  <si>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</si>
  <si>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</si>
  <si>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</si>
  <si>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</si>
  <si>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</si>
  <si>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Seguimiento</t>
  </si>
  <si>
    <t>Avance de Ejecución de Control(es)</t>
  </si>
  <si>
    <t>Avance de Ejecución de Plan de Tratamiento</t>
  </si>
  <si>
    <t xml:space="preserve">Descripción del Riesgo
</t>
  </si>
  <si>
    <t xml:space="preserve">GAD-PC-03 Contratación directa 
GAD-PC-11 Adquisición por Tienda Virtual del Estado Colombiano </t>
  </si>
  <si>
    <t>GAD-PC-03 Contratación directa 
GAD-PC-04 Menor Cuantía 
GAD-PC-05 Subasta
GAD-PC-10 Mínima cuantía</t>
  </si>
  <si>
    <t>Realizar jornadas de capacitación dirigidas a funcionarios y contratistas sobre temas relacionados con normatividad contractual, principios de transparencia (estructuración de estudios previos), supervisión contractual, prevención de riesgos de corrupción en la contratación pública, etc</t>
  </si>
  <si>
    <t>Soportes de la capacitación</t>
  </si>
  <si>
    <t>Revisar la pertinencia de actualizar la documentación del proceso de Adquisiciones aplicables a los procesos contractuales de la entidad, realizando la gestión correspondiente para su actualización en el SIACET en los casos que se requiera</t>
  </si>
  <si>
    <t>Posibilidad de afectación económica y reputacional por el favorecimiento indebido de oferentes durante la adjudicación de procesos contractuales, para beneficio propio o de terceros, debido a la aplicación subjetiva de criterios de evaluación y debilidades en los controles del proceso contractual.</t>
  </si>
  <si>
    <t>El supervisor del contrato verifica, previo a la autorización de pagos, el cumplimiento de las obligaciones contractuales y la entrega de los bienes o servicios conforme a las condiciones pactadas, mediante la revisión de informes, soportes y evidencias de ejecución, con el fin de garantizar que los pagos se realicen conforme al cumplimiento efectivo del objeto contractual.
La ejecución del control se evidencia mediante certificaciones de cumplimiento, informes de supervisión, cuentas de cobro y soportes contractuales correspondientes, verificables en el expediente contractual publicado en SECOP II.
En caso de identificar inconsistencias, incumplimientos o soportes incompletos, se suspende el trámite de pago hasta que se subsanen las observaciones identificadas.</t>
  </si>
  <si>
    <t xml:space="preserve">Listado de los contratos en ejecución en SECOP II para la verificación de los registros de la supervisión (expediente contractual) </t>
  </si>
  <si>
    <t>GAD-PC-07
PROCEDIMIENTO DE SUPERVISIÓN E INTERVENTORÍA DE
CONTRATOS</t>
  </si>
  <si>
    <t>Desarrollar actividades de sensibilización sobre la importancia del seguimiento contractual, responsabilidad del supervisor y consecuencias derivadas del incumplimiento de obligaciones contractuales.</t>
  </si>
  <si>
    <t>aplicación subjetiva de criterios de evaluación y debilidades en los controles del proceso contractual.</t>
  </si>
  <si>
    <t>favorecimiento indebido de oferentes durante la adjudicación de procesos contractuales, para beneficio propio o de terceros,</t>
  </si>
  <si>
    <t xml:space="preserve">Apoyar la  adquisición de bienes y servicios requeridos por la Escuela Tecnológica Instituto Técnico Central. </t>
  </si>
  <si>
    <t>GESTIÓN DE ADQUISICIONES</t>
  </si>
  <si>
    <t>Apoyo a las áreas de la Escuela Tecnológica Instituto Técnico Central para la selección objetiva, para la adquisición de bienes y/o servicios con el uso de las herramientas
públicas de contratación.</t>
  </si>
  <si>
    <t>Deficiencias en la supervisión, seguimiento y cumplimiento de las obligaciones contractuales y legales asociadas a contratos y convenios institucionales</t>
  </si>
  <si>
    <t>Debilidades en la aplicación de lineamientos, controles internos y normatividad relacionada con la gestión contractual.</t>
  </si>
  <si>
    <t>interrupción o incumplimiento en la prestación de bienes y servicios contratados que afecten la continuidad de las actividades institucionales,</t>
  </si>
  <si>
    <t>debilidades en la identificación de necesidades de continuidad, la gestión de riesgos contractuales y el seguimiento a las obligaciones de los proveedores.</t>
  </si>
  <si>
    <t>El supervisor o interventor del contrato verifica, con la periodicidad definida en el cronograma de seguimiento, la ejecución de las obligaciones contractuales que resulten críticas para la continuidad de los bienes o servicios contratados, mediante la revisión de informes de ejecución, soportes de cumplimiento y situaciones que puedan afectar la prestación del servicio, con el fin de identificar oportunamente desviaciones y gestionar las acciones necesarias para evitar interrupciones en la operación institucional. La ejecución del control se evidencia mediante informes de supervisión, certificaciones de cumplimiento y soportes de seguimiento incorporados al expediente contractual. En caso de identificar incumplimientos o situaciones que afecten la continuidad, el supervisor solicita al contratista las acciones correctivas correspondientes y comunica la situación al líder del proceso para la gestión contractual que resulte procedente.</t>
  </si>
  <si>
    <t>GAD-PC-07, Procedimiento de Supervisión e Interventoría de Contratos.</t>
  </si>
  <si>
    <t>Listado de los contratos en ejecución en SECOP II para la verificación de los registros de la supervisión (informes de supervisión, certificaciones de cumplimiento y soportes de seguimiento incorporados al expediente contractual)</t>
  </si>
  <si>
    <t>GAD-PC-06, Procedimiento de Modificaciones Contractuales, y GAD-FO-04, Solicitud de Adiciones, Prórrogas, Suspensiones y/o Modificaciones Contractuales</t>
  </si>
  <si>
    <t>Soportes de revisión y actualización en el SIACET en los casos que corresponda</t>
  </si>
  <si>
    <t>Soportes de capacitación</t>
  </si>
  <si>
    <t>Diseñar, implementar y poner en funcionamiento un repositorio documental del proceso de Gestión de Adquisiciones que centralice y conserve los registros contractuales, financieros y de supervisión que soportan la ejecución, los pagos y la liquidación de los contratos, con el fin de fortalecer la trazabilidad y disponibilidad de la información necesaria para la verificación del cumplimiento contractual y la protección de los recursos públicos.</t>
  </si>
  <si>
    <t>Soportes de la creación e implemantación del repositorio documental</t>
  </si>
  <si>
    <t>Debilidades en la estimación de costos, la definición de especificaciones técnicas y la verificación de las condiciones económicas de los bienes y servicios requeridos.</t>
  </si>
  <si>
    <t>Insuficiente estandarización y articulación de los lineamientos para la estructuración de estudios previos y la validación de las necesidades institucionales.</t>
  </si>
  <si>
    <t>GAD-PC-03, GAD-PC-04, GAD-PC-05, GAD-PC-10 y GAD-PC-11, según la modalidad de contratación; GAD-FO-05 y GAD-FO-20.</t>
  </si>
  <si>
    <t>Posibilidad de afectación económica y reputacional por deficiencias en el seguimiento y verificación del cumplimiento de las obligaciones contractuales y legales asociadas a contratos y convenios institucionales, debido a debilidades en la aplicación de lineamientos, controles internos y normatividad relacionada con la gestión contractual.</t>
  </si>
  <si>
    <t xml:space="preserve">Listado de los contratos en ejecución en SECOP II para la verificación del expediente contractual (estudios previos, matrices de riesgos, minutas y demás documentos que integran el expediente contractual) </t>
  </si>
  <si>
    <t>Procedimientos de contratación aplicables según la modalidad.</t>
  </si>
  <si>
    <t>Revisar la pertinencia de actualizar y fortalecer los lineamientos y formatos utilizados para la estructuración de estudios previos y documentos contractuales, incorporando criterios mínimos para la definición de obligaciones, productos, entregables, criterios de aceptación, mecanismos de seguimiento y gestión de novedades contractuales, con el fin de facilitar la verificación posterior del cumplimiento por parte de los supervisores.</t>
  </si>
  <si>
    <t>Soportes de la revisión realizada y Documentos actualizados en el SIACET</t>
  </si>
  <si>
    <t>Revisar la pertinencia de actualizar los lineamientos de planeación y seguimiento contractual para incluir la identificación de bienes y servicios críticos, criterios de continuidad y alternativas de atención ante incumplimientos de proveedores.</t>
  </si>
  <si>
    <t>Soportes de la revisión realizada y Documentos actualizados en el SIACET en los casos que corresponda</t>
  </si>
  <si>
    <t>Listado con los procesos contractuales publicados en SECOP II y TVEC (expediente contractual que contiene estudios previos y documentos publicados en la plataforma transaccional correspondiente).
Correo electrónico dirigido a la dependencia solicitante en caso de requerir subsanar los soportes para la contración</t>
  </si>
  <si>
    <t>Solicitud de modificación contractual
Listado de los contratos en ejecución en SECOP II para la verificación de los registros (informe del supervisor y la modificación contractual suscrita y aprobada en SECOP II.)</t>
  </si>
  <si>
    <t>Apoyar en la coordinación de jornadas de sensibilización dirigidas a supervisores sobre identificación de riesgos de continuidad, seguimiento de obligaciones contractuales y gestión oportuna de incumplimientos.</t>
  </si>
  <si>
    <t>El profesional de Adquisiciones y/o quien este designe verifica, previo a la aprobación de los estudios previos, la correspondencia entre la necesidad institucional, las especificaciones técnicas, las cantidades requeridas y el presupuesto estimado, mediante la revisión de los soportes de planeación y las cotizaciones o estudios de mercado correspondientes, con el fin de prevenir la estructuración de procesos contractuales que puedan generar mayores costos o adquisiciones innecesarias. La ejecución del control se evidencia mediante los estudios previos y las cotizaciones. En caso de identificar inconsistencias, solicita los ajustes necesarios antes de continuar con el trámite contractual.</t>
  </si>
  <si>
    <t xml:space="preserve">Listado de los contratos en ejecución en SECOP II para la verificación de los registros del expediente precontractual (estudios previos y las cotizaciones.)
</t>
  </si>
  <si>
    <t>El profesional de Adquisiciones y/o quien este designe verifica, antes de la aprobación de las modificaciones contractuales que puedan afectar la continuidad de un bien o servicio crítico, que el supervisor haya documentado la situación que origina la modificación, el impacto sobre la prestación del servicio y la alternativa de atención requerida, con el fin de asegurar que las decisiones contractuales se adopten de manera oportuna y conforme a la normatividad vigente. La ejecución del control se evidencia mediante la solicitud de modificación contractual, el informe del supervisor y la modificación contractual suscrita y aprobada en SECOP II. En caso de identificar que la modificación no garantiza la continuidad o carece de justificación suficiente, el profesional solicita los ajustes o soportes necesarios antes de continuar con el trámite.</t>
  </si>
  <si>
    <t>El profesional de Adquisiciones y/o quien este designe verifica, durante la estructuración y formalización de los procesos contractuales, que los estudios previos, las minutas y demás documentos contractuales incorporen de manera clara las obligaciones, productos, entregables, plazos, criterios de aceptación, mecanismos de seguimiento y condiciones para la modificación, suspensión o terminación del contrato, de acuerdo con la modalidad de contratación y la normatividad aplicable. La ejecución del control se evidencia mediante los estudios previos, matrices de riesgos, minutas y demás documentos que integran el expediente contractual. En caso de identificar obligaciones, entregables o criterios de verificación incompletos o inconsistentes, solicita al área responsable los ajustes correspondientes antes de continuar con el trámite contractual.</t>
  </si>
  <si>
    <t>El profesional de Adquisiciones y/o quien este designe verifica,, en cada proceso contractual, el cumplimiento de los requisitos jurídicos, técnicos y financieros establecidos en los estudios previos, la normatividad vigente y el manual de contratación, mediante la aplicación de listas de chequeo y la validación de los soportes documentales requeridos, con el fin de garantizar la objetividad y transparencia en la selección y contratación de proveedores y contratistas.
La ejecución del control se evidencia mediante estudios previos, listas de chequeo y documentos publicados en la plataforma transaccional correspondiente.
En caso de identificar inconsistencias, ausencia de soportes o incumplimiento de requisitos habilitantes, se solicita la subsanación o ajuste correspondiente antes de continuar con el trámite contractual, dejando evidencia de las actuaciones realizadas.</t>
  </si>
  <si>
    <t>El líder del proceso de Adquisiciones, o quien este designe, verificará que, para cada proceso de contratación, con excepción de los procesos de prestación de servicios profesionales y de apoyo a la gestión (OPS) y de las órdenes de compra a través de la Tienda Virtual del Estado Colombiano (TVEC), se encuentre debidamente elaborada el acta del Comité de Contratación, en la cual conste la presentación de las evaluaciones realizadas por el Comité Evaluador designado para cada proceso.
En dicha acta deberán quedar consignados los resultados parciales y finales de las evaluaciones, así como la votación de los miembros del Comité Evaluador respecto del sentido de la recomendación de adjudicar o no el proceso. Igualmente, deberá registrarse la decisión del ordenador del gasto de acoger o no la recomendación efectuada por el Comité Evaluador.
En caso de identificarse dificultades técnicas, inconsistencias o cualquier circunstancia que imposibilite la realización de una evaluación objetiva del proceso contractual, esta situación deberá quedar expresamente consignada en el acta, junto con la decisión adoptada por el ordenador del gasto, de conformidad con las circunstancias advertidas.</t>
  </si>
  <si>
    <t>Acta de sesiones del Comité de Contratación en donde se presentaron las evaluaciones.
Acto administrativo en caso de declaratoria de desierta</t>
  </si>
  <si>
    <t xml:space="preserve">Profesional Especializado grado 15 de Contratación y /o quien este designe. </t>
  </si>
  <si>
    <t xml:space="preserve">
Posibilidad de pérdida de recursos públicos por adquisición de bienes y servicios a precios o condiciones que no correspondan a las necesidades institucionales, debido a debilidades en la estructuración de estudios previos, la estimación de costos y la definición de las condiciones técnicas y económicas de los procesos de contratación.</t>
  </si>
  <si>
    <t>Posibilidad de afectación económica y reputacional por interrupción o incumplimiento en la prestación de bienes y servicios contratados que afecten la continuidad de las actividades institucionales, debido a debilidades en la identificación de necesidades de continuidad, la gestión de riesgos contractuales y el seguimiento a las obligaciones de los proveedores.</t>
  </si>
  <si>
    <t>Profesional Especializado grado 15 de Contratación y /o quien este designe. 
Desde el área de Adquisiciones se considera que esta actividad puede desarrollarse de manera articulada con la Oficina Asesora de Planeación, teniendo en cuenta que desde dicha dependencia se pueden brindar criterios técnicos relacionados con los riesgos de continuidad. Asimismo, se considera pertinente contar con la participación de Gestión Jurídica, en razón a que esta dependencia tiene a su cargo los asuntos relacionados con el régimen disciplinario de los supervisores, particularmente frente a posibles deficiencias en el ejercicio de sus funciones.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</si>
</sst>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mm/yyyy;@"/>
  </numFmts>
  <fonts count="106">
    <font>
      <sz val="11"/>
      <color theme="1"/>
      <name val="Calibri"/>
      <family val="2"/>
      <scheme val="minor"/>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0"/>
      <name val="Arial"/>
      <family val="2"/>
    </font>
    <font>
      <b/>
      <sz val="12"/>
      <color rgb="FF000000"/>
      <name val="Arial"/>
      <family val="2"/>
    </font>
    <font>
      <b/>
      <sz val="12"/>
      <name val="Arial"/>
      <family val="2"/>
    </font>
    <font>
      <sz val="6"/>
      <color theme="1"/>
      <name val="Arial"/>
      <family val="2"/>
    </font>
    <font>
      <b/>
      <sz val="14"/>
      <color rgb="FF000000"/>
      <name val="Arial"/>
      <family val="2"/>
    </font>
    <font>
      <sz val="14"/>
      <color rgb="FF000000"/>
      <name val="Arial"/>
      <family val="2"/>
    </font>
    <font>
      <b/>
      <sz val="11"/>
      <color theme="0"/>
      <name val="Calibri"/>
      <family val="2"/>
      <scheme val="minor"/>
    </font>
    <font>
      <b/>
      <sz val="11"/>
      <color theme="1"/>
      <name val="Calibri"/>
      <family val="2"/>
      <scheme val="minor"/>
    </font>
    <font>
      <b/>
      <sz val="5"/>
      <color rgb="FF000000"/>
      <name val="Arial"/>
      <family val="2"/>
    </font>
    <font>
      <b/>
      <sz val="6"/>
      <color rgb="FF000000"/>
      <name val="Arial"/>
      <family val="2"/>
    </font>
    <font>
      <b/>
      <sz val="11"/>
      <color rgb="FF292929"/>
      <name val="Arial"/>
      <family val="2"/>
    </font>
    <font>
      <sz val="11"/>
      <color theme="1"/>
      <name val="Arial"/>
      <family val="2"/>
    </font>
    <font>
      <b/>
      <sz val="8"/>
      <color theme="1"/>
      <name val="Arial"/>
      <family val="2"/>
    </font>
    <font>
      <b/>
      <sz val="5"/>
      <color theme="1"/>
      <name val="Arial"/>
      <family val="2"/>
    </font>
    <font>
      <b/>
      <sz val="6"/>
      <color theme="1"/>
      <name val="Arial"/>
      <family val="2"/>
    </font>
    <font>
      <b/>
      <sz val="9"/>
      <color rgb="FF292929"/>
      <name val="Arial"/>
      <family val="2"/>
    </font>
    <font>
      <b/>
      <sz val="11"/>
      <color theme="0"/>
      <name val="Arial"/>
      <family val="2"/>
    </font>
    <font>
      <sz val="10"/>
      <color theme="1"/>
      <name val="Arial"/>
      <family val="2"/>
    </font>
    <font>
      <b/>
      <sz val="10"/>
      <color theme="0"/>
      <name val="Arial"/>
      <family val="2"/>
    </font>
    <font>
      <b/>
      <sz val="10"/>
      <color theme="1"/>
      <name val="Arial"/>
      <family val="2"/>
    </font>
    <font>
      <b/>
      <u/>
      <sz val="10"/>
      <color theme="1"/>
      <name val="Arial"/>
      <family val="2"/>
    </font>
    <font>
      <i/>
      <sz val="9"/>
      <color rgb="FF000000"/>
      <name val="Arial"/>
      <family val="2"/>
    </font>
    <font>
      <b/>
      <sz val="11"/>
      <color theme="1"/>
      <name val="Arial"/>
      <family val="2"/>
    </font>
    <font>
      <b/>
      <sz val="11"/>
      <color rgb="FF000000"/>
      <name val="Arial"/>
      <family val="2"/>
    </font>
    <font>
      <b/>
      <sz val="11"/>
      <color theme="1"/>
      <name val="Times New Roman"/>
      <family val="1"/>
    </font>
    <font>
      <b/>
      <sz val="11"/>
      <color theme="0"/>
      <name val="Times New Roman"/>
      <family val="1"/>
    </font>
    <font>
      <sz val="11"/>
      <color theme="0"/>
      <name val="Times New Roman"/>
      <family val="1"/>
    </font>
    <font>
      <sz val="11"/>
      <color rgb="FF7030A0"/>
      <name val="Calibri"/>
      <family val="2"/>
      <scheme val="minor"/>
    </font>
    <font>
      <b/>
      <sz val="16"/>
      <color rgb="FF7030A0"/>
      <name val="Times New Roman"/>
      <family val="1"/>
    </font>
    <font>
      <b/>
      <sz val="18"/>
      <color theme="0"/>
      <name val="Arial"/>
      <family val="2"/>
    </font>
    <font>
      <b/>
      <sz val="12"/>
      <color theme="0"/>
      <name val="Arial"/>
      <family val="2"/>
    </font>
    <font>
      <sz val="11"/>
      <color rgb="FF000000"/>
      <name val="Arial"/>
      <family val="2"/>
    </font>
    <font>
      <sz val="10"/>
      <color theme="0"/>
      <name val="Arial"/>
      <family val="2"/>
    </font>
    <font>
      <b/>
      <sz val="22"/>
      <color rgb="FF000000"/>
      <name val="Arial"/>
      <family val="2"/>
    </font>
    <font>
      <b/>
      <sz val="18"/>
      <name val="Arial"/>
      <family val="2"/>
    </font>
    <font>
      <sz val="11"/>
      <color theme="0"/>
      <name val="Arial"/>
      <family val="2"/>
    </font>
    <font>
      <sz val="11"/>
      <name val="Arial"/>
      <family val="2"/>
    </font>
    <font>
      <sz val="14"/>
      <name val="Arial"/>
      <family val="2"/>
    </font>
    <font>
      <b/>
      <sz val="14"/>
      <name val="Arial"/>
      <family val="2"/>
    </font>
    <font>
      <sz val="11"/>
      <color theme="9"/>
      <name val="Arial"/>
      <family val="2"/>
    </font>
    <font>
      <u/>
      <sz val="11"/>
      <color theme="10"/>
      <name val="Calibri"/>
      <family val="2"/>
      <scheme val="minor"/>
    </font>
    <font>
      <sz val="11"/>
      <color rgb="FF000000"/>
      <name val="Calibri"/>
      <family val="2"/>
      <scheme val="minor"/>
    </font>
    <font>
      <b/>
      <sz val="10"/>
      <color rgb="FF000000"/>
      <name val="Arial"/>
      <family val="2"/>
    </font>
    <font>
      <sz val="11"/>
      <color rgb="FF000000"/>
      <name val="Calibri"/>
      <family val="2"/>
    </font>
    <font>
      <sz val="14"/>
      <color rgb="FF000000"/>
      <name val="-webkit-standard"/>
    </font>
    <font>
      <b/>
      <sz val="36"/>
      <color rgb="FF000000"/>
      <name val="Calibri"/>
      <family val="2"/>
      <scheme val="minor"/>
    </font>
    <font>
      <sz val="36"/>
      <color rgb="FF000000"/>
      <name val="Calibri"/>
      <family val="2"/>
      <scheme val="minor"/>
    </font>
    <font>
      <sz val="10"/>
      <color rgb="FF000000"/>
      <name val="Tahoma"/>
      <family val="2"/>
    </font>
    <font>
      <b/>
      <sz val="10"/>
      <color rgb="FF000000"/>
      <name val="Tahoma"/>
      <family val="2"/>
    </font>
    <font>
      <u/>
      <sz val="11"/>
      <color theme="10"/>
      <name val="Arial"/>
      <family val="2"/>
    </font>
    <font>
      <sz val="10"/>
      <color rgb="FF000000"/>
      <name val="Calibri"/>
      <family val="2"/>
    </font>
    <font>
      <u/>
      <sz val="11"/>
      <color theme="1"/>
      <name val="Arial"/>
      <family val="2"/>
    </font>
  </fonts>
  <fills count="31">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26783C"/>
        <bgColor indexed="64"/>
      </patternFill>
    </fill>
    <fill>
      <patternFill patternType="solid">
        <fgColor theme="0" tint="-0.14999847407452621"/>
        <bgColor indexed="64"/>
      </patternFill>
    </fill>
    <fill>
      <patternFill patternType="solid">
        <fgColor rgb="FF287840"/>
        <bgColor indexed="64"/>
      </patternFill>
    </fill>
    <fill>
      <patternFill patternType="solid">
        <fgColor theme="0" tint="-0.499984740745262"/>
        <bgColor indexed="64"/>
      </patternFill>
    </fill>
    <fill>
      <patternFill patternType="solid">
        <fgColor rgb="FFDAAA00"/>
        <bgColor indexed="64"/>
      </patternFill>
    </fill>
    <fill>
      <patternFill patternType="solid">
        <fgColor rgb="FF4E4B48"/>
        <bgColor indexed="64"/>
      </patternFill>
    </fill>
    <fill>
      <patternFill patternType="solid">
        <fgColor rgb="FFFFFFFF"/>
        <bgColor rgb="FFFFFFFF"/>
      </patternFill>
    </fill>
    <fill>
      <patternFill patternType="solid">
        <fgColor rgb="FFFFFFFF"/>
        <bgColor rgb="FF000000"/>
      </patternFill>
    </fill>
    <fill>
      <patternFill patternType="solid">
        <fgColor rgb="FFFFFFFF"/>
        <bgColor indexed="64"/>
      </patternFill>
    </fill>
    <fill>
      <patternFill patternType="solid">
        <fgColor rgb="FFB4B3B6"/>
        <bgColor indexed="64"/>
      </patternFill>
    </fill>
    <fill>
      <patternFill patternType="solid">
        <fgColor rgb="FF00CC66"/>
        <bgColor indexed="64"/>
      </patternFill>
    </fill>
    <fill>
      <patternFill patternType="solid">
        <fgColor theme="0" tint="-4.9989318521683403E-2"/>
        <bgColor indexed="64"/>
      </patternFill>
    </fill>
    <fill>
      <patternFill patternType="solid">
        <fgColor theme="6" tint="-0.499984740745262"/>
        <bgColor indexed="64"/>
      </patternFill>
    </fill>
    <fill>
      <patternFill patternType="solid">
        <fgColor theme="6" tint="0.79998168889431442"/>
        <bgColor indexed="64"/>
      </patternFill>
    </fill>
    <fill>
      <patternFill patternType="solid">
        <fgColor theme="6" tint="0.59999389629810485"/>
        <bgColor indexed="64"/>
      </patternFill>
    </fill>
  </fills>
  <borders count="118">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thin">
        <color auto="1"/>
      </left>
      <right/>
      <top/>
      <bottom style="thin">
        <color auto="1"/>
      </bottom>
      <diagonal/>
    </border>
    <border>
      <left/>
      <right/>
      <top/>
      <bottom style="dashed">
        <color theme="9" tint="-0.2499465926084170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style="medium">
        <color rgb="FF000000"/>
      </left>
      <right style="thin">
        <color indexed="64"/>
      </right>
      <top style="medium">
        <color rgb="FF000000"/>
      </top>
      <bottom/>
      <diagonal/>
    </border>
    <border>
      <left style="medium">
        <color rgb="FF000000"/>
      </left>
      <right style="thin">
        <color indexed="64"/>
      </right>
      <top/>
      <bottom/>
      <diagonal/>
    </border>
    <border>
      <left style="thin">
        <color rgb="FF4B514E"/>
      </left>
      <right/>
      <top/>
      <bottom/>
      <diagonal/>
    </border>
    <border>
      <left/>
      <right style="thin">
        <color indexed="64"/>
      </right>
      <top/>
      <bottom/>
      <diagonal/>
    </border>
    <border>
      <left style="medium">
        <color rgb="FF000000"/>
      </left>
      <right style="thin">
        <color indexed="64"/>
      </right>
      <top/>
      <bottom style="medium">
        <color rgb="FF000000"/>
      </bottom>
      <diagonal/>
    </border>
    <border>
      <left style="thin">
        <color rgb="FF4B514E"/>
      </left>
      <right style="thin">
        <color rgb="FF4B514E"/>
      </right>
      <top style="thin">
        <color rgb="FF4B514E"/>
      </top>
      <bottom style="thin">
        <color rgb="FF4B514E"/>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rgb="FF000000"/>
      </left>
      <right/>
      <top/>
      <bottom/>
      <diagonal/>
    </border>
    <border>
      <left/>
      <right style="thin">
        <color rgb="FF4B514E"/>
      </right>
      <top/>
      <bottom/>
      <diagonal/>
    </border>
    <border>
      <left style="thin">
        <color rgb="FF4B514E"/>
      </left>
      <right/>
      <top style="medium">
        <color indexed="64"/>
      </top>
      <bottom/>
      <diagonal/>
    </border>
    <border>
      <left style="thin">
        <color rgb="FF4B514E"/>
      </left>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auto="1"/>
      </left>
      <right/>
      <top style="thin">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ck">
        <color auto="1"/>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right style="thin">
        <color indexed="64"/>
      </right>
      <top style="medium">
        <color rgb="FF000000"/>
      </top>
      <bottom/>
      <diagonal/>
    </border>
    <border>
      <left/>
      <right style="thin">
        <color indexed="64"/>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6">
    <xf numFmtId="0" fontId="0" fillId="0" borderId="0"/>
    <xf numFmtId="9" fontId="12" fillId="0" borderId="0" applyFont="0" applyFill="0" applyBorder="0" applyAlignment="0" applyProtection="0"/>
    <xf numFmtId="0" fontId="43" fillId="0" borderId="0"/>
    <xf numFmtId="0" fontId="44" fillId="0" borderId="0"/>
    <xf numFmtId="0" fontId="4" fillId="0" borderId="0"/>
    <xf numFmtId="0" fontId="94" fillId="0" borderId="0" applyNumberFormat="0" applyFill="0" applyBorder="0" applyAlignment="0" applyProtection="0"/>
  </cellStyleXfs>
  <cellXfs count="713">
    <xf numFmtId="0" fontId="0" fillId="0" borderId="0" xfId="0"/>
    <xf numFmtId="0" fontId="4" fillId="0" borderId="0" xfId="0" applyFont="1"/>
    <xf numFmtId="0" fontId="2" fillId="0" borderId="1" xfId="0" applyFont="1" applyBorder="1" applyAlignment="1">
      <alignment horizontal="left" vertical="center" wrapText="1" indent="1" readingOrder="1"/>
    </xf>
    <xf numFmtId="0" fontId="6" fillId="0" borderId="0" xfId="0" applyFont="1" applyAlignment="1">
      <alignment horizontal="center" vertical="center" wrapText="1"/>
    </xf>
    <xf numFmtId="0" fontId="7" fillId="6" borderId="0" xfId="0" applyFont="1" applyFill="1" applyAlignment="1">
      <alignment horizontal="center" vertical="center" wrapText="1" readingOrder="1"/>
    </xf>
    <xf numFmtId="0" fontId="8" fillId="5" borderId="4" xfId="0" applyFont="1" applyFill="1" applyBorder="1" applyAlignment="1">
      <alignment horizontal="center" vertical="center" wrapText="1" readingOrder="1"/>
    </xf>
    <xf numFmtId="0" fontId="8" fillId="0" borderId="4" xfId="0" applyFont="1" applyBorder="1" applyAlignment="1">
      <alignment horizontal="justify" vertical="center" wrapText="1" readingOrder="1"/>
    </xf>
    <xf numFmtId="9" fontId="8" fillId="0" borderId="4" xfId="0" applyNumberFormat="1" applyFont="1" applyBorder="1" applyAlignment="1">
      <alignment horizontal="center" vertical="center" wrapText="1" readingOrder="1"/>
    </xf>
    <xf numFmtId="0" fontId="8" fillId="7" borderId="1" xfId="0" applyFont="1" applyFill="1" applyBorder="1" applyAlignment="1">
      <alignment horizontal="center" vertical="center" wrapText="1" readingOrder="1"/>
    </xf>
    <xf numFmtId="0" fontId="8" fillId="0" borderId="1" xfId="0" applyFont="1" applyBorder="1" applyAlignment="1">
      <alignment horizontal="justify" vertical="center" wrapText="1" readingOrder="1"/>
    </xf>
    <xf numFmtId="9" fontId="8" fillId="0" borderId="1" xfId="0" applyNumberFormat="1" applyFont="1" applyBorder="1" applyAlignment="1">
      <alignment horizontal="center" vertical="center" wrapText="1" readingOrder="1"/>
    </xf>
    <xf numFmtId="0" fontId="8" fillId="4" borderId="1" xfId="0" applyFont="1" applyFill="1" applyBorder="1" applyAlignment="1">
      <alignment horizontal="center" vertical="center" wrapText="1" readingOrder="1"/>
    </xf>
    <xf numFmtId="0" fontId="8" fillId="8" borderId="1" xfId="0" applyFont="1" applyFill="1" applyBorder="1" applyAlignment="1">
      <alignment horizontal="center" vertical="center" wrapText="1" readingOrder="1"/>
    </xf>
    <xf numFmtId="0" fontId="9" fillId="9" borderId="1" xfId="0" applyFont="1" applyFill="1" applyBorder="1" applyAlignment="1">
      <alignment horizontal="center" vertical="center" wrapText="1" readingOrder="1"/>
    </xf>
    <xf numFmtId="0" fontId="13" fillId="0" borderId="0" xfId="0" applyFont="1"/>
    <xf numFmtId="0" fontId="11" fillId="0" borderId="0" xfId="0" applyFont="1"/>
    <xf numFmtId="0" fontId="24" fillId="0" borderId="0" xfId="0" applyFont="1" applyAlignment="1">
      <alignment vertical="center"/>
    </xf>
    <xf numFmtId="0" fontId="25" fillId="0" borderId="0" xfId="0" applyFont="1"/>
    <xf numFmtId="0" fontId="23" fillId="0" borderId="0" xfId="0" applyFont="1"/>
    <xf numFmtId="0" fontId="0" fillId="0" borderId="0" xfId="0" pivotButton="1"/>
    <xf numFmtId="0" fontId="10" fillId="0" borderId="0" xfId="0" applyFont="1" applyAlignment="1">
      <alignment horizontal="justify" vertical="center" wrapText="1" readingOrder="1"/>
    </xf>
    <xf numFmtId="0" fontId="26" fillId="0" borderId="0" xfId="0" applyFont="1"/>
    <xf numFmtId="0" fontId="28" fillId="6" borderId="0" xfId="0" applyFont="1" applyFill="1" applyAlignment="1">
      <alignment horizontal="center" vertical="center" wrapText="1" readingOrder="1"/>
    </xf>
    <xf numFmtId="0" fontId="29" fillId="0" borderId="4" xfId="0" applyFont="1" applyBorder="1" applyAlignment="1">
      <alignment horizontal="justify" vertical="center" wrapText="1" readingOrder="1"/>
    </xf>
    <xf numFmtId="0" fontId="29" fillId="0" borderId="1" xfId="0" applyFont="1" applyBorder="1" applyAlignment="1">
      <alignment horizontal="justify" vertical="center" wrapText="1" readingOrder="1"/>
    </xf>
    <xf numFmtId="0" fontId="29" fillId="5" borderId="4" xfId="0" applyFont="1" applyFill="1" applyBorder="1" applyAlignment="1">
      <alignment horizontal="center" vertical="center" wrapText="1" readingOrder="1"/>
    </xf>
    <xf numFmtId="0" fontId="29" fillId="7" borderId="1" xfId="0" applyFont="1" applyFill="1" applyBorder="1" applyAlignment="1">
      <alignment horizontal="center" vertical="center" wrapText="1" readingOrder="1"/>
    </xf>
    <xf numFmtId="0" fontId="29" fillId="4" borderId="1" xfId="0" applyFont="1" applyFill="1" applyBorder="1" applyAlignment="1">
      <alignment horizontal="center" vertical="center" wrapText="1" readingOrder="1"/>
    </xf>
    <xf numFmtId="0" fontId="29" fillId="8" borderId="1" xfId="0" applyFont="1" applyFill="1" applyBorder="1" applyAlignment="1">
      <alignment horizontal="center" vertical="center" wrapText="1" readingOrder="1"/>
    </xf>
    <xf numFmtId="0" fontId="30" fillId="9" borderId="1" xfId="0" applyFont="1" applyFill="1" applyBorder="1" applyAlignment="1">
      <alignment horizontal="center" vertical="center" wrapText="1" readingOrder="1"/>
    </xf>
    <xf numFmtId="0" fontId="29" fillId="0" borderId="4" xfId="0" applyFont="1" applyBorder="1" applyAlignment="1">
      <alignment horizontal="center" vertical="center" wrapText="1" readingOrder="1"/>
    </xf>
    <xf numFmtId="0" fontId="29" fillId="0" borderId="1" xfId="0" applyFont="1" applyBorder="1" applyAlignment="1">
      <alignment horizontal="center" vertical="center" wrapText="1" readingOrder="1"/>
    </xf>
    <xf numFmtId="0" fontId="17" fillId="11" borderId="5" xfId="0" applyFont="1" applyFill="1" applyBorder="1" applyAlignment="1" applyProtection="1">
      <alignment horizontal="center" vertical="center" wrapText="1" readingOrder="1"/>
      <protection hidden="1"/>
    </xf>
    <xf numFmtId="0" fontId="17" fillId="11" borderId="12" xfId="0" applyFont="1" applyFill="1" applyBorder="1" applyAlignment="1" applyProtection="1">
      <alignment horizontal="center" vertical="center" wrapText="1" readingOrder="1"/>
      <protection hidden="1"/>
    </xf>
    <xf numFmtId="0" fontId="17" fillId="11" borderId="6" xfId="0" applyFont="1" applyFill="1" applyBorder="1" applyAlignment="1" applyProtection="1">
      <alignment horizontal="center" vertical="center" wrapText="1" readingOrder="1"/>
      <protection hidden="1"/>
    </xf>
    <xf numFmtId="0" fontId="17" fillId="12" borderId="5" xfId="0" applyFont="1" applyFill="1" applyBorder="1" applyAlignment="1" applyProtection="1">
      <alignment horizontal="center" wrapText="1" readingOrder="1"/>
      <protection hidden="1"/>
    </xf>
    <xf numFmtId="0" fontId="17" fillId="12" borderId="12" xfId="0" applyFont="1" applyFill="1" applyBorder="1" applyAlignment="1" applyProtection="1">
      <alignment horizontal="center" wrapText="1" readingOrder="1"/>
      <protection hidden="1"/>
    </xf>
    <xf numFmtId="0" fontId="17" fillId="12" borderId="6" xfId="0" applyFont="1" applyFill="1" applyBorder="1" applyAlignment="1" applyProtection="1">
      <alignment horizontal="center" wrapText="1" readingOrder="1"/>
      <protection hidden="1"/>
    </xf>
    <xf numFmtId="0" fontId="17" fillId="11" borderId="7" xfId="0" applyFont="1" applyFill="1" applyBorder="1" applyAlignment="1" applyProtection="1">
      <alignment horizontal="center" vertical="center" wrapText="1" readingOrder="1"/>
      <protection hidden="1"/>
    </xf>
    <xf numFmtId="0" fontId="17" fillId="11" borderId="0" xfId="0" applyFont="1" applyFill="1" applyAlignment="1" applyProtection="1">
      <alignment horizontal="center" vertical="center" wrapText="1" readingOrder="1"/>
      <protection hidden="1"/>
    </xf>
    <xf numFmtId="0" fontId="17" fillId="11" borderId="8" xfId="0" applyFont="1" applyFill="1" applyBorder="1" applyAlignment="1" applyProtection="1">
      <alignment horizontal="center" vertical="center" wrapText="1" readingOrder="1"/>
      <protection hidden="1"/>
    </xf>
    <xf numFmtId="0" fontId="17" fillId="12" borderId="7" xfId="0" applyFont="1" applyFill="1" applyBorder="1" applyAlignment="1" applyProtection="1">
      <alignment horizontal="center" wrapText="1" readingOrder="1"/>
      <protection hidden="1"/>
    </xf>
    <xf numFmtId="0" fontId="17" fillId="12" borderId="0" xfId="0" applyFont="1" applyFill="1" applyAlignment="1" applyProtection="1">
      <alignment horizontal="center" wrapText="1" readingOrder="1"/>
      <protection hidden="1"/>
    </xf>
    <xf numFmtId="0" fontId="17" fillId="12" borderId="8" xfId="0" applyFont="1" applyFill="1" applyBorder="1" applyAlignment="1" applyProtection="1">
      <alignment horizontal="center" wrapText="1" readingOrder="1"/>
      <protection hidden="1"/>
    </xf>
    <xf numFmtId="0" fontId="17" fillId="11" borderId="9" xfId="0" applyFont="1" applyFill="1" applyBorder="1" applyAlignment="1" applyProtection="1">
      <alignment horizontal="center" vertical="center" wrapText="1" readingOrder="1"/>
      <protection hidden="1"/>
    </xf>
    <xf numFmtId="0" fontId="17" fillId="11" borderId="11" xfId="0" applyFont="1" applyFill="1" applyBorder="1" applyAlignment="1" applyProtection="1">
      <alignment horizontal="center" vertical="center" wrapText="1" readingOrder="1"/>
      <protection hidden="1"/>
    </xf>
    <xf numFmtId="0" fontId="17" fillId="11" borderId="10" xfId="0" applyFont="1" applyFill="1" applyBorder="1" applyAlignment="1" applyProtection="1">
      <alignment horizontal="center" vertical="center" wrapText="1" readingOrder="1"/>
      <protection hidden="1"/>
    </xf>
    <xf numFmtId="0" fontId="17" fillId="12" borderId="9" xfId="0" applyFont="1" applyFill="1" applyBorder="1" applyAlignment="1" applyProtection="1">
      <alignment horizontal="center" wrapText="1" readingOrder="1"/>
      <protection hidden="1"/>
    </xf>
    <xf numFmtId="0" fontId="17" fillId="12" borderId="11" xfId="0" applyFont="1" applyFill="1" applyBorder="1" applyAlignment="1" applyProtection="1">
      <alignment horizontal="center" wrapText="1" readingOrder="1"/>
      <protection hidden="1"/>
    </xf>
    <xf numFmtId="0" fontId="17" fillId="12" borderId="10" xfId="0" applyFont="1" applyFill="1" applyBorder="1" applyAlignment="1" applyProtection="1">
      <alignment horizontal="center" wrapText="1" readingOrder="1"/>
      <protection hidden="1"/>
    </xf>
    <xf numFmtId="0" fontId="17" fillId="13" borderId="5" xfId="0" applyFont="1" applyFill="1" applyBorder="1" applyAlignment="1" applyProtection="1">
      <alignment horizontal="center" wrapText="1" readingOrder="1"/>
      <protection hidden="1"/>
    </xf>
    <xf numFmtId="0" fontId="17" fillId="13" borderId="12" xfId="0" applyFont="1" applyFill="1" applyBorder="1" applyAlignment="1" applyProtection="1">
      <alignment horizontal="center" wrapText="1" readingOrder="1"/>
      <protection hidden="1"/>
    </xf>
    <xf numFmtId="0" fontId="17" fillId="13" borderId="6" xfId="0" applyFont="1" applyFill="1" applyBorder="1" applyAlignment="1" applyProtection="1">
      <alignment horizontal="center" wrapText="1" readingOrder="1"/>
      <protection hidden="1"/>
    </xf>
    <xf numFmtId="0" fontId="17" fillId="13" borderId="7" xfId="0" applyFont="1" applyFill="1" applyBorder="1" applyAlignment="1" applyProtection="1">
      <alignment horizontal="center" wrapText="1" readingOrder="1"/>
      <protection hidden="1"/>
    </xf>
    <xf numFmtId="0" fontId="17" fillId="13" borderId="0" xfId="0" applyFont="1" applyFill="1" applyAlignment="1" applyProtection="1">
      <alignment horizontal="center" wrapText="1" readingOrder="1"/>
      <protection hidden="1"/>
    </xf>
    <xf numFmtId="0" fontId="17" fillId="13" borderId="8" xfId="0" applyFont="1" applyFill="1" applyBorder="1" applyAlignment="1" applyProtection="1">
      <alignment horizontal="center" wrapText="1" readingOrder="1"/>
      <protection hidden="1"/>
    </xf>
    <xf numFmtId="0" fontId="17" fillId="13" borderId="9" xfId="0" applyFont="1" applyFill="1" applyBorder="1" applyAlignment="1" applyProtection="1">
      <alignment horizontal="center" wrapText="1" readingOrder="1"/>
      <protection hidden="1"/>
    </xf>
    <xf numFmtId="0" fontId="17" fillId="13" borderId="11" xfId="0" applyFont="1" applyFill="1" applyBorder="1" applyAlignment="1" applyProtection="1">
      <alignment horizontal="center" wrapText="1" readingOrder="1"/>
      <protection hidden="1"/>
    </xf>
    <xf numFmtId="0" fontId="17" fillId="13" borderId="10" xfId="0" applyFont="1" applyFill="1" applyBorder="1" applyAlignment="1" applyProtection="1">
      <alignment horizontal="center" wrapText="1" readingOrder="1"/>
      <protection hidden="1"/>
    </xf>
    <xf numFmtId="0" fontId="17" fillId="5" borderId="5" xfId="0" applyFont="1" applyFill="1" applyBorder="1" applyAlignment="1" applyProtection="1">
      <alignment horizontal="center" wrapText="1" readingOrder="1"/>
      <protection hidden="1"/>
    </xf>
    <xf numFmtId="0" fontId="17" fillId="5" borderId="12" xfId="0" applyFont="1" applyFill="1" applyBorder="1" applyAlignment="1" applyProtection="1">
      <alignment horizontal="center" wrapText="1" readingOrder="1"/>
      <protection hidden="1"/>
    </xf>
    <xf numFmtId="0" fontId="17" fillId="5" borderId="6" xfId="0" applyFont="1" applyFill="1" applyBorder="1" applyAlignment="1" applyProtection="1">
      <alignment horizontal="center" wrapText="1" readingOrder="1"/>
      <protection hidden="1"/>
    </xf>
    <xf numFmtId="0" fontId="17" fillId="5" borderId="7" xfId="0" applyFont="1" applyFill="1" applyBorder="1" applyAlignment="1" applyProtection="1">
      <alignment horizontal="center" wrapText="1" readingOrder="1"/>
      <protection hidden="1"/>
    </xf>
    <xf numFmtId="0" fontId="17" fillId="5" borderId="0" xfId="0" applyFont="1" applyFill="1" applyAlignment="1" applyProtection="1">
      <alignment horizontal="center" wrapText="1" readingOrder="1"/>
      <protection hidden="1"/>
    </xf>
    <xf numFmtId="0" fontId="17" fillId="5" borderId="8" xfId="0" applyFont="1" applyFill="1" applyBorder="1" applyAlignment="1" applyProtection="1">
      <alignment horizontal="center" wrapText="1" readingOrder="1"/>
      <protection hidden="1"/>
    </xf>
    <xf numFmtId="0" fontId="17" fillId="5" borderId="9" xfId="0" applyFont="1" applyFill="1" applyBorder="1" applyAlignment="1" applyProtection="1">
      <alignment horizontal="center" wrapText="1" readingOrder="1"/>
      <protection hidden="1"/>
    </xf>
    <xf numFmtId="0" fontId="17" fillId="5" borderId="11" xfId="0" applyFont="1" applyFill="1" applyBorder="1" applyAlignment="1" applyProtection="1">
      <alignment horizontal="center" wrapText="1" readingOrder="1"/>
      <protection hidden="1"/>
    </xf>
    <xf numFmtId="0" fontId="17" fillId="5" borderId="10" xfId="0" applyFont="1" applyFill="1" applyBorder="1" applyAlignment="1" applyProtection="1">
      <alignment horizontal="center" wrapText="1" readingOrder="1"/>
      <protection hidden="1"/>
    </xf>
    <xf numFmtId="0" fontId="0" fillId="3" borderId="0" xfId="0" applyFill="1"/>
    <xf numFmtId="0" fontId="45" fillId="3" borderId="39" xfId="2" applyFont="1" applyFill="1" applyBorder="1"/>
    <xf numFmtId="0" fontId="45" fillId="3" borderId="40" xfId="2" applyFont="1" applyFill="1" applyBorder="1"/>
    <xf numFmtId="0" fontId="45" fillId="3" borderId="41" xfId="2" applyFont="1" applyFill="1" applyBorder="1"/>
    <xf numFmtId="0" fontId="14" fillId="3" borderId="0" xfId="0" applyFont="1" applyFill="1" applyAlignment="1">
      <alignment vertical="center"/>
    </xf>
    <xf numFmtId="0" fontId="4" fillId="3" borderId="0" xfId="0" applyFont="1" applyFill="1"/>
    <xf numFmtId="0" fontId="32" fillId="3" borderId="0" xfId="0" applyFont="1" applyFill="1"/>
    <xf numFmtId="0" fontId="34" fillId="3" borderId="22" xfId="0" applyFont="1" applyFill="1" applyBorder="1" applyAlignment="1">
      <alignment horizontal="justify" vertical="center" wrapText="1" readingOrder="1"/>
    </xf>
    <xf numFmtId="9" fontId="33" fillId="3" borderId="31" xfId="0" applyNumberFormat="1" applyFont="1" applyFill="1" applyBorder="1" applyAlignment="1">
      <alignment horizontal="center" vertical="center" wrapText="1" readingOrder="1"/>
    </xf>
    <xf numFmtId="0" fontId="34" fillId="3" borderId="21" xfId="0" applyFont="1" applyFill="1" applyBorder="1" applyAlignment="1">
      <alignment horizontal="justify" vertical="center" wrapText="1" readingOrder="1"/>
    </xf>
    <xf numFmtId="9" fontId="33" fillId="3" borderId="26" xfId="0" applyNumberFormat="1" applyFont="1" applyFill="1" applyBorder="1" applyAlignment="1">
      <alignment horizontal="center" vertical="center" wrapText="1" readingOrder="1"/>
    </xf>
    <xf numFmtId="0" fontId="34" fillId="3" borderId="26" xfId="0" applyFont="1" applyFill="1" applyBorder="1" applyAlignment="1">
      <alignment horizontal="center" vertical="center" wrapText="1" readingOrder="1"/>
    </xf>
    <xf numFmtId="0" fontId="34" fillId="3" borderId="28" xfId="0" applyFont="1" applyFill="1" applyBorder="1" applyAlignment="1">
      <alignment horizontal="justify" vertical="center" wrapText="1" readingOrder="1"/>
    </xf>
    <xf numFmtId="0" fontId="34" fillId="3" borderId="29" xfId="0" applyFont="1" applyFill="1" applyBorder="1" applyAlignment="1">
      <alignment horizontal="center" vertical="center" wrapText="1" readingOrder="1"/>
    </xf>
    <xf numFmtId="0" fontId="42" fillId="3" borderId="0" xfId="0" applyFont="1" applyFill="1"/>
    <xf numFmtId="0" fontId="33" fillId="15" borderId="34" xfId="0" applyFont="1" applyFill="1" applyBorder="1" applyAlignment="1">
      <alignment horizontal="center" vertical="center" wrapText="1" readingOrder="1"/>
    </xf>
    <xf numFmtId="0" fontId="11" fillId="3" borderId="0" xfId="0" applyFont="1" applyFill="1"/>
    <xf numFmtId="0" fontId="27" fillId="3" borderId="0" xfId="0" applyFont="1" applyFill="1" applyAlignment="1">
      <alignment horizontal="center" vertical="center" wrapText="1"/>
    </xf>
    <xf numFmtId="0" fontId="10" fillId="3" borderId="0" xfId="0" applyFont="1" applyFill="1" applyAlignment="1">
      <alignment horizontal="justify" vertical="center" wrapText="1" readingOrder="1"/>
    </xf>
    <xf numFmtId="0" fontId="3" fillId="3" borderId="0" xfId="0" applyFont="1" applyFill="1" applyAlignment="1">
      <alignment vertical="center"/>
    </xf>
    <xf numFmtId="0" fontId="13" fillId="3" borderId="0" xfId="0" applyFont="1" applyFill="1"/>
    <xf numFmtId="0" fontId="3" fillId="3" borderId="0" xfId="0" applyFont="1" applyFill="1" applyAlignment="1">
      <alignment horizontal="left" vertical="center"/>
    </xf>
    <xf numFmtId="0" fontId="45" fillId="3" borderId="7" xfId="2" applyFont="1" applyFill="1" applyBorder="1"/>
    <xf numFmtId="0" fontId="50" fillId="3" borderId="0" xfId="0" applyFont="1" applyFill="1" applyAlignment="1">
      <alignment horizontal="left" vertical="center" wrapText="1"/>
    </xf>
    <xf numFmtId="0" fontId="51" fillId="3" borderId="0" xfId="0" applyFont="1" applyFill="1" applyAlignment="1">
      <alignment horizontal="left" vertical="top" wrapText="1"/>
    </xf>
    <xf numFmtId="0" fontId="45" fillId="3" borderId="0" xfId="2" applyFont="1" applyFill="1"/>
    <xf numFmtId="0" fontId="45" fillId="3" borderId="8" xfId="2" applyFont="1" applyFill="1" applyBorder="1"/>
    <xf numFmtId="0" fontId="45" fillId="3" borderId="9" xfId="2" applyFont="1" applyFill="1" applyBorder="1"/>
    <xf numFmtId="0" fontId="45" fillId="3" borderId="11" xfId="2" applyFont="1" applyFill="1" applyBorder="1"/>
    <xf numFmtId="0" fontId="45" fillId="3" borderId="10" xfId="2" applyFont="1" applyFill="1" applyBorder="1"/>
    <xf numFmtId="0" fontId="49" fillId="3" borderId="0" xfId="2" applyFont="1" applyFill="1" applyAlignment="1">
      <alignment horizontal="left" vertical="center" wrapText="1"/>
    </xf>
    <xf numFmtId="0" fontId="45" fillId="3" borderId="0" xfId="2" applyFont="1" applyFill="1" applyAlignment="1">
      <alignment horizontal="left" vertical="center" wrapText="1"/>
    </xf>
    <xf numFmtId="0" fontId="45" fillId="3" borderId="0" xfId="2" quotePrefix="1" applyFont="1" applyFill="1" applyAlignment="1">
      <alignment horizontal="left" vertical="center" wrapText="1"/>
    </xf>
    <xf numFmtId="0" fontId="47" fillId="3" borderId="7" xfId="2" quotePrefix="1" applyFont="1" applyFill="1" applyBorder="1" applyAlignment="1">
      <alignment horizontal="left" vertical="top" wrapText="1"/>
    </xf>
    <xf numFmtId="0" fontId="48" fillId="3" borderId="0" xfId="2" quotePrefix="1" applyFont="1" applyFill="1" applyAlignment="1">
      <alignment horizontal="left" vertical="top" wrapText="1"/>
    </xf>
    <xf numFmtId="0" fontId="48" fillId="3" borderId="8" xfId="2" quotePrefix="1" applyFont="1" applyFill="1" applyBorder="1" applyAlignment="1">
      <alignment horizontal="left" vertical="top" wrapText="1"/>
    </xf>
    <xf numFmtId="0" fontId="43" fillId="0" borderId="7" xfId="0" applyFont="1" applyBorder="1" applyAlignment="1">
      <alignment vertical="center" wrapText="1"/>
    </xf>
    <xf numFmtId="0" fontId="43" fillId="0" borderId="0" xfId="0" applyFont="1" applyAlignment="1">
      <alignment vertical="center" wrapText="1"/>
    </xf>
    <xf numFmtId="0" fontId="56" fillId="0" borderId="0" xfId="0" applyFont="1" applyAlignment="1">
      <alignment horizontal="center" vertical="center" wrapText="1"/>
    </xf>
    <xf numFmtId="0" fontId="43" fillId="0" borderId="0" xfId="0" applyFont="1" applyAlignment="1">
      <alignment horizontal="center" vertical="center" wrapText="1"/>
    </xf>
    <xf numFmtId="0" fontId="43" fillId="0" borderId="0" xfId="0" applyFont="1" applyAlignment="1">
      <alignment horizontal="left" vertical="center" wrapText="1"/>
    </xf>
    <xf numFmtId="0" fontId="57" fillId="0" borderId="0" xfId="0" applyFont="1" applyAlignment="1">
      <alignment horizontal="center"/>
    </xf>
    <xf numFmtId="0" fontId="59" fillId="0" borderId="0" xfId="0" applyFont="1" applyAlignment="1">
      <alignment horizontal="center" vertical="center" wrapText="1"/>
    </xf>
    <xf numFmtId="0" fontId="0" fillId="0" borderId="0" xfId="0" applyAlignment="1">
      <alignment wrapText="1"/>
    </xf>
    <xf numFmtId="0" fontId="59" fillId="0" borderId="0" xfId="0" applyFont="1" applyAlignment="1">
      <alignment vertical="center" wrapText="1"/>
    </xf>
    <xf numFmtId="0" fontId="55" fillId="0" borderId="63" xfId="0" applyFont="1" applyBorder="1" applyAlignment="1" applyProtection="1">
      <alignment horizontal="center" wrapText="1"/>
      <protection locked="0"/>
    </xf>
    <xf numFmtId="0" fontId="55" fillId="0" borderId="57" xfId="0" applyFont="1" applyBorder="1" applyAlignment="1" applyProtection="1">
      <alignment horizontal="center" wrapText="1"/>
      <protection locked="0"/>
    </xf>
    <xf numFmtId="0" fontId="54" fillId="0" borderId="57" xfId="0" applyFont="1" applyBorder="1" applyAlignment="1">
      <alignment horizontal="left" vertical="center"/>
    </xf>
    <xf numFmtId="0" fontId="0" fillId="17" borderId="0" xfId="0" applyFill="1"/>
    <xf numFmtId="0" fontId="65" fillId="17" borderId="0" xfId="0" applyFont="1" applyFill="1"/>
    <xf numFmtId="14" fontId="65" fillId="0" borderId="74" xfId="0" applyNumberFormat="1" applyFont="1" applyBorder="1" applyAlignment="1" applyProtection="1">
      <alignment horizontal="center" vertical="center"/>
      <protection locked="0"/>
    </xf>
    <xf numFmtId="0" fontId="65" fillId="0" borderId="74" xfId="0" applyFont="1" applyBorder="1" applyAlignment="1" applyProtection="1">
      <alignment horizontal="center" vertical="center"/>
      <protection locked="0"/>
    </xf>
    <xf numFmtId="0" fontId="65" fillId="0" borderId="74" xfId="0" applyFont="1" applyBorder="1" applyAlignment="1" applyProtection="1">
      <alignment horizontal="center" vertical="center" wrapText="1"/>
      <protection locked="0"/>
    </xf>
    <xf numFmtId="0" fontId="65" fillId="0" borderId="74" xfId="0" applyFont="1" applyBorder="1" applyAlignment="1" applyProtection="1">
      <alignment horizontal="justify" wrapText="1"/>
      <protection locked="0"/>
    </xf>
    <xf numFmtId="0" fontId="11" fillId="17" borderId="0" xfId="0" applyFont="1" applyFill="1"/>
    <xf numFmtId="0" fontId="66" fillId="0" borderId="24" xfId="0" applyFont="1" applyBorder="1" applyAlignment="1">
      <alignment horizontal="center" vertical="center"/>
    </xf>
    <xf numFmtId="0" fontId="66" fillId="0" borderId="85" xfId="0" applyFont="1" applyBorder="1" applyAlignment="1">
      <alignment horizontal="center" vertical="center" wrapText="1"/>
    </xf>
    <xf numFmtId="0" fontId="66" fillId="0" borderId="85" xfId="0" applyFont="1" applyBorder="1" applyAlignment="1">
      <alignment horizontal="center" vertical="center"/>
    </xf>
    <xf numFmtId="0" fontId="0" fillId="0" borderId="5" xfId="0" applyBorder="1"/>
    <xf numFmtId="0" fontId="0" fillId="0" borderId="12"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1" xfId="0" applyBorder="1"/>
    <xf numFmtId="0" fontId="0" fillId="0" borderId="10" xfId="0" applyBorder="1"/>
    <xf numFmtId="14" fontId="70" fillId="16" borderId="74" xfId="0" applyNumberFormat="1" applyFont="1" applyFill="1" applyBorder="1" applyAlignment="1">
      <alignment horizontal="center" vertical="center" wrapText="1"/>
    </xf>
    <xf numFmtId="0" fontId="70" fillId="16" borderId="74" xfId="0" applyFont="1" applyFill="1" applyBorder="1" applyAlignment="1">
      <alignment horizontal="center" vertical="center" wrapText="1"/>
    </xf>
    <xf numFmtId="0" fontId="76" fillId="17" borderId="0" xfId="0" applyFont="1" applyFill="1" applyAlignment="1">
      <alignment horizontal="center" vertical="center" textRotation="90"/>
    </xf>
    <xf numFmtId="0" fontId="78" fillId="0" borderId="0" xfId="0" applyFont="1" applyAlignment="1">
      <alignment vertical="center"/>
    </xf>
    <xf numFmtId="0" fontId="81" fillId="0" borderId="0" xfId="0" applyFont="1"/>
    <xf numFmtId="0" fontId="76" fillId="0" borderId="0" xfId="0" applyFont="1" applyAlignment="1">
      <alignment horizontal="left" vertical="center"/>
    </xf>
    <xf numFmtId="0" fontId="81" fillId="3" borderId="0" xfId="0" applyFont="1" applyFill="1"/>
    <xf numFmtId="0" fontId="82" fillId="3" borderId="0" xfId="0" applyFont="1" applyFill="1" applyAlignment="1">
      <alignment horizontal="center" vertical="center"/>
    </xf>
    <xf numFmtId="0" fontId="0" fillId="0" borderId="85" xfId="0" applyBorder="1" applyAlignment="1">
      <alignment horizontal="center" vertical="center"/>
    </xf>
    <xf numFmtId="0" fontId="70" fillId="19" borderId="85" xfId="0" applyFont="1" applyFill="1" applyBorder="1" applyAlignment="1">
      <alignment horizontal="center" vertical="center"/>
    </xf>
    <xf numFmtId="0" fontId="79" fillId="18" borderId="0" xfId="0" applyFont="1" applyFill="1" applyAlignment="1">
      <alignment horizontal="center" vertical="center"/>
    </xf>
    <xf numFmtId="0" fontId="70" fillId="19" borderId="0" xfId="0" applyFont="1" applyFill="1" applyAlignment="1">
      <alignment horizontal="center" vertical="center"/>
    </xf>
    <xf numFmtId="0" fontId="80" fillId="0" borderId="0" xfId="0" applyFont="1" applyAlignment="1">
      <alignment horizontal="center"/>
    </xf>
    <xf numFmtId="0" fontId="80" fillId="0" borderId="0" xfId="0" applyFont="1" applyAlignment="1">
      <alignment horizontal="center" vertical="center"/>
    </xf>
    <xf numFmtId="0" fontId="72" fillId="21" borderId="27" xfId="0" applyFont="1" applyFill="1" applyBorder="1" applyAlignment="1">
      <alignment horizontal="center" vertical="center" wrapText="1"/>
    </xf>
    <xf numFmtId="0" fontId="72" fillId="21" borderId="28" xfId="0" applyFont="1" applyFill="1" applyBorder="1" applyAlignment="1">
      <alignment horizontal="center" vertical="center" wrapText="1"/>
    </xf>
    <xf numFmtId="0" fontId="85" fillId="3" borderId="21" xfId="0" applyFont="1" applyFill="1" applyBorder="1" applyAlignment="1" applyProtection="1">
      <alignment horizontal="justify" vertical="justify" wrapText="1"/>
      <protection locked="0"/>
    </xf>
    <xf numFmtId="0" fontId="71" fillId="0" borderId="22" xfId="0" applyFont="1" applyBorder="1" applyAlignment="1" applyProtection="1">
      <alignment horizontal="center" vertical="center" wrapText="1"/>
      <protection locked="0"/>
    </xf>
    <xf numFmtId="0" fontId="85" fillId="0" borderId="21" xfId="0" applyFont="1" applyBorder="1" applyAlignment="1" applyProtection="1">
      <alignment horizontal="justify" vertical="justify" wrapText="1"/>
      <protection locked="0"/>
    </xf>
    <xf numFmtId="0" fontId="71" fillId="0" borderId="21" xfId="0" applyFont="1" applyBorder="1" applyAlignment="1" applyProtection="1">
      <alignment horizontal="center" vertical="center" wrapText="1"/>
      <protection locked="0"/>
    </xf>
    <xf numFmtId="0" fontId="85" fillId="22" borderId="21" xfId="0" applyFont="1" applyFill="1" applyBorder="1" applyAlignment="1" applyProtection="1">
      <alignment horizontal="justify" vertical="justify" wrapText="1"/>
      <protection locked="0"/>
    </xf>
    <xf numFmtId="0" fontId="43" fillId="0" borderId="25" xfId="0" applyFont="1" applyBorder="1" applyAlignment="1" applyProtection="1">
      <alignment horizontal="justify" vertical="center" wrapText="1"/>
      <protection locked="0"/>
    </xf>
    <xf numFmtId="0" fontId="72" fillId="21" borderId="25" xfId="0" applyFont="1" applyFill="1" applyBorder="1" applyAlignment="1">
      <alignment horizontal="center" vertical="center" wrapText="1"/>
    </xf>
    <xf numFmtId="0" fontId="71" fillId="21" borderId="21" xfId="0" applyFont="1" applyFill="1" applyBorder="1" applyAlignment="1" applyProtection="1">
      <alignment horizontal="center" vertical="center"/>
      <protection locked="0"/>
    </xf>
    <xf numFmtId="0" fontId="85" fillId="23" borderId="22" xfId="0" applyFont="1" applyFill="1" applyBorder="1" applyAlignment="1" applyProtection="1">
      <alignment horizontal="justify" vertical="justify" wrapText="1"/>
      <protection locked="0"/>
    </xf>
    <xf numFmtId="0" fontId="86" fillId="21" borderId="21" xfId="0" applyFont="1" applyFill="1" applyBorder="1" applyAlignment="1" applyProtection="1">
      <alignment horizontal="center" vertical="center"/>
      <protection locked="0"/>
    </xf>
    <xf numFmtId="0" fontId="85" fillId="24" borderId="21" xfId="0" applyFont="1" applyFill="1" applyBorder="1" applyAlignment="1" applyProtection="1">
      <alignment horizontal="justify" vertical="justify" wrapText="1"/>
      <protection locked="0"/>
    </xf>
    <xf numFmtId="0" fontId="85" fillId="22" borderId="67" xfId="0" applyFont="1" applyFill="1" applyBorder="1" applyAlignment="1" applyProtection="1">
      <alignment wrapText="1"/>
      <protection locked="0"/>
    </xf>
    <xf numFmtId="0" fontId="65" fillId="3" borderId="21" xfId="0" applyFont="1" applyFill="1" applyBorder="1" applyAlignment="1" applyProtection="1">
      <alignment horizontal="justify" vertical="justify" wrapText="1"/>
      <protection locked="0"/>
    </xf>
    <xf numFmtId="0" fontId="11" fillId="18" borderId="0" xfId="0" applyFont="1" applyFill="1" applyAlignment="1">
      <alignment horizontal="center" vertical="center"/>
    </xf>
    <xf numFmtId="0" fontId="60" fillId="18" borderId="0" xfId="0" applyFont="1" applyFill="1" applyAlignment="1">
      <alignment horizontal="center" vertical="center"/>
    </xf>
    <xf numFmtId="0" fontId="60" fillId="18" borderId="0" xfId="0" applyFont="1" applyFill="1" applyAlignment="1">
      <alignment horizontal="center" vertical="center" wrapText="1"/>
    </xf>
    <xf numFmtId="0" fontId="11" fillId="18" borderId="0" xfId="0" applyFont="1" applyFill="1" applyAlignment="1">
      <alignment wrapText="1"/>
    </xf>
    <xf numFmtId="0" fontId="65" fillId="0" borderId="0" xfId="0" applyFont="1"/>
    <xf numFmtId="0" fontId="65" fillId="0" borderId="0" xfId="0" applyFont="1" applyAlignment="1">
      <alignment horizontal="center" vertical="center"/>
    </xf>
    <xf numFmtId="0" fontId="65" fillId="0" borderId="0" xfId="0" applyFont="1" applyAlignment="1">
      <alignment horizontal="center"/>
    </xf>
    <xf numFmtId="0" fontId="87" fillId="0" borderId="57" xfId="0" applyFont="1" applyBorder="1" applyAlignment="1" applyProtection="1">
      <alignment horizontal="center" vertical="center"/>
      <protection locked="0"/>
    </xf>
    <xf numFmtId="0" fontId="65" fillId="3" borderId="0" xfId="0" applyFont="1" applyFill="1"/>
    <xf numFmtId="0" fontId="89" fillId="3" borderId="0" xfId="0" applyFont="1" applyFill="1"/>
    <xf numFmtId="0" fontId="83" fillId="3" borderId="66" xfId="0" applyFont="1" applyFill="1" applyBorder="1" applyAlignment="1">
      <alignment horizontal="center" vertical="center"/>
    </xf>
    <xf numFmtId="0" fontId="83" fillId="3" borderId="67" xfId="0" applyFont="1" applyFill="1" applyBorder="1" applyAlignment="1">
      <alignment horizontal="center" vertical="center"/>
    </xf>
    <xf numFmtId="0" fontId="83" fillId="3" borderId="65" xfId="0" applyFont="1" applyFill="1" applyBorder="1" applyAlignment="1">
      <alignment horizontal="center" vertical="center"/>
    </xf>
    <xf numFmtId="0" fontId="83" fillId="3" borderId="57" xfId="0" applyFont="1" applyFill="1" applyBorder="1" applyAlignment="1">
      <alignment horizontal="center" vertical="center"/>
    </xf>
    <xf numFmtId="0" fontId="83" fillId="3" borderId="40" xfId="0" applyFont="1" applyFill="1" applyBorder="1" applyAlignment="1">
      <alignment vertical="center"/>
    </xf>
    <xf numFmtId="0" fontId="70" fillId="3" borderId="0" xfId="0" applyFont="1" applyFill="1" applyAlignment="1">
      <alignment horizontal="center" vertical="center"/>
    </xf>
    <xf numFmtId="0" fontId="76" fillId="3" borderId="0" xfId="0" applyFont="1" applyFill="1" applyAlignment="1">
      <alignment horizontal="center" vertical="center"/>
    </xf>
    <xf numFmtId="0" fontId="76" fillId="2" borderId="0" xfId="0" applyFont="1" applyFill="1" applyAlignment="1">
      <alignment horizontal="center" vertical="center"/>
    </xf>
    <xf numFmtId="0" fontId="65" fillId="0" borderId="3" xfId="0" applyFont="1" applyBorder="1" applyAlignment="1">
      <alignment horizontal="center" vertical="center"/>
    </xf>
    <xf numFmtId="0" fontId="65" fillId="0" borderId="2" xfId="0" applyFont="1" applyBorder="1" applyAlignment="1">
      <alignment horizontal="center" vertical="center"/>
    </xf>
    <xf numFmtId="0" fontId="65" fillId="0" borderId="0" xfId="0" applyFont="1" applyAlignment="1">
      <alignment horizontal="center" wrapText="1"/>
    </xf>
    <xf numFmtId="0" fontId="65" fillId="0" borderId="0" xfId="0" applyFont="1" applyAlignment="1">
      <alignment wrapText="1"/>
    </xf>
    <xf numFmtId="0" fontId="65" fillId="0" borderId="0" xfId="0" applyFont="1" applyAlignment="1">
      <alignment vertical="center"/>
    </xf>
    <xf numFmtId="0" fontId="90" fillId="0" borderId="0" xfId="0" applyFont="1" applyAlignment="1">
      <alignment horizontal="center" vertical="center" wrapText="1"/>
    </xf>
    <xf numFmtId="0" fontId="90" fillId="3" borderId="0" xfId="0" applyFont="1" applyFill="1" applyAlignment="1">
      <alignment horizontal="center" vertical="center" wrapText="1"/>
    </xf>
    <xf numFmtId="0" fontId="65" fillId="0" borderId="74" xfId="0" applyFont="1" applyBorder="1" applyAlignment="1" applyProtection="1">
      <alignment horizontal="left" vertical="center" wrapText="1"/>
      <protection locked="0"/>
    </xf>
    <xf numFmtId="0" fontId="55" fillId="11" borderId="12" xfId="0" applyFont="1" applyFill="1" applyBorder="1" applyAlignment="1" applyProtection="1">
      <alignment horizontal="center" vertical="center" wrapText="1" readingOrder="1"/>
      <protection hidden="1"/>
    </xf>
    <xf numFmtId="0" fontId="77" fillId="13" borderId="12" xfId="0" applyFont="1" applyFill="1" applyBorder="1" applyAlignment="1" applyProtection="1">
      <alignment horizontal="center" wrapText="1" readingOrder="1"/>
      <protection hidden="1"/>
    </xf>
    <xf numFmtId="0" fontId="54" fillId="0" borderId="94" xfId="0" applyFont="1" applyBorder="1" applyAlignment="1">
      <alignment vertical="center"/>
    </xf>
    <xf numFmtId="0" fontId="54" fillId="0" borderId="90" xfId="0" applyFont="1" applyBorder="1" applyAlignment="1">
      <alignment vertical="center"/>
    </xf>
    <xf numFmtId="0" fontId="54" fillId="0" borderId="93" xfId="0" applyFont="1" applyBorder="1" applyAlignment="1">
      <alignment vertical="center"/>
    </xf>
    <xf numFmtId="0" fontId="59" fillId="0" borderId="68" xfId="0" applyFont="1" applyBorder="1" applyAlignment="1">
      <alignment horizontal="center" vertical="center" wrapText="1"/>
    </xf>
    <xf numFmtId="0" fontId="33" fillId="15" borderId="33" xfId="0" applyFont="1" applyFill="1" applyBorder="1" applyAlignment="1">
      <alignment horizontal="center" vertical="center" wrapText="1" readingOrder="1"/>
    </xf>
    <xf numFmtId="0" fontId="33" fillId="3" borderId="22" xfId="0" applyFont="1" applyFill="1" applyBorder="1" applyAlignment="1">
      <alignment horizontal="center" vertical="center" wrapText="1" readingOrder="1"/>
    </xf>
    <xf numFmtId="0" fontId="33" fillId="3" borderId="21" xfId="0" applyFont="1" applyFill="1" applyBorder="1" applyAlignment="1">
      <alignment horizontal="center" vertical="center" wrapText="1" readingOrder="1"/>
    </xf>
    <xf numFmtId="0" fontId="33" fillId="3" borderId="28" xfId="0" applyFont="1" applyFill="1" applyBorder="1" applyAlignment="1">
      <alignment horizontal="center" vertical="center" wrapText="1" readingOrder="1"/>
    </xf>
    <xf numFmtId="14" fontId="94" fillId="3" borderId="0" xfId="5" applyNumberFormat="1" applyFill="1" applyAlignment="1">
      <alignment horizontal="center" vertical="center" wrapText="1"/>
    </xf>
    <xf numFmtId="0" fontId="94" fillId="3" borderId="0" xfId="5" applyFill="1" applyAlignment="1">
      <alignment horizontal="center" vertical="center" wrapText="1"/>
    </xf>
    <xf numFmtId="0" fontId="54" fillId="0" borderId="66" xfId="0" applyFont="1" applyBorder="1" applyAlignment="1">
      <alignment horizontal="left" vertical="center"/>
    </xf>
    <xf numFmtId="0" fontId="54" fillId="0" borderId="21" xfId="0" applyFont="1" applyBorder="1" applyAlignment="1">
      <alignment horizontal="left" vertical="center"/>
    </xf>
    <xf numFmtId="0" fontId="83" fillId="3" borderId="0" xfId="0" applyFont="1" applyFill="1" applyAlignment="1">
      <alignment horizontal="center" vertical="center"/>
    </xf>
    <xf numFmtId="0" fontId="96" fillId="0" borderId="21" xfId="0" applyFont="1" applyBorder="1" applyAlignment="1">
      <alignment horizontal="left" vertical="center"/>
    </xf>
    <xf numFmtId="0" fontId="98" fillId="0" borderId="0" xfId="0" applyFont="1"/>
    <xf numFmtId="0" fontId="99" fillId="0" borderId="0" xfId="0" applyFont="1"/>
    <xf numFmtId="0" fontId="100" fillId="0" borderId="0" xfId="0" applyFont="1"/>
    <xf numFmtId="0" fontId="65" fillId="0" borderId="91" xfId="0" applyFont="1" applyBorder="1" applyAlignment="1">
      <alignment horizontal="center" vertical="center"/>
    </xf>
    <xf numFmtId="0" fontId="65" fillId="0" borderId="92" xfId="0" applyFont="1" applyBorder="1" applyAlignment="1">
      <alignment horizontal="center" vertical="center"/>
    </xf>
    <xf numFmtId="0" fontId="65" fillId="30" borderId="100" xfId="0" applyFont="1" applyFill="1" applyBorder="1" applyAlignment="1">
      <alignment vertical="center"/>
    </xf>
    <xf numFmtId="0" fontId="65" fillId="30" borderId="28" xfId="0" applyFont="1" applyFill="1" applyBorder="1" applyAlignment="1">
      <alignment vertical="center"/>
    </xf>
    <xf numFmtId="0" fontId="65" fillId="29" borderId="100" xfId="0" applyFont="1" applyFill="1" applyBorder="1" applyAlignment="1">
      <alignment vertical="center"/>
    </xf>
    <xf numFmtId="0" fontId="65" fillId="29" borderId="28" xfId="0" applyFont="1" applyFill="1" applyBorder="1" applyAlignment="1">
      <alignment vertical="center"/>
    </xf>
    <xf numFmtId="0" fontId="71" fillId="0" borderId="100" xfId="0" applyFont="1" applyBorder="1" applyAlignment="1" applyProtection="1">
      <alignment horizontal="left" vertical="center" wrapText="1"/>
      <protection locked="0"/>
    </xf>
    <xf numFmtId="0" fontId="72" fillId="16" borderId="101" xfId="0" applyFont="1" applyFill="1" applyBorder="1" applyAlignment="1">
      <alignment horizontal="center" vertical="center" textRotation="90"/>
    </xf>
    <xf numFmtId="0" fontId="72" fillId="16" borderId="63" xfId="0" applyFont="1" applyFill="1" applyBorder="1" applyAlignment="1">
      <alignment horizontal="center" vertical="center"/>
    </xf>
    <xf numFmtId="0" fontId="72" fillId="16" borderId="101" xfId="0" applyFont="1" applyFill="1" applyBorder="1" applyAlignment="1">
      <alignment horizontal="center" vertical="center" wrapText="1"/>
    </xf>
    <xf numFmtId="9" fontId="43" fillId="0" borderId="115" xfId="1" applyFont="1" applyBorder="1" applyAlignment="1">
      <alignment horizontal="center" vertical="center" wrapText="1"/>
    </xf>
    <xf numFmtId="0" fontId="54" fillId="0" borderId="115" xfId="0" applyFont="1" applyBorder="1" applyAlignment="1" applyProtection="1">
      <alignment horizontal="center" vertical="center" textRotation="90" wrapText="1"/>
      <protection hidden="1"/>
    </xf>
    <xf numFmtId="9" fontId="43" fillId="0" borderId="115" xfId="0" applyNumberFormat="1" applyFont="1" applyBorder="1" applyAlignment="1" applyProtection="1">
      <alignment horizontal="center" vertical="center" wrapText="1"/>
      <protection hidden="1"/>
    </xf>
    <xf numFmtId="14" fontId="90" fillId="27" borderId="115" xfId="0" applyNumberFormat="1" applyFont="1" applyFill="1" applyBorder="1" applyAlignment="1" applyProtection="1">
      <alignment horizontal="center" vertical="center" wrapText="1"/>
      <protection locked="0"/>
    </xf>
    <xf numFmtId="0" fontId="61" fillId="0" borderId="0" xfId="0" applyFont="1" applyAlignment="1">
      <alignment horizontal="center" wrapText="1"/>
    </xf>
    <xf numFmtId="0" fontId="64" fillId="0" borderId="88" xfId="0" applyFont="1" applyBorder="1" applyAlignment="1">
      <alignment horizontal="center" vertical="center" wrapText="1"/>
    </xf>
    <xf numFmtId="0" fontId="64" fillId="0" borderId="12" xfId="0" applyFont="1" applyBorder="1" applyAlignment="1">
      <alignment horizontal="center" vertical="center" wrapText="1"/>
    </xf>
    <xf numFmtId="0" fontId="64" fillId="0" borderId="75" xfId="0" applyFont="1" applyBorder="1" applyAlignment="1">
      <alignment horizontal="center" vertical="center" wrapText="1"/>
    </xf>
    <xf numFmtId="0" fontId="64" fillId="0" borderId="71" xfId="0" applyFont="1" applyBorder="1" applyAlignment="1">
      <alignment horizontal="center" vertical="center" wrapText="1"/>
    </xf>
    <xf numFmtId="0" fontId="64" fillId="0" borderId="0" xfId="0" applyFont="1" applyAlignment="1">
      <alignment horizontal="center" vertical="center" wrapText="1"/>
    </xf>
    <xf numFmtId="0" fontId="64" fillId="0" borderId="72" xfId="0" applyFont="1" applyBorder="1" applyAlignment="1">
      <alignment horizontal="center" vertical="center" wrapText="1"/>
    </xf>
    <xf numFmtId="0" fontId="64" fillId="0" borderId="89" xfId="0" applyFont="1" applyBorder="1" applyAlignment="1">
      <alignment horizontal="center" vertical="center" wrapText="1"/>
    </xf>
    <xf numFmtId="0" fontId="64" fillId="0" borderId="11" xfId="0" applyFont="1" applyBorder="1" applyAlignment="1">
      <alignment horizontal="center" vertical="center" wrapText="1"/>
    </xf>
    <xf numFmtId="0" fontId="64" fillId="0" borderId="78" xfId="0" applyFont="1" applyBorder="1" applyAlignment="1">
      <alignment horizontal="center" vertical="center" wrapText="1"/>
    </xf>
    <xf numFmtId="0" fontId="62" fillId="0" borderId="5" xfId="0" applyFont="1" applyBorder="1" applyAlignment="1">
      <alignment horizontal="center" wrapText="1"/>
    </xf>
    <xf numFmtId="0" fontId="62" fillId="0" borderId="6" xfId="0" applyFont="1" applyBorder="1" applyAlignment="1">
      <alignment horizontal="center" wrapText="1"/>
    </xf>
    <xf numFmtId="0" fontId="62" fillId="0" borderId="7" xfId="0" applyFont="1" applyBorder="1" applyAlignment="1">
      <alignment horizontal="center" wrapText="1"/>
    </xf>
    <xf numFmtId="0" fontId="62" fillId="0" borderId="8" xfId="0" applyFont="1" applyBorder="1" applyAlignment="1">
      <alignment horizontal="center" wrapText="1"/>
    </xf>
    <xf numFmtId="0" fontId="62" fillId="0" borderId="9" xfId="0" applyFont="1" applyBorder="1" applyAlignment="1">
      <alignment horizontal="center" wrapText="1"/>
    </xf>
    <xf numFmtId="0" fontId="62" fillId="0" borderId="10" xfId="0" applyFont="1" applyBorder="1" applyAlignment="1">
      <alignment horizontal="center" wrapText="1"/>
    </xf>
    <xf numFmtId="0" fontId="54" fillId="0" borderId="76" xfId="0" applyFont="1" applyBorder="1" applyAlignment="1">
      <alignment horizontal="left" vertical="center"/>
    </xf>
    <xf numFmtId="0" fontId="54" fillId="0" borderId="6" xfId="0" applyFont="1" applyBorder="1" applyAlignment="1">
      <alignment horizontal="left" vertical="center"/>
    </xf>
    <xf numFmtId="0" fontId="54" fillId="0" borderId="77" xfId="0" applyFont="1" applyBorder="1" applyAlignment="1">
      <alignment horizontal="left" vertical="center"/>
    </xf>
    <xf numFmtId="0" fontId="54" fillId="0" borderId="8" xfId="0" applyFont="1" applyBorder="1" applyAlignment="1">
      <alignment horizontal="left" vertical="center"/>
    </xf>
    <xf numFmtId="0" fontId="54" fillId="0" borderId="79" xfId="0" applyFont="1" applyBorder="1" applyAlignment="1">
      <alignment horizontal="left" vertical="center"/>
    </xf>
    <xf numFmtId="0" fontId="54" fillId="0" borderId="10" xfId="0" applyFont="1" applyBorder="1" applyAlignment="1">
      <alignment horizontal="left" vertical="center"/>
    </xf>
    <xf numFmtId="0" fontId="65" fillId="0" borderId="23" xfId="0" applyFont="1" applyBorder="1" applyAlignment="1">
      <alignment horizontal="left" vertical="center" wrapText="1"/>
    </xf>
    <xf numFmtId="0" fontId="65" fillId="0" borderId="35" xfId="0" applyFont="1" applyBorder="1" applyAlignment="1">
      <alignment horizontal="left" vertical="center" wrapText="1"/>
    </xf>
    <xf numFmtId="0" fontId="95" fillId="0" borderId="111" xfId="0" applyFont="1" applyBorder="1" applyAlignment="1">
      <alignment horizontal="center" wrapText="1"/>
    </xf>
    <xf numFmtId="0" fontId="95" fillId="0" borderId="112" xfId="0" applyFont="1" applyBorder="1" applyAlignment="1">
      <alignment horizontal="center" wrapText="1"/>
    </xf>
    <xf numFmtId="0" fontId="95" fillId="0" borderId="113" xfId="0" applyFont="1" applyBorder="1" applyAlignment="1">
      <alignment horizontal="center" wrapText="1"/>
    </xf>
    <xf numFmtId="0" fontId="64" fillId="0" borderId="94" xfId="0" applyFont="1" applyBorder="1" applyAlignment="1">
      <alignment horizontal="center" vertical="center" wrapText="1"/>
    </xf>
    <xf numFmtId="0" fontId="64" fillId="0" borderId="90" xfId="0" applyFont="1" applyBorder="1" applyAlignment="1">
      <alignment horizontal="center" vertical="center" wrapText="1"/>
    </xf>
    <xf numFmtId="0" fontId="64" fillId="0" borderId="93" xfId="0" applyFont="1" applyBorder="1" applyAlignment="1">
      <alignment horizontal="center" vertical="center" wrapText="1"/>
    </xf>
    <xf numFmtId="0" fontId="60" fillId="18" borderId="94" xfId="0" applyFont="1" applyFill="1" applyBorder="1" applyAlignment="1">
      <alignment horizontal="center" vertical="center"/>
    </xf>
    <xf numFmtId="0" fontId="60" fillId="18" borderId="90" xfId="0" applyFont="1" applyFill="1" applyBorder="1" applyAlignment="1">
      <alignment horizontal="center" vertical="center"/>
    </xf>
    <xf numFmtId="0" fontId="60" fillId="18" borderId="93" xfId="0" applyFont="1" applyFill="1" applyBorder="1" applyAlignment="1">
      <alignment horizontal="center" vertical="center"/>
    </xf>
    <xf numFmtId="0" fontId="70" fillId="18" borderId="5" xfId="0" applyFont="1" applyFill="1" applyBorder="1" applyAlignment="1">
      <alignment horizontal="center" vertical="center"/>
    </xf>
    <xf numFmtId="0" fontId="70" fillId="18" borderId="6" xfId="0" applyFont="1" applyFill="1" applyBorder="1" applyAlignment="1">
      <alignment horizontal="center" vertical="center"/>
    </xf>
    <xf numFmtId="0" fontId="70" fillId="18" borderId="9" xfId="0" applyFont="1" applyFill="1" applyBorder="1" applyAlignment="1">
      <alignment horizontal="center" vertical="center"/>
    </xf>
    <xf numFmtId="0" fontId="70" fillId="18" borderId="10" xfId="0" applyFont="1" applyFill="1" applyBorder="1" applyAlignment="1">
      <alignment horizontal="center" vertical="center"/>
    </xf>
    <xf numFmtId="0" fontId="70" fillId="19" borderId="9" xfId="0" applyFont="1" applyFill="1" applyBorder="1" applyAlignment="1">
      <alignment horizontal="center" vertical="center"/>
    </xf>
    <xf numFmtId="0" fontId="70" fillId="19" borderId="10" xfId="0" applyFont="1" applyFill="1" applyBorder="1" applyAlignment="1">
      <alignment horizontal="center" vertical="center"/>
    </xf>
    <xf numFmtId="0" fontId="70" fillId="18" borderId="5" xfId="0" applyFont="1" applyFill="1" applyBorder="1" applyAlignment="1">
      <alignment horizontal="center" vertical="center" wrapText="1"/>
    </xf>
    <xf numFmtId="0" fontId="70" fillId="18" borderId="6" xfId="0" applyFont="1" applyFill="1" applyBorder="1" applyAlignment="1">
      <alignment horizontal="center" vertical="center" wrapText="1"/>
    </xf>
    <xf numFmtId="0" fontId="70" fillId="18" borderId="9" xfId="0" applyFont="1" applyFill="1" applyBorder="1" applyAlignment="1">
      <alignment horizontal="center" vertical="center" wrapText="1"/>
    </xf>
    <xf numFmtId="0" fontId="70" fillId="18" borderId="10" xfId="0" applyFont="1" applyFill="1" applyBorder="1" applyAlignment="1">
      <alignment horizontal="center" vertical="center" wrapText="1"/>
    </xf>
    <xf numFmtId="0" fontId="54" fillId="0" borderId="5" xfId="0" applyFont="1" applyBorder="1" applyAlignment="1">
      <alignment horizontal="left" vertical="center"/>
    </xf>
    <xf numFmtId="0" fontId="54" fillId="0" borderId="7" xfId="0" applyFont="1" applyBorder="1" applyAlignment="1">
      <alignment horizontal="left" vertical="center"/>
    </xf>
    <xf numFmtId="0" fontId="54" fillId="0" borderId="9" xfId="0" applyFont="1" applyBorder="1" applyAlignment="1">
      <alignment horizontal="left" vertical="center"/>
    </xf>
    <xf numFmtId="0" fontId="65" fillId="0" borderId="103" xfId="0" applyFont="1" applyBorder="1" applyAlignment="1">
      <alignment horizontal="left" wrapText="1"/>
    </xf>
    <xf numFmtId="0" fontId="65" fillId="0" borderId="103" xfId="0" applyFont="1" applyBorder="1" applyAlignment="1">
      <alignment horizontal="left"/>
    </xf>
    <xf numFmtId="0" fontId="72" fillId="16" borderId="66" xfId="0" applyFont="1" applyFill="1" applyBorder="1" applyAlignment="1">
      <alignment horizontal="center" vertical="center" wrapText="1"/>
    </xf>
    <xf numFmtId="0" fontId="72" fillId="16" borderId="67" xfId="0" applyFont="1" applyFill="1" applyBorder="1" applyAlignment="1">
      <alignment horizontal="center" vertical="center" wrapText="1"/>
    </xf>
    <xf numFmtId="0" fontId="72" fillId="16" borderId="101" xfId="0" applyFont="1" applyFill="1" applyBorder="1" applyAlignment="1">
      <alignment horizontal="center" vertical="center" textRotation="90"/>
    </xf>
    <xf numFmtId="0" fontId="72" fillId="16" borderId="102" xfId="0" applyFont="1" applyFill="1" applyBorder="1" applyAlignment="1">
      <alignment horizontal="center" vertical="center" textRotation="90"/>
    </xf>
    <xf numFmtId="0" fontId="76" fillId="0" borderId="0" xfId="0" applyFont="1" applyAlignment="1">
      <alignment horizontal="center"/>
    </xf>
    <xf numFmtId="0" fontId="76" fillId="0" borderId="72" xfId="0" applyFont="1" applyBorder="1" applyAlignment="1">
      <alignment horizontal="center"/>
    </xf>
    <xf numFmtId="0" fontId="72" fillId="16" borderId="101" xfId="0" applyFont="1" applyFill="1" applyBorder="1" applyAlignment="1">
      <alignment horizontal="center" vertical="center"/>
    </xf>
    <xf numFmtId="0" fontId="72" fillId="16" borderId="102" xfId="0" applyFont="1" applyFill="1" applyBorder="1" applyAlignment="1">
      <alignment horizontal="center" vertical="center"/>
    </xf>
    <xf numFmtId="0" fontId="72" fillId="16" borderId="101" xfId="0" applyFont="1" applyFill="1" applyBorder="1" applyAlignment="1">
      <alignment horizontal="center" vertical="center" wrapText="1"/>
    </xf>
    <xf numFmtId="0" fontId="72" fillId="16" borderId="102" xfId="0" applyFont="1" applyFill="1" applyBorder="1" applyAlignment="1">
      <alignment horizontal="center" vertical="center" wrapText="1"/>
    </xf>
    <xf numFmtId="0" fontId="72" fillId="16" borderId="21" xfId="0" applyFont="1" applyFill="1" applyBorder="1" applyAlignment="1">
      <alignment horizontal="center" vertical="center" textRotation="90" wrapText="1"/>
    </xf>
    <xf numFmtId="0" fontId="72" fillId="16" borderId="101" xfId="0" applyFont="1" applyFill="1" applyBorder="1" applyAlignment="1">
      <alignment horizontal="center" vertical="center" textRotation="90" wrapText="1"/>
    </xf>
    <xf numFmtId="0" fontId="72" fillId="16" borderId="21" xfId="0" applyFont="1" applyFill="1" applyBorder="1" applyAlignment="1">
      <alignment horizontal="center" vertical="center" wrapText="1"/>
    </xf>
    <xf numFmtId="0" fontId="72" fillId="16" borderId="21" xfId="0" applyFont="1" applyFill="1" applyBorder="1" applyAlignment="1">
      <alignment horizontal="center" vertical="center"/>
    </xf>
    <xf numFmtId="0" fontId="58" fillId="0" borderId="68" xfId="0" applyFont="1" applyBorder="1" applyAlignment="1">
      <alignment horizontal="center" vertical="center" wrapText="1"/>
    </xf>
    <xf numFmtId="0" fontId="92" fillId="0" borderId="66" xfId="0" applyFont="1" applyBorder="1" applyAlignment="1">
      <alignment horizontal="left" vertical="center" wrapText="1"/>
    </xf>
    <xf numFmtId="0" fontId="92" fillId="0" borderId="65" xfId="0" applyFont="1" applyBorder="1" applyAlignment="1">
      <alignment horizontal="left" vertical="center" wrapText="1"/>
    </xf>
    <xf numFmtId="0" fontId="92" fillId="0" borderId="67" xfId="0" applyFont="1" applyBorder="1" applyAlignment="1">
      <alignment horizontal="left" vertical="center" wrapText="1"/>
    </xf>
    <xf numFmtId="0" fontId="59" fillId="0" borderId="68" xfId="0" applyFont="1" applyBorder="1" applyAlignment="1">
      <alignment horizontal="center" vertical="center" wrapText="1"/>
    </xf>
    <xf numFmtId="0" fontId="91" fillId="0" borderId="21" xfId="0" applyFont="1" applyBorder="1" applyAlignment="1">
      <alignment horizontal="left" vertical="center" wrapText="1"/>
    </xf>
    <xf numFmtId="14" fontId="89" fillId="28" borderId="108" xfId="0" applyNumberFormat="1" applyFont="1" applyFill="1" applyBorder="1" applyAlignment="1">
      <alignment horizontal="center" vertical="center" wrapText="1"/>
    </xf>
    <xf numFmtId="14" fontId="89" fillId="28" borderId="102" xfId="0" applyNumberFormat="1" applyFont="1" applyFill="1" applyBorder="1" applyAlignment="1">
      <alignment horizontal="center" vertical="center" wrapText="1"/>
    </xf>
    <xf numFmtId="14" fontId="90" fillId="26" borderId="108" xfId="0" applyNumberFormat="1" applyFont="1" applyFill="1" applyBorder="1" applyAlignment="1">
      <alignment horizontal="center" vertical="center" wrapText="1"/>
    </xf>
    <xf numFmtId="14" fontId="90" fillId="26" borderId="102" xfId="0" applyNumberFormat="1" applyFont="1" applyFill="1" applyBorder="1" applyAlignment="1">
      <alignment horizontal="center" vertical="center" wrapText="1"/>
    </xf>
    <xf numFmtId="0" fontId="84" fillId="16" borderId="104" xfId="0" applyFont="1" applyFill="1" applyBorder="1" applyAlignment="1">
      <alignment horizontal="center" vertical="center" wrapText="1"/>
    </xf>
    <xf numFmtId="0" fontId="65" fillId="0" borderId="64" xfId="0" applyFont="1" applyBorder="1" applyAlignment="1">
      <alignment horizontal="left" vertical="center" wrapText="1"/>
    </xf>
    <xf numFmtId="0" fontId="72" fillId="16" borderId="102" xfId="0" applyFont="1" applyFill="1" applyBorder="1" applyAlignment="1">
      <alignment horizontal="center" vertical="center" textRotation="90" wrapText="1"/>
    </xf>
    <xf numFmtId="0" fontId="72" fillId="16" borderId="66" xfId="0" applyFont="1" applyFill="1" applyBorder="1" applyAlignment="1">
      <alignment horizontal="center" vertical="center"/>
    </xf>
    <xf numFmtId="0" fontId="72" fillId="16" borderId="65" xfId="0" applyFont="1" applyFill="1" applyBorder="1" applyAlignment="1">
      <alignment horizontal="center" vertical="center"/>
    </xf>
    <xf numFmtId="0" fontId="88" fillId="0" borderId="66" xfId="0" applyFont="1" applyBorder="1" applyAlignment="1">
      <alignment horizontal="left" vertical="center" wrapText="1"/>
    </xf>
    <xf numFmtId="0" fontId="88" fillId="0" borderId="65" xfId="0" applyFont="1" applyBorder="1" applyAlignment="1">
      <alignment horizontal="left" vertical="center"/>
    </xf>
    <xf numFmtId="0" fontId="88" fillId="0" borderId="66" xfId="0" applyFont="1" applyBorder="1" applyAlignment="1">
      <alignment horizontal="left" vertical="center"/>
    </xf>
    <xf numFmtId="0" fontId="72" fillId="16" borderId="21" xfId="0" applyFont="1" applyFill="1" applyBorder="1" applyAlignment="1">
      <alignment horizontal="center" vertical="center" textRotation="90"/>
    </xf>
    <xf numFmtId="0" fontId="84" fillId="19" borderId="67" xfId="0" applyFont="1" applyFill="1" applyBorder="1" applyAlignment="1">
      <alignment horizontal="center" vertical="center" wrapText="1"/>
    </xf>
    <xf numFmtId="0" fontId="84" fillId="19" borderId="21" xfId="0" applyFont="1" applyFill="1" applyBorder="1" applyAlignment="1">
      <alignment horizontal="center" vertical="center" wrapText="1"/>
    </xf>
    <xf numFmtId="0" fontId="84" fillId="16" borderId="99" xfId="0" applyFont="1" applyFill="1" applyBorder="1" applyAlignment="1">
      <alignment horizontal="center" vertical="center" wrapText="1"/>
    </xf>
    <xf numFmtId="0" fontId="84" fillId="16" borderId="105" xfId="0" applyFont="1" applyFill="1" applyBorder="1" applyAlignment="1">
      <alignment horizontal="center" vertical="center" wrapText="1"/>
    </xf>
    <xf numFmtId="0" fontId="84" fillId="16" borderId="63" xfId="0" applyFont="1" applyFill="1" applyBorder="1" applyAlignment="1">
      <alignment horizontal="center" vertical="center" wrapText="1"/>
    </xf>
    <xf numFmtId="0" fontId="84" fillId="16" borderId="106" xfId="0" applyFont="1" applyFill="1" applyBorder="1" applyAlignment="1">
      <alignment horizontal="center" vertical="center" wrapText="1"/>
    </xf>
    <xf numFmtId="0" fontId="72" fillId="16" borderId="107" xfId="0" applyFont="1" applyFill="1" applyBorder="1" applyAlignment="1">
      <alignment horizontal="center" vertical="center"/>
    </xf>
    <xf numFmtId="0" fontId="84" fillId="19" borderId="101" xfId="0" applyFont="1" applyFill="1" applyBorder="1" applyAlignment="1">
      <alignment horizontal="center" vertical="center" wrapText="1"/>
    </xf>
    <xf numFmtId="0" fontId="62" fillId="0" borderId="95" xfId="0" applyFont="1" applyBorder="1" applyAlignment="1">
      <alignment horizontal="center" vertical="center" wrapText="1"/>
    </xf>
    <xf numFmtId="0" fontId="62" fillId="0" borderId="96" xfId="0" applyFont="1" applyBorder="1" applyAlignment="1">
      <alignment horizontal="center" vertical="center" wrapText="1"/>
    </xf>
    <xf numFmtId="0" fontId="62" fillId="0" borderId="109" xfId="0" applyFont="1" applyBorder="1" applyAlignment="1">
      <alignment horizontal="center" vertical="center" wrapText="1"/>
    </xf>
    <xf numFmtId="0" fontId="62" fillId="0" borderId="86" xfId="0" applyFont="1" applyBorder="1" applyAlignment="1">
      <alignment horizontal="center" vertical="center" wrapText="1"/>
    </xf>
    <xf numFmtId="0" fontId="62" fillId="0" borderId="0" xfId="0" applyFont="1" applyAlignment="1">
      <alignment horizontal="center" vertical="center" wrapText="1"/>
    </xf>
    <xf numFmtId="0" fontId="62" fillId="0" borderId="72" xfId="0" applyFont="1" applyBorder="1" applyAlignment="1">
      <alignment horizontal="center" vertical="center" wrapText="1"/>
    </xf>
    <xf numFmtId="0" fontId="62" fillId="0" borderId="97" xfId="0" applyFont="1" applyBorder="1" applyAlignment="1">
      <alignment horizontal="center" vertical="center" wrapText="1"/>
    </xf>
    <xf numFmtId="0" fontId="62" fillId="0" borderId="98" xfId="0" applyFont="1" applyBorder="1" applyAlignment="1">
      <alignment horizontal="center" vertical="center" wrapText="1"/>
    </xf>
    <xf numFmtId="0" fontId="62" fillId="0" borderId="110" xfId="0" applyFont="1" applyBorder="1" applyAlignment="1">
      <alignment horizontal="center" vertical="center" wrapText="1"/>
    </xf>
    <xf numFmtId="0" fontId="87" fillId="0" borderId="21" xfId="0" applyFont="1" applyBorder="1" applyAlignment="1" applyProtection="1">
      <alignment horizontal="center" vertical="center"/>
      <protection locked="0"/>
    </xf>
    <xf numFmtId="0" fontId="72" fillId="16" borderId="22" xfId="0" applyFont="1" applyFill="1" applyBorder="1" applyAlignment="1">
      <alignment horizontal="center" vertical="center"/>
    </xf>
    <xf numFmtId="0" fontId="83" fillId="16" borderId="66" xfId="0" applyFont="1" applyFill="1" applyBorder="1" applyAlignment="1">
      <alignment horizontal="left" vertical="center"/>
    </xf>
    <xf numFmtId="0" fontId="83" fillId="16" borderId="65" xfId="0" applyFont="1" applyFill="1" applyBorder="1" applyAlignment="1">
      <alignment horizontal="left" vertical="center"/>
    </xf>
    <xf numFmtId="0" fontId="83" fillId="16" borderId="67" xfId="0" applyFont="1" applyFill="1" applyBorder="1" applyAlignment="1">
      <alignment horizontal="left" vertical="center"/>
    </xf>
    <xf numFmtId="0" fontId="0" fillId="5" borderId="0" xfId="0" applyFill="1" applyAlignment="1">
      <alignment horizontal="center"/>
    </xf>
    <xf numFmtId="0" fontId="76" fillId="20" borderId="91" xfId="0" applyFont="1" applyFill="1" applyBorder="1" applyAlignment="1">
      <alignment horizontal="center" vertical="center" wrapText="1"/>
    </xf>
    <xf numFmtId="0" fontId="76" fillId="20" borderId="100" xfId="0" applyFont="1" applyFill="1" applyBorder="1" applyAlignment="1">
      <alignment horizontal="center" vertical="center" wrapText="1"/>
    </xf>
    <xf numFmtId="0" fontId="76" fillId="20" borderId="25" xfId="0" applyFont="1" applyFill="1" applyBorder="1" applyAlignment="1">
      <alignment horizontal="center" vertical="center" wrapText="1"/>
    </xf>
    <xf numFmtId="0" fontId="76" fillId="20" borderId="21" xfId="0" applyFont="1" applyFill="1" applyBorder="1" applyAlignment="1">
      <alignment horizontal="center" vertical="center" wrapText="1"/>
    </xf>
    <xf numFmtId="0" fontId="22" fillId="0" borderId="0" xfId="0" applyFont="1" applyAlignment="1">
      <alignment horizontal="center" vertical="center" wrapText="1"/>
    </xf>
    <xf numFmtId="0" fontId="18" fillId="5" borderId="7" xfId="0" applyFont="1" applyFill="1" applyBorder="1" applyAlignment="1" applyProtection="1">
      <alignment horizontal="center" wrapText="1" readingOrder="1"/>
      <protection hidden="1"/>
    </xf>
    <xf numFmtId="0" fontId="18" fillId="5" borderId="0" xfId="0" applyFont="1" applyFill="1" applyAlignment="1" applyProtection="1">
      <alignment horizontal="center" wrapText="1" readingOrder="1"/>
      <protection hidden="1"/>
    </xf>
    <xf numFmtId="0" fontId="18" fillId="5" borderId="8" xfId="0" applyFont="1" applyFill="1" applyBorder="1" applyAlignment="1" applyProtection="1">
      <alignment horizontal="center" wrapText="1" readingOrder="1"/>
      <protection hidden="1"/>
    </xf>
    <xf numFmtId="0" fontId="18" fillId="5" borderId="11" xfId="0" applyFont="1" applyFill="1" applyBorder="1" applyAlignment="1" applyProtection="1">
      <alignment horizontal="center" wrapText="1" readingOrder="1"/>
      <protection hidden="1"/>
    </xf>
    <xf numFmtId="0" fontId="18" fillId="5" borderId="10" xfId="0" applyFont="1" applyFill="1" applyBorder="1" applyAlignment="1" applyProtection="1">
      <alignment horizontal="center" wrapText="1" readingOrder="1"/>
      <protection hidden="1"/>
    </xf>
    <xf numFmtId="0" fontId="18" fillId="5" borderId="5" xfId="0" applyFont="1" applyFill="1" applyBorder="1" applyAlignment="1" applyProtection="1">
      <alignment horizontal="center" wrapText="1" readingOrder="1"/>
      <protection hidden="1"/>
    </xf>
    <xf numFmtId="0" fontId="18" fillId="5" borderId="12" xfId="0" applyFont="1" applyFill="1" applyBorder="1" applyAlignment="1" applyProtection="1">
      <alignment horizontal="center" wrapText="1" readingOrder="1"/>
      <protection hidden="1"/>
    </xf>
    <xf numFmtId="0" fontId="18" fillId="5" borderId="6" xfId="0" applyFont="1" applyFill="1" applyBorder="1" applyAlignment="1" applyProtection="1">
      <alignment horizontal="center" wrapText="1" readingOrder="1"/>
      <protection hidden="1"/>
    </xf>
    <xf numFmtId="0" fontId="18" fillId="5" borderId="9" xfId="0" applyFont="1" applyFill="1" applyBorder="1" applyAlignment="1" applyProtection="1">
      <alignment horizontal="center" wrapText="1" readingOrder="1"/>
      <protection hidden="1"/>
    </xf>
    <xf numFmtId="0" fontId="18" fillId="13" borderId="7" xfId="0" applyFont="1" applyFill="1" applyBorder="1" applyAlignment="1" applyProtection="1">
      <alignment horizontal="center" wrapText="1" readingOrder="1"/>
      <protection hidden="1"/>
    </xf>
    <xf numFmtId="0" fontId="18" fillId="13" borderId="0" xfId="0" applyFont="1" applyFill="1" applyAlignment="1" applyProtection="1">
      <alignment horizontal="center" wrapText="1" readingOrder="1"/>
      <protection hidden="1"/>
    </xf>
    <xf numFmtId="0" fontId="18" fillId="13" borderId="8" xfId="0" applyFont="1" applyFill="1" applyBorder="1" applyAlignment="1" applyProtection="1">
      <alignment horizontal="center" wrapText="1" readingOrder="1"/>
      <protection hidden="1"/>
    </xf>
    <xf numFmtId="0" fontId="18" fillId="13" borderId="9" xfId="0" applyFont="1" applyFill="1" applyBorder="1" applyAlignment="1" applyProtection="1">
      <alignment horizontal="center" wrapText="1" readingOrder="1"/>
      <protection hidden="1"/>
    </xf>
    <xf numFmtId="0" fontId="18" fillId="13" borderId="11" xfId="0" applyFont="1" applyFill="1" applyBorder="1" applyAlignment="1" applyProtection="1">
      <alignment horizontal="center" wrapText="1" readingOrder="1"/>
      <protection hidden="1"/>
    </xf>
    <xf numFmtId="0" fontId="18" fillId="13" borderId="10" xfId="0" applyFont="1" applyFill="1" applyBorder="1" applyAlignment="1" applyProtection="1">
      <alignment horizontal="center" wrapText="1" readingOrder="1"/>
      <protection hidden="1"/>
    </xf>
    <xf numFmtId="0" fontId="18" fillId="13" borderId="5" xfId="0" applyFont="1" applyFill="1" applyBorder="1" applyAlignment="1" applyProtection="1">
      <alignment horizontal="center" wrapText="1" readingOrder="1"/>
      <protection hidden="1"/>
    </xf>
    <xf numFmtId="0" fontId="18" fillId="13" borderId="12" xfId="0" applyFont="1" applyFill="1" applyBorder="1" applyAlignment="1" applyProtection="1">
      <alignment horizontal="center" wrapText="1" readingOrder="1"/>
      <protection hidden="1"/>
    </xf>
    <xf numFmtId="0" fontId="18" fillId="13" borderId="6" xfId="0" applyFont="1" applyFill="1" applyBorder="1" applyAlignment="1" applyProtection="1">
      <alignment horizontal="center" wrapText="1" readingOrder="1"/>
      <protection hidden="1"/>
    </xf>
    <xf numFmtId="0" fontId="18" fillId="12" borderId="7" xfId="0" applyFont="1" applyFill="1" applyBorder="1" applyAlignment="1" applyProtection="1">
      <alignment horizontal="center" wrapText="1" readingOrder="1"/>
      <protection hidden="1"/>
    </xf>
    <xf numFmtId="0" fontId="18" fillId="12" borderId="0" xfId="0" applyFont="1" applyFill="1" applyAlignment="1" applyProtection="1">
      <alignment horizontal="center" wrapText="1" readingOrder="1"/>
      <protection hidden="1"/>
    </xf>
    <xf numFmtId="0" fontId="18" fillId="12" borderId="8" xfId="0" applyFont="1" applyFill="1" applyBorder="1" applyAlignment="1" applyProtection="1">
      <alignment horizontal="center" wrapText="1" readingOrder="1"/>
      <protection hidden="1"/>
    </xf>
    <xf numFmtId="0" fontId="18" fillId="12" borderId="9" xfId="0" applyFont="1" applyFill="1" applyBorder="1" applyAlignment="1" applyProtection="1">
      <alignment horizontal="center" wrapText="1" readingOrder="1"/>
      <protection hidden="1"/>
    </xf>
    <xf numFmtId="0" fontId="18" fillId="12" borderId="11" xfId="0" applyFont="1" applyFill="1" applyBorder="1" applyAlignment="1" applyProtection="1">
      <alignment horizontal="center" wrapText="1" readingOrder="1"/>
      <protection hidden="1"/>
    </xf>
    <xf numFmtId="0" fontId="18" fillId="12" borderId="10" xfId="0" applyFont="1" applyFill="1" applyBorder="1" applyAlignment="1" applyProtection="1">
      <alignment horizontal="center" wrapText="1" readingOrder="1"/>
      <protection hidden="1"/>
    </xf>
    <xf numFmtId="0" fontId="18" fillId="12" borderId="5" xfId="0" applyFont="1" applyFill="1" applyBorder="1" applyAlignment="1" applyProtection="1">
      <alignment horizontal="center" wrapText="1" readingOrder="1"/>
      <protection hidden="1"/>
    </xf>
    <xf numFmtId="0" fontId="18" fillId="12" borderId="12" xfId="0" applyFont="1" applyFill="1" applyBorder="1" applyAlignment="1" applyProtection="1">
      <alignment horizontal="center" wrapText="1" readingOrder="1"/>
      <protection hidden="1"/>
    </xf>
    <xf numFmtId="0" fontId="18" fillId="12" borderId="6" xfId="0" applyFont="1" applyFill="1" applyBorder="1" applyAlignment="1" applyProtection="1">
      <alignment horizontal="center" wrapText="1" readingOrder="1"/>
      <protection hidden="1"/>
    </xf>
    <xf numFmtId="0" fontId="18" fillId="11" borderId="7" xfId="0" applyFont="1" applyFill="1" applyBorder="1" applyAlignment="1" applyProtection="1">
      <alignment horizontal="center" vertical="center" wrapText="1" readingOrder="1"/>
      <protection hidden="1"/>
    </xf>
    <xf numFmtId="0" fontId="18" fillId="11" borderId="0" xfId="0" applyFont="1" applyFill="1" applyAlignment="1" applyProtection="1">
      <alignment horizontal="center" vertical="center" wrapText="1" readingOrder="1"/>
      <protection hidden="1"/>
    </xf>
    <xf numFmtId="0" fontId="18" fillId="11" borderId="8" xfId="0" applyFont="1" applyFill="1" applyBorder="1" applyAlignment="1" applyProtection="1">
      <alignment horizontal="center" vertical="center" wrapText="1" readingOrder="1"/>
      <protection hidden="1"/>
    </xf>
    <xf numFmtId="0" fontId="18" fillId="11" borderId="9" xfId="0" applyFont="1" applyFill="1" applyBorder="1" applyAlignment="1" applyProtection="1">
      <alignment horizontal="center" vertical="center" wrapText="1" readingOrder="1"/>
      <protection hidden="1"/>
    </xf>
    <xf numFmtId="0" fontId="18" fillId="11" borderId="11" xfId="0" applyFont="1" applyFill="1" applyBorder="1" applyAlignment="1" applyProtection="1">
      <alignment horizontal="center" vertical="center" wrapText="1" readingOrder="1"/>
      <protection hidden="1"/>
    </xf>
    <xf numFmtId="0" fontId="18" fillId="11" borderId="10" xfId="0" applyFont="1" applyFill="1" applyBorder="1" applyAlignment="1" applyProtection="1">
      <alignment horizontal="center" vertical="center" wrapText="1" readingOrder="1"/>
      <protection hidden="1"/>
    </xf>
    <xf numFmtId="0" fontId="18" fillId="11" borderId="5" xfId="0" applyFont="1" applyFill="1" applyBorder="1" applyAlignment="1" applyProtection="1">
      <alignment horizontal="center" vertical="center" wrapText="1" readingOrder="1"/>
      <protection hidden="1"/>
    </xf>
    <xf numFmtId="0" fontId="18" fillId="11" borderId="12" xfId="0" applyFont="1" applyFill="1" applyBorder="1" applyAlignment="1" applyProtection="1">
      <alignment horizontal="center" vertical="center" wrapText="1" readingOrder="1"/>
      <protection hidden="1"/>
    </xf>
    <xf numFmtId="0" fontId="18" fillId="11" borderId="6" xfId="0" applyFont="1" applyFill="1" applyBorder="1" applyAlignment="1" applyProtection="1">
      <alignment horizontal="center" vertical="center" wrapText="1" readingOrder="1"/>
      <protection hidden="1"/>
    </xf>
    <xf numFmtId="0" fontId="15" fillId="0" borderId="5"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2"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7" xfId="0" applyFont="1" applyBorder="1" applyAlignment="1">
      <alignment horizontal="center" vertical="center" wrapText="1"/>
    </xf>
    <xf numFmtId="0" fontId="54" fillId="0" borderId="12" xfId="0" applyFont="1" applyBorder="1" applyAlignment="1">
      <alignment horizontal="left" vertical="center"/>
    </xf>
    <xf numFmtId="0" fontId="54" fillId="0" borderId="0" xfId="0" applyFont="1" applyAlignment="1">
      <alignment horizontal="left" vertical="center"/>
    </xf>
    <xf numFmtId="0" fontId="54" fillId="0" borderId="11" xfId="0" applyFont="1" applyBorder="1" applyAlignment="1">
      <alignment horizontal="left" vertical="center"/>
    </xf>
    <xf numFmtId="0" fontId="54" fillId="0" borderId="5" xfId="0" applyFont="1" applyBorder="1" applyAlignment="1">
      <alignment horizontal="center" vertical="center"/>
    </xf>
    <xf numFmtId="0" fontId="54" fillId="0" borderId="12" xfId="0" applyFont="1" applyBorder="1" applyAlignment="1">
      <alignment horizontal="center" vertical="center"/>
    </xf>
    <xf numFmtId="0" fontId="54" fillId="0" borderId="6" xfId="0" applyFont="1" applyBorder="1" applyAlignment="1">
      <alignment horizontal="center" vertical="center"/>
    </xf>
    <xf numFmtId="0" fontId="54" fillId="0" borderId="7" xfId="0" applyFont="1" applyBorder="1" applyAlignment="1">
      <alignment horizontal="center" vertical="center"/>
    </xf>
    <xf numFmtId="0" fontId="54" fillId="0" borderId="0" xfId="0" applyFont="1" applyAlignment="1">
      <alignment horizontal="center" vertical="center"/>
    </xf>
    <xf numFmtId="0" fontId="54" fillId="0" borderId="8" xfId="0" applyFont="1" applyBorder="1" applyAlignment="1">
      <alignment horizontal="center" vertical="center"/>
    </xf>
    <xf numFmtId="0" fontId="54" fillId="0" borderId="9" xfId="0" applyFont="1" applyBorder="1" applyAlignment="1">
      <alignment horizontal="center" vertical="center"/>
    </xf>
    <xf numFmtId="0" fontId="54" fillId="0" borderId="11" xfId="0" applyFont="1" applyBorder="1" applyAlignment="1">
      <alignment horizontal="center" vertical="center"/>
    </xf>
    <xf numFmtId="0" fontId="54" fillId="0" borderId="10" xfId="0" applyFont="1" applyBorder="1" applyAlignment="1">
      <alignment horizontal="center" vertical="center"/>
    </xf>
    <xf numFmtId="0" fontId="67" fillId="0" borderId="5" xfId="0" applyFont="1" applyBorder="1" applyAlignment="1">
      <alignment horizontal="center" wrapText="1"/>
    </xf>
    <xf numFmtId="0" fontId="67" fillId="0" borderId="12" xfId="0" applyFont="1" applyBorder="1" applyAlignment="1">
      <alignment horizontal="center" wrapText="1"/>
    </xf>
    <xf numFmtId="0" fontId="67" fillId="0" borderId="6" xfId="0" applyFont="1" applyBorder="1" applyAlignment="1">
      <alignment horizontal="center" wrapText="1"/>
    </xf>
    <xf numFmtId="0" fontId="67" fillId="0" borderId="7" xfId="0" applyFont="1" applyBorder="1" applyAlignment="1">
      <alignment horizontal="center" wrapText="1"/>
    </xf>
    <xf numFmtId="0" fontId="67" fillId="0" borderId="0" xfId="0" applyFont="1" applyAlignment="1">
      <alignment horizontal="center" wrapText="1"/>
    </xf>
    <xf numFmtId="0" fontId="67" fillId="0" borderId="8" xfId="0" applyFont="1" applyBorder="1" applyAlignment="1">
      <alignment horizontal="center" wrapText="1"/>
    </xf>
    <xf numFmtId="0" fontId="67" fillId="0" borderId="9" xfId="0" applyFont="1" applyBorder="1" applyAlignment="1">
      <alignment horizontal="center" wrapText="1"/>
    </xf>
    <xf numFmtId="0" fontId="67" fillId="0" borderId="11" xfId="0" applyFont="1" applyBorder="1" applyAlignment="1">
      <alignment horizontal="center" wrapText="1"/>
    </xf>
    <xf numFmtId="0" fontId="67" fillId="0" borderId="10" xfId="0" applyFont="1" applyBorder="1" applyAlignment="1">
      <alignment horizontal="center" wrapText="1"/>
    </xf>
    <xf numFmtId="0" fontId="16" fillId="10" borderId="0" xfId="0" applyFont="1" applyFill="1" applyAlignment="1">
      <alignment horizontal="center" vertical="center" textRotation="90" wrapText="1" readingOrder="1"/>
    </xf>
    <xf numFmtId="0" fontId="16" fillId="10" borderId="8" xfId="0" applyFont="1" applyFill="1" applyBorder="1" applyAlignment="1">
      <alignment horizontal="center" vertical="center" textRotation="90" wrapText="1" readingOrder="1"/>
    </xf>
    <xf numFmtId="0" fontId="19" fillId="12" borderId="13" xfId="0" applyFont="1" applyFill="1" applyBorder="1" applyAlignment="1">
      <alignment horizontal="center" vertical="center" wrapText="1" readingOrder="1"/>
    </xf>
    <xf numFmtId="0" fontId="19" fillId="12" borderId="14" xfId="0" applyFont="1" applyFill="1" applyBorder="1" applyAlignment="1">
      <alignment horizontal="center" vertical="center" wrapText="1" readingOrder="1"/>
    </xf>
    <xf numFmtId="0" fontId="19" fillId="12" borderId="15" xfId="0" applyFont="1" applyFill="1" applyBorder="1" applyAlignment="1">
      <alignment horizontal="center" vertical="center" wrapText="1" readingOrder="1"/>
    </xf>
    <xf numFmtId="0" fontId="19" fillId="12" borderId="16" xfId="0" applyFont="1" applyFill="1" applyBorder="1" applyAlignment="1">
      <alignment horizontal="center" vertical="center" wrapText="1" readingOrder="1"/>
    </xf>
    <xf numFmtId="0" fontId="19" fillId="12" borderId="0" xfId="0" applyFont="1" applyFill="1" applyAlignment="1">
      <alignment horizontal="center" vertical="center" wrapText="1" readingOrder="1"/>
    </xf>
    <xf numFmtId="0" fontId="19" fillId="12" borderId="17" xfId="0" applyFont="1" applyFill="1" applyBorder="1" applyAlignment="1">
      <alignment horizontal="center" vertical="center" wrapText="1" readingOrder="1"/>
    </xf>
    <xf numFmtId="0" fontId="19" fillId="12" borderId="18" xfId="0" applyFont="1" applyFill="1" applyBorder="1" applyAlignment="1">
      <alignment horizontal="center" vertical="center" wrapText="1" readingOrder="1"/>
    </xf>
    <xf numFmtId="0" fontId="19" fillId="12" borderId="19" xfId="0" applyFont="1" applyFill="1" applyBorder="1" applyAlignment="1">
      <alignment horizontal="center" vertical="center" wrapText="1" readingOrder="1"/>
    </xf>
    <xf numFmtId="0" fontId="19" fillId="12" borderId="20" xfId="0" applyFont="1" applyFill="1" applyBorder="1" applyAlignment="1">
      <alignment horizontal="center" vertical="center" wrapText="1" readingOrder="1"/>
    </xf>
    <xf numFmtId="0" fontId="19" fillId="11" borderId="13" xfId="0" applyFont="1" applyFill="1" applyBorder="1" applyAlignment="1">
      <alignment horizontal="center" vertical="center" wrapText="1" readingOrder="1"/>
    </xf>
    <xf numFmtId="0" fontId="19" fillId="11" borderId="14" xfId="0" applyFont="1" applyFill="1" applyBorder="1" applyAlignment="1">
      <alignment horizontal="center" vertical="center" wrapText="1" readingOrder="1"/>
    </xf>
    <xf numFmtId="0" fontId="19" fillId="11" borderId="15" xfId="0" applyFont="1" applyFill="1" applyBorder="1" applyAlignment="1">
      <alignment horizontal="center" vertical="center" wrapText="1" readingOrder="1"/>
    </xf>
    <xf numFmtId="0" fontId="19" fillId="11" borderId="16" xfId="0" applyFont="1" applyFill="1" applyBorder="1" applyAlignment="1">
      <alignment horizontal="center" vertical="center" wrapText="1" readingOrder="1"/>
    </xf>
    <xf numFmtId="0" fontId="19" fillId="11" borderId="0" xfId="0" applyFont="1" applyFill="1" applyAlignment="1">
      <alignment horizontal="center" vertical="center" wrapText="1" readingOrder="1"/>
    </xf>
    <xf numFmtId="0" fontId="19" fillId="11" borderId="17" xfId="0" applyFont="1" applyFill="1" applyBorder="1" applyAlignment="1">
      <alignment horizontal="center" vertical="center" wrapText="1" readingOrder="1"/>
    </xf>
    <xf numFmtId="0" fontId="19" fillId="11" borderId="18" xfId="0" applyFont="1" applyFill="1" applyBorder="1" applyAlignment="1">
      <alignment horizontal="center" vertical="center" wrapText="1" readingOrder="1"/>
    </xf>
    <xf numFmtId="0" fontId="19" fillId="11" borderId="19" xfId="0" applyFont="1" applyFill="1" applyBorder="1" applyAlignment="1">
      <alignment horizontal="center" vertical="center" wrapText="1" readingOrder="1"/>
    </xf>
    <xf numFmtId="0" fontId="19" fillId="11" borderId="20" xfId="0" applyFont="1" applyFill="1" applyBorder="1" applyAlignment="1">
      <alignment horizontal="center" vertical="center" wrapText="1" readingOrder="1"/>
    </xf>
    <xf numFmtId="0" fontId="19" fillId="13" borderId="13" xfId="0" applyFont="1" applyFill="1" applyBorder="1" applyAlignment="1">
      <alignment horizontal="center" vertical="center" wrapText="1" readingOrder="1"/>
    </xf>
    <xf numFmtId="0" fontId="19" fillId="13" borderId="14" xfId="0" applyFont="1" applyFill="1" applyBorder="1" applyAlignment="1">
      <alignment horizontal="center" vertical="center" wrapText="1" readingOrder="1"/>
    </xf>
    <xf numFmtId="0" fontId="19" fillId="13" borderId="15" xfId="0" applyFont="1" applyFill="1" applyBorder="1" applyAlignment="1">
      <alignment horizontal="center" vertical="center" wrapText="1" readingOrder="1"/>
    </xf>
    <xf numFmtId="0" fontId="19" fillId="13" borderId="16" xfId="0" applyFont="1" applyFill="1" applyBorder="1" applyAlignment="1">
      <alignment horizontal="center" vertical="center" wrapText="1" readingOrder="1"/>
    </xf>
    <xf numFmtId="0" fontId="19" fillId="13" borderId="0" xfId="0" applyFont="1" applyFill="1" applyAlignment="1">
      <alignment horizontal="center" vertical="center" wrapText="1" readingOrder="1"/>
    </xf>
    <xf numFmtId="0" fontId="19" fillId="13" borderId="17" xfId="0" applyFont="1" applyFill="1" applyBorder="1" applyAlignment="1">
      <alignment horizontal="center" vertical="center" wrapText="1" readingOrder="1"/>
    </xf>
    <xf numFmtId="0" fontId="19" fillId="13" borderId="18" xfId="0" applyFont="1" applyFill="1" applyBorder="1" applyAlignment="1">
      <alignment horizontal="center" vertical="center" wrapText="1" readingOrder="1"/>
    </xf>
    <xf numFmtId="0" fontId="19" fillId="13" borderId="19" xfId="0" applyFont="1" applyFill="1" applyBorder="1" applyAlignment="1">
      <alignment horizontal="center" vertical="center" wrapText="1" readingOrder="1"/>
    </xf>
    <xf numFmtId="0" fontId="19" fillId="13" borderId="20" xfId="0" applyFont="1" applyFill="1" applyBorder="1" applyAlignment="1">
      <alignment horizontal="center" vertical="center" wrapText="1" readingOrder="1"/>
    </xf>
    <xf numFmtId="0" fontId="19" fillId="5" borderId="13" xfId="0" applyFont="1" applyFill="1" applyBorder="1" applyAlignment="1">
      <alignment horizontal="center" vertical="center" wrapText="1" readingOrder="1"/>
    </xf>
    <xf numFmtId="0" fontId="19" fillId="5" borderId="14" xfId="0" applyFont="1" applyFill="1" applyBorder="1" applyAlignment="1">
      <alignment horizontal="center" vertical="center" wrapText="1" readingOrder="1"/>
    </xf>
    <xf numFmtId="0" fontId="19" fillId="5" borderId="15" xfId="0" applyFont="1" applyFill="1" applyBorder="1" applyAlignment="1">
      <alignment horizontal="center" vertical="center" wrapText="1" readingOrder="1"/>
    </xf>
    <xf numFmtId="0" fontId="19" fillId="5" borderId="16" xfId="0" applyFont="1" applyFill="1" applyBorder="1" applyAlignment="1">
      <alignment horizontal="center" vertical="center" wrapText="1" readingOrder="1"/>
    </xf>
    <xf numFmtId="0" fontId="19" fillId="5" borderId="0" xfId="0" applyFont="1" applyFill="1" applyAlignment="1">
      <alignment horizontal="center" vertical="center" wrapText="1" readingOrder="1"/>
    </xf>
    <xf numFmtId="0" fontId="19" fillId="5" borderId="17" xfId="0" applyFont="1" applyFill="1" applyBorder="1" applyAlignment="1">
      <alignment horizontal="center" vertical="center" wrapText="1" readingOrder="1"/>
    </xf>
    <xf numFmtId="0" fontId="19" fillId="5" borderId="18" xfId="0" applyFont="1" applyFill="1" applyBorder="1" applyAlignment="1">
      <alignment horizontal="center" vertical="center" wrapText="1" readingOrder="1"/>
    </xf>
    <xf numFmtId="0" fontId="19" fillId="5" borderId="19" xfId="0" applyFont="1" applyFill="1" applyBorder="1" applyAlignment="1">
      <alignment horizontal="center" vertical="center" wrapText="1" readingOrder="1"/>
    </xf>
    <xf numFmtId="0" fontId="19" fillId="5" borderId="20" xfId="0" applyFont="1" applyFill="1" applyBorder="1" applyAlignment="1">
      <alignment horizontal="center" vertical="center" wrapText="1" readingOrder="1"/>
    </xf>
    <xf numFmtId="0" fontId="16" fillId="25" borderId="0" xfId="0" applyFont="1" applyFill="1" applyAlignment="1">
      <alignment horizontal="center" vertical="center" wrapText="1" readingOrder="1"/>
    </xf>
    <xf numFmtId="0" fontId="61" fillId="0" borderId="0" xfId="0" applyFont="1" applyAlignment="1">
      <alignment horizontal="center"/>
    </xf>
    <xf numFmtId="0" fontId="39" fillId="0" borderId="5" xfId="0" applyFont="1" applyBorder="1" applyAlignment="1">
      <alignment horizontal="center" vertical="center" wrapText="1"/>
    </xf>
    <xf numFmtId="0" fontId="39" fillId="0" borderId="12"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0" fontId="39" fillId="0" borderId="0" xfId="0" applyFont="1" applyAlignment="1">
      <alignment horizontal="center" vertical="center"/>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39" fillId="0" borderId="10" xfId="0" applyFont="1" applyBorder="1" applyAlignment="1">
      <alignment horizontal="center" vertical="center"/>
    </xf>
    <xf numFmtId="0" fontId="39" fillId="0" borderId="12" xfId="0" applyFont="1" applyBorder="1" applyAlignment="1">
      <alignment horizontal="center" vertical="center" wrapText="1"/>
    </xf>
    <xf numFmtId="0" fontId="38" fillId="11" borderId="13" xfId="0" applyFont="1" applyFill="1" applyBorder="1" applyAlignment="1">
      <alignment horizontal="center" vertical="center" wrapText="1" readingOrder="1"/>
    </xf>
    <xf numFmtId="0" fontId="38" fillId="11" borderId="14" xfId="0" applyFont="1" applyFill="1" applyBorder="1" applyAlignment="1">
      <alignment horizontal="center" vertical="center" wrapText="1" readingOrder="1"/>
    </xf>
    <xf numFmtId="0" fontId="38" fillId="11" borderId="15" xfId="0" applyFont="1" applyFill="1" applyBorder="1" applyAlignment="1">
      <alignment horizontal="center" vertical="center" wrapText="1" readingOrder="1"/>
    </xf>
    <xf numFmtId="0" fontId="38" fillId="11" borderId="16" xfId="0" applyFont="1" applyFill="1" applyBorder="1" applyAlignment="1">
      <alignment horizontal="center" vertical="center" wrapText="1" readingOrder="1"/>
    </xf>
    <xf numFmtId="0" fontId="38" fillId="11" borderId="0" xfId="0" applyFont="1" applyFill="1" applyAlignment="1">
      <alignment horizontal="center" vertical="center" wrapText="1" readingOrder="1"/>
    </xf>
    <xf numFmtId="0" fontId="38" fillId="11" borderId="17" xfId="0" applyFont="1" applyFill="1" applyBorder="1" applyAlignment="1">
      <alignment horizontal="center" vertical="center" wrapText="1" readingOrder="1"/>
    </xf>
    <xf numFmtId="0" fontId="38" fillId="11" borderId="18" xfId="0" applyFont="1" applyFill="1" applyBorder="1" applyAlignment="1">
      <alignment horizontal="center" vertical="center" wrapText="1" readingOrder="1"/>
    </xf>
    <xf numFmtId="0" fontId="38" fillId="11" borderId="19" xfId="0" applyFont="1" applyFill="1" applyBorder="1" applyAlignment="1">
      <alignment horizontal="center" vertical="center" wrapText="1" readingOrder="1"/>
    </xf>
    <xf numFmtId="0" fontId="38" fillId="11" borderId="20" xfId="0" applyFont="1" applyFill="1" applyBorder="1" applyAlignment="1">
      <alignment horizontal="center" vertical="center" wrapText="1" readingOrder="1"/>
    </xf>
    <xf numFmtId="0" fontId="39" fillId="0" borderId="7" xfId="0" applyFont="1" applyBorder="1" applyAlignment="1">
      <alignment horizontal="center" vertical="center" wrapText="1"/>
    </xf>
    <xf numFmtId="0" fontId="38" fillId="12" borderId="13" xfId="0" applyFont="1" applyFill="1" applyBorder="1" applyAlignment="1">
      <alignment horizontal="center" vertical="center" wrapText="1" readingOrder="1"/>
    </xf>
    <xf numFmtId="0" fontId="38" fillId="12" borderId="14" xfId="0" applyFont="1" applyFill="1" applyBorder="1" applyAlignment="1">
      <alignment horizontal="center" vertical="center" wrapText="1" readingOrder="1"/>
    </xf>
    <xf numFmtId="0" fontId="38" fillId="12" borderId="15" xfId="0" applyFont="1" applyFill="1" applyBorder="1" applyAlignment="1">
      <alignment horizontal="center" vertical="center" wrapText="1" readingOrder="1"/>
    </xf>
    <xf numFmtId="0" fontId="38" fillId="12" borderId="16" xfId="0" applyFont="1" applyFill="1" applyBorder="1" applyAlignment="1">
      <alignment horizontal="center" vertical="center" wrapText="1" readingOrder="1"/>
    </xf>
    <xf numFmtId="0" fontId="38" fillId="12" borderId="0" xfId="0" applyFont="1" applyFill="1" applyAlignment="1">
      <alignment horizontal="center" vertical="center" wrapText="1" readingOrder="1"/>
    </xf>
    <xf numFmtId="0" fontId="38" fillId="12" borderId="17" xfId="0" applyFont="1" applyFill="1" applyBorder="1" applyAlignment="1">
      <alignment horizontal="center" vertical="center" wrapText="1" readingOrder="1"/>
    </xf>
    <xf numFmtId="0" fontId="38" fillId="12" borderId="18" xfId="0" applyFont="1" applyFill="1" applyBorder="1" applyAlignment="1">
      <alignment horizontal="center" vertical="center" wrapText="1" readingOrder="1"/>
    </xf>
    <xf numFmtId="0" fontId="38" fillId="12" borderId="19" xfId="0" applyFont="1" applyFill="1" applyBorder="1" applyAlignment="1">
      <alignment horizontal="center" vertical="center" wrapText="1" readingOrder="1"/>
    </xf>
    <xf numFmtId="0" fontId="38" fillId="12" borderId="20" xfId="0" applyFont="1" applyFill="1" applyBorder="1" applyAlignment="1">
      <alignment horizontal="center" vertical="center" wrapText="1" readingOrder="1"/>
    </xf>
    <xf numFmtId="0" fontId="37" fillId="0" borderId="0" xfId="0" applyFont="1" applyAlignment="1">
      <alignment horizontal="center" vertical="center" wrapText="1"/>
    </xf>
    <xf numFmtId="0" fontId="20" fillId="0" borderId="0" xfId="0" applyFont="1" applyAlignment="1">
      <alignment horizontal="center" vertical="center" wrapText="1"/>
    </xf>
    <xf numFmtId="0" fontId="16" fillId="10" borderId="0" xfId="0" applyFont="1" applyFill="1" applyAlignment="1">
      <alignment horizontal="center" vertical="center" wrapText="1" readingOrder="1"/>
    </xf>
    <xf numFmtId="0" fontId="38" fillId="5" borderId="13" xfId="0" applyFont="1" applyFill="1" applyBorder="1" applyAlignment="1">
      <alignment horizontal="center" vertical="center" wrapText="1" readingOrder="1"/>
    </xf>
    <xf numFmtId="0" fontId="38" fillId="5" borderId="14" xfId="0" applyFont="1" applyFill="1" applyBorder="1" applyAlignment="1">
      <alignment horizontal="center" vertical="center" wrapText="1" readingOrder="1"/>
    </xf>
    <xf numFmtId="0" fontId="38" fillId="5" borderId="15" xfId="0" applyFont="1" applyFill="1" applyBorder="1" applyAlignment="1">
      <alignment horizontal="center" vertical="center" wrapText="1" readingOrder="1"/>
    </xf>
    <xf numFmtId="0" fontId="38" fillId="5" borderId="16" xfId="0" applyFont="1" applyFill="1" applyBorder="1" applyAlignment="1">
      <alignment horizontal="center" vertical="center" wrapText="1" readingOrder="1"/>
    </xf>
    <xf numFmtId="0" fontId="38" fillId="5" borderId="0" xfId="0" applyFont="1" applyFill="1" applyAlignment="1">
      <alignment horizontal="center" vertical="center" wrapText="1" readingOrder="1"/>
    </xf>
    <xf numFmtId="0" fontId="38" fillId="5" borderId="17" xfId="0" applyFont="1" applyFill="1" applyBorder="1" applyAlignment="1">
      <alignment horizontal="center" vertical="center" wrapText="1" readingOrder="1"/>
    </xf>
    <xf numFmtId="0" fontId="38" fillId="5" borderId="18" xfId="0" applyFont="1" applyFill="1" applyBorder="1" applyAlignment="1">
      <alignment horizontal="center" vertical="center" wrapText="1" readingOrder="1"/>
    </xf>
    <xf numFmtId="0" fontId="38" fillId="5" borderId="19" xfId="0" applyFont="1" applyFill="1" applyBorder="1" applyAlignment="1">
      <alignment horizontal="center" vertical="center" wrapText="1" readingOrder="1"/>
    </xf>
    <xf numFmtId="0" fontId="38" fillId="5" borderId="20" xfId="0" applyFont="1" applyFill="1" applyBorder="1" applyAlignment="1">
      <alignment horizontal="center" vertical="center" wrapText="1" readingOrder="1"/>
    </xf>
    <xf numFmtId="0" fontId="38" fillId="13" borderId="13" xfId="0" applyFont="1" applyFill="1" applyBorder="1" applyAlignment="1">
      <alignment horizontal="center" vertical="center" wrapText="1" readingOrder="1"/>
    </xf>
    <xf numFmtId="0" fontId="38" fillId="13" borderId="14" xfId="0" applyFont="1" applyFill="1" applyBorder="1" applyAlignment="1">
      <alignment horizontal="center" vertical="center" wrapText="1" readingOrder="1"/>
    </xf>
    <xf numFmtId="0" fontId="38" fillId="13" borderId="15" xfId="0" applyFont="1" applyFill="1" applyBorder="1" applyAlignment="1">
      <alignment horizontal="center" vertical="center" wrapText="1" readingOrder="1"/>
    </xf>
    <xf numFmtId="0" fontId="38" fillId="13" borderId="16" xfId="0" applyFont="1" applyFill="1" applyBorder="1" applyAlignment="1">
      <alignment horizontal="center" vertical="center" wrapText="1" readingOrder="1"/>
    </xf>
    <xf numFmtId="0" fontId="38" fillId="13" borderId="0" xfId="0" applyFont="1" applyFill="1" applyAlignment="1">
      <alignment horizontal="center" vertical="center" wrapText="1" readingOrder="1"/>
    </xf>
    <xf numFmtId="0" fontId="38" fillId="13" borderId="17" xfId="0" applyFont="1" applyFill="1" applyBorder="1" applyAlignment="1">
      <alignment horizontal="center" vertical="center" wrapText="1" readingOrder="1"/>
    </xf>
    <xf numFmtId="0" fontId="38" fillId="13" borderId="18" xfId="0" applyFont="1" applyFill="1" applyBorder="1" applyAlignment="1">
      <alignment horizontal="center" vertical="center" wrapText="1" readingOrder="1"/>
    </xf>
    <xf numFmtId="0" fontId="38" fillId="13" borderId="19" xfId="0" applyFont="1" applyFill="1" applyBorder="1" applyAlignment="1">
      <alignment horizontal="center" vertical="center" wrapText="1" readingOrder="1"/>
    </xf>
    <xf numFmtId="0" fontId="38" fillId="13" borderId="20" xfId="0" applyFont="1" applyFill="1" applyBorder="1" applyAlignment="1">
      <alignment horizontal="center" vertical="center" wrapText="1" readingOrder="1"/>
    </xf>
    <xf numFmtId="0" fontId="62" fillId="0" borderId="95" xfId="0" applyFont="1" applyBorder="1" applyAlignment="1">
      <alignment horizontal="center" wrapText="1"/>
    </xf>
    <xf numFmtId="0" fontId="66" fillId="0" borderId="86" xfId="0" applyFont="1" applyBorder="1" applyAlignment="1">
      <alignment horizontal="center" wrapText="1"/>
    </xf>
    <xf numFmtId="0" fontId="66" fillId="0" borderId="97" xfId="0" applyFont="1" applyBorder="1" applyAlignment="1">
      <alignment horizontal="center" wrapText="1"/>
    </xf>
    <xf numFmtId="0" fontId="64" fillId="0" borderId="5" xfId="0" applyFont="1" applyBorder="1" applyAlignment="1">
      <alignment horizontal="center" vertical="center" wrapText="1"/>
    </xf>
    <xf numFmtId="0" fontId="64" fillId="0" borderId="7" xfId="0" applyFont="1" applyBorder="1" applyAlignment="1">
      <alignment horizontal="center" vertical="center" wrapText="1"/>
    </xf>
    <xf numFmtId="0" fontId="64" fillId="0" borderId="9" xfId="0" applyFont="1" applyBorder="1" applyAlignment="1">
      <alignment horizontal="center" vertical="center" wrapText="1"/>
    </xf>
    <xf numFmtId="0" fontId="76" fillId="17" borderId="87" xfId="0" applyFont="1" applyFill="1" applyBorder="1" applyAlignment="1">
      <alignment horizontal="center" vertical="center" textRotation="90"/>
    </xf>
    <xf numFmtId="0" fontId="46" fillId="14" borderId="36" xfId="2" applyFont="1" applyFill="1" applyBorder="1" applyAlignment="1">
      <alignment horizontal="center" vertical="center" wrapText="1"/>
    </xf>
    <xf numFmtId="0" fontId="46" fillId="14" borderId="37" xfId="2" applyFont="1" applyFill="1" applyBorder="1" applyAlignment="1">
      <alignment horizontal="center" vertical="center" wrapText="1"/>
    </xf>
    <xf numFmtId="0" fontId="46" fillId="14" borderId="38" xfId="2" applyFont="1" applyFill="1" applyBorder="1" applyAlignment="1">
      <alignment horizontal="center" vertical="center" wrapText="1"/>
    </xf>
    <xf numFmtId="0" fontId="45" fillId="0" borderId="7" xfId="2" quotePrefix="1" applyFont="1" applyBorder="1" applyAlignment="1">
      <alignment horizontal="left" vertical="center" wrapText="1"/>
    </xf>
    <xf numFmtId="0" fontId="45" fillId="0" borderId="0" xfId="2" quotePrefix="1" applyFont="1" applyAlignment="1">
      <alignment horizontal="left" vertical="center" wrapText="1"/>
    </xf>
    <xf numFmtId="0" fontId="45" fillId="0" borderId="8" xfId="2" quotePrefix="1" applyFont="1" applyBorder="1" applyAlignment="1">
      <alignment horizontal="left" vertical="center" wrapText="1"/>
    </xf>
    <xf numFmtId="0" fontId="45" fillId="0" borderId="56" xfId="2" quotePrefix="1" applyFont="1" applyBorder="1" applyAlignment="1">
      <alignment horizontal="left" vertical="center" wrapText="1"/>
    </xf>
    <xf numFmtId="0" fontId="45" fillId="0" borderId="57" xfId="2" quotePrefix="1" applyFont="1" applyBorder="1" applyAlignment="1">
      <alignment horizontal="left" vertical="center" wrapText="1"/>
    </xf>
    <xf numFmtId="0" fontId="45" fillId="0" borderId="58" xfId="2" quotePrefix="1" applyFont="1" applyBorder="1" applyAlignment="1">
      <alignment horizontal="left" vertical="center" wrapText="1"/>
    </xf>
    <xf numFmtId="0" fontId="47" fillId="3" borderId="39" xfId="2" quotePrefix="1" applyFont="1" applyFill="1" applyBorder="1" applyAlignment="1">
      <alignment horizontal="left" vertical="top" wrapText="1"/>
    </xf>
    <xf numFmtId="0" fontId="48" fillId="3" borderId="40" xfId="2" quotePrefix="1" applyFont="1" applyFill="1" applyBorder="1" applyAlignment="1">
      <alignment horizontal="left" vertical="top" wrapText="1"/>
    </xf>
    <xf numFmtId="0" fontId="48" fillId="3" borderId="41" xfId="2" quotePrefix="1" applyFont="1" applyFill="1" applyBorder="1" applyAlignment="1">
      <alignment horizontal="left" vertical="top" wrapText="1"/>
    </xf>
    <xf numFmtId="0" fontId="45" fillId="0" borderId="7" xfId="2" quotePrefix="1" applyFont="1" applyBorder="1" applyAlignment="1">
      <alignment horizontal="left" vertical="top" wrapText="1"/>
    </xf>
    <xf numFmtId="0" fontId="45" fillId="0" borderId="0" xfId="2" quotePrefix="1" applyFont="1" applyAlignment="1">
      <alignment horizontal="left" vertical="top" wrapText="1"/>
    </xf>
    <xf numFmtId="0" fontId="45" fillId="0" borderId="8" xfId="2" quotePrefix="1" applyFont="1" applyBorder="1" applyAlignment="1">
      <alignment horizontal="left" vertical="top" wrapText="1"/>
    </xf>
    <xf numFmtId="0" fontId="50" fillId="14" borderId="42" xfId="3" applyFont="1" applyFill="1" applyBorder="1" applyAlignment="1">
      <alignment horizontal="center" vertical="center" wrapText="1"/>
    </xf>
    <xf numFmtId="0" fontId="50" fillId="14" borderId="43" xfId="3" applyFont="1" applyFill="1" applyBorder="1" applyAlignment="1">
      <alignment horizontal="center" vertical="center" wrapText="1"/>
    </xf>
    <xf numFmtId="0" fontId="50" fillId="14" borderId="44" xfId="2" applyFont="1" applyFill="1" applyBorder="1" applyAlignment="1">
      <alignment horizontal="center" vertical="center"/>
    </xf>
    <xf numFmtId="0" fontId="50" fillId="14" borderId="45" xfId="2" applyFont="1" applyFill="1" applyBorder="1" applyAlignment="1">
      <alignment horizontal="center" vertical="center"/>
    </xf>
    <xf numFmtId="0" fontId="1" fillId="3" borderId="56" xfId="2" quotePrefix="1" applyFont="1" applyFill="1" applyBorder="1" applyAlignment="1">
      <alignment horizontal="justify" vertical="center" wrapText="1"/>
    </xf>
    <xf numFmtId="0" fontId="1" fillId="3" borderId="57" xfId="2" quotePrefix="1" applyFont="1" applyFill="1" applyBorder="1" applyAlignment="1">
      <alignment horizontal="justify" vertical="center" wrapText="1"/>
    </xf>
    <xf numFmtId="0" fontId="1" fillId="3" borderId="58" xfId="2" quotePrefix="1" applyFont="1" applyFill="1" applyBorder="1" applyAlignment="1">
      <alignment horizontal="justify" vertical="center" wrapText="1"/>
    </xf>
    <xf numFmtId="0" fontId="50" fillId="3" borderId="46" xfId="3" applyFont="1" applyFill="1" applyBorder="1" applyAlignment="1">
      <alignment horizontal="left" vertical="top" wrapText="1" readingOrder="1"/>
    </xf>
    <xf numFmtId="0" fontId="50" fillId="3" borderId="47" xfId="3" applyFont="1" applyFill="1" applyBorder="1" applyAlignment="1">
      <alignment horizontal="left" vertical="top" wrapText="1" readingOrder="1"/>
    </xf>
    <xf numFmtId="0" fontId="51" fillId="3" borderId="48" xfId="2" applyFont="1" applyFill="1" applyBorder="1" applyAlignment="1">
      <alignment horizontal="justify" vertical="center" wrapText="1"/>
    </xf>
    <xf numFmtId="0" fontId="51" fillId="3" borderId="49" xfId="2" applyFont="1" applyFill="1" applyBorder="1" applyAlignment="1">
      <alignment horizontal="justify" vertical="center" wrapText="1"/>
    </xf>
    <xf numFmtId="0" fontId="50" fillId="3" borderId="50" xfId="0" applyFont="1" applyFill="1" applyBorder="1" applyAlignment="1">
      <alignment horizontal="left" vertical="center" wrapText="1"/>
    </xf>
    <xf numFmtId="0" fontId="50" fillId="3" borderId="51" xfId="0" applyFont="1" applyFill="1" applyBorder="1" applyAlignment="1">
      <alignment horizontal="left" vertical="center" wrapText="1"/>
    </xf>
    <xf numFmtId="0" fontId="51" fillId="3" borderId="52" xfId="2" applyFont="1" applyFill="1" applyBorder="1" applyAlignment="1">
      <alignment horizontal="justify" vertical="center" wrapText="1"/>
    </xf>
    <xf numFmtId="0" fontId="51" fillId="3" borderId="53" xfId="2" applyFont="1" applyFill="1" applyBorder="1" applyAlignment="1">
      <alignment horizontal="justify" vertical="center" wrapText="1"/>
    </xf>
    <xf numFmtId="0" fontId="45" fillId="3" borderId="7" xfId="2" applyFont="1" applyFill="1" applyBorder="1" applyAlignment="1">
      <alignment horizontal="left" vertical="top" wrapText="1"/>
    </xf>
    <xf numFmtId="0" fontId="45" fillId="3" borderId="0" xfId="2" applyFont="1" applyFill="1" applyAlignment="1">
      <alignment horizontal="left" vertical="top" wrapText="1"/>
    </xf>
    <xf numFmtId="0" fontId="45" fillId="3" borderId="8" xfId="2" applyFont="1" applyFill="1" applyBorder="1" applyAlignment="1">
      <alignment horizontal="left" vertical="top" wrapText="1"/>
    </xf>
    <xf numFmtId="0" fontId="50" fillId="3" borderId="59" xfId="0" applyFont="1" applyFill="1" applyBorder="1" applyAlignment="1">
      <alignment horizontal="left" vertical="center" wrapText="1"/>
    </xf>
    <xf numFmtId="0" fontId="50" fillId="3" borderId="60" xfId="0" applyFont="1" applyFill="1" applyBorder="1" applyAlignment="1">
      <alignment horizontal="left" vertical="center" wrapText="1"/>
    </xf>
    <xf numFmtId="0" fontId="50" fillId="3" borderId="61" xfId="0" applyFont="1" applyFill="1" applyBorder="1" applyAlignment="1">
      <alignment horizontal="left" vertical="center" wrapText="1"/>
    </xf>
    <xf numFmtId="0" fontId="50" fillId="3" borderId="62" xfId="0" applyFont="1" applyFill="1" applyBorder="1" applyAlignment="1">
      <alignment horizontal="left" vertical="center" wrapText="1"/>
    </xf>
    <xf numFmtId="0" fontId="51" fillId="3" borderId="54" xfId="0" applyFont="1" applyFill="1" applyBorder="1" applyAlignment="1">
      <alignment horizontal="justify" vertical="center" wrapText="1"/>
    </xf>
    <xf numFmtId="0" fontId="51" fillId="3" borderId="55" xfId="0" applyFont="1" applyFill="1" applyBorder="1" applyAlignment="1">
      <alignment horizontal="justify" vertical="center" wrapText="1"/>
    </xf>
    <xf numFmtId="0" fontId="67" fillId="0" borderId="69" xfId="0" applyFont="1" applyBorder="1" applyAlignment="1">
      <alignment horizontal="center" wrapText="1"/>
    </xf>
    <xf numFmtId="0" fontId="66" fillId="0" borderId="70" xfId="0" applyFont="1" applyBorder="1" applyAlignment="1">
      <alignment horizontal="center" wrapText="1"/>
    </xf>
    <xf numFmtId="0" fontId="66" fillId="0" borderId="73" xfId="0" applyFont="1" applyBorder="1" applyAlignment="1">
      <alignment horizontal="center" wrapText="1"/>
    </xf>
    <xf numFmtId="0" fontId="69" fillId="0" borderId="5" xfId="0" applyFont="1" applyBorder="1" applyAlignment="1">
      <alignment horizontal="center" vertical="center" wrapText="1"/>
    </xf>
    <xf numFmtId="0" fontId="69" fillId="0" borderId="12" xfId="0" applyFont="1" applyBorder="1" applyAlignment="1">
      <alignment horizontal="center" vertical="center" wrapText="1"/>
    </xf>
    <xf numFmtId="0" fontId="69" fillId="0" borderId="7" xfId="0" applyFont="1" applyBorder="1" applyAlignment="1">
      <alignment horizontal="center" vertical="center" wrapText="1"/>
    </xf>
    <xf numFmtId="0" fontId="69" fillId="0" borderId="0" xfId="0" applyFont="1" applyAlignment="1">
      <alignment horizontal="center" vertical="center" wrapText="1"/>
    </xf>
    <xf numFmtId="0" fontId="69" fillId="0" borderId="9" xfId="0" applyFont="1" applyBorder="1" applyAlignment="1">
      <alignment horizontal="center" vertical="center" wrapText="1"/>
    </xf>
    <xf numFmtId="0" fontId="69" fillId="0" borderId="11" xfId="0" applyFont="1" applyBorder="1" applyAlignment="1">
      <alignment horizontal="center" vertical="center" wrapText="1"/>
    </xf>
    <xf numFmtId="0" fontId="70" fillId="16" borderId="32" xfId="0" applyFont="1" applyFill="1" applyBorder="1" applyAlignment="1">
      <alignment horizontal="center" vertical="center" wrapText="1"/>
    </xf>
    <xf numFmtId="0" fontId="70" fillId="16" borderId="33" xfId="0" applyFont="1" applyFill="1" applyBorder="1" applyAlignment="1">
      <alignment horizontal="center" vertical="center" wrapText="1"/>
    </xf>
    <xf numFmtId="0" fontId="70" fillId="16" borderId="80" xfId="0" applyFont="1" applyFill="1" applyBorder="1" applyAlignment="1">
      <alignment horizontal="center" vertical="center" wrapText="1"/>
    </xf>
    <xf numFmtId="0" fontId="70" fillId="16" borderId="81" xfId="0" applyFont="1" applyFill="1" applyBorder="1" applyAlignment="1">
      <alignment horizontal="center" vertical="center" wrapText="1"/>
    </xf>
    <xf numFmtId="0" fontId="70" fillId="16" borderId="24" xfId="0" applyFont="1" applyFill="1" applyBorder="1" applyAlignment="1">
      <alignment horizontal="center" vertical="center" wrapText="1"/>
    </xf>
    <xf numFmtId="0" fontId="70" fillId="16" borderId="35" xfId="0" applyFont="1" applyFill="1" applyBorder="1" applyAlignment="1">
      <alignment horizontal="center" vertical="center" wrapText="1"/>
    </xf>
    <xf numFmtId="164" fontId="65" fillId="0" borderId="23" xfId="0" applyNumberFormat="1" applyFont="1" applyBorder="1" applyAlignment="1">
      <alignment horizontal="center" vertical="center"/>
    </xf>
    <xf numFmtId="164" fontId="65" fillId="0" borderId="35" xfId="0" applyNumberFormat="1" applyFont="1" applyBorder="1" applyAlignment="1">
      <alignment horizontal="center" vertical="center"/>
    </xf>
    <xf numFmtId="0" fontId="65" fillId="0" borderId="81" xfId="0" applyFont="1" applyBorder="1" applyAlignment="1">
      <alignment horizontal="center" vertical="center" wrapText="1"/>
    </xf>
    <xf numFmtId="0" fontId="65" fillId="0" borderId="33" xfId="0" applyFont="1" applyBorder="1" applyAlignment="1">
      <alignment horizontal="center" vertical="center" wrapText="1"/>
    </xf>
    <xf numFmtId="0" fontId="65" fillId="0" borderId="33" xfId="0" applyFont="1" applyBorder="1" applyAlignment="1">
      <alignment horizontal="left" vertical="center" wrapText="1"/>
    </xf>
    <xf numFmtId="0" fontId="65" fillId="0" borderId="34" xfId="0" applyFont="1" applyBorder="1" applyAlignment="1">
      <alignment horizontal="left" vertical="center" wrapText="1"/>
    </xf>
    <xf numFmtId="0" fontId="71" fillId="0" borderId="0" xfId="0" applyFont="1" applyAlignment="1">
      <alignment horizontal="center" vertical="center"/>
    </xf>
    <xf numFmtId="0" fontId="72" fillId="16" borderId="82" xfId="0" applyFont="1" applyFill="1" applyBorder="1" applyAlignment="1">
      <alignment horizontal="center" vertical="center" wrapText="1"/>
    </xf>
    <xf numFmtId="0" fontId="72" fillId="16" borderId="83" xfId="0" applyFont="1" applyFill="1" applyBorder="1" applyAlignment="1">
      <alignment horizontal="center" vertical="center" wrapText="1"/>
    </xf>
    <xf numFmtId="0" fontId="72" fillId="16" borderId="84" xfId="0" applyFont="1" applyFill="1" applyBorder="1" applyAlignment="1">
      <alignment horizontal="center" vertical="center" wrapText="1"/>
    </xf>
    <xf numFmtId="0" fontId="72" fillId="16" borderId="5" xfId="0" applyFont="1" applyFill="1" applyBorder="1" applyAlignment="1">
      <alignment horizontal="center" vertical="center" wrapText="1"/>
    </xf>
    <xf numFmtId="0" fontId="72" fillId="16" borderId="12" xfId="0" applyFont="1" applyFill="1" applyBorder="1" applyAlignment="1">
      <alignment horizontal="center" vertical="center" wrapText="1"/>
    </xf>
    <xf numFmtId="0" fontId="72" fillId="16" borderId="6" xfId="0" applyFont="1" applyFill="1" applyBorder="1" applyAlignment="1">
      <alignment horizontal="center" vertical="center" wrapText="1"/>
    </xf>
    <xf numFmtId="0" fontId="72" fillId="16" borderId="75" xfId="0" applyFont="1" applyFill="1" applyBorder="1" applyAlignment="1">
      <alignment horizontal="center" vertical="center" wrapText="1"/>
    </xf>
    <xf numFmtId="0" fontId="72" fillId="16" borderId="76" xfId="0" applyFont="1" applyFill="1" applyBorder="1" applyAlignment="1">
      <alignment horizontal="center" vertical="center" wrapText="1"/>
    </xf>
    <xf numFmtId="0" fontId="73" fillId="0" borderId="5" xfId="0" applyFont="1" applyBorder="1" applyAlignment="1">
      <alignment horizontal="center" vertical="center" wrapText="1"/>
    </xf>
    <xf numFmtId="0" fontId="73" fillId="0" borderId="12" xfId="0" applyFont="1" applyBorder="1" applyAlignment="1">
      <alignment horizontal="center" vertical="center" wrapText="1"/>
    </xf>
    <xf numFmtId="0" fontId="65" fillId="0" borderId="12" xfId="0" applyFont="1" applyBorder="1" applyAlignment="1">
      <alignment horizontal="center"/>
    </xf>
    <xf numFmtId="0" fontId="65" fillId="0" borderId="6" xfId="0" applyFont="1" applyBorder="1" applyAlignment="1">
      <alignment horizontal="center"/>
    </xf>
    <xf numFmtId="0" fontId="75" fillId="0" borderId="0" xfId="0" applyFont="1" applyAlignment="1">
      <alignment horizontal="left" wrapText="1"/>
    </xf>
    <xf numFmtId="0" fontId="73" fillId="0" borderId="7" xfId="0" applyFont="1" applyBorder="1" applyAlignment="1">
      <alignment horizontal="center" vertical="center" wrapText="1"/>
    </xf>
    <xf numFmtId="0" fontId="74" fillId="0" borderId="0" xfId="0" applyFont="1" applyAlignment="1">
      <alignment horizontal="center" vertical="center" wrapText="1"/>
    </xf>
    <xf numFmtId="0" fontId="73" fillId="0" borderId="0" xfId="0" applyFont="1" applyAlignment="1">
      <alignment horizontal="center" vertical="center" wrapText="1"/>
    </xf>
    <xf numFmtId="0" fontId="73" fillId="0" borderId="8" xfId="0" applyFont="1" applyBorder="1" applyAlignment="1">
      <alignment horizontal="center" vertical="center" wrapText="1"/>
    </xf>
    <xf numFmtId="0" fontId="65" fillId="0" borderId="9" xfId="0" applyFont="1" applyBorder="1" applyAlignment="1">
      <alignment horizontal="center" vertical="center" wrapText="1"/>
    </xf>
    <xf numFmtId="0" fontId="65" fillId="0" borderId="11" xfId="0" applyFont="1" applyBorder="1" applyAlignment="1">
      <alignment horizontal="center" vertical="center" wrapText="1"/>
    </xf>
    <xf numFmtId="0" fontId="65" fillId="0" borderId="10" xfId="0" applyFont="1" applyBorder="1" applyAlignment="1">
      <alignment horizontal="center" vertical="center" wrapText="1"/>
    </xf>
    <xf numFmtId="0" fontId="65" fillId="0" borderId="11" xfId="0" applyFont="1" applyBorder="1" applyAlignment="1">
      <alignment horizontal="center"/>
    </xf>
    <xf numFmtId="0" fontId="66" fillId="0" borderId="23" xfId="0" applyFont="1" applyBorder="1" applyAlignment="1">
      <alignment horizontal="center" vertical="center" wrapText="1"/>
    </xf>
    <xf numFmtId="0" fontId="66" fillId="0" borderId="24" xfId="0" applyFont="1" applyBorder="1" applyAlignment="1">
      <alignment horizontal="center" vertical="center" wrapText="1"/>
    </xf>
    <xf numFmtId="0" fontId="66" fillId="0" borderId="35" xfId="0" applyFont="1" applyBorder="1" applyAlignment="1">
      <alignment horizontal="center" vertical="center" wrapText="1"/>
    </xf>
    <xf numFmtId="0" fontId="21" fillId="0" borderId="0" xfId="0" applyFont="1" applyAlignment="1">
      <alignment horizontal="center" vertical="center"/>
    </xf>
    <xf numFmtId="0" fontId="41" fillId="0" borderId="0" xfId="0" applyFont="1" applyAlignment="1">
      <alignment horizontal="center" vertical="center"/>
    </xf>
    <xf numFmtId="0" fontId="36" fillId="15" borderId="23" xfId="0" applyFont="1" applyFill="1" applyBorder="1" applyAlignment="1">
      <alignment horizontal="center" vertical="center" wrapText="1" readingOrder="1"/>
    </xf>
    <xf numFmtId="0" fontId="36" fillId="15" borderId="24" xfId="0" applyFont="1" applyFill="1" applyBorder="1" applyAlignment="1">
      <alignment horizontal="center" vertical="center" wrapText="1" readingOrder="1"/>
    </xf>
    <xf numFmtId="0" fontId="36" fillId="15" borderId="35" xfId="0" applyFont="1" applyFill="1" applyBorder="1" applyAlignment="1">
      <alignment horizontal="center" vertical="center" wrapText="1" readingOrder="1"/>
    </xf>
    <xf numFmtId="0" fontId="31" fillId="3" borderId="0" xfId="0" applyFont="1" applyFill="1" applyAlignment="1">
      <alignment horizontal="justify" vertical="center" wrapText="1"/>
    </xf>
    <xf numFmtId="0" fontId="33" fillId="15" borderId="32" xfId="0" applyFont="1" applyFill="1" applyBorder="1" applyAlignment="1">
      <alignment horizontal="center" vertical="center" wrapText="1" readingOrder="1"/>
    </xf>
    <xf numFmtId="0" fontId="33" fillId="15" borderId="33" xfId="0" applyFont="1" applyFill="1" applyBorder="1" applyAlignment="1">
      <alignment horizontal="center" vertical="center" wrapText="1" readingOrder="1"/>
    </xf>
    <xf numFmtId="0" fontId="33" fillId="3" borderId="30" xfId="0" applyFont="1" applyFill="1" applyBorder="1" applyAlignment="1">
      <alignment horizontal="center" vertical="center" wrapText="1" readingOrder="1"/>
    </xf>
    <xf numFmtId="0" fontId="33" fillId="3" borderId="25" xfId="0" applyFont="1" applyFill="1" applyBorder="1" applyAlignment="1">
      <alignment horizontal="center" vertical="center" wrapText="1" readingOrder="1"/>
    </xf>
    <xf numFmtId="0" fontId="33" fillId="3" borderId="22" xfId="0" applyFont="1" applyFill="1" applyBorder="1" applyAlignment="1">
      <alignment horizontal="center" vertical="center" wrapText="1" readingOrder="1"/>
    </xf>
    <xf numFmtId="0" fontId="33" fillId="3" borderId="21" xfId="0" applyFont="1" applyFill="1" applyBorder="1" applyAlignment="1">
      <alignment horizontal="center" vertical="center" wrapText="1" readingOrder="1"/>
    </xf>
    <xf numFmtId="0" fontId="33" fillId="3" borderId="27" xfId="0" applyFont="1" applyFill="1" applyBorder="1" applyAlignment="1">
      <alignment horizontal="center" vertical="center" wrapText="1" readingOrder="1"/>
    </xf>
    <xf numFmtId="0" fontId="33" fillId="3" borderId="28" xfId="0" applyFont="1" applyFill="1" applyBorder="1" applyAlignment="1">
      <alignment horizontal="center" vertical="center" wrapText="1" readingOrder="1"/>
    </xf>
    <xf numFmtId="0" fontId="71" fillId="0" borderId="100" xfId="0" applyFont="1" applyBorder="1" applyAlignment="1" applyProtection="1">
      <alignment horizontal="center" vertical="center" wrapText="1"/>
      <protection locked="0"/>
    </xf>
    <xf numFmtId="0" fontId="71" fillId="0" borderId="100" xfId="0" applyFont="1" applyBorder="1" applyAlignment="1" applyProtection="1">
      <alignment horizontal="center" vertical="center" wrapText="1"/>
      <protection locked="0"/>
    </xf>
    <xf numFmtId="0" fontId="73" fillId="0" borderId="91" xfId="0" applyFont="1" applyBorder="1" applyAlignment="1">
      <alignment horizontal="center" vertical="center" wrapText="1"/>
    </xf>
    <xf numFmtId="0" fontId="71" fillId="0" borderId="100" xfId="0" applyFont="1" applyBorder="1" applyAlignment="1">
      <alignment horizontal="center" vertical="center" wrapText="1"/>
    </xf>
    <xf numFmtId="0" fontId="71" fillId="17" borderId="100" xfId="0" applyFont="1" applyFill="1" applyBorder="1" applyAlignment="1">
      <alignment horizontal="center" vertical="center" wrapText="1"/>
    </xf>
    <xf numFmtId="0" fontId="71" fillId="17" borderId="100" xfId="0" applyFont="1" applyFill="1" applyBorder="1" applyAlignment="1" applyProtection="1">
      <alignment horizontal="center" vertical="center" wrapText="1"/>
      <protection locked="0"/>
    </xf>
    <xf numFmtId="0" fontId="73" fillId="0" borderId="100" xfId="0" applyFont="1" applyBorder="1" applyAlignment="1" applyProtection="1">
      <alignment horizontal="center" vertical="center" wrapText="1"/>
      <protection hidden="1"/>
    </xf>
    <xf numFmtId="9" fontId="71" fillId="0" borderId="100" xfId="0" applyNumberFormat="1" applyFont="1" applyBorder="1" applyAlignment="1" applyProtection="1">
      <alignment horizontal="center" vertical="center" wrapText="1"/>
      <protection hidden="1"/>
    </xf>
    <xf numFmtId="0" fontId="71" fillId="0" borderId="100" xfId="0" applyFont="1" applyBorder="1" applyAlignment="1">
      <alignment horizontal="center" vertical="center" wrapText="1"/>
    </xf>
    <xf numFmtId="0" fontId="71" fillId="0" borderId="100" xfId="0" applyFont="1" applyBorder="1" applyAlignment="1" applyProtection="1">
      <alignment horizontal="justify" vertical="center" wrapText="1"/>
      <protection locked="0"/>
    </xf>
    <xf numFmtId="0" fontId="71" fillId="0" borderId="100" xfId="0" applyFont="1" applyBorder="1" applyAlignment="1" applyProtection="1">
      <alignment horizontal="center" vertical="center" wrapText="1"/>
      <protection hidden="1"/>
    </xf>
    <xf numFmtId="0" fontId="71" fillId="0" borderId="100" xfId="0" applyFont="1" applyBorder="1" applyAlignment="1" applyProtection="1">
      <alignment horizontal="center" vertical="center" textRotation="90" wrapText="1"/>
      <protection locked="0"/>
    </xf>
    <xf numFmtId="9" fontId="71" fillId="0" borderId="100" xfId="0" applyNumberFormat="1" applyFont="1" applyBorder="1" applyAlignment="1" applyProtection="1">
      <alignment horizontal="center" vertical="center" wrapText="1"/>
      <protection hidden="1"/>
    </xf>
    <xf numFmtId="9" fontId="71" fillId="0" borderId="100" xfId="1" applyFont="1" applyBorder="1" applyAlignment="1">
      <alignment horizontal="center" vertical="center" wrapText="1"/>
    </xf>
    <xf numFmtId="0" fontId="73" fillId="0" borderId="100" xfId="0" applyFont="1" applyBorder="1" applyAlignment="1" applyProtection="1">
      <alignment horizontal="center" vertical="center" textRotation="90" wrapText="1"/>
      <protection hidden="1"/>
    </xf>
    <xf numFmtId="0" fontId="71" fillId="0" borderId="100" xfId="0" applyFont="1" applyBorder="1" applyAlignment="1" applyProtection="1">
      <alignment horizontal="center" vertical="center" textRotation="90" wrapText="1"/>
      <protection locked="0"/>
    </xf>
    <xf numFmtId="14" fontId="71" fillId="0" borderId="100" xfId="0" applyNumberFormat="1" applyFont="1" applyBorder="1" applyAlignment="1" applyProtection="1">
      <alignment horizontal="center" vertical="center" wrapText="1"/>
      <protection locked="0"/>
    </xf>
    <xf numFmtId="165" fontId="71" fillId="0" borderId="100" xfId="0" applyNumberFormat="1" applyFont="1" applyBorder="1" applyAlignment="1" applyProtection="1">
      <alignment horizontal="center" vertical="center" wrapText="1"/>
      <protection locked="0"/>
    </xf>
    <xf numFmtId="165" fontId="65" fillId="27" borderId="100" xfId="0" applyNumberFormat="1" applyFont="1" applyFill="1" applyBorder="1" applyAlignment="1" applyProtection="1">
      <alignment horizontal="center" vertical="center" wrapText="1"/>
      <protection locked="0"/>
    </xf>
    <xf numFmtId="14" fontId="65" fillId="29" borderId="100" xfId="0" applyNumberFormat="1" applyFont="1" applyFill="1" applyBorder="1" applyAlignment="1" applyProtection="1">
      <alignment horizontal="center" vertical="center" wrapText="1"/>
      <protection locked="0"/>
    </xf>
    <xf numFmtId="14" fontId="65" fillId="17" borderId="100" xfId="0" applyNumberFormat="1" applyFont="1" applyFill="1" applyBorder="1" applyAlignment="1">
      <alignment vertical="center" wrapText="1"/>
    </xf>
    <xf numFmtId="0" fontId="65" fillId="17" borderId="100" xfId="0" applyFont="1" applyFill="1" applyBorder="1" applyAlignment="1">
      <alignment horizontal="center" vertical="center" wrapText="1"/>
    </xf>
    <xf numFmtId="14" fontId="65" fillId="25" borderId="100" xfId="0" applyNumberFormat="1" applyFont="1" applyFill="1" applyBorder="1" applyAlignment="1" applyProtection="1">
      <alignment vertical="center" wrapText="1"/>
      <protection locked="0"/>
    </xf>
    <xf numFmtId="0" fontId="65" fillId="25" borderId="114" xfId="0" applyFont="1" applyFill="1" applyBorder="1" applyAlignment="1" applyProtection="1">
      <alignment horizontal="center" vertical="center" wrapText="1"/>
      <protection locked="0"/>
    </xf>
    <xf numFmtId="0" fontId="54" fillId="0" borderId="116" xfId="0" applyFont="1" applyBorder="1" applyAlignment="1">
      <alignment horizontal="center" vertical="center" wrapText="1"/>
    </xf>
    <xf numFmtId="0" fontId="43" fillId="0" borderId="115" xfId="0" applyFont="1" applyBorder="1" applyAlignment="1">
      <alignment horizontal="center" vertical="center" wrapText="1"/>
    </xf>
    <xf numFmtId="0" fontId="71" fillId="0" borderId="115" xfId="0" applyFont="1" applyBorder="1" applyAlignment="1" applyProtection="1">
      <alignment horizontal="center" vertical="center" wrapText="1"/>
      <protection locked="0"/>
    </xf>
    <xf numFmtId="0" fontId="43" fillId="0" borderId="115" xfId="0" applyFont="1" applyBorder="1" applyAlignment="1" applyProtection="1">
      <alignment horizontal="center" vertical="center" wrapText="1"/>
      <protection locked="0"/>
    </xf>
    <xf numFmtId="0" fontId="43" fillId="17" borderId="115" xfId="0" applyFont="1" applyFill="1" applyBorder="1" applyAlignment="1" applyProtection="1">
      <alignment horizontal="center" vertical="center" wrapText="1"/>
      <protection locked="0"/>
    </xf>
    <xf numFmtId="0" fontId="71" fillId="0" borderId="115" xfId="0" applyFont="1" applyFill="1" applyBorder="1" applyAlignment="1" applyProtection="1">
      <alignment horizontal="center" vertical="center" wrapText="1"/>
      <protection locked="0"/>
    </xf>
    <xf numFmtId="0" fontId="54" fillId="0" borderId="115" xfId="0" applyFont="1" applyBorder="1" applyAlignment="1" applyProtection="1">
      <alignment horizontal="center" vertical="center" wrapText="1"/>
      <protection hidden="1"/>
    </xf>
    <xf numFmtId="9" fontId="43" fillId="0" borderId="115" xfId="0" applyNumberFormat="1" applyFont="1" applyFill="1" applyBorder="1" applyAlignment="1" applyProtection="1">
      <alignment horizontal="center" vertical="center" wrapText="1"/>
      <protection locked="0"/>
    </xf>
    <xf numFmtId="0" fontId="43" fillId="0" borderId="115" xfId="0" applyFont="1" applyBorder="1" applyAlignment="1" applyProtection="1">
      <alignment horizontal="justify" vertical="center" wrapText="1"/>
      <protection locked="0"/>
    </xf>
    <xf numFmtId="0" fontId="43" fillId="0" borderId="115" xfId="0" applyFont="1" applyBorder="1" applyAlignment="1" applyProtection="1">
      <alignment horizontal="left" vertical="center" wrapText="1"/>
      <protection locked="0"/>
    </xf>
    <xf numFmtId="0" fontId="43" fillId="0" borderId="115" xfId="0" applyFont="1" applyBorder="1" applyAlignment="1" applyProtection="1">
      <alignment horizontal="center" vertical="center" wrapText="1"/>
      <protection hidden="1"/>
    </xf>
    <xf numFmtId="0" fontId="43" fillId="0" borderId="115" xfId="0" applyFont="1" applyBorder="1" applyAlignment="1" applyProtection="1">
      <alignment horizontal="center" vertical="center" textRotation="90" wrapText="1"/>
      <protection locked="0"/>
    </xf>
    <xf numFmtId="14" fontId="43" fillId="0" borderId="115" xfId="0" applyNumberFormat="1" applyFont="1" applyBorder="1" applyAlignment="1" applyProtection="1">
      <alignment vertical="center" wrapText="1"/>
      <protection locked="0"/>
    </xf>
    <xf numFmtId="14" fontId="43" fillId="0" borderId="115" xfId="0" applyNumberFormat="1" applyFont="1" applyBorder="1" applyAlignment="1" applyProtection="1">
      <alignment horizontal="center" vertical="center" wrapText="1"/>
      <protection locked="0"/>
    </xf>
    <xf numFmtId="165" fontId="43" fillId="0" borderId="115" xfId="0" applyNumberFormat="1" applyFont="1" applyBorder="1" applyAlignment="1" applyProtection="1">
      <alignment horizontal="center" vertical="center" wrapText="1"/>
      <protection locked="0"/>
    </xf>
    <xf numFmtId="165" fontId="90" fillId="27" borderId="115" xfId="0" applyNumberFormat="1" applyFont="1" applyFill="1" applyBorder="1" applyAlignment="1" applyProtection="1">
      <alignment horizontal="center" vertical="center" wrapText="1"/>
      <protection locked="0"/>
    </xf>
    <xf numFmtId="0" fontId="65" fillId="30" borderId="115" xfId="0" applyFont="1" applyFill="1" applyBorder="1" applyAlignment="1">
      <alignment vertical="center"/>
    </xf>
    <xf numFmtId="0" fontId="65" fillId="29" borderId="115" xfId="0" applyFont="1" applyFill="1" applyBorder="1" applyAlignment="1">
      <alignment vertical="center"/>
    </xf>
    <xf numFmtId="14" fontId="90" fillId="29" borderId="115" xfId="0" applyNumberFormat="1" applyFont="1" applyFill="1" applyBorder="1" applyAlignment="1" applyProtection="1">
      <alignment horizontal="center" vertical="center" wrapText="1"/>
      <protection locked="0"/>
    </xf>
    <xf numFmtId="14" fontId="90" fillId="17" borderId="115" xfId="0" applyNumberFormat="1" applyFont="1" applyFill="1" applyBorder="1" applyAlignment="1">
      <alignment vertical="center" wrapText="1"/>
    </xf>
    <xf numFmtId="0" fontId="90" fillId="17" borderId="115" xfId="0" applyFont="1" applyFill="1" applyBorder="1" applyAlignment="1">
      <alignment horizontal="center" vertical="center" wrapText="1"/>
    </xf>
    <xf numFmtId="0" fontId="103" fillId="17" borderId="115" xfId="5" applyFont="1" applyFill="1" applyBorder="1" applyAlignment="1">
      <alignment horizontal="center" vertical="center" wrapText="1"/>
    </xf>
    <xf numFmtId="14" fontId="90" fillId="25" borderId="115" xfId="0" applyNumberFormat="1" applyFont="1" applyFill="1" applyBorder="1" applyAlignment="1" applyProtection="1">
      <alignment vertical="center" wrapText="1"/>
      <protection locked="0"/>
    </xf>
    <xf numFmtId="0" fontId="90" fillId="25" borderId="117" xfId="0" applyFont="1" applyFill="1" applyBorder="1" applyAlignment="1" applyProtection="1">
      <alignment horizontal="center" vertical="center" wrapText="1"/>
      <protection locked="0"/>
    </xf>
    <xf numFmtId="14" fontId="65" fillId="27" borderId="100" xfId="0" applyNumberFormat="1" applyFont="1" applyFill="1" applyBorder="1" applyAlignment="1" applyProtection="1">
      <alignment horizontal="center" vertical="center" wrapText="1"/>
      <protection locked="0"/>
    </xf>
    <xf numFmtId="0" fontId="73" fillId="0" borderId="27" xfId="0" applyFont="1" applyBorder="1" applyAlignment="1">
      <alignment horizontal="center" vertical="center" wrapText="1"/>
    </xf>
    <xf numFmtId="0" fontId="71" fillId="0" borderId="28" xfId="0" applyFont="1" applyBorder="1" applyAlignment="1">
      <alignment horizontal="center" vertical="center" wrapText="1"/>
    </xf>
    <xf numFmtId="0" fontId="71" fillId="17" borderId="28" xfId="0" applyFont="1" applyFill="1" applyBorder="1" applyAlignment="1">
      <alignment horizontal="center" vertical="center" wrapText="1"/>
    </xf>
    <xf numFmtId="0" fontId="71" fillId="0" borderId="28" xfId="0" applyFont="1" applyBorder="1" applyAlignment="1" applyProtection="1">
      <alignment horizontal="center" vertical="center" wrapText="1"/>
      <protection locked="0"/>
    </xf>
    <xf numFmtId="0" fontId="71" fillId="17" borderId="28" xfId="0" applyFont="1" applyFill="1" applyBorder="1" applyAlignment="1" applyProtection="1">
      <alignment horizontal="center" vertical="center" wrapText="1"/>
      <protection locked="0"/>
    </xf>
    <xf numFmtId="0" fontId="71" fillId="0" borderId="28" xfId="0" applyFont="1" applyFill="1" applyBorder="1" applyAlignment="1" applyProtection="1">
      <alignment horizontal="center" vertical="center" wrapText="1"/>
      <protection locked="0"/>
    </xf>
    <xf numFmtId="0" fontId="73" fillId="0" borderId="28" xfId="0" applyFont="1" applyBorder="1" applyAlignment="1" applyProtection="1">
      <alignment horizontal="center" vertical="center" wrapText="1"/>
      <protection hidden="1"/>
    </xf>
    <xf numFmtId="9" fontId="71" fillId="0" borderId="28" xfId="0" applyNumberFormat="1" applyFont="1" applyBorder="1" applyAlignment="1" applyProtection="1">
      <alignment horizontal="center" vertical="center" wrapText="1"/>
      <protection hidden="1"/>
    </xf>
    <xf numFmtId="9" fontId="71" fillId="0" borderId="28" xfId="0" applyNumberFormat="1" applyFont="1" applyFill="1" applyBorder="1" applyAlignment="1" applyProtection="1">
      <alignment horizontal="center" vertical="center" wrapText="1"/>
      <protection locked="0"/>
    </xf>
    <xf numFmtId="0" fontId="71" fillId="0" borderId="28" xfId="0" applyFont="1" applyBorder="1" applyAlignment="1">
      <alignment horizontal="center" vertical="center"/>
    </xf>
    <xf numFmtId="0" fontId="71" fillId="0" borderId="28" xfId="0" applyFont="1" applyBorder="1" applyAlignment="1" applyProtection="1">
      <alignment horizontal="justify" vertical="center" wrapText="1"/>
      <protection locked="0"/>
    </xf>
    <xf numFmtId="0" fontId="71" fillId="0" borderId="28" xfId="0" applyFont="1" applyBorder="1" applyAlignment="1" applyProtection="1">
      <alignment horizontal="left" vertical="center" wrapText="1"/>
      <protection locked="0"/>
    </xf>
    <xf numFmtId="0" fontId="71" fillId="0" borderId="28" xfId="0" applyFont="1" applyBorder="1" applyAlignment="1" applyProtection="1">
      <alignment horizontal="center" vertical="center" wrapText="1"/>
      <protection hidden="1"/>
    </xf>
    <xf numFmtId="0" fontId="71" fillId="0" borderId="28" xfId="0" applyFont="1" applyBorder="1" applyAlignment="1" applyProtection="1">
      <alignment horizontal="center" vertical="center" textRotation="90" wrapText="1"/>
      <protection locked="0"/>
    </xf>
    <xf numFmtId="9" fontId="71" fillId="0" borderId="28" xfId="0" applyNumberFormat="1" applyFont="1" applyBorder="1" applyAlignment="1" applyProtection="1">
      <alignment horizontal="center" vertical="center" wrapText="1"/>
      <protection hidden="1"/>
    </xf>
    <xf numFmtId="0" fontId="71" fillId="0" borderId="28" xfId="0" applyFont="1" applyBorder="1" applyAlignment="1" applyProtection="1">
      <alignment horizontal="center" vertical="center" wrapText="1"/>
      <protection locked="0"/>
    </xf>
    <xf numFmtId="9" fontId="71" fillId="0" borderId="28" xfId="1" applyFont="1" applyBorder="1" applyAlignment="1">
      <alignment horizontal="center" vertical="center" wrapText="1"/>
    </xf>
    <xf numFmtId="0" fontId="73" fillId="0" borderId="28" xfId="0" applyFont="1" applyBorder="1" applyAlignment="1" applyProtection="1">
      <alignment horizontal="center" vertical="center" textRotation="90" wrapText="1"/>
      <protection hidden="1"/>
    </xf>
    <xf numFmtId="0" fontId="71" fillId="0" borderId="28" xfId="0" applyFont="1" applyBorder="1" applyAlignment="1" applyProtection="1">
      <alignment horizontal="center" vertical="center" textRotation="90" wrapText="1"/>
      <protection locked="0"/>
    </xf>
    <xf numFmtId="0" fontId="71" fillId="0" borderId="28" xfId="0" applyFont="1" applyBorder="1" applyAlignment="1">
      <alignment horizontal="center" vertical="center" wrapText="1"/>
    </xf>
    <xf numFmtId="14" fontId="71" fillId="0" borderId="28" xfId="0" applyNumberFormat="1" applyFont="1" applyBorder="1" applyAlignment="1" applyProtection="1">
      <alignment vertical="center" wrapText="1"/>
      <protection locked="0"/>
    </xf>
    <xf numFmtId="165" fontId="71" fillId="0" borderId="28" xfId="0" applyNumberFormat="1" applyFont="1" applyBorder="1" applyAlignment="1" applyProtection="1">
      <alignment horizontal="center" vertical="center" wrapText="1"/>
      <protection locked="0"/>
    </xf>
    <xf numFmtId="165" fontId="65" fillId="27" borderId="28" xfId="0" applyNumberFormat="1" applyFont="1" applyFill="1" applyBorder="1" applyAlignment="1" applyProtection="1">
      <alignment horizontal="center" vertical="center" wrapText="1"/>
      <protection locked="0"/>
    </xf>
    <xf numFmtId="14" fontId="65" fillId="27" borderId="28" xfId="0" applyNumberFormat="1" applyFont="1" applyFill="1" applyBorder="1" applyAlignment="1" applyProtection="1">
      <alignment horizontal="center" vertical="center" wrapText="1"/>
      <protection locked="0"/>
    </xf>
    <xf numFmtId="14" fontId="65" fillId="29" borderId="28" xfId="0" applyNumberFormat="1" applyFont="1" applyFill="1" applyBorder="1" applyAlignment="1" applyProtection="1">
      <alignment horizontal="center" vertical="center" wrapText="1"/>
      <protection locked="0"/>
    </xf>
    <xf numFmtId="14" fontId="65" fillId="17" borderId="28" xfId="0" applyNumberFormat="1" applyFont="1" applyFill="1" applyBorder="1" applyAlignment="1">
      <alignment vertical="center" wrapText="1"/>
    </xf>
    <xf numFmtId="0" fontId="65" fillId="17" borderId="28" xfId="0" applyFont="1" applyFill="1" applyBorder="1" applyAlignment="1">
      <alignment horizontal="center" vertical="center" wrapText="1"/>
    </xf>
    <xf numFmtId="0" fontId="105" fillId="17" borderId="28" xfId="5" applyFont="1" applyFill="1" applyBorder="1" applyAlignment="1">
      <alignment horizontal="center" vertical="center" wrapText="1"/>
    </xf>
    <xf numFmtId="14" fontId="65" fillId="25" borderId="28" xfId="0" applyNumberFormat="1" applyFont="1" applyFill="1" applyBorder="1" applyAlignment="1" applyProtection="1">
      <alignment vertical="center" wrapText="1"/>
      <protection locked="0"/>
    </xf>
    <xf numFmtId="0" fontId="65" fillId="25" borderId="29" xfId="0" applyFont="1" applyFill="1" applyBorder="1" applyAlignment="1" applyProtection="1">
      <alignment horizontal="center" vertical="center" wrapText="1"/>
      <protection locked="0"/>
    </xf>
    <xf numFmtId="0" fontId="73" fillId="0" borderId="30" xfId="0" applyFont="1" applyBorder="1" applyAlignment="1">
      <alignment horizontal="center" vertical="center" wrapText="1"/>
    </xf>
    <xf numFmtId="0" fontId="71" fillId="0" borderId="22" xfId="0" applyFont="1" applyBorder="1" applyAlignment="1">
      <alignment horizontal="center" vertical="center" wrapText="1"/>
    </xf>
    <xf numFmtId="0" fontId="71" fillId="17" borderId="22" xfId="0" applyFont="1" applyFill="1" applyBorder="1" applyAlignment="1">
      <alignment horizontal="center" vertical="center" wrapText="1"/>
    </xf>
    <xf numFmtId="0" fontId="71" fillId="0" borderId="22" xfId="0" applyFont="1" applyBorder="1" applyAlignment="1" applyProtection="1">
      <alignment horizontal="center" vertical="center" wrapText="1"/>
      <protection locked="0"/>
    </xf>
    <xf numFmtId="0" fontId="71" fillId="17" borderId="22" xfId="0" applyFont="1" applyFill="1" applyBorder="1" applyAlignment="1" applyProtection="1">
      <alignment horizontal="center" vertical="center" wrapText="1"/>
      <protection locked="0"/>
    </xf>
    <xf numFmtId="0" fontId="71" fillId="0" borderId="22" xfId="0" applyFont="1" applyFill="1" applyBorder="1" applyAlignment="1" applyProtection="1">
      <alignment horizontal="center" vertical="center" wrapText="1"/>
      <protection locked="0"/>
    </xf>
    <xf numFmtId="0" fontId="73" fillId="0" borderId="22" xfId="0" applyFont="1" applyBorder="1" applyAlignment="1" applyProtection="1">
      <alignment horizontal="center" vertical="center" wrapText="1"/>
      <protection hidden="1"/>
    </xf>
    <xf numFmtId="9" fontId="71" fillId="0" borderId="22" xfId="0" applyNumberFormat="1" applyFont="1" applyBorder="1" applyAlignment="1" applyProtection="1">
      <alignment horizontal="center" vertical="center" wrapText="1"/>
      <protection hidden="1"/>
    </xf>
    <xf numFmtId="9" fontId="71" fillId="0" borderId="22" xfId="0" applyNumberFormat="1" applyFont="1" applyFill="1" applyBorder="1" applyAlignment="1" applyProtection="1">
      <alignment horizontal="center" vertical="center" wrapText="1"/>
      <protection locked="0"/>
    </xf>
    <xf numFmtId="0" fontId="71" fillId="0" borderId="22" xfId="0" applyFont="1" applyBorder="1" applyAlignment="1">
      <alignment horizontal="center" vertical="center" wrapText="1"/>
    </xf>
    <xf numFmtId="0" fontId="71" fillId="0" borderId="22" xfId="0" applyFont="1" applyBorder="1" applyAlignment="1" applyProtection="1">
      <alignment horizontal="justify" vertical="center" wrapText="1"/>
      <protection locked="0"/>
    </xf>
    <xf numFmtId="0" fontId="71" fillId="0" borderId="22" xfId="0" applyFont="1" applyBorder="1" applyAlignment="1" applyProtection="1">
      <alignment horizontal="left" vertical="center" wrapText="1"/>
      <protection locked="0"/>
    </xf>
    <xf numFmtId="0" fontId="71" fillId="0" borderId="22" xfId="0" applyFont="1" applyBorder="1" applyAlignment="1" applyProtection="1">
      <alignment horizontal="center" vertical="center" wrapText="1"/>
      <protection hidden="1"/>
    </xf>
    <xf numFmtId="0" fontId="71" fillId="0" borderId="22" xfId="0" applyFont="1" applyBorder="1" applyAlignment="1" applyProtection="1">
      <alignment horizontal="center" vertical="center" textRotation="90" wrapText="1"/>
      <protection locked="0"/>
    </xf>
    <xf numFmtId="9" fontId="71" fillId="0" borderId="22" xfId="0" applyNumberFormat="1" applyFont="1" applyBorder="1" applyAlignment="1" applyProtection="1">
      <alignment horizontal="center" vertical="center" wrapText="1"/>
      <protection hidden="1"/>
    </xf>
    <xf numFmtId="9" fontId="71" fillId="0" borderId="22" xfId="1" applyFont="1" applyBorder="1" applyAlignment="1">
      <alignment horizontal="center" vertical="center" wrapText="1"/>
    </xf>
    <xf numFmtId="0" fontId="73" fillId="0" borderId="22" xfId="0" applyFont="1" applyBorder="1" applyAlignment="1" applyProtection="1">
      <alignment horizontal="center" vertical="center" textRotation="90" wrapText="1"/>
      <protection hidden="1"/>
    </xf>
    <xf numFmtId="0" fontId="71" fillId="0" borderId="22" xfId="0" applyFont="1" applyBorder="1" applyAlignment="1" applyProtection="1">
      <alignment horizontal="center" vertical="center" textRotation="90" wrapText="1"/>
      <protection locked="0"/>
    </xf>
    <xf numFmtId="14" fontId="71" fillId="0" borderId="22" xfId="0" applyNumberFormat="1" applyFont="1" applyBorder="1" applyAlignment="1" applyProtection="1">
      <alignment vertical="center" wrapText="1"/>
      <protection locked="0"/>
    </xf>
    <xf numFmtId="14" fontId="71" fillId="0" borderId="22" xfId="0" applyNumberFormat="1" applyFont="1" applyBorder="1" applyAlignment="1" applyProtection="1">
      <alignment horizontal="center" vertical="center" wrapText="1"/>
      <protection locked="0"/>
    </xf>
    <xf numFmtId="165" fontId="71" fillId="0" borderId="22" xfId="0" applyNumberFormat="1" applyFont="1" applyBorder="1" applyAlignment="1" applyProtection="1">
      <alignment horizontal="center" vertical="center" wrapText="1"/>
      <protection locked="0"/>
    </xf>
    <xf numFmtId="165" fontId="65" fillId="27" borderId="22" xfId="0" applyNumberFormat="1" applyFont="1" applyFill="1" applyBorder="1" applyAlignment="1" applyProtection="1">
      <alignment horizontal="center" vertical="center" wrapText="1"/>
      <protection locked="0"/>
    </xf>
    <xf numFmtId="14" fontId="65" fillId="27" borderId="22" xfId="0" applyNumberFormat="1" applyFont="1" applyFill="1" applyBorder="1" applyAlignment="1" applyProtection="1">
      <alignment horizontal="center" vertical="center" wrapText="1"/>
      <protection locked="0"/>
    </xf>
    <xf numFmtId="0" fontId="65" fillId="30" borderId="22" xfId="0" applyFont="1" applyFill="1" applyBorder="1" applyAlignment="1">
      <alignment vertical="center"/>
    </xf>
    <xf numFmtId="0" fontId="65" fillId="29" borderId="22" xfId="0" applyFont="1" applyFill="1" applyBorder="1" applyAlignment="1">
      <alignment vertical="center"/>
    </xf>
    <xf numFmtId="14" fontId="65" fillId="29" borderId="22" xfId="0" applyNumberFormat="1" applyFont="1" applyFill="1" applyBorder="1" applyAlignment="1" applyProtection="1">
      <alignment horizontal="center" vertical="center" wrapText="1"/>
      <protection locked="0"/>
    </xf>
    <xf numFmtId="14" fontId="65" fillId="17" borderId="22" xfId="0" applyNumberFormat="1" applyFont="1" applyFill="1" applyBorder="1" applyAlignment="1">
      <alignment vertical="center" wrapText="1"/>
    </xf>
    <xf numFmtId="0" fontId="65" fillId="17" borderId="22" xfId="0" applyFont="1" applyFill="1" applyBorder="1" applyAlignment="1">
      <alignment horizontal="center" vertical="center" wrapText="1"/>
    </xf>
    <xf numFmtId="0" fontId="105" fillId="17" borderId="22" xfId="5" applyFont="1" applyFill="1" applyBorder="1" applyAlignment="1">
      <alignment horizontal="center" vertical="center" wrapText="1"/>
    </xf>
    <xf numFmtId="14" fontId="65" fillId="25" borderId="22" xfId="0" applyNumberFormat="1" applyFont="1" applyFill="1" applyBorder="1" applyAlignment="1" applyProtection="1">
      <alignment vertical="center" wrapText="1"/>
      <protection locked="0"/>
    </xf>
    <xf numFmtId="0" fontId="65" fillId="25" borderId="31" xfId="0" applyFont="1" applyFill="1" applyBorder="1" applyAlignment="1" applyProtection="1">
      <alignment horizontal="center" vertical="center" wrapText="1"/>
      <protection locked="0"/>
    </xf>
    <xf numFmtId="9" fontId="71" fillId="0" borderId="100" xfId="0" applyNumberFormat="1" applyFont="1" applyBorder="1" applyAlignment="1" applyProtection="1">
      <alignment horizontal="center" vertical="center" wrapText="1"/>
      <protection locked="0"/>
    </xf>
    <xf numFmtId="9" fontId="71" fillId="0" borderId="28" xfId="0" applyNumberFormat="1" applyFont="1" applyBorder="1" applyAlignment="1" applyProtection="1">
      <alignment horizontal="center" vertical="center" wrapText="1"/>
      <protection locked="0"/>
    </xf>
    <xf numFmtId="14" fontId="71" fillId="0" borderId="28" xfId="0" applyNumberFormat="1" applyFont="1" applyBorder="1" applyAlignment="1" applyProtection="1">
      <alignment horizontal="center" vertical="center" wrapText="1"/>
      <protection locked="0"/>
    </xf>
    <xf numFmtId="0" fontId="71" fillId="0" borderId="100" xfId="0" applyFont="1" applyBorder="1" applyAlignment="1" applyProtection="1">
      <alignment vertical="center" wrapText="1"/>
      <protection locked="0"/>
    </xf>
    <xf numFmtId="14" fontId="105" fillId="17" borderId="100" xfId="5" applyNumberFormat="1" applyFont="1" applyFill="1" applyBorder="1" applyAlignment="1">
      <alignment horizontal="center" vertical="center" wrapText="1"/>
    </xf>
    <xf numFmtId="9" fontId="71" fillId="0" borderId="22" xfId="0" applyNumberFormat="1" applyFont="1" applyBorder="1" applyAlignment="1" applyProtection="1">
      <alignment horizontal="center" vertical="center" wrapText="1"/>
      <protection locked="0"/>
    </xf>
    <xf numFmtId="14" fontId="65" fillId="27" borderId="22" xfId="0" applyNumberFormat="1" applyFont="1" applyFill="1" applyBorder="1" applyAlignment="1" applyProtection="1">
      <alignment horizontal="center" vertical="center" wrapText="1"/>
      <protection locked="0"/>
    </xf>
    <xf numFmtId="0" fontId="71" fillId="0" borderId="28" xfId="0" applyFont="1" applyBorder="1" applyAlignment="1" applyProtection="1">
      <alignment vertical="center" wrapText="1"/>
      <protection locked="0"/>
    </xf>
  </cellXfs>
  <cellStyles count="6">
    <cellStyle name="Hipervínculo" xfId="5" builtinId="8"/>
    <cellStyle name="Normal" xfId="0" builtinId="0"/>
    <cellStyle name="Normal - Style1 2" xfId="2" xr:uid="{00000000-0005-0000-0000-000002000000}"/>
    <cellStyle name="Normal 2" xfId="4" xr:uid="{00000000-0005-0000-0000-000003000000}"/>
    <cellStyle name="Normal 2 2" xfId="3" xr:uid="{00000000-0005-0000-0000-000004000000}"/>
    <cellStyle name="Porcentaje" xfId="1" builtinId="5"/>
  </cellStyles>
  <dxfs count="40">
    <dxf>
      <font>
        <color auto="1"/>
      </font>
      <fill>
        <patternFill>
          <bgColor rgb="FFFFFF00"/>
        </patternFill>
      </fill>
    </dxf>
    <dxf>
      <font>
        <color theme="1"/>
      </font>
      <fill>
        <patternFill>
          <bgColor rgb="FF92D050"/>
        </patternFill>
      </fill>
    </dxf>
    <dxf>
      <font>
        <color auto="1"/>
      </font>
      <fill>
        <patternFill>
          <bgColor rgb="FFC00000"/>
        </patternFill>
      </fill>
    </dxf>
    <dxf>
      <font>
        <color auto="1"/>
      </font>
      <fill>
        <patternFill>
          <bgColor rgb="FF92D050"/>
        </patternFill>
      </fill>
    </dxf>
    <dxf>
      <font>
        <color auto="1"/>
      </font>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FF00"/>
        </patternFill>
      </fill>
    </dxf>
    <dxf>
      <fill>
        <patternFill>
          <bgColor rgb="FF00B050"/>
        </patternFill>
      </fill>
    </dxf>
    <dxf>
      <fill>
        <patternFill>
          <bgColor rgb="FFFF000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00CC66"/>
      <color rgb="FFB4B3B6"/>
      <color rgb="FF287840"/>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Mapa final'!A1"/><Relationship Id="rId7" Type="http://schemas.openxmlformats.org/officeDocument/2006/relationships/image" Target="../media/image2.svg"/><Relationship Id="rId2" Type="http://schemas.openxmlformats.org/officeDocument/2006/relationships/hyperlink" Target="#'Matriz Calor Residual'!A1"/><Relationship Id="rId1" Type="http://schemas.openxmlformats.org/officeDocument/2006/relationships/hyperlink" Target="#'CAMBIOS REGISTRO'!A1"/><Relationship Id="rId6" Type="http://schemas.openxmlformats.org/officeDocument/2006/relationships/image" Target="../media/image1.png"/><Relationship Id="rId5" Type="http://schemas.openxmlformats.org/officeDocument/2006/relationships/hyperlink" Target="#'CRITERIOS R CORRUPCION'!A1"/><Relationship Id="rId4" Type="http://schemas.openxmlformats.org/officeDocument/2006/relationships/hyperlink" Target="#'Matriz Calor Inherente'!A1"/></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3.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hyperlink" Target="#'PORTADA '!A1"/><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ORTADA '!A1"/></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12</xdr:col>
      <xdr:colOff>80211</xdr:colOff>
      <xdr:row>31</xdr:row>
      <xdr:rowOff>50132</xdr:rowOff>
    </xdr:from>
    <xdr:to>
      <xdr:col>13</xdr:col>
      <xdr:colOff>604086</xdr:colOff>
      <xdr:row>37</xdr:row>
      <xdr:rowOff>50132</xdr:rowOff>
    </xdr:to>
    <xdr:sp macro="" textlink="">
      <xdr:nvSpPr>
        <xdr:cNvPr id="3" name="Diagrama de flujo: multidocumento 2">
          <a:hlinkClick xmlns:r="http://schemas.openxmlformats.org/officeDocument/2006/relationships" r:id="rId1"/>
          <a:extLst>
            <a:ext uri="{FF2B5EF4-FFF2-40B4-BE49-F238E27FC236}">
              <a16:creationId xmlns:a16="http://schemas.microsoft.com/office/drawing/2014/main" id="{561EEA2B-EE45-474B-B261-C2F77FE53BED}"/>
            </a:ext>
            <a:ext uri="{147F2762-F138-4A5C-976F-8EAC2B608ADB}">
              <a16:predDERef xmlns:a16="http://schemas.microsoft.com/office/drawing/2014/main" pred="{A0CA84D1-D22B-4210-8FA4-F089CFE3202B}"/>
            </a:ext>
          </a:extLst>
        </xdr:cNvPr>
        <xdr:cNvSpPr/>
      </xdr:nvSpPr>
      <xdr:spPr>
        <a:xfrm>
          <a:off x="9314448" y="6035843"/>
          <a:ext cx="1285875" cy="1143000"/>
        </a:xfrm>
        <a:prstGeom prst="flowChartMultidocument">
          <a:avLst/>
        </a:prstGeom>
        <a:solidFill>
          <a:srgbClr val="28784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ctr"/>
          <a:r>
            <a:rPr lang="en-US" sz="1100" b="1" i="0" u="none" strike="noStrike">
              <a:solidFill>
                <a:schemeClr val="lt1"/>
              </a:solidFill>
              <a:latin typeface="Calibri" panose="020F0502020204030204" pitchFamily="34" charset="0"/>
              <a:cs typeface="Calibri" panose="020F0502020204030204" pitchFamily="34" charset="0"/>
            </a:rPr>
            <a:t>CONTROL DE CAMBIOS </a:t>
          </a:r>
        </a:p>
      </xdr:txBody>
    </xdr:sp>
    <xdr:clientData/>
  </xdr:twoCellAnchor>
  <xdr:twoCellAnchor>
    <xdr:from>
      <xdr:col>2</xdr:col>
      <xdr:colOff>280736</xdr:colOff>
      <xdr:row>8</xdr:row>
      <xdr:rowOff>130342</xdr:rowOff>
    </xdr:from>
    <xdr:to>
      <xdr:col>12</xdr:col>
      <xdr:colOff>601579</xdr:colOff>
      <xdr:row>28</xdr:row>
      <xdr:rowOff>40105</xdr:rowOff>
    </xdr:to>
    <xdr:grpSp>
      <xdr:nvGrpSpPr>
        <xdr:cNvPr id="4" name="Google Shape;6040;p62">
          <a:extLst>
            <a:ext uri="{FF2B5EF4-FFF2-40B4-BE49-F238E27FC236}">
              <a16:creationId xmlns:a16="http://schemas.microsoft.com/office/drawing/2014/main" id="{B3F5F72E-E959-4301-B587-7E1224BDEF5E}"/>
            </a:ext>
          </a:extLst>
        </xdr:cNvPr>
        <xdr:cNvGrpSpPr/>
      </xdr:nvGrpSpPr>
      <xdr:grpSpPr>
        <a:xfrm>
          <a:off x="1831473" y="1761289"/>
          <a:ext cx="9571790" cy="3920290"/>
          <a:chOff x="238125" y="1188750"/>
          <a:chExt cx="7140450" cy="3335550"/>
        </a:xfrm>
      </xdr:grpSpPr>
      <xdr:sp macro="" textlink="">
        <xdr:nvSpPr>
          <xdr:cNvPr id="5" name="Google Shape;6041;p62">
            <a:extLst>
              <a:ext uri="{FF2B5EF4-FFF2-40B4-BE49-F238E27FC236}">
                <a16:creationId xmlns:a16="http://schemas.microsoft.com/office/drawing/2014/main" id="{18AB30EA-3692-4E95-AC57-A61DDC3B62D6}"/>
              </a:ext>
            </a:extLst>
          </xdr:cNvPr>
          <xdr:cNvSpPr/>
        </xdr:nvSpPr>
        <xdr:spPr>
          <a:xfrm>
            <a:off x="238125" y="1188750"/>
            <a:ext cx="3507025" cy="1584000"/>
          </a:xfrm>
          <a:custGeom>
            <a:avLst/>
            <a:gdLst/>
            <a:ahLst/>
            <a:cxnLst/>
            <a:rect l="l" t="t" r="r" b="b"/>
            <a:pathLst>
              <a:path w="140281" h="63360" extrusionOk="0">
                <a:moveTo>
                  <a:pt x="4021" y="0"/>
                </a:moveTo>
                <a:cubicBezTo>
                  <a:pt x="1801" y="6"/>
                  <a:pt x="6" y="1801"/>
                  <a:pt x="0" y="4021"/>
                </a:cubicBezTo>
                <a:lnTo>
                  <a:pt x="0" y="59338"/>
                </a:lnTo>
                <a:cubicBezTo>
                  <a:pt x="6" y="61552"/>
                  <a:pt x="1801" y="63354"/>
                  <a:pt x="4021" y="63359"/>
                </a:cubicBezTo>
                <a:lnTo>
                  <a:pt x="98272" y="63359"/>
                </a:lnTo>
                <a:cubicBezTo>
                  <a:pt x="99963" y="41512"/>
                  <a:pt x="118098" y="24204"/>
                  <a:pt x="140280" y="23813"/>
                </a:cubicBezTo>
                <a:lnTo>
                  <a:pt x="140280" y="4021"/>
                </a:lnTo>
                <a:cubicBezTo>
                  <a:pt x="140275" y="1801"/>
                  <a:pt x="138474" y="6"/>
                  <a:pt x="136259" y="0"/>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CONTEXTO -</a:t>
            </a:r>
            <a:r>
              <a:rPr lang="es-MX" b="1" baseline="0">
                <a:solidFill>
                  <a:schemeClr val="bg1"/>
                </a:solidFill>
              </a:rPr>
              <a:t> DOFA</a:t>
            </a:r>
          </a:p>
          <a:p>
            <a:pPr marL="0" lvl="0" indent="0" algn="ctr" rtl="0">
              <a:spcBef>
                <a:spcPts val="0"/>
              </a:spcBef>
              <a:spcAft>
                <a:spcPts val="0"/>
              </a:spcAft>
              <a:buNone/>
            </a:pPr>
            <a:r>
              <a:rPr lang="es-MX" b="1" baseline="0">
                <a:solidFill>
                  <a:schemeClr val="bg1"/>
                </a:solidFill>
              </a:rPr>
              <a:t>(KAWAK)</a:t>
            </a:r>
            <a:endParaRPr b="1">
              <a:solidFill>
                <a:schemeClr val="bg1"/>
              </a:solidFill>
            </a:endParaRPr>
          </a:p>
        </xdr:txBody>
      </xdr:sp>
      <xdr:sp macro="" textlink="">
        <xdr:nvSpPr>
          <xdr:cNvPr id="6" name="Google Shape;6042;p62">
            <a:hlinkClick xmlns:r="http://schemas.openxmlformats.org/officeDocument/2006/relationships" r:id="rId2"/>
            <a:extLst>
              <a:ext uri="{FF2B5EF4-FFF2-40B4-BE49-F238E27FC236}">
                <a16:creationId xmlns:a16="http://schemas.microsoft.com/office/drawing/2014/main" id="{BD507546-1AC8-44E1-93E6-7187A5D8A960}"/>
              </a:ext>
            </a:extLst>
          </xdr:cNvPr>
          <xdr:cNvSpPr/>
        </xdr:nvSpPr>
        <xdr:spPr>
          <a:xfrm>
            <a:off x="238125" y="2940300"/>
            <a:ext cx="3507025" cy="1584000"/>
          </a:xfrm>
          <a:custGeom>
            <a:avLst/>
            <a:gdLst/>
            <a:ahLst/>
            <a:cxnLst/>
            <a:rect l="l" t="t" r="r" b="b"/>
            <a:pathLst>
              <a:path w="140281" h="63360" extrusionOk="0">
                <a:moveTo>
                  <a:pt x="4021" y="1"/>
                </a:moveTo>
                <a:cubicBezTo>
                  <a:pt x="1801" y="6"/>
                  <a:pt x="6" y="1808"/>
                  <a:pt x="0" y="4022"/>
                </a:cubicBezTo>
                <a:lnTo>
                  <a:pt x="0" y="59339"/>
                </a:lnTo>
                <a:cubicBezTo>
                  <a:pt x="6" y="61559"/>
                  <a:pt x="1801" y="63354"/>
                  <a:pt x="4021" y="63360"/>
                </a:cubicBezTo>
                <a:lnTo>
                  <a:pt x="136259" y="63360"/>
                </a:lnTo>
                <a:cubicBezTo>
                  <a:pt x="138474" y="63354"/>
                  <a:pt x="140275" y="61559"/>
                  <a:pt x="140280" y="59339"/>
                </a:cubicBezTo>
                <a:lnTo>
                  <a:pt x="140280" y="39547"/>
                </a:lnTo>
                <a:cubicBezTo>
                  <a:pt x="118098" y="39155"/>
                  <a:pt x="99963" y="21848"/>
                  <a:pt x="98272" y="1"/>
                </a:cubicBezTo>
                <a:close/>
              </a:path>
            </a:pathLst>
          </a:custGeom>
          <a:solidFill>
            <a:srgbClr val="869FB1"/>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algn="ctr"/>
            <a:r>
              <a:rPr lang="es-CO" sz="1400" b="1" i="0" u="none" strike="noStrike" cap="none">
                <a:solidFill>
                  <a:schemeClr val="bg1"/>
                </a:solidFill>
                <a:effectLst/>
                <a:latin typeface="Arial"/>
                <a:ea typeface="Arial"/>
                <a:cs typeface="Arial"/>
                <a:sym typeface="Arial"/>
              </a:rPr>
              <a:t>MATRIZ CALOR</a:t>
            </a:r>
          </a:p>
          <a:p>
            <a:pPr algn="ctr"/>
            <a:r>
              <a:rPr lang="es-CO" sz="1400" b="1" i="0" u="none" strike="noStrike" cap="none">
                <a:solidFill>
                  <a:schemeClr val="bg1"/>
                </a:solidFill>
                <a:effectLst/>
                <a:latin typeface="Arial"/>
                <a:ea typeface="Arial"/>
                <a:cs typeface="Arial"/>
                <a:sym typeface="Arial"/>
              </a:rPr>
              <a:t> RESIDUAL</a:t>
            </a:r>
          </a:p>
          <a:p>
            <a:pPr marL="0" lvl="0" indent="0" algn="ctr" rtl="0">
              <a:spcBef>
                <a:spcPts val="0"/>
              </a:spcBef>
              <a:spcAft>
                <a:spcPts val="0"/>
              </a:spcAft>
              <a:buNone/>
            </a:pPr>
            <a:endParaRPr/>
          </a:p>
        </xdr:txBody>
      </xdr:sp>
      <xdr:sp macro="" textlink="">
        <xdr:nvSpPr>
          <xdr:cNvPr id="7" name="Google Shape;6043;p62">
            <a:hlinkClick xmlns:r="http://schemas.openxmlformats.org/officeDocument/2006/relationships" r:id="rId3"/>
            <a:extLst>
              <a:ext uri="{FF2B5EF4-FFF2-40B4-BE49-F238E27FC236}">
                <a16:creationId xmlns:a16="http://schemas.microsoft.com/office/drawing/2014/main" id="{B42689E8-C2D2-49B1-8850-0208BA377BE1}"/>
              </a:ext>
            </a:extLst>
          </xdr:cNvPr>
          <xdr:cNvSpPr/>
        </xdr:nvSpPr>
        <xdr:spPr>
          <a:xfrm>
            <a:off x="3871550" y="1188750"/>
            <a:ext cx="3507025" cy="1584000"/>
          </a:xfrm>
          <a:custGeom>
            <a:avLst/>
            <a:gdLst/>
            <a:ahLst/>
            <a:cxnLst/>
            <a:rect l="l" t="t" r="r" b="b"/>
            <a:pathLst>
              <a:path w="140281" h="63360" extrusionOk="0">
                <a:moveTo>
                  <a:pt x="4022" y="0"/>
                </a:moveTo>
                <a:cubicBezTo>
                  <a:pt x="1807" y="6"/>
                  <a:pt x="6" y="1801"/>
                  <a:pt x="0" y="4021"/>
                </a:cubicBezTo>
                <a:lnTo>
                  <a:pt x="0" y="24017"/>
                </a:lnTo>
                <a:cubicBezTo>
                  <a:pt x="20553" y="26066"/>
                  <a:pt x="36886" y="42675"/>
                  <a:pt x="38494" y="63359"/>
                </a:cubicBezTo>
                <a:lnTo>
                  <a:pt x="136260" y="63359"/>
                </a:lnTo>
                <a:cubicBezTo>
                  <a:pt x="138480" y="63354"/>
                  <a:pt x="140275" y="61552"/>
                  <a:pt x="140281" y="59338"/>
                </a:cubicBezTo>
                <a:lnTo>
                  <a:pt x="140281" y="4021"/>
                </a:lnTo>
                <a:cubicBezTo>
                  <a:pt x="140275" y="1801"/>
                  <a:pt x="138480" y="6"/>
                  <a:pt x="136260" y="0"/>
                </a:cubicBezTo>
                <a:close/>
              </a:path>
            </a:pathLst>
          </a:custGeom>
          <a:solidFill>
            <a:srgbClr val="869FB1"/>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MAPA DE</a:t>
            </a:r>
            <a:r>
              <a:rPr lang="es-MX" b="1" baseline="0">
                <a:solidFill>
                  <a:schemeClr val="bg1"/>
                </a:solidFill>
              </a:rPr>
              <a:t> </a:t>
            </a:r>
            <a:r>
              <a:rPr lang="es-MX" b="1">
                <a:solidFill>
                  <a:schemeClr val="bg1"/>
                </a:solidFill>
              </a:rPr>
              <a:t>RIESGOS</a:t>
            </a:r>
            <a:r>
              <a:rPr lang="es-MX" b="1" baseline="0">
                <a:solidFill>
                  <a:schemeClr val="bg1"/>
                </a:solidFill>
              </a:rPr>
              <a:t>  </a:t>
            </a:r>
          </a:p>
          <a:p>
            <a:pPr marL="0" lvl="0" indent="0" algn="ctr" rtl="0">
              <a:spcBef>
                <a:spcPts val="0"/>
              </a:spcBef>
              <a:spcAft>
                <a:spcPts val="0"/>
              </a:spcAft>
              <a:buNone/>
            </a:pPr>
            <a:r>
              <a:rPr lang="es-MX" b="1" baseline="0">
                <a:solidFill>
                  <a:schemeClr val="bg1"/>
                </a:solidFill>
              </a:rPr>
              <a:t>DE PROCESO</a:t>
            </a:r>
            <a:endParaRPr b="1">
              <a:solidFill>
                <a:schemeClr val="bg1"/>
              </a:solidFill>
            </a:endParaRPr>
          </a:p>
        </xdr:txBody>
      </xdr:sp>
      <xdr:sp macro="" textlink="">
        <xdr:nvSpPr>
          <xdr:cNvPr id="8" name="Google Shape;6044;p62">
            <a:hlinkClick xmlns:r="http://schemas.openxmlformats.org/officeDocument/2006/relationships" r:id="rId4"/>
            <a:extLst>
              <a:ext uri="{FF2B5EF4-FFF2-40B4-BE49-F238E27FC236}">
                <a16:creationId xmlns:a16="http://schemas.microsoft.com/office/drawing/2014/main" id="{CDE12DC8-5FFF-4D49-BD61-EB6409C00729}"/>
              </a:ext>
            </a:extLst>
          </xdr:cNvPr>
          <xdr:cNvSpPr/>
        </xdr:nvSpPr>
        <xdr:spPr>
          <a:xfrm>
            <a:off x="3871550" y="2940300"/>
            <a:ext cx="3507025" cy="1584000"/>
          </a:xfrm>
          <a:custGeom>
            <a:avLst/>
            <a:gdLst/>
            <a:ahLst/>
            <a:cxnLst/>
            <a:rect l="l" t="t" r="r" b="b"/>
            <a:pathLst>
              <a:path w="140281" h="63360" extrusionOk="0">
                <a:moveTo>
                  <a:pt x="38494" y="1"/>
                </a:moveTo>
                <a:cubicBezTo>
                  <a:pt x="36886" y="20680"/>
                  <a:pt x="20553" y="37294"/>
                  <a:pt x="0" y="39343"/>
                </a:cubicBezTo>
                <a:lnTo>
                  <a:pt x="0" y="59339"/>
                </a:lnTo>
                <a:cubicBezTo>
                  <a:pt x="6" y="61559"/>
                  <a:pt x="1807" y="63354"/>
                  <a:pt x="4022" y="63360"/>
                </a:cubicBezTo>
                <a:lnTo>
                  <a:pt x="136260" y="63360"/>
                </a:lnTo>
                <a:cubicBezTo>
                  <a:pt x="138480" y="63354"/>
                  <a:pt x="140275" y="61559"/>
                  <a:pt x="140281" y="59339"/>
                </a:cubicBezTo>
                <a:lnTo>
                  <a:pt x="140281" y="4022"/>
                </a:lnTo>
                <a:cubicBezTo>
                  <a:pt x="140275" y="1808"/>
                  <a:pt x="138480" y="6"/>
                  <a:pt x="136260" y="1"/>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algn="ctr"/>
            <a:r>
              <a:rPr lang="es-CO" sz="1400" b="1" i="0" u="none" strike="noStrike" cap="none">
                <a:solidFill>
                  <a:schemeClr val="bg1"/>
                </a:solidFill>
                <a:effectLst/>
                <a:latin typeface="Arial"/>
                <a:ea typeface="Arial"/>
                <a:cs typeface="Arial"/>
                <a:sym typeface="Arial"/>
              </a:rPr>
              <a:t>MATRIZ CALOR </a:t>
            </a:r>
          </a:p>
          <a:p>
            <a:pPr algn="ctr"/>
            <a:r>
              <a:rPr lang="es-CO" sz="1400" b="1" i="0" u="none" strike="noStrike" cap="none">
                <a:solidFill>
                  <a:schemeClr val="bg1"/>
                </a:solidFill>
                <a:effectLst/>
                <a:latin typeface="Arial"/>
                <a:ea typeface="Arial"/>
                <a:cs typeface="Arial"/>
                <a:sym typeface="Arial"/>
              </a:rPr>
              <a:t>INHERENTE</a:t>
            </a:r>
          </a:p>
        </xdr:txBody>
      </xdr:sp>
      <xdr:sp macro="" textlink="">
        <xdr:nvSpPr>
          <xdr:cNvPr id="9" name="Google Shape;6045;p62">
            <a:extLst>
              <a:ext uri="{FF2B5EF4-FFF2-40B4-BE49-F238E27FC236}">
                <a16:creationId xmlns:a16="http://schemas.microsoft.com/office/drawing/2014/main" id="{4F08F53C-068E-4448-BD7A-AC4DC9C52EAA}"/>
              </a:ext>
            </a:extLst>
          </xdr:cNvPr>
          <xdr:cNvSpPr/>
        </xdr:nvSpPr>
        <xdr:spPr>
          <a:xfrm>
            <a:off x="2842425" y="1934600"/>
            <a:ext cx="1843850" cy="1843850"/>
          </a:xfrm>
          <a:custGeom>
            <a:avLst/>
            <a:gdLst/>
            <a:ahLst/>
            <a:cxnLst/>
            <a:rect l="l" t="t" r="r" b="b"/>
            <a:pathLst>
              <a:path w="73754" h="73754" extrusionOk="0">
                <a:moveTo>
                  <a:pt x="36880" y="0"/>
                </a:moveTo>
                <a:cubicBezTo>
                  <a:pt x="36621" y="0"/>
                  <a:pt x="36362" y="6"/>
                  <a:pt x="36108" y="11"/>
                </a:cubicBezTo>
                <a:cubicBezTo>
                  <a:pt x="17253" y="397"/>
                  <a:pt x="1834" y="15011"/>
                  <a:pt x="154" y="33525"/>
                </a:cubicBezTo>
                <a:cubicBezTo>
                  <a:pt x="55" y="34627"/>
                  <a:pt x="0" y="35745"/>
                  <a:pt x="0" y="36874"/>
                </a:cubicBezTo>
                <a:cubicBezTo>
                  <a:pt x="0" y="38009"/>
                  <a:pt x="55" y="39122"/>
                  <a:pt x="154" y="40229"/>
                </a:cubicBezTo>
                <a:cubicBezTo>
                  <a:pt x="1834" y="58749"/>
                  <a:pt x="17253" y="73357"/>
                  <a:pt x="36108" y="73743"/>
                </a:cubicBezTo>
                <a:cubicBezTo>
                  <a:pt x="36362" y="73748"/>
                  <a:pt x="36621" y="73754"/>
                  <a:pt x="36880" y="73754"/>
                </a:cubicBezTo>
                <a:cubicBezTo>
                  <a:pt x="38312" y="73754"/>
                  <a:pt x="39744" y="73666"/>
                  <a:pt x="41165" y="73500"/>
                </a:cubicBezTo>
                <a:cubicBezTo>
                  <a:pt x="58391" y="71495"/>
                  <a:pt x="72030" y="57581"/>
                  <a:pt x="73600" y="40229"/>
                </a:cubicBezTo>
                <a:cubicBezTo>
                  <a:pt x="73699" y="39127"/>
                  <a:pt x="73754" y="38009"/>
                  <a:pt x="73754" y="36874"/>
                </a:cubicBezTo>
                <a:cubicBezTo>
                  <a:pt x="73754" y="35745"/>
                  <a:pt x="73699" y="34632"/>
                  <a:pt x="73600" y="33525"/>
                </a:cubicBezTo>
                <a:cubicBezTo>
                  <a:pt x="72024" y="16173"/>
                  <a:pt x="58391" y="2259"/>
                  <a:pt x="41165" y="254"/>
                </a:cubicBezTo>
                <a:cubicBezTo>
                  <a:pt x="39744" y="88"/>
                  <a:pt x="38312" y="0"/>
                  <a:pt x="36880" y="0"/>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SISTEMA DE GESTION INTEGRADO</a:t>
            </a:r>
            <a:r>
              <a:rPr lang="es-MX" b="1" baseline="0">
                <a:solidFill>
                  <a:schemeClr val="bg1"/>
                </a:solidFill>
              </a:rPr>
              <a:t> ETITC</a:t>
            </a:r>
            <a:endParaRPr b="1">
              <a:solidFill>
                <a:schemeClr val="bg1"/>
              </a:solidFill>
            </a:endParaRPr>
          </a:p>
        </xdr:txBody>
      </xdr:sp>
    </xdr:grpSp>
    <xdr:clientData/>
  </xdr:twoCellAnchor>
  <xdr:twoCellAnchor editAs="oneCell">
    <xdr:from>
      <xdr:col>3</xdr:col>
      <xdr:colOff>180473</xdr:colOff>
      <xdr:row>31</xdr:row>
      <xdr:rowOff>82217</xdr:rowOff>
    </xdr:from>
    <xdr:to>
      <xdr:col>5</xdr:col>
      <xdr:colOff>10027</xdr:colOff>
      <xdr:row>38</xdr:row>
      <xdr:rowOff>92244</xdr:rowOff>
    </xdr:to>
    <xdr:pic>
      <xdr:nvPicPr>
        <xdr:cNvPr id="11" name="Gráfico 10" descr="Lista de comprobación">
          <a:hlinkClick xmlns:r="http://schemas.openxmlformats.org/officeDocument/2006/relationships" r:id="rId5"/>
          <a:extLst>
            <a:ext uri="{FF2B5EF4-FFF2-40B4-BE49-F238E27FC236}">
              <a16:creationId xmlns:a16="http://schemas.microsoft.com/office/drawing/2014/main" id="{B2681AEC-BB6E-40BC-9B5F-2C3C98ED353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3168315" y="6458954"/>
          <a:ext cx="1353553" cy="1353553"/>
        </a:xfrm>
        <a:prstGeom prst="rect">
          <a:avLst/>
        </a:prstGeom>
      </xdr:spPr>
    </xdr:pic>
    <xdr:clientData/>
  </xdr:twoCellAnchor>
  <xdr:twoCellAnchor editAs="oneCell">
    <xdr:from>
      <xdr:col>1</xdr:col>
      <xdr:colOff>1112920</xdr:colOff>
      <xdr:row>1</xdr:row>
      <xdr:rowOff>120316</xdr:rowOff>
    </xdr:from>
    <xdr:to>
      <xdr:col>2</xdr:col>
      <xdr:colOff>533399</xdr:colOff>
      <xdr:row>4</xdr:row>
      <xdr:rowOff>391</xdr:rowOff>
    </xdr:to>
    <xdr:pic>
      <xdr:nvPicPr>
        <xdr:cNvPr id="2" name="Imagen 4">
          <a:extLst>
            <a:ext uri="{FF2B5EF4-FFF2-40B4-BE49-F238E27FC236}">
              <a16:creationId xmlns:a16="http://schemas.microsoft.com/office/drawing/2014/main" id="{57AE46B9-8CF0-4183-B042-FA91EA9C8AC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363578" y="280737"/>
          <a:ext cx="533400" cy="55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458788</xdr:colOff>
      <xdr:row>1</xdr:row>
      <xdr:rowOff>38100</xdr:rowOff>
    </xdr:from>
    <xdr:to>
      <xdr:col>2</xdr:col>
      <xdr:colOff>342899</xdr:colOff>
      <xdr:row>3</xdr:row>
      <xdr:rowOff>87829</xdr:rowOff>
    </xdr:to>
    <xdr:pic>
      <xdr:nvPicPr>
        <xdr:cNvPr id="2" name="Imagen 4">
          <a:extLst>
            <a:ext uri="{FF2B5EF4-FFF2-40B4-BE49-F238E27FC236}">
              <a16:creationId xmlns:a16="http://schemas.microsoft.com/office/drawing/2014/main" id="{3C1CD76F-FE75-4CE9-BCB2-B45BD421A5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0788" y="238125"/>
          <a:ext cx="531811" cy="545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114300</xdr:rowOff>
    </xdr:from>
    <xdr:to>
      <xdr:col>0</xdr:col>
      <xdr:colOff>952500</xdr:colOff>
      <xdr:row>4</xdr:row>
      <xdr:rowOff>85725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2EC4FEF1-A890-48AB-8460-EBD7D26D13F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 y="114300"/>
          <a:ext cx="914400" cy="914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62593</xdr:colOff>
      <xdr:row>7</xdr:row>
      <xdr:rowOff>21771</xdr:rowOff>
    </xdr:from>
    <xdr:to>
      <xdr:col>3</xdr:col>
      <xdr:colOff>189235</xdr:colOff>
      <xdr:row>9</xdr:row>
      <xdr:rowOff>287110</xdr:rowOff>
    </xdr:to>
    <xdr:pic>
      <xdr:nvPicPr>
        <xdr:cNvPr id="6" name="Gráfico 5" descr="Escena suburbana">
          <a:hlinkClick xmlns:r="http://schemas.openxmlformats.org/officeDocument/2006/relationships" r:id="rId1"/>
          <a:extLst>
            <a:ext uri="{FF2B5EF4-FFF2-40B4-BE49-F238E27FC236}">
              <a16:creationId xmlns:a16="http://schemas.microsoft.com/office/drawing/2014/main" id="{2A21950B-AED9-4C7D-A227-4B209EC561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2593" y="2174421"/>
          <a:ext cx="923925" cy="930728"/>
        </a:xfrm>
        <a:prstGeom prst="rect">
          <a:avLst/>
        </a:prstGeom>
      </xdr:spPr>
    </xdr:pic>
    <xdr:clientData/>
  </xdr:twoCellAnchor>
  <xdr:twoCellAnchor editAs="oneCell">
    <xdr:from>
      <xdr:col>5</xdr:col>
      <xdr:colOff>372071</xdr:colOff>
      <xdr:row>1</xdr:row>
      <xdr:rowOff>193477</xdr:rowOff>
    </xdr:from>
    <xdr:to>
      <xdr:col>5</xdr:col>
      <xdr:colOff>1145977</xdr:colOff>
      <xdr:row>3</xdr:row>
      <xdr:rowOff>286860</xdr:rowOff>
    </xdr:to>
    <xdr:pic>
      <xdr:nvPicPr>
        <xdr:cNvPr id="2" name="Imagen 4">
          <a:extLst>
            <a:ext uri="{FF2B5EF4-FFF2-40B4-BE49-F238E27FC236}">
              <a16:creationId xmlns:a16="http://schemas.microsoft.com/office/drawing/2014/main" id="{982481E6-8388-4A39-BA8D-5F1279B28E7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797969" y="386954"/>
          <a:ext cx="773906" cy="8115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44450</xdr:colOff>
      <xdr:row>0</xdr:row>
      <xdr:rowOff>0</xdr:rowOff>
    </xdr:from>
    <xdr:to>
      <xdr:col>11</xdr:col>
      <xdr:colOff>495300</xdr:colOff>
      <xdr:row>26</xdr:row>
      <xdr:rowOff>155042</xdr:rowOff>
    </xdr:to>
    <xdr:pic>
      <xdr:nvPicPr>
        <xdr:cNvPr id="2" name="Imagen 1">
          <a:extLst>
            <a:ext uri="{FF2B5EF4-FFF2-40B4-BE49-F238E27FC236}">
              <a16:creationId xmlns:a16="http://schemas.microsoft.com/office/drawing/2014/main" id="{05936C09-E2DB-C52B-4972-F52956DF6CB7}"/>
            </a:ext>
          </a:extLst>
        </xdr:cNvPr>
        <xdr:cNvPicPr>
          <a:picLocks noChangeAspect="1"/>
        </xdr:cNvPicPr>
      </xdr:nvPicPr>
      <xdr:blipFill>
        <a:blip xmlns:r="http://schemas.openxmlformats.org/officeDocument/2006/relationships" r:embed="rId1"/>
        <a:stretch>
          <a:fillRect/>
        </a:stretch>
      </xdr:blipFill>
      <xdr:spPr>
        <a:xfrm>
          <a:off x="3092450" y="0"/>
          <a:ext cx="5784850" cy="5108042"/>
        </a:xfrm>
        <a:prstGeom prst="rect">
          <a:avLst/>
        </a:prstGeom>
      </xdr:spPr>
    </xdr:pic>
    <xdr:clientData/>
  </xdr:twoCellAnchor>
  <xdr:twoCellAnchor editAs="oneCell">
    <xdr:from>
      <xdr:col>4</xdr:col>
      <xdr:colOff>76200</xdr:colOff>
      <xdr:row>27</xdr:row>
      <xdr:rowOff>47624</xdr:rowOff>
    </xdr:from>
    <xdr:to>
      <xdr:col>11</xdr:col>
      <xdr:colOff>485775</xdr:colOff>
      <xdr:row>42</xdr:row>
      <xdr:rowOff>180975</xdr:rowOff>
    </xdr:to>
    <xdr:pic>
      <xdr:nvPicPr>
        <xdr:cNvPr id="3" name="Imagen 2">
          <a:extLst>
            <a:ext uri="{FF2B5EF4-FFF2-40B4-BE49-F238E27FC236}">
              <a16:creationId xmlns:a16="http://schemas.microsoft.com/office/drawing/2014/main" id="{C26438EB-DE44-1D10-37E8-2751E58C62E8}"/>
            </a:ext>
          </a:extLst>
        </xdr:cNvPr>
        <xdr:cNvPicPr>
          <a:picLocks noChangeAspect="1"/>
        </xdr:cNvPicPr>
      </xdr:nvPicPr>
      <xdr:blipFill>
        <a:blip xmlns:r="http://schemas.openxmlformats.org/officeDocument/2006/relationships" r:embed="rId2"/>
        <a:stretch>
          <a:fillRect/>
        </a:stretch>
      </xdr:blipFill>
      <xdr:spPr>
        <a:xfrm>
          <a:off x="3124200" y="5191124"/>
          <a:ext cx="5743575" cy="29908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87313</xdr:colOff>
      <xdr:row>1</xdr:row>
      <xdr:rowOff>19050</xdr:rowOff>
    </xdr:from>
    <xdr:to>
      <xdr:col>7</xdr:col>
      <xdr:colOff>239713</xdr:colOff>
      <xdr:row>4</xdr:row>
      <xdr:rowOff>6908</xdr:rowOff>
    </xdr:to>
    <xdr:pic>
      <xdr:nvPicPr>
        <xdr:cNvPr id="2" name="Imagen 4">
          <a:extLst>
            <a:ext uri="{FF2B5EF4-FFF2-40B4-BE49-F238E27FC236}">
              <a16:creationId xmlns:a16="http://schemas.microsoft.com/office/drawing/2014/main" id="{C9EC256A-DB6F-4832-A5C7-920A72533D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16313" y="225425"/>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476250</xdr:colOff>
      <xdr:row>2</xdr:row>
      <xdr:rowOff>31750</xdr:rowOff>
    </xdr:from>
    <xdr:to>
      <xdr:col>2</xdr:col>
      <xdr:colOff>330200</xdr:colOff>
      <xdr:row>6</xdr:row>
      <xdr:rowOff>168275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AC2E177A-875D-4A57-A129-BCFB879CD9A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76250" y="428625"/>
          <a:ext cx="914400" cy="914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100013</xdr:colOff>
      <xdr:row>1</xdr:row>
      <xdr:rowOff>19050</xdr:rowOff>
    </xdr:from>
    <xdr:to>
      <xdr:col>6</xdr:col>
      <xdr:colOff>252413</xdr:colOff>
      <xdr:row>4</xdr:row>
      <xdr:rowOff>6908</xdr:rowOff>
    </xdr:to>
    <xdr:pic>
      <xdr:nvPicPr>
        <xdr:cNvPr id="2" name="Imagen 4">
          <a:extLst>
            <a:ext uri="{FF2B5EF4-FFF2-40B4-BE49-F238E27FC236}">
              <a16:creationId xmlns:a16="http://schemas.microsoft.com/office/drawing/2014/main" id="{7FBAA5E0-89AF-4E19-B8BD-77A8F16D9C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7013" y="228600"/>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269875</xdr:colOff>
      <xdr:row>1</xdr:row>
      <xdr:rowOff>127000</xdr:rowOff>
    </xdr:from>
    <xdr:to>
      <xdr:col>1</xdr:col>
      <xdr:colOff>422275</xdr:colOff>
      <xdr:row>6</xdr:row>
      <xdr:rowOff>66675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B215EECA-2602-46E7-BD53-16D06B6CA5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69875" y="333375"/>
          <a:ext cx="914400" cy="908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95250</xdr:rowOff>
    </xdr:from>
    <xdr:to>
      <xdr:col>0</xdr:col>
      <xdr:colOff>676275</xdr:colOff>
      <xdr:row>5</xdr:row>
      <xdr:rowOff>66675</xdr:rowOff>
    </xdr:to>
    <xdr:grpSp>
      <xdr:nvGrpSpPr>
        <xdr:cNvPr id="3" name="Google Shape;6703;p64">
          <a:hlinkClick xmlns:r="http://schemas.openxmlformats.org/officeDocument/2006/relationships" r:id="rId1"/>
          <a:extLst>
            <a:ext uri="{FF2B5EF4-FFF2-40B4-BE49-F238E27FC236}">
              <a16:creationId xmlns:a16="http://schemas.microsoft.com/office/drawing/2014/main" id="{A9FAA5E6-A202-4E28-876A-E71E3D293F7D}"/>
            </a:ext>
          </a:extLst>
        </xdr:cNvPr>
        <xdr:cNvGrpSpPr/>
      </xdr:nvGrpSpPr>
      <xdr:grpSpPr>
        <a:xfrm>
          <a:off x="0" y="196850"/>
          <a:ext cx="676275" cy="746125"/>
          <a:chOff x="2508373" y="2779889"/>
          <a:chExt cx="337523" cy="337680"/>
        </a:xfrm>
      </xdr:grpSpPr>
      <xdr:sp macro="" textlink="">
        <xdr:nvSpPr>
          <xdr:cNvPr id="4" name="Google Shape;6704;p64">
            <a:extLst>
              <a:ext uri="{FF2B5EF4-FFF2-40B4-BE49-F238E27FC236}">
                <a16:creationId xmlns:a16="http://schemas.microsoft.com/office/drawing/2014/main" id="{38E993DD-8DD4-4BB8-BFD1-6897219496B3}"/>
              </a:ext>
            </a:extLst>
          </xdr:cNvPr>
          <xdr:cNvSpPr/>
        </xdr:nvSpPr>
        <xdr:spPr>
          <a:xfrm>
            <a:off x="2508373" y="2779889"/>
            <a:ext cx="256971" cy="256971"/>
          </a:xfrm>
          <a:custGeom>
            <a:avLst/>
            <a:gdLst/>
            <a:ahLst/>
            <a:cxnLst/>
            <a:rect l="l" t="t" r="r" b="b"/>
            <a:pathLst>
              <a:path w="9781" h="9781" extrusionOk="0">
                <a:moveTo>
                  <a:pt x="4585" y="0"/>
                </a:moveTo>
                <a:cubicBezTo>
                  <a:pt x="4377" y="0"/>
                  <a:pt x="4190" y="153"/>
                  <a:pt x="4155" y="354"/>
                </a:cubicBezTo>
                <a:lnTo>
                  <a:pt x="3933" y="1464"/>
                </a:lnTo>
                <a:cubicBezTo>
                  <a:pt x="3656" y="1540"/>
                  <a:pt x="3392" y="1651"/>
                  <a:pt x="3149" y="1790"/>
                </a:cubicBezTo>
                <a:lnTo>
                  <a:pt x="2213" y="1165"/>
                </a:lnTo>
                <a:cubicBezTo>
                  <a:pt x="2138" y="1116"/>
                  <a:pt x="2053" y="1092"/>
                  <a:pt x="1969" y="1092"/>
                </a:cubicBezTo>
                <a:cubicBezTo>
                  <a:pt x="1852" y="1092"/>
                  <a:pt x="1736" y="1139"/>
                  <a:pt x="1651" y="1228"/>
                </a:cubicBezTo>
                <a:lnTo>
                  <a:pt x="1221" y="1658"/>
                </a:lnTo>
                <a:cubicBezTo>
                  <a:pt x="1068" y="1803"/>
                  <a:pt x="1048" y="2039"/>
                  <a:pt x="1166" y="2220"/>
                </a:cubicBezTo>
                <a:lnTo>
                  <a:pt x="1790" y="3156"/>
                </a:lnTo>
                <a:cubicBezTo>
                  <a:pt x="1651" y="3399"/>
                  <a:pt x="1547" y="3662"/>
                  <a:pt x="1471" y="3940"/>
                </a:cubicBezTo>
                <a:lnTo>
                  <a:pt x="361" y="4162"/>
                </a:lnTo>
                <a:cubicBezTo>
                  <a:pt x="153" y="4196"/>
                  <a:pt x="7" y="4384"/>
                  <a:pt x="0" y="4592"/>
                </a:cubicBezTo>
                <a:lnTo>
                  <a:pt x="0" y="5202"/>
                </a:lnTo>
                <a:cubicBezTo>
                  <a:pt x="7" y="5410"/>
                  <a:pt x="153" y="5591"/>
                  <a:pt x="361" y="5632"/>
                </a:cubicBezTo>
                <a:lnTo>
                  <a:pt x="1471" y="5854"/>
                </a:lnTo>
                <a:cubicBezTo>
                  <a:pt x="1547" y="6125"/>
                  <a:pt x="1651" y="6388"/>
                  <a:pt x="1790" y="6638"/>
                </a:cubicBezTo>
                <a:lnTo>
                  <a:pt x="1166" y="7574"/>
                </a:lnTo>
                <a:cubicBezTo>
                  <a:pt x="1048" y="7748"/>
                  <a:pt x="1068" y="7984"/>
                  <a:pt x="1221" y="8136"/>
                </a:cubicBezTo>
                <a:lnTo>
                  <a:pt x="1651" y="8566"/>
                </a:lnTo>
                <a:cubicBezTo>
                  <a:pt x="1735" y="8650"/>
                  <a:pt x="1848" y="8692"/>
                  <a:pt x="1964" y="8692"/>
                </a:cubicBezTo>
                <a:cubicBezTo>
                  <a:pt x="2049" y="8692"/>
                  <a:pt x="2136" y="8669"/>
                  <a:pt x="2213" y="8622"/>
                </a:cubicBezTo>
                <a:lnTo>
                  <a:pt x="3156" y="7990"/>
                </a:lnTo>
                <a:cubicBezTo>
                  <a:pt x="3399" y="8129"/>
                  <a:pt x="3663" y="8233"/>
                  <a:pt x="3933" y="8310"/>
                </a:cubicBezTo>
                <a:lnTo>
                  <a:pt x="4155" y="9419"/>
                </a:lnTo>
                <a:cubicBezTo>
                  <a:pt x="4197" y="9627"/>
                  <a:pt x="4377" y="9773"/>
                  <a:pt x="4592" y="9780"/>
                </a:cubicBezTo>
                <a:lnTo>
                  <a:pt x="5195" y="9780"/>
                </a:lnTo>
                <a:cubicBezTo>
                  <a:pt x="5404" y="9773"/>
                  <a:pt x="5591" y="9627"/>
                  <a:pt x="5632" y="9419"/>
                </a:cubicBezTo>
                <a:lnTo>
                  <a:pt x="5854" y="8310"/>
                </a:lnTo>
                <a:cubicBezTo>
                  <a:pt x="6125" y="8233"/>
                  <a:pt x="6389" y="8129"/>
                  <a:pt x="6631" y="7990"/>
                </a:cubicBezTo>
                <a:lnTo>
                  <a:pt x="7568" y="8615"/>
                </a:lnTo>
                <a:cubicBezTo>
                  <a:pt x="7644" y="8664"/>
                  <a:pt x="7730" y="8688"/>
                  <a:pt x="7814" y="8688"/>
                </a:cubicBezTo>
                <a:cubicBezTo>
                  <a:pt x="7931" y="8688"/>
                  <a:pt x="8045" y="8643"/>
                  <a:pt x="8129" y="8559"/>
                </a:cubicBezTo>
                <a:lnTo>
                  <a:pt x="8560" y="8129"/>
                </a:lnTo>
                <a:cubicBezTo>
                  <a:pt x="8712" y="7984"/>
                  <a:pt x="8733" y="7748"/>
                  <a:pt x="8615" y="7567"/>
                </a:cubicBezTo>
                <a:lnTo>
                  <a:pt x="7991" y="6631"/>
                </a:lnTo>
                <a:cubicBezTo>
                  <a:pt x="8129" y="6381"/>
                  <a:pt x="8234" y="6118"/>
                  <a:pt x="8310" y="5847"/>
                </a:cubicBezTo>
                <a:lnTo>
                  <a:pt x="9420" y="5625"/>
                </a:lnTo>
                <a:cubicBezTo>
                  <a:pt x="9628" y="5584"/>
                  <a:pt x="9773" y="5403"/>
                  <a:pt x="9780" y="5195"/>
                </a:cubicBezTo>
                <a:lnTo>
                  <a:pt x="9780" y="4585"/>
                </a:lnTo>
                <a:cubicBezTo>
                  <a:pt x="9780" y="4377"/>
                  <a:pt x="9628" y="4189"/>
                  <a:pt x="9420" y="4148"/>
                </a:cubicBezTo>
                <a:lnTo>
                  <a:pt x="8310" y="3926"/>
                </a:lnTo>
                <a:cubicBezTo>
                  <a:pt x="8234" y="3655"/>
                  <a:pt x="8129" y="3392"/>
                  <a:pt x="7991" y="3149"/>
                </a:cubicBezTo>
                <a:lnTo>
                  <a:pt x="8615" y="2206"/>
                </a:lnTo>
                <a:cubicBezTo>
                  <a:pt x="8733" y="2032"/>
                  <a:pt x="8712" y="1796"/>
                  <a:pt x="8560" y="1644"/>
                </a:cubicBezTo>
                <a:lnTo>
                  <a:pt x="8129" y="1221"/>
                </a:lnTo>
                <a:cubicBezTo>
                  <a:pt x="8046" y="1134"/>
                  <a:pt x="7934" y="1090"/>
                  <a:pt x="7821" y="1090"/>
                </a:cubicBezTo>
                <a:cubicBezTo>
                  <a:pt x="7735" y="1090"/>
                  <a:pt x="7649" y="1115"/>
                  <a:pt x="7575" y="1165"/>
                </a:cubicBezTo>
                <a:lnTo>
                  <a:pt x="6631" y="1790"/>
                </a:lnTo>
                <a:cubicBezTo>
                  <a:pt x="6389" y="1651"/>
                  <a:pt x="6125" y="1540"/>
                  <a:pt x="5854" y="1464"/>
                </a:cubicBezTo>
                <a:lnTo>
                  <a:pt x="5626" y="354"/>
                </a:lnTo>
                <a:cubicBezTo>
                  <a:pt x="5584" y="153"/>
                  <a:pt x="5404" y="0"/>
                  <a:pt x="5195" y="0"/>
                </a:cubicBezTo>
                <a:close/>
              </a:path>
            </a:pathLst>
          </a:custGeom>
          <a:solidFill>
            <a:srgbClr val="287840"/>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5" name="Google Shape;6705;p64">
            <a:extLst>
              <a:ext uri="{FF2B5EF4-FFF2-40B4-BE49-F238E27FC236}">
                <a16:creationId xmlns:a16="http://schemas.microsoft.com/office/drawing/2014/main" id="{7CE847CD-5FCA-4405-BB52-E6893161F724}"/>
              </a:ext>
            </a:extLst>
          </xdr:cNvPr>
          <xdr:cNvSpPr/>
        </xdr:nvSpPr>
        <xdr:spPr>
          <a:xfrm>
            <a:off x="2561391" y="2852034"/>
            <a:ext cx="131783" cy="112814"/>
          </a:xfrm>
          <a:custGeom>
            <a:avLst/>
            <a:gdLst/>
            <a:ahLst/>
            <a:cxnLst/>
            <a:rect l="l" t="t" r="r" b="b"/>
            <a:pathLst>
              <a:path w="5016" h="4294" extrusionOk="0">
                <a:moveTo>
                  <a:pt x="2872" y="1"/>
                </a:moveTo>
                <a:cubicBezTo>
                  <a:pt x="958" y="1"/>
                  <a:pt x="1" y="2310"/>
                  <a:pt x="1353" y="3663"/>
                </a:cubicBezTo>
                <a:cubicBezTo>
                  <a:pt x="1791" y="4098"/>
                  <a:pt x="2328" y="4293"/>
                  <a:pt x="2855" y="4293"/>
                </a:cubicBezTo>
                <a:cubicBezTo>
                  <a:pt x="3958" y="4293"/>
                  <a:pt x="5016" y="3439"/>
                  <a:pt x="5016" y="2144"/>
                </a:cubicBezTo>
                <a:cubicBezTo>
                  <a:pt x="5016" y="958"/>
                  <a:pt x="4058" y="1"/>
                  <a:pt x="2872" y="1"/>
                </a:cubicBezTo>
                <a:close/>
              </a:path>
            </a:pathLst>
          </a:custGeom>
          <a:solidFill>
            <a:srgbClr val="DEE5EB"/>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6" name="Google Shape;6706;p64">
            <a:extLst>
              <a:ext uri="{FF2B5EF4-FFF2-40B4-BE49-F238E27FC236}">
                <a16:creationId xmlns:a16="http://schemas.microsoft.com/office/drawing/2014/main" id="{1947E24B-2236-4B10-B0A4-19ABD26BF976}"/>
              </a:ext>
            </a:extLst>
          </xdr:cNvPr>
          <xdr:cNvSpPr/>
        </xdr:nvSpPr>
        <xdr:spPr>
          <a:xfrm>
            <a:off x="2599302" y="2880277"/>
            <a:ext cx="65629" cy="56223"/>
          </a:xfrm>
          <a:custGeom>
            <a:avLst/>
            <a:gdLst/>
            <a:ahLst/>
            <a:cxnLst/>
            <a:rect l="l" t="t" r="r" b="b"/>
            <a:pathLst>
              <a:path w="2498" h="2140" extrusionOk="0">
                <a:moveTo>
                  <a:pt x="1429" y="1"/>
                </a:moveTo>
                <a:cubicBezTo>
                  <a:pt x="479" y="1"/>
                  <a:pt x="0" y="1152"/>
                  <a:pt x="673" y="1825"/>
                </a:cubicBezTo>
                <a:cubicBezTo>
                  <a:pt x="891" y="2042"/>
                  <a:pt x="1158" y="2140"/>
                  <a:pt x="1420" y="2140"/>
                </a:cubicBezTo>
                <a:cubicBezTo>
                  <a:pt x="1970" y="2140"/>
                  <a:pt x="2497" y="1712"/>
                  <a:pt x="2497" y="1069"/>
                </a:cubicBezTo>
                <a:cubicBezTo>
                  <a:pt x="2497" y="479"/>
                  <a:pt x="2019" y="1"/>
                  <a:pt x="1429" y="1"/>
                </a:cubicBezTo>
                <a:close/>
              </a:path>
            </a:pathLst>
          </a:custGeom>
          <a:solidFill>
            <a:srgbClr val="287840"/>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7" name="Google Shape;6707;p64">
            <a:extLst>
              <a:ext uri="{FF2B5EF4-FFF2-40B4-BE49-F238E27FC236}">
                <a16:creationId xmlns:a16="http://schemas.microsoft.com/office/drawing/2014/main" id="{DD835CD5-BE0C-4FE1-976F-DD597D594F0C}"/>
              </a:ext>
            </a:extLst>
          </xdr:cNvPr>
          <xdr:cNvSpPr/>
        </xdr:nvSpPr>
        <xdr:spPr>
          <a:xfrm>
            <a:off x="2677121" y="2948611"/>
            <a:ext cx="168775" cy="168958"/>
          </a:xfrm>
          <a:custGeom>
            <a:avLst/>
            <a:gdLst/>
            <a:ahLst/>
            <a:cxnLst/>
            <a:rect l="l" t="t" r="r" b="b"/>
            <a:pathLst>
              <a:path w="6424" h="6431" extrusionOk="0">
                <a:moveTo>
                  <a:pt x="3017" y="1"/>
                </a:moveTo>
                <a:cubicBezTo>
                  <a:pt x="2879" y="1"/>
                  <a:pt x="2754" y="98"/>
                  <a:pt x="2733" y="237"/>
                </a:cubicBezTo>
                <a:lnTo>
                  <a:pt x="2587" y="965"/>
                </a:lnTo>
                <a:cubicBezTo>
                  <a:pt x="2407" y="1014"/>
                  <a:pt x="2234" y="1090"/>
                  <a:pt x="2067" y="1180"/>
                </a:cubicBezTo>
                <a:lnTo>
                  <a:pt x="1450" y="764"/>
                </a:lnTo>
                <a:cubicBezTo>
                  <a:pt x="1404" y="733"/>
                  <a:pt x="1350" y="718"/>
                  <a:pt x="1296" y="718"/>
                </a:cubicBezTo>
                <a:cubicBezTo>
                  <a:pt x="1218" y="718"/>
                  <a:pt x="1139" y="748"/>
                  <a:pt x="1082" y="805"/>
                </a:cubicBezTo>
                <a:lnTo>
                  <a:pt x="805" y="1083"/>
                </a:lnTo>
                <a:cubicBezTo>
                  <a:pt x="701" y="1180"/>
                  <a:pt x="687" y="1340"/>
                  <a:pt x="763" y="1451"/>
                </a:cubicBezTo>
                <a:lnTo>
                  <a:pt x="1179" y="2068"/>
                </a:lnTo>
                <a:cubicBezTo>
                  <a:pt x="1089" y="2234"/>
                  <a:pt x="1013" y="2408"/>
                  <a:pt x="964" y="2588"/>
                </a:cubicBezTo>
                <a:lnTo>
                  <a:pt x="236" y="2734"/>
                </a:lnTo>
                <a:cubicBezTo>
                  <a:pt x="97" y="2761"/>
                  <a:pt x="0" y="2879"/>
                  <a:pt x="0" y="3018"/>
                </a:cubicBezTo>
                <a:lnTo>
                  <a:pt x="0" y="3413"/>
                </a:lnTo>
                <a:cubicBezTo>
                  <a:pt x="0" y="3552"/>
                  <a:pt x="97" y="3670"/>
                  <a:pt x="236" y="3698"/>
                </a:cubicBezTo>
                <a:lnTo>
                  <a:pt x="964" y="3844"/>
                </a:lnTo>
                <a:cubicBezTo>
                  <a:pt x="1013" y="4024"/>
                  <a:pt x="1089" y="4197"/>
                  <a:pt x="1179" y="4364"/>
                </a:cubicBezTo>
                <a:lnTo>
                  <a:pt x="763" y="4981"/>
                </a:lnTo>
                <a:cubicBezTo>
                  <a:pt x="687" y="5092"/>
                  <a:pt x="701" y="5252"/>
                  <a:pt x="805" y="5349"/>
                </a:cubicBezTo>
                <a:lnTo>
                  <a:pt x="1082" y="5626"/>
                </a:lnTo>
                <a:cubicBezTo>
                  <a:pt x="1139" y="5683"/>
                  <a:pt x="1218" y="5714"/>
                  <a:pt x="1296" y="5714"/>
                </a:cubicBezTo>
                <a:cubicBezTo>
                  <a:pt x="1350" y="5714"/>
                  <a:pt x="1404" y="5699"/>
                  <a:pt x="1450" y="5668"/>
                </a:cubicBezTo>
                <a:lnTo>
                  <a:pt x="2067" y="5252"/>
                </a:lnTo>
                <a:cubicBezTo>
                  <a:pt x="2234" y="5342"/>
                  <a:pt x="2407" y="5418"/>
                  <a:pt x="2587" y="5467"/>
                </a:cubicBezTo>
                <a:lnTo>
                  <a:pt x="2733" y="6195"/>
                </a:lnTo>
                <a:cubicBezTo>
                  <a:pt x="2754" y="6334"/>
                  <a:pt x="2879" y="6431"/>
                  <a:pt x="3017" y="6431"/>
                </a:cubicBezTo>
                <a:lnTo>
                  <a:pt x="3413" y="6431"/>
                </a:lnTo>
                <a:cubicBezTo>
                  <a:pt x="3552" y="6431"/>
                  <a:pt x="3669" y="6334"/>
                  <a:pt x="3697" y="6195"/>
                </a:cubicBezTo>
                <a:lnTo>
                  <a:pt x="3843" y="5467"/>
                </a:lnTo>
                <a:cubicBezTo>
                  <a:pt x="4023" y="5418"/>
                  <a:pt x="4197" y="5342"/>
                  <a:pt x="4356" y="5252"/>
                </a:cubicBezTo>
                <a:lnTo>
                  <a:pt x="4980" y="5668"/>
                </a:lnTo>
                <a:cubicBezTo>
                  <a:pt x="5027" y="5697"/>
                  <a:pt x="5080" y="5711"/>
                  <a:pt x="5134" y="5711"/>
                </a:cubicBezTo>
                <a:cubicBezTo>
                  <a:pt x="5209" y="5711"/>
                  <a:pt x="5284" y="5683"/>
                  <a:pt x="5341" y="5626"/>
                </a:cubicBezTo>
                <a:lnTo>
                  <a:pt x="5625" y="5342"/>
                </a:lnTo>
                <a:cubicBezTo>
                  <a:pt x="5723" y="5245"/>
                  <a:pt x="5736" y="5092"/>
                  <a:pt x="5660" y="4974"/>
                </a:cubicBezTo>
                <a:lnTo>
                  <a:pt x="5251" y="4357"/>
                </a:lnTo>
                <a:cubicBezTo>
                  <a:pt x="5341" y="4190"/>
                  <a:pt x="5410" y="4024"/>
                  <a:pt x="5466" y="3844"/>
                </a:cubicBezTo>
                <a:lnTo>
                  <a:pt x="6194" y="3698"/>
                </a:lnTo>
                <a:cubicBezTo>
                  <a:pt x="6326" y="3670"/>
                  <a:pt x="6423" y="3552"/>
                  <a:pt x="6423" y="3413"/>
                </a:cubicBezTo>
                <a:lnTo>
                  <a:pt x="6423" y="3018"/>
                </a:lnTo>
                <a:cubicBezTo>
                  <a:pt x="6423" y="2879"/>
                  <a:pt x="6333" y="2761"/>
                  <a:pt x="6194" y="2734"/>
                </a:cubicBezTo>
                <a:lnTo>
                  <a:pt x="5466" y="2588"/>
                </a:lnTo>
                <a:cubicBezTo>
                  <a:pt x="5417" y="2408"/>
                  <a:pt x="5348" y="2234"/>
                  <a:pt x="5251" y="2068"/>
                </a:cubicBezTo>
                <a:lnTo>
                  <a:pt x="5667" y="1451"/>
                </a:lnTo>
                <a:cubicBezTo>
                  <a:pt x="5743" y="1340"/>
                  <a:pt x="5729" y="1180"/>
                  <a:pt x="5632" y="1083"/>
                </a:cubicBezTo>
                <a:lnTo>
                  <a:pt x="5348" y="805"/>
                </a:lnTo>
                <a:cubicBezTo>
                  <a:pt x="5291" y="748"/>
                  <a:pt x="5214" y="718"/>
                  <a:pt x="5137" y="718"/>
                </a:cubicBezTo>
                <a:cubicBezTo>
                  <a:pt x="5083" y="718"/>
                  <a:pt x="5029" y="733"/>
                  <a:pt x="4980" y="764"/>
                </a:cubicBezTo>
                <a:lnTo>
                  <a:pt x="4363" y="1180"/>
                </a:lnTo>
                <a:cubicBezTo>
                  <a:pt x="4197" y="1090"/>
                  <a:pt x="4030" y="1014"/>
                  <a:pt x="3850" y="965"/>
                </a:cubicBezTo>
                <a:lnTo>
                  <a:pt x="3704" y="237"/>
                </a:lnTo>
                <a:cubicBezTo>
                  <a:pt x="3676" y="98"/>
                  <a:pt x="3558" y="1"/>
                  <a:pt x="3420" y="1"/>
                </a:cubicBezTo>
                <a:close/>
              </a:path>
            </a:pathLst>
          </a:custGeom>
          <a:solidFill>
            <a:srgbClr val="445D73"/>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8" name="Google Shape;6708;p64">
            <a:extLst>
              <a:ext uri="{FF2B5EF4-FFF2-40B4-BE49-F238E27FC236}">
                <a16:creationId xmlns:a16="http://schemas.microsoft.com/office/drawing/2014/main" id="{E6B00809-D949-41E4-9F22-19E36042DF88}"/>
              </a:ext>
            </a:extLst>
          </xdr:cNvPr>
          <xdr:cNvSpPr/>
        </xdr:nvSpPr>
        <xdr:spPr>
          <a:xfrm>
            <a:off x="2705180" y="2990910"/>
            <a:ext cx="98601" cy="84466"/>
          </a:xfrm>
          <a:custGeom>
            <a:avLst/>
            <a:gdLst/>
            <a:ahLst/>
            <a:cxnLst/>
            <a:rect l="l" t="t" r="r" b="b"/>
            <a:pathLst>
              <a:path w="3753" h="3215" extrusionOk="0">
                <a:moveTo>
                  <a:pt x="2144" y="0"/>
                </a:moveTo>
                <a:cubicBezTo>
                  <a:pt x="715" y="0"/>
                  <a:pt x="0" y="1727"/>
                  <a:pt x="1013" y="2740"/>
                </a:cubicBezTo>
                <a:cubicBezTo>
                  <a:pt x="1341" y="3068"/>
                  <a:pt x="1743" y="3215"/>
                  <a:pt x="2138" y="3215"/>
                </a:cubicBezTo>
                <a:cubicBezTo>
                  <a:pt x="2963" y="3215"/>
                  <a:pt x="3753" y="2573"/>
                  <a:pt x="3753" y="1602"/>
                </a:cubicBezTo>
                <a:cubicBezTo>
                  <a:pt x="3753" y="721"/>
                  <a:pt x="3031" y="0"/>
                  <a:pt x="2144" y="0"/>
                </a:cubicBezTo>
                <a:close/>
              </a:path>
            </a:pathLst>
          </a:custGeom>
          <a:solidFill>
            <a:srgbClr val="BAC2CA"/>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9" name="Google Shape;6709;p64">
            <a:extLst>
              <a:ext uri="{FF2B5EF4-FFF2-40B4-BE49-F238E27FC236}">
                <a16:creationId xmlns:a16="http://schemas.microsoft.com/office/drawing/2014/main" id="{FE1B5E96-0894-4403-A969-355EA50B80B2}"/>
              </a:ext>
            </a:extLst>
          </xdr:cNvPr>
          <xdr:cNvSpPr/>
        </xdr:nvSpPr>
        <xdr:spPr>
          <a:xfrm>
            <a:off x="2727774" y="3007856"/>
            <a:ext cx="59061" cy="50601"/>
          </a:xfrm>
          <a:custGeom>
            <a:avLst/>
            <a:gdLst/>
            <a:ahLst/>
            <a:cxnLst/>
            <a:rect l="l" t="t" r="r" b="b"/>
            <a:pathLst>
              <a:path w="2248" h="1926" extrusionOk="0">
                <a:moveTo>
                  <a:pt x="1284" y="0"/>
                </a:moveTo>
                <a:cubicBezTo>
                  <a:pt x="430" y="0"/>
                  <a:pt x="0" y="1034"/>
                  <a:pt x="604" y="1644"/>
                </a:cubicBezTo>
                <a:cubicBezTo>
                  <a:pt x="801" y="1839"/>
                  <a:pt x="1041" y="1926"/>
                  <a:pt x="1277" y="1926"/>
                </a:cubicBezTo>
                <a:cubicBezTo>
                  <a:pt x="1773" y="1926"/>
                  <a:pt x="2248" y="1540"/>
                  <a:pt x="2248" y="957"/>
                </a:cubicBezTo>
                <a:cubicBezTo>
                  <a:pt x="2248" y="430"/>
                  <a:pt x="1818" y="0"/>
                  <a:pt x="1284" y="0"/>
                </a:cubicBezTo>
                <a:close/>
              </a:path>
            </a:pathLst>
          </a:custGeom>
          <a:solidFill>
            <a:schemeClr val="bg1">
              <a:lumMod val="50000"/>
            </a:schemeClr>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grpSp>
    <xdr:clientData/>
  </xdr:twoCellAnchor>
  <xdr:twoCellAnchor editAs="oneCell">
    <xdr:from>
      <xdr:col>1</xdr:col>
      <xdr:colOff>657225</xdr:colOff>
      <xdr:row>1</xdr:row>
      <xdr:rowOff>0</xdr:rowOff>
    </xdr:from>
    <xdr:to>
      <xdr:col>1</xdr:col>
      <xdr:colOff>1190625</xdr:colOff>
      <xdr:row>3</xdr:row>
      <xdr:rowOff>159308</xdr:rowOff>
    </xdr:to>
    <xdr:pic>
      <xdr:nvPicPr>
        <xdr:cNvPr id="2" name="Imagen 4">
          <a:extLst>
            <a:ext uri="{FF2B5EF4-FFF2-40B4-BE49-F238E27FC236}">
              <a16:creationId xmlns:a16="http://schemas.microsoft.com/office/drawing/2014/main" id="{A717D3CA-0607-4F20-B71A-3AE6DB9E2F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3025" y="95250"/>
          <a:ext cx="533400" cy="55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866775</xdr:colOff>
      <xdr:row>0</xdr:row>
      <xdr:rowOff>66675</xdr:rowOff>
    </xdr:from>
    <xdr:to>
      <xdr:col>1</xdr:col>
      <xdr:colOff>1400175</xdr:colOff>
      <xdr:row>3</xdr:row>
      <xdr:rowOff>156133</xdr:rowOff>
    </xdr:to>
    <xdr:pic>
      <xdr:nvPicPr>
        <xdr:cNvPr id="2" name="Imagen 4">
          <a:extLst>
            <a:ext uri="{FF2B5EF4-FFF2-40B4-BE49-F238E27FC236}">
              <a16:creationId xmlns:a16="http://schemas.microsoft.com/office/drawing/2014/main" id="{D0C39065-34D1-428B-8040-82A4986F52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66675"/>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Calidad ETITC" id="{0CC1AFD7-F2B4-4C19-A5FE-A0839748E464}" userId="S::calidad@itc.edu.co::5f6678ce-6f95-4cba-9a3f-7a65f87216f7"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1000-000000000000}" name="TablaDinámica1" cacheId="1"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2AF4852-25AA-4EC0-BA9A-D8EC1A651492}" name="Criterios" displayName="Criterios" ref="A1:B14" totalsRowShown="0">
  <autoFilter ref="A1:B14" xr:uid="{B2AF4852-25AA-4EC0-BA9A-D8EC1A651492}"/>
  <tableColumns count="2">
    <tableColumn id="1" xr3:uid="{DD89DC2E-2661-45C2-B689-DCF22974CBDC}" name="Criterios_Impacto"/>
    <tableColumn id="2" xr3:uid="{43AE9E82-3F6B-4945-A788-0E0C2F144D59}" name="Calificació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39" dataDxfId="38">
  <autoFilter ref="B209:C219" xr:uid="{00000000-0009-0000-0100-000001000000}"/>
  <tableColumns count="2">
    <tableColumn id="1" xr3:uid="{00000000-0010-0000-0000-000001000000}" name="Criterios" dataDxfId="37"/>
    <tableColumn id="2" xr3:uid="{00000000-0010-0000-0000-000002000000}" name="Subcriterios" dataDxfId="3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3" dT="2026-05-05T18:23:33.08" personId="{0CC1AFD7-F2B4-4C19-A5FE-A0839748E464}" id="{31DE014E-1502-4058-AF14-D12B122223C2}">
    <text>Para el riesgo Fiscal, solo aplica IMPACTO ECONÓMICO</text>
  </threadedComment>
  <threadedComment ref="G13" dT="2026-05-05T16:05:30.86" personId="{0CC1AFD7-F2B4-4C19-A5FE-A0839748E464}" id="{7319F458-F751-4993-B913-0ED035E30CF3}">
    <text>Aplica para Riesgo FISCAL</text>
  </threadedComment>
  <threadedComment ref="AU13" dT="2026-05-04T15:28:03.86" personId="{0CC1AFD7-F2B4-4C19-A5FE-A0839748E464}" id="{1816B48D-01BB-448B-AFCC-2FEDB756BA42}">
    <text xml:space="preserve">Se realiza una descripción breve de lo ejecutado en el periodo. Así como las desviaciones presentadas en la aplicación del control. </text>
  </threadedComment>
  <threadedComment ref="AV13" dT="2026-05-04T15:29:01.83" personId="{0CC1AFD7-F2B4-4C19-A5FE-A0839748E464}" id="{8ADAA9EE-5890-4480-85AE-C33717331CF8}">
    <text>Se debe describir los soportes de la ejecución del control y punto de uso de la información. Ejemplo (enlaces de carpetas)</text>
  </threadedComment>
  <threadedComment ref="AW13" dT="2026-05-04T15:28:03.86" personId="{0CC1AFD7-F2B4-4C19-A5FE-A0839748E464}" id="{975DE72D-945A-4BAE-A64E-E42069A0D1CB}">
    <text>Se realiza una descripción breve de lo ejecutado en el periodo</text>
  </threadedComment>
  <threadedComment ref="AX13" dT="2026-05-04T15:29:01.83" personId="{0CC1AFD7-F2B4-4C19-A5FE-A0839748E464}" id="{837D0758-B511-4B9B-885F-44B15625A2B0}">
    <text>Se debe describir los soportes de la ejecución del control y punto de uso de la información. Ejemplo (enlaces de carpetas)</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N38"/>
  <sheetViews>
    <sheetView showGridLines="0" topLeftCell="A15" zoomScale="95" zoomScaleNormal="95" workbookViewId="0">
      <selection activeCell="P13" sqref="P13"/>
    </sheetView>
  </sheetViews>
  <sheetFormatPr baseColWidth="10" defaultColWidth="11.5" defaultRowHeight="15"/>
  <cols>
    <col min="1" max="1" width="3.6640625" style="68" customWidth="1"/>
    <col min="2" max="2" width="16.6640625" customWidth="1"/>
    <col min="3" max="3" width="25" customWidth="1"/>
    <col min="4" max="12" width="10.6640625" customWidth="1"/>
    <col min="13" max="13" width="13.33203125" customWidth="1"/>
    <col min="14" max="14" width="15.5" customWidth="1"/>
    <col min="15" max="16384" width="11.5" style="68"/>
  </cols>
  <sheetData>
    <row r="1" spans="2:14" ht="12.75" customHeight="1" thickBot="1">
      <c r="B1" s="68"/>
      <c r="C1" s="68"/>
      <c r="D1" s="68"/>
      <c r="E1" s="68"/>
      <c r="F1" s="68"/>
      <c r="G1" s="68"/>
      <c r="H1" s="68"/>
      <c r="I1" s="68"/>
      <c r="J1" s="68"/>
      <c r="K1" s="68"/>
      <c r="L1" s="68"/>
      <c r="M1" s="68"/>
      <c r="N1" s="68"/>
    </row>
    <row r="2" spans="2:14" ht="18.75" customHeight="1">
      <c r="B2" s="232" t="s">
        <v>0</v>
      </c>
      <c r="C2" s="233"/>
      <c r="D2" s="223" t="s">
        <v>1</v>
      </c>
      <c r="E2" s="224"/>
      <c r="F2" s="224"/>
      <c r="G2" s="224"/>
      <c r="H2" s="224"/>
      <c r="I2" s="224"/>
      <c r="J2" s="224"/>
      <c r="K2" s="224"/>
      <c r="L2" s="225"/>
      <c r="M2" s="238" t="s">
        <v>2</v>
      </c>
      <c r="N2" s="239"/>
    </row>
    <row r="3" spans="2:14" ht="15.75" customHeight="1">
      <c r="B3" s="234"/>
      <c r="C3" s="235"/>
      <c r="D3" s="226"/>
      <c r="E3" s="227"/>
      <c r="F3" s="227"/>
      <c r="G3" s="227"/>
      <c r="H3" s="227"/>
      <c r="I3" s="227"/>
      <c r="J3" s="227"/>
      <c r="K3" s="227"/>
      <c r="L3" s="228"/>
      <c r="M3" s="240" t="s">
        <v>3</v>
      </c>
      <c r="N3" s="241"/>
    </row>
    <row r="4" spans="2:14" ht="18.75" customHeight="1">
      <c r="B4" s="234"/>
      <c r="C4" s="235"/>
      <c r="D4" s="226"/>
      <c r="E4" s="227"/>
      <c r="F4" s="227"/>
      <c r="G4" s="227"/>
      <c r="H4" s="227"/>
      <c r="I4" s="227"/>
      <c r="J4" s="227"/>
      <c r="K4" s="227"/>
      <c r="L4" s="228"/>
      <c r="M4" s="240" t="s">
        <v>4</v>
      </c>
      <c r="N4" s="241"/>
    </row>
    <row r="5" spans="2:14" ht="29.25" customHeight="1" thickBot="1">
      <c r="B5" s="236"/>
      <c r="C5" s="237"/>
      <c r="D5" s="229"/>
      <c r="E5" s="230"/>
      <c r="F5" s="230"/>
      <c r="G5" s="230"/>
      <c r="H5" s="230"/>
      <c r="I5" s="230"/>
      <c r="J5" s="230"/>
      <c r="K5" s="230"/>
      <c r="L5" s="231"/>
      <c r="M5" s="242" t="s">
        <v>5</v>
      </c>
      <c r="N5" s="243"/>
    </row>
    <row r="6" spans="2:14" ht="7.5" customHeight="1" thickBot="1"/>
    <row r="7" spans="2:14">
      <c r="B7" s="126"/>
      <c r="C7" s="127"/>
      <c r="D7" s="127"/>
      <c r="E7" s="127"/>
      <c r="F7" s="127"/>
      <c r="G7" s="127"/>
      <c r="H7" s="127"/>
      <c r="I7" s="127"/>
      <c r="J7" s="127"/>
      <c r="K7" s="127"/>
      <c r="L7" s="127"/>
      <c r="M7" s="127"/>
      <c r="N7" s="128"/>
    </row>
    <row r="8" spans="2:14">
      <c r="B8" s="129"/>
      <c r="N8" s="130"/>
    </row>
    <row r="9" spans="2:14">
      <c r="B9" s="129"/>
      <c r="N9" s="130"/>
    </row>
    <row r="10" spans="2:14">
      <c r="B10" s="129"/>
      <c r="N10" s="130"/>
    </row>
    <row r="11" spans="2:14">
      <c r="B11" s="129"/>
      <c r="N11" s="130"/>
    </row>
    <row r="12" spans="2:14">
      <c r="B12" s="129"/>
      <c r="N12" s="130"/>
    </row>
    <row r="13" spans="2:14">
      <c r="B13" s="129"/>
      <c r="N13" s="130"/>
    </row>
    <row r="14" spans="2:14">
      <c r="B14" s="129"/>
      <c r="N14" s="130"/>
    </row>
    <row r="15" spans="2:14">
      <c r="B15" s="129"/>
      <c r="N15" s="130"/>
    </row>
    <row r="16" spans="2:14" ht="21" customHeight="1">
      <c r="B16" s="129"/>
      <c r="N16" s="130"/>
    </row>
    <row r="17" spans="2:14" ht="18.75" customHeight="1">
      <c r="B17" s="129"/>
      <c r="N17" s="130"/>
    </row>
    <row r="18" spans="2:14" ht="17.25" customHeight="1">
      <c r="B18" s="129"/>
      <c r="N18" s="130"/>
    </row>
    <row r="19" spans="2:14" ht="18.75" customHeight="1">
      <c r="B19" s="129"/>
      <c r="N19" s="130"/>
    </row>
    <row r="20" spans="2:14" ht="21" customHeight="1">
      <c r="B20" s="129"/>
      <c r="N20" s="130"/>
    </row>
    <row r="21" spans="2:14">
      <c r="B21" s="129"/>
      <c r="N21" s="130"/>
    </row>
    <row r="22" spans="2:14">
      <c r="B22" s="129"/>
      <c r="N22" s="130"/>
    </row>
    <row r="23" spans="2:14">
      <c r="B23" s="129"/>
      <c r="N23" s="130"/>
    </row>
    <row r="24" spans="2:14">
      <c r="B24" s="129"/>
      <c r="N24" s="130"/>
    </row>
    <row r="25" spans="2:14">
      <c r="B25" s="129"/>
      <c r="N25" s="130"/>
    </row>
    <row r="26" spans="2:14">
      <c r="B26" s="129"/>
      <c r="N26" s="130"/>
    </row>
    <row r="27" spans="2:14">
      <c r="B27" s="129"/>
      <c r="N27" s="130"/>
    </row>
    <row r="28" spans="2:14">
      <c r="B28" s="129"/>
      <c r="N28" s="130"/>
    </row>
    <row r="29" spans="2:14">
      <c r="B29" s="129"/>
      <c r="N29" s="130"/>
    </row>
    <row r="30" spans="2:14">
      <c r="B30" s="129"/>
      <c r="N30" s="130"/>
    </row>
    <row r="31" spans="2:14">
      <c r="B31" s="129"/>
      <c r="D31" s="222" t="s">
        <v>6</v>
      </c>
      <c r="E31" s="222"/>
      <c r="N31" s="130"/>
    </row>
    <row r="32" spans="2:14">
      <c r="B32" s="129"/>
      <c r="D32" s="222"/>
      <c r="E32" s="222"/>
      <c r="N32" s="130"/>
    </row>
    <row r="33" spans="2:14">
      <c r="B33" s="129"/>
      <c r="N33" s="130"/>
    </row>
    <row r="34" spans="2:14">
      <c r="B34" s="129"/>
      <c r="N34" s="130"/>
    </row>
    <row r="35" spans="2:14">
      <c r="B35" s="129"/>
      <c r="N35" s="130"/>
    </row>
    <row r="36" spans="2:14">
      <c r="B36" s="129"/>
      <c r="N36" s="130"/>
    </row>
    <row r="37" spans="2:14">
      <c r="B37" s="129"/>
      <c r="N37" s="130"/>
    </row>
    <row r="38" spans="2:14" ht="16" thickBot="1">
      <c r="B38" s="131"/>
      <c r="C38" s="132"/>
      <c r="D38" s="132"/>
      <c r="E38" s="132"/>
      <c r="F38" s="132"/>
      <c r="G38" s="132"/>
      <c r="H38" s="132"/>
      <c r="I38" s="132"/>
      <c r="J38" s="132"/>
      <c r="K38" s="132"/>
      <c r="L38" s="132"/>
      <c r="M38" s="132"/>
      <c r="N38" s="133"/>
    </row>
  </sheetData>
  <mergeCells count="7">
    <mergeCell ref="D31:E32"/>
    <mergeCell ref="D2:L5"/>
    <mergeCell ref="B2:C5"/>
    <mergeCell ref="M2:N2"/>
    <mergeCell ref="M3:N3"/>
    <mergeCell ref="M4:N4"/>
    <mergeCell ref="M5:N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H31"/>
  <sheetViews>
    <sheetView showGridLines="0" topLeftCell="A5" zoomScale="120" zoomScaleNormal="120" workbookViewId="0">
      <selection activeCell="G29" sqref="G29"/>
    </sheetView>
  </sheetViews>
  <sheetFormatPr baseColWidth="10" defaultColWidth="11.5" defaultRowHeight="15"/>
  <cols>
    <col min="1" max="1" width="17.5" customWidth="1"/>
    <col min="2" max="2" width="9.6640625" customWidth="1"/>
    <col min="4" max="4" width="72.33203125" customWidth="1"/>
    <col min="5" max="6" width="11" customWidth="1"/>
    <col min="7" max="7" width="11.5" style="138"/>
    <col min="8" max="8" width="11.5" style="15"/>
  </cols>
  <sheetData>
    <row r="1" spans="1:8" ht="16" thickBot="1"/>
    <row r="2" spans="1:8" ht="19.5" customHeight="1">
      <c r="B2" s="232" t="s">
        <v>0</v>
      </c>
      <c r="C2" s="233"/>
      <c r="D2" s="249" t="s">
        <v>7</v>
      </c>
      <c r="E2" s="265" t="s">
        <v>8</v>
      </c>
      <c r="F2" s="239"/>
    </row>
    <row r="3" spans="1:8" ht="19.5" customHeight="1">
      <c r="B3" s="234"/>
      <c r="C3" s="235"/>
      <c r="D3" s="250"/>
      <c r="E3" s="266" t="s">
        <v>3</v>
      </c>
      <c r="F3" s="241"/>
    </row>
    <row r="4" spans="1:8" ht="19.5" customHeight="1">
      <c r="B4" s="234"/>
      <c r="C4" s="235"/>
      <c r="D4" s="250"/>
      <c r="E4" s="266" t="s">
        <v>4</v>
      </c>
      <c r="F4" s="241"/>
    </row>
    <row r="5" spans="1:8" ht="19.5" customHeight="1" thickBot="1">
      <c r="A5" t="s">
        <v>9</v>
      </c>
      <c r="B5" s="236"/>
      <c r="C5" s="237"/>
      <c r="D5" s="251"/>
      <c r="E5" s="267" t="s">
        <v>5</v>
      </c>
      <c r="F5" s="243"/>
    </row>
    <row r="6" spans="1:8" ht="16" thickBot="1"/>
    <row r="7" spans="1:8">
      <c r="B7" s="252" t="s">
        <v>10</v>
      </c>
      <c r="C7" s="255" t="s">
        <v>11</v>
      </c>
      <c r="D7" s="256"/>
      <c r="E7" s="261" t="s">
        <v>12</v>
      </c>
      <c r="F7" s="262"/>
    </row>
    <row r="8" spans="1:8" ht="16" thickBot="1">
      <c r="B8" s="253"/>
      <c r="C8" s="257"/>
      <c r="D8" s="258"/>
      <c r="E8" s="263"/>
      <c r="F8" s="264"/>
      <c r="H8" s="146"/>
    </row>
    <row r="9" spans="1:8" ht="16" thickBot="1">
      <c r="B9" s="254"/>
      <c r="C9" s="259" t="s">
        <v>13</v>
      </c>
      <c r="D9" s="260"/>
      <c r="E9" s="143" t="s">
        <v>14</v>
      </c>
      <c r="F9" s="143" t="s">
        <v>15</v>
      </c>
      <c r="H9" s="146"/>
    </row>
    <row r="10" spans="1:8" ht="16" thickBot="1">
      <c r="B10" s="142">
        <v>1</v>
      </c>
      <c r="C10" s="244" t="s">
        <v>16</v>
      </c>
      <c r="D10" s="245"/>
      <c r="E10" s="208" t="s">
        <v>278</v>
      </c>
      <c r="F10" s="209"/>
      <c r="H10" s="146"/>
    </row>
    <row r="11" spans="1:8" ht="16" thickBot="1">
      <c r="B11" s="142">
        <v>2</v>
      </c>
      <c r="C11" s="244" t="s">
        <v>17</v>
      </c>
      <c r="D11" s="245" t="s">
        <v>17</v>
      </c>
      <c r="E11" s="208" t="s">
        <v>278</v>
      </c>
      <c r="F11" s="209"/>
      <c r="H11" s="147"/>
    </row>
    <row r="12" spans="1:8" ht="16" thickBot="1">
      <c r="B12" s="142">
        <v>3</v>
      </c>
      <c r="C12" s="244" t="s">
        <v>18</v>
      </c>
      <c r="D12" s="245" t="s">
        <v>18</v>
      </c>
      <c r="E12" s="208" t="s">
        <v>278</v>
      </c>
      <c r="F12" s="209"/>
    </row>
    <row r="13" spans="1:8" ht="16" thickBot="1">
      <c r="B13" s="142">
        <v>4</v>
      </c>
      <c r="C13" s="244" t="s">
        <v>19</v>
      </c>
      <c r="D13" s="245" t="s">
        <v>20</v>
      </c>
      <c r="E13" s="208" t="s">
        <v>278</v>
      </c>
      <c r="F13" s="209"/>
    </row>
    <row r="14" spans="1:8" ht="16" thickBot="1">
      <c r="B14" s="142">
        <v>5</v>
      </c>
      <c r="C14" s="244" t="s">
        <v>21</v>
      </c>
      <c r="D14" s="245" t="s">
        <v>21</v>
      </c>
      <c r="E14" s="208" t="s">
        <v>278</v>
      </c>
      <c r="F14" s="209"/>
    </row>
    <row r="15" spans="1:8" ht="16" thickBot="1">
      <c r="B15" s="142">
        <v>6</v>
      </c>
      <c r="C15" s="244" t="s">
        <v>22</v>
      </c>
      <c r="D15" s="245" t="s">
        <v>22</v>
      </c>
      <c r="E15" s="208" t="s">
        <v>278</v>
      </c>
      <c r="F15" s="209"/>
    </row>
    <row r="16" spans="1:8" ht="16" thickBot="1">
      <c r="B16" s="142">
        <v>7</v>
      </c>
      <c r="C16" s="244" t="s">
        <v>23</v>
      </c>
      <c r="D16" s="245" t="s">
        <v>23</v>
      </c>
      <c r="E16" s="208" t="s">
        <v>278</v>
      </c>
      <c r="F16" s="209"/>
    </row>
    <row r="17" spans="1:7" ht="28.5" customHeight="1" thickBot="1">
      <c r="B17" s="142">
        <v>8</v>
      </c>
      <c r="C17" s="244" t="s">
        <v>24</v>
      </c>
      <c r="D17" s="245" t="s">
        <v>24</v>
      </c>
      <c r="E17" s="208" t="s">
        <v>278</v>
      </c>
      <c r="F17" s="209"/>
    </row>
    <row r="18" spans="1:7" ht="18.75" customHeight="1" thickBot="1">
      <c r="B18" s="142">
        <v>9</v>
      </c>
      <c r="C18" s="244" t="s">
        <v>25</v>
      </c>
      <c r="D18" s="245" t="s">
        <v>25</v>
      </c>
      <c r="E18" s="208"/>
      <c r="F18" s="209" t="s">
        <v>278</v>
      </c>
    </row>
    <row r="19" spans="1:7" ht="16" thickBot="1">
      <c r="B19" s="142">
        <v>10</v>
      </c>
      <c r="C19" s="244" t="s">
        <v>26</v>
      </c>
      <c r="D19" s="245" t="s">
        <v>26</v>
      </c>
      <c r="E19" s="208" t="s">
        <v>278</v>
      </c>
      <c r="F19" s="209"/>
    </row>
    <row r="20" spans="1:7" ht="16" thickBot="1">
      <c r="B20" s="142">
        <v>11</v>
      </c>
      <c r="C20" s="244" t="s">
        <v>27</v>
      </c>
      <c r="D20" s="245" t="s">
        <v>27</v>
      </c>
      <c r="E20" s="208" t="s">
        <v>278</v>
      </c>
      <c r="F20" s="209"/>
    </row>
    <row r="21" spans="1:7" ht="16" thickBot="1">
      <c r="B21" s="142">
        <v>12</v>
      </c>
      <c r="C21" s="244" t="s">
        <v>28</v>
      </c>
      <c r="D21" s="245" t="s">
        <v>28</v>
      </c>
      <c r="E21" s="208" t="s">
        <v>278</v>
      </c>
      <c r="F21" s="209"/>
    </row>
    <row r="22" spans="1:7" ht="16" thickBot="1">
      <c r="B22" s="142">
        <v>13</v>
      </c>
      <c r="C22" s="244" t="s">
        <v>29</v>
      </c>
      <c r="D22" s="245" t="s">
        <v>29</v>
      </c>
      <c r="E22" s="208" t="s">
        <v>278</v>
      </c>
      <c r="F22" s="209"/>
    </row>
    <row r="23" spans="1:7" ht="16" thickBot="1">
      <c r="B23" s="142">
        <v>14</v>
      </c>
      <c r="C23" s="244" t="s">
        <v>30</v>
      </c>
      <c r="D23" s="245" t="s">
        <v>30</v>
      </c>
      <c r="E23" s="208" t="s">
        <v>278</v>
      </c>
      <c r="F23" s="209"/>
    </row>
    <row r="24" spans="1:7" ht="16" thickBot="1">
      <c r="B24" s="142">
        <v>15</v>
      </c>
      <c r="C24" s="244" t="s">
        <v>31</v>
      </c>
      <c r="D24" s="245" t="s">
        <v>31</v>
      </c>
      <c r="E24" s="208" t="s">
        <v>278</v>
      </c>
      <c r="F24" s="209"/>
    </row>
    <row r="25" spans="1:7" ht="16" thickBot="1">
      <c r="B25" s="142">
        <v>16</v>
      </c>
      <c r="C25" s="244" t="s">
        <v>32</v>
      </c>
      <c r="D25" s="245" t="s">
        <v>32</v>
      </c>
      <c r="E25" s="208" t="s">
        <v>278</v>
      </c>
      <c r="F25" s="209"/>
    </row>
    <row r="26" spans="1:7" ht="16" thickBot="1">
      <c r="B26" s="142">
        <v>17</v>
      </c>
      <c r="C26" s="244" t="s">
        <v>33</v>
      </c>
      <c r="D26" s="245" t="s">
        <v>33</v>
      </c>
      <c r="E26" s="208" t="s">
        <v>278</v>
      </c>
      <c r="F26" s="209"/>
    </row>
    <row r="27" spans="1:7" ht="16" thickBot="1">
      <c r="B27" s="142">
        <v>18</v>
      </c>
      <c r="C27" s="244" t="s">
        <v>34</v>
      </c>
      <c r="D27" s="245" t="s">
        <v>34</v>
      </c>
      <c r="E27" s="208" t="s">
        <v>278</v>
      </c>
      <c r="F27" s="209"/>
    </row>
    <row r="28" spans="1:7" ht="16" thickBot="1">
      <c r="B28" s="142">
        <v>19</v>
      </c>
      <c r="C28" s="244" t="s">
        <v>35</v>
      </c>
      <c r="D28" s="245" t="s">
        <v>35</v>
      </c>
      <c r="E28" s="208" t="s">
        <v>278</v>
      </c>
      <c r="F28" s="209"/>
    </row>
    <row r="29" spans="1:7">
      <c r="C29" s="139"/>
      <c r="D29" s="139"/>
      <c r="E29" s="145">
        <f>COUNTIF(E10:E28,"x")</f>
        <v>18</v>
      </c>
      <c r="F29" s="145">
        <f>COUNTIF(F10:F28,"x")</f>
        <v>1</v>
      </c>
      <c r="G29" s="144" t="str">
        <f>IF(E29=0,"",IF(E29&lt;=5,"Moderado",IF(E29&lt;=11,"Mayor",IF(E29&lt;=19,"Catastrófico",""))))</f>
        <v>Catastrófico</v>
      </c>
    </row>
    <row r="30" spans="1:7">
      <c r="C30" s="137"/>
      <c r="D30" s="137"/>
      <c r="E30" s="137"/>
      <c r="F30" s="137"/>
    </row>
    <row r="31" spans="1:7" ht="66" customHeight="1">
      <c r="A31" s="246" t="s">
        <v>36</v>
      </c>
      <c r="B31" s="247"/>
      <c r="C31" s="247"/>
      <c r="D31" s="247"/>
      <c r="E31" s="247"/>
      <c r="F31" s="248"/>
    </row>
  </sheetData>
  <mergeCells count="30">
    <mergeCell ref="A31:F31"/>
    <mergeCell ref="C12:D12"/>
    <mergeCell ref="D2:D5"/>
    <mergeCell ref="B7:B9"/>
    <mergeCell ref="C7:D8"/>
    <mergeCell ref="C9:D9"/>
    <mergeCell ref="C11:D11"/>
    <mergeCell ref="B2:C5"/>
    <mergeCell ref="C10:D10"/>
    <mergeCell ref="E7:F8"/>
    <mergeCell ref="E2:F2"/>
    <mergeCell ref="E3:F3"/>
    <mergeCell ref="E4:F4"/>
    <mergeCell ref="E5:F5"/>
    <mergeCell ref="C16:D16"/>
    <mergeCell ref="C13:D13"/>
    <mergeCell ref="C14:D14"/>
    <mergeCell ref="C28:D28"/>
    <mergeCell ref="C17:D17"/>
    <mergeCell ref="C18:D18"/>
    <mergeCell ref="C19:D19"/>
    <mergeCell ref="C20:D20"/>
    <mergeCell ref="C21:D21"/>
    <mergeCell ref="C22:D22"/>
    <mergeCell ref="C23:D23"/>
    <mergeCell ref="C24:D24"/>
    <mergeCell ref="C25:D25"/>
    <mergeCell ref="C26:D26"/>
    <mergeCell ref="C27:D27"/>
    <mergeCell ref="C15:D15"/>
  </mergeCells>
  <conditionalFormatting sqref="G29">
    <cfRule type="cellIs" dxfId="35" priority="1" stopIfTrue="1" operator="equal">
      <formula>"Catastrófico"</formula>
    </cfRule>
    <cfRule type="cellIs" dxfId="34" priority="2" stopIfTrue="1" operator="equal">
      <formula>"Moderado"</formula>
    </cfRule>
    <cfRule type="cellIs" dxfId="33" priority="3" stopIfTrue="1" operator="equal">
      <formula>"Mayor"</formula>
    </cfRule>
  </conditionalFormatting>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Intructivo!$J$2</xm:f>
          </x14:formula1>
          <xm:sqref>E10:F28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287840"/>
  </sheetPr>
  <dimension ref="A1:CD28"/>
  <sheetViews>
    <sheetView tabSelected="1" topLeftCell="B1" zoomScale="75" zoomScaleNormal="100" workbookViewId="0">
      <selection activeCell="I15" sqref="I15:I16"/>
    </sheetView>
  </sheetViews>
  <sheetFormatPr baseColWidth="10" defaultColWidth="11.5" defaultRowHeight="14"/>
  <cols>
    <col min="1" max="1" width="0" style="167" hidden="1" customWidth="1"/>
    <col min="2" max="2" width="4.5" style="167" customWidth="1"/>
    <col min="3" max="3" width="6.33203125" style="167" customWidth="1"/>
    <col min="4" max="4" width="4.6640625" style="168" customWidth="1"/>
    <col min="5" max="5" width="21" style="168" customWidth="1"/>
    <col min="6" max="7" width="20.6640625" style="168" customWidth="1"/>
    <col min="8" max="8" width="18.33203125" style="168" customWidth="1"/>
    <col min="9" max="9" width="31" style="168" customWidth="1"/>
    <col min="10" max="10" width="32" style="168" customWidth="1"/>
    <col min="11" max="11" width="58.33203125" style="167" customWidth="1"/>
    <col min="12" max="12" width="25.5" style="169" customWidth="1"/>
    <col min="13" max="13" width="31.83203125" style="169" customWidth="1"/>
    <col min="14" max="14" width="23.83203125" style="169" customWidth="1"/>
    <col min="15" max="15" width="14.33203125" style="167" customWidth="1"/>
    <col min="16" max="16" width="16.5" style="167" customWidth="1"/>
    <col min="17" max="17" width="8.83203125" style="167" customWidth="1"/>
    <col min="18" max="18" width="21.33203125" style="167" customWidth="1"/>
    <col min="19" max="19" width="17.5" style="167" customWidth="1"/>
    <col min="20" max="20" width="10.5" style="167" customWidth="1"/>
    <col min="21" max="21" width="16" style="167" customWidth="1"/>
    <col min="22" max="22" width="5.6640625" style="167" customWidth="1"/>
    <col min="23" max="23" width="63.5" style="167" customWidth="1"/>
    <col min="24" max="24" width="44.83203125" style="167" customWidth="1"/>
    <col min="25" max="25" width="15.33203125" style="167" customWidth="1"/>
    <col min="26" max="26" width="6.6640625" style="167" customWidth="1"/>
    <col min="27" max="27" width="5" style="167" customWidth="1"/>
    <col min="28" max="28" width="5.5" style="167" customWidth="1"/>
    <col min="29" max="29" width="7.33203125" style="167" customWidth="1"/>
    <col min="30" max="30" width="6.6640625" style="167" customWidth="1"/>
    <col min="31" max="31" width="8.33203125" style="167" customWidth="1"/>
    <col min="32" max="32" width="18.1640625" style="167" customWidth="1"/>
    <col min="33" max="33" width="13.6640625" style="167" customWidth="1"/>
    <col min="34" max="34" width="16.1640625" style="167" customWidth="1"/>
    <col min="35" max="35" width="6.1640625" style="167" customWidth="1"/>
    <col min="36" max="36" width="16.1640625" style="167" customWidth="1"/>
    <col min="37" max="37" width="6" style="167" customWidth="1"/>
    <col min="38" max="38" width="16.1640625" style="167" customWidth="1"/>
    <col min="39" max="40" width="7.33203125" style="167" customWidth="1"/>
    <col min="41" max="41" width="46.5" style="167" customWidth="1"/>
    <col min="42" max="42" width="24.33203125" style="167" customWidth="1"/>
    <col min="43" max="43" width="23.1640625" style="167" customWidth="1"/>
    <col min="44" max="46" width="19.6640625" style="167" customWidth="1"/>
    <col min="47" max="47" width="35.5" style="167" customWidth="1"/>
    <col min="48" max="50" width="34.6640625" style="167" customWidth="1"/>
    <col min="51" max="51" width="29" style="167" customWidth="1"/>
    <col min="52" max="52" width="23.33203125" style="167" customWidth="1"/>
    <col min="53" max="53" width="68.5" style="167" customWidth="1"/>
    <col min="54" max="54" width="31.5" style="167" customWidth="1"/>
    <col min="55" max="55" width="30.5" style="167" customWidth="1"/>
    <col min="56" max="56" width="53" style="167" customWidth="1"/>
    <col min="57" max="59" width="0" style="167" hidden="1" customWidth="1"/>
    <col min="60" max="61" width="11.5" style="167" hidden="1" customWidth="1"/>
    <col min="62" max="63" width="0" style="167" hidden="1" customWidth="1"/>
    <col min="64" max="16384" width="11.5" style="167"/>
  </cols>
  <sheetData>
    <row r="1" spans="1:82" ht="15" thickBot="1"/>
    <row r="2" spans="1:82" ht="27.75" customHeight="1">
      <c r="D2" s="311" t="s">
        <v>37</v>
      </c>
      <c r="E2" s="312"/>
      <c r="F2" s="312"/>
      <c r="G2" s="312"/>
      <c r="H2" s="313"/>
      <c r="I2" s="320" t="s">
        <v>38</v>
      </c>
      <c r="J2" s="320"/>
      <c r="K2" s="320"/>
      <c r="L2" s="320"/>
      <c r="M2" s="320"/>
      <c r="N2" s="320"/>
      <c r="O2" s="320"/>
      <c r="P2" s="320"/>
      <c r="Q2" s="320"/>
      <c r="R2" s="320"/>
      <c r="S2" s="320"/>
      <c r="T2" s="320"/>
      <c r="U2" s="320"/>
      <c r="V2" s="320"/>
      <c r="W2" s="320"/>
      <c r="X2" s="320"/>
      <c r="Y2" s="320"/>
      <c r="Z2" s="320"/>
      <c r="AA2" s="320"/>
      <c r="AB2" s="320"/>
      <c r="AC2" s="320"/>
      <c r="AD2" s="320"/>
      <c r="AE2" s="320"/>
      <c r="AF2" s="320"/>
      <c r="AG2" s="320"/>
      <c r="AH2" s="320"/>
      <c r="AI2" s="320"/>
      <c r="AJ2" s="320"/>
      <c r="AK2" s="320"/>
      <c r="AL2" s="320"/>
      <c r="AM2" s="320"/>
      <c r="AN2" s="320"/>
      <c r="AO2" s="320"/>
      <c r="AP2" s="320"/>
      <c r="AQ2" s="320"/>
      <c r="AR2" s="320"/>
      <c r="AS2" s="320"/>
      <c r="AT2" s="320"/>
      <c r="AU2" s="320"/>
      <c r="AV2" s="320"/>
      <c r="AW2" s="320"/>
      <c r="AX2" s="320"/>
      <c r="AY2" s="320"/>
      <c r="AZ2" s="320"/>
      <c r="BA2" s="320"/>
      <c r="BB2" s="320"/>
      <c r="BC2" s="320"/>
      <c r="BD2" s="201" t="s">
        <v>8</v>
      </c>
    </row>
    <row r="3" spans="1:82" ht="27.75" customHeight="1">
      <c r="D3" s="314"/>
      <c r="E3" s="315"/>
      <c r="F3" s="315"/>
      <c r="G3" s="315"/>
      <c r="H3" s="316"/>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0"/>
      <c r="AH3" s="320"/>
      <c r="AI3" s="320"/>
      <c r="AJ3" s="320"/>
      <c r="AK3" s="320"/>
      <c r="AL3" s="320"/>
      <c r="AM3" s="320"/>
      <c r="AN3" s="320"/>
      <c r="AO3" s="320"/>
      <c r="AP3" s="320"/>
      <c r="AQ3" s="320"/>
      <c r="AR3" s="320"/>
      <c r="AS3" s="320"/>
      <c r="AT3" s="320"/>
      <c r="AU3" s="320"/>
      <c r="AV3" s="320"/>
      <c r="AW3" s="320"/>
      <c r="AX3" s="320"/>
      <c r="AY3" s="320"/>
      <c r="AZ3" s="320"/>
      <c r="BA3" s="320"/>
      <c r="BB3" s="320"/>
      <c r="BC3" s="320"/>
      <c r="BD3" s="204" t="s">
        <v>39</v>
      </c>
    </row>
    <row r="4" spans="1:82" ht="27.75" customHeight="1">
      <c r="D4" s="314"/>
      <c r="E4" s="315"/>
      <c r="F4" s="315"/>
      <c r="G4" s="315"/>
      <c r="H4" s="316"/>
      <c r="I4" s="320"/>
      <c r="J4" s="320"/>
      <c r="K4" s="320"/>
      <c r="L4" s="320"/>
      <c r="M4" s="320"/>
      <c r="N4" s="320"/>
      <c r="O4" s="320"/>
      <c r="P4" s="320"/>
      <c r="Q4" s="320"/>
      <c r="R4" s="320"/>
      <c r="S4" s="320"/>
      <c r="T4" s="320"/>
      <c r="U4" s="320"/>
      <c r="V4" s="320"/>
      <c r="W4" s="320"/>
      <c r="X4" s="320"/>
      <c r="Y4" s="320"/>
      <c r="Z4" s="320"/>
      <c r="AA4" s="320"/>
      <c r="AB4" s="320"/>
      <c r="AC4" s="320"/>
      <c r="AD4" s="320"/>
      <c r="AE4" s="320"/>
      <c r="AF4" s="320"/>
      <c r="AG4" s="320"/>
      <c r="AH4" s="320"/>
      <c r="AI4" s="320"/>
      <c r="AJ4" s="320"/>
      <c r="AK4" s="320"/>
      <c r="AL4" s="320"/>
      <c r="AM4" s="320"/>
      <c r="AN4" s="320"/>
      <c r="AO4" s="320"/>
      <c r="AP4" s="320"/>
      <c r="AQ4" s="320"/>
      <c r="AR4" s="320"/>
      <c r="AS4" s="320"/>
      <c r="AT4" s="320"/>
      <c r="AU4" s="320"/>
      <c r="AV4" s="320"/>
      <c r="AW4" s="320"/>
      <c r="AX4" s="320"/>
      <c r="AY4" s="320"/>
      <c r="AZ4" s="320"/>
      <c r="BA4" s="320"/>
      <c r="BB4" s="320"/>
      <c r="BC4" s="320"/>
      <c r="BD4" s="202" t="s">
        <v>4</v>
      </c>
    </row>
    <row r="5" spans="1:82" ht="27.75" customHeight="1" thickBot="1">
      <c r="D5" s="317"/>
      <c r="E5" s="318"/>
      <c r="F5" s="318"/>
      <c r="G5" s="318"/>
      <c r="H5" s="319"/>
      <c r="I5" s="320"/>
      <c r="J5" s="320"/>
      <c r="K5" s="320"/>
      <c r="L5" s="320"/>
      <c r="M5" s="320"/>
      <c r="N5" s="320"/>
      <c r="O5" s="320"/>
      <c r="P5" s="320"/>
      <c r="Q5" s="320"/>
      <c r="R5" s="320"/>
      <c r="S5" s="320"/>
      <c r="T5" s="320"/>
      <c r="U5" s="320"/>
      <c r="V5" s="320"/>
      <c r="W5" s="320"/>
      <c r="X5" s="320"/>
      <c r="Y5" s="320"/>
      <c r="Z5" s="320"/>
      <c r="AA5" s="320"/>
      <c r="AB5" s="320"/>
      <c r="AC5" s="320"/>
      <c r="AD5" s="320"/>
      <c r="AE5" s="320"/>
      <c r="AF5" s="320"/>
      <c r="AG5" s="320"/>
      <c r="AH5" s="320"/>
      <c r="AI5" s="320"/>
      <c r="AJ5" s="320"/>
      <c r="AK5" s="320"/>
      <c r="AL5" s="320"/>
      <c r="AM5" s="320"/>
      <c r="AN5" s="320"/>
      <c r="AO5" s="320"/>
      <c r="AP5" s="320"/>
      <c r="AQ5" s="320"/>
      <c r="AR5" s="320"/>
      <c r="AS5" s="320"/>
      <c r="AT5" s="320"/>
      <c r="AU5" s="320"/>
      <c r="AV5" s="320"/>
      <c r="AW5" s="320"/>
      <c r="AX5" s="320"/>
      <c r="AY5" s="320"/>
      <c r="AZ5" s="320"/>
      <c r="BA5" s="320"/>
      <c r="BB5" s="320"/>
      <c r="BC5" s="320"/>
      <c r="BD5" s="202" t="s">
        <v>40</v>
      </c>
    </row>
    <row r="6" spans="1:82" ht="14" customHeight="1">
      <c r="D6" s="113"/>
      <c r="E6" s="114"/>
      <c r="F6" s="114"/>
      <c r="G6" s="114"/>
      <c r="H6" s="114"/>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c r="AV6" s="170"/>
      <c r="AW6" s="170"/>
      <c r="AX6" s="170"/>
      <c r="AY6" s="170"/>
      <c r="AZ6" s="170"/>
      <c r="BA6" s="170"/>
      <c r="BB6" s="170"/>
      <c r="BC6" s="170"/>
      <c r="BD6" s="115"/>
    </row>
    <row r="7" spans="1:82" ht="26.25" customHeight="1">
      <c r="D7" s="322" t="s">
        <v>41</v>
      </c>
      <c r="E7" s="323"/>
      <c r="F7" s="323"/>
      <c r="G7" s="324"/>
      <c r="H7" s="301" t="s">
        <v>434</v>
      </c>
      <c r="I7" s="300"/>
      <c r="J7" s="300"/>
      <c r="K7" s="300"/>
      <c r="L7" s="300"/>
      <c r="M7" s="300"/>
      <c r="N7" s="300"/>
      <c r="O7" s="300"/>
      <c r="P7" s="300"/>
      <c r="Q7" s="300"/>
      <c r="R7" s="300"/>
      <c r="S7" s="300"/>
      <c r="T7" s="300"/>
      <c r="U7" s="300"/>
      <c r="V7" s="300"/>
      <c r="W7" s="300"/>
      <c r="X7" s="300"/>
      <c r="Y7" s="300"/>
      <c r="Z7" s="300"/>
      <c r="AA7" s="300"/>
      <c r="AB7" s="300"/>
      <c r="AC7" s="300"/>
      <c r="AD7" s="300"/>
      <c r="AE7" s="300"/>
      <c r="AF7" s="300"/>
      <c r="AG7" s="300"/>
      <c r="AH7" s="300"/>
      <c r="AI7" s="300"/>
      <c r="AJ7" s="300"/>
      <c r="AK7" s="300"/>
      <c r="AL7" s="300"/>
      <c r="AM7" s="300"/>
      <c r="AN7" s="300"/>
      <c r="AO7" s="300"/>
      <c r="AP7" s="300"/>
      <c r="AQ7" s="300"/>
      <c r="AR7" s="300"/>
      <c r="AS7" s="300"/>
      <c r="AT7" s="300"/>
      <c r="AU7" s="300"/>
      <c r="AV7" s="300"/>
      <c r="AW7" s="300"/>
      <c r="AX7" s="300"/>
      <c r="AY7" s="300"/>
      <c r="AZ7" s="300"/>
      <c r="BA7" s="300"/>
      <c r="BB7" s="300"/>
      <c r="BC7" s="300"/>
      <c r="BD7" s="300"/>
      <c r="BE7" s="171"/>
      <c r="BF7" s="171"/>
      <c r="BG7" s="171"/>
      <c r="BH7" s="171"/>
      <c r="BI7" s="171"/>
      <c r="BJ7" s="171"/>
      <c r="BK7" s="171"/>
      <c r="BL7" s="171"/>
      <c r="BM7" s="171"/>
      <c r="BN7" s="171"/>
      <c r="BO7" s="171"/>
      <c r="BP7" s="171"/>
      <c r="BQ7" s="171"/>
      <c r="BR7" s="171"/>
      <c r="BS7" s="171"/>
      <c r="BT7" s="171"/>
      <c r="BU7" s="171"/>
      <c r="BV7" s="171"/>
      <c r="BW7" s="171"/>
      <c r="BX7" s="171"/>
      <c r="BY7" s="171"/>
      <c r="BZ7" s="171"/>
      <c r="CA7" s="171"/>
      <c r="CB7" s="171"/>
      <c r="CC7" s="171"/>
      <c r="CD7" s="171"/>
    </row>
    <row r="8" spans="1:82" ht="30" customHeight="1">
      <c r="D8" s="322" t="s">
        <v>42</v>
      </c>
      <c r="E8" s="323"/>
      <c r="F8" s="323"/>
      <c r="G8" s="324"/>
      <c r="H8" s="301" t="s">
        <v>433</v>
      </c>
      <c r="I8" s="300"/>
      <c r="J8" s="300"/>
      <c r="K8" s="300"/>
      <c r="L8" s="300"/>
      <c r="M8" s="300"/>
      <c r="N8" s="300"/>
      <c r="O8" s="300"/>
      <c r="P8" s="300"/>
      <c r="Q8" s="300"/>
      <c r="R8" s="300"/>
      <c r="S8" s="300"/>
      <c r="T8" s="300"/>
      <c r="U8" s="300"/>
      <c r="V8" s="300"/>
      <c r="W8" s="300"/>
      <c r="X8" s="300"/>
      <c r="Y8" s="300"/>
      <c r="Z8" s="300"/>
      <c r="AA8" s="300"/>
      <c r="AB8" s="300"/>
      <c r="AC8" s="300"/>
      <c r="AD8" s="300"/>
      <c r="AE8" s="300"/>
      <c r="AF8" s="300"/>
      <c r="AG8" s="300"/>
      <c r="AH8" s="300"/>
      <c r="AI8" s="300"/>
      <c r="AJ8" s="300"/>
      <c r="AK8" s="300"/>
      <c r="AL8" s="300"/>
      <c r="AM8" s="300"/>
      <c r="AN8" s="300"/>
      <c r="AO8" s="300"/>
      <c r="AP8" s="300"/>
      <c r="AQ8" s="300"/>
      <c r="AR8" s="300"/>
      <c r="AS8" s="300"/>
      <c r="AT8" s="300"/>
      <c r="AU8" s="300"/>
      <c r="AV8" s="300"/>
      <c r="AW8" s="300"/>
      <c r="AX8" s="300"/>
      <c r="AY8" s="300"/>
      <c r="AZ8" s="300"/>
      <c r="BA8" s="300"/>
      <c r="BB8" s="300"/>
      <c r="BC8" s="300"/>
      <c r="BD8" s="300"/>
      <c r="BE8" s="171"/>
      <c r="BF8" s="171"/>
      <c r="BG8" s="171"/>
      <c r="BH8" s="171"/>
      <c r="BI8" s="171"/>
      <c r="BJ8" s="171"/>
      <c r="BK8" s="171"/>
      <c r="BL8" s="171"/>
      <c r="BM8" s="171"/>
      <c r="BN8" s="171"/>
      <c r="BO8" s="171"/>
      <c r="BP8" s="171"/>
      <c r="BQ8" s="171"/>
      <c r="BR8" s="171"/>
      <c r="BS8" s="171"/>
      <c r="BT8" s="171"/>
      <c r="BU8" s="171"/>
      <c r="BV8" s="171"/>
      <c r="BW8" s="171"/>
      <c r="BX8" s="171"/>
      <c r="BY8" s="171"/>
      <c r="BZ8" s="171"/>
      <c r="CA8" s="171"/>
      <c r="CB8" s="171"/>
      <c r="CC8" s="171"/>
      <c r="CD8" s="171"/>
    </row>
    <row r="9" spans="1:82" ht="24" customHeight="1">
      <c r="D9" s="322" t="s">
        <v>43</v>
      </c>
      <c r="E9" s="323"/>
      <c r="F9" s="323"/>
      <c r="G9" s="324"/>
      <c r="H9" s="299" t="s">
        <v>435</v>
      </c>
      <c r="I9" s="300"/>
      <c r="J9" s="300"/>
      <c r="K9" s="300"/>
      <c r="L9" s="300"/>
      <c r="M9" s="300"/>
      <c r="N9" s="300"/>
      <c r="O9" s="300"/>
      <c r="P9" s="300"/>
      <c r="Q9" s="300"/>
      <c r="R9" s="300"/>
      <c r="S9" s="300"/>
      <c r="T9" s="300"/>
      <c r="U9" s="300"/>
      <c r="V9" s="300"/>
      <c r="W9" s="300"/>
      <c r="X9" s="300"/>
      <c r="Y9" s="300"/>
      <c r="Z9" s="300"/>
      <c r="AA9" s="300"/>
      <c r="AB9" s="300"/>
      <c r="AC9" s="300"/>
      <c r="AD9" s="300"/>
      <c r="AE9" s="300"/>
      <c r="AF9" s="300"/>
      <c r="AG9" s="300"/>
      <c r="AH9" s="300"/>
      <c r="AI9" s="300"/>
      <c r="AJ9" s="300"/>
      <c r="AK9" s="300"/>
      <c r="AL9" s="300"/>
      <c r="AM9" s="300"/>
      <c r="AN9" s="300"/>
      <c r="AO9" s="300"/>
      <c r="AP9" s="300"/>
      <c r="AQ9" s="300"/>
      <c r="AR9" s="300"/>
      <c r="AS9" s="300"/>
      <c r="AT9" s="300"/>
      <c r="AU9" s="300"/>
      <c r="AV9" s="300"/>
      <c r="AW9" s="300"/>
      <c r="AX9" s="300"/>
      <c r="AY9" s="300"/>
      <c r="AZ9" s="300"/>
      <c r="BA9" s="300"/>
      <c r="BB9" s="300"/>
      <c r="BC9" s="300"/>
      <c r="BD9" s="300"/>
      <c r="BE9" s="171"/>
      <c r="BF9" s="171"/>
      <c r="BG9" s="171"/>
      <c r="BH9" s="171"/>
      <c r="BI9" s="171"/>
      <c r="BJ9" s="171"/>
      <c r="BK9" s="171"/>
      <c r="BL9" s="171"/>
      <c r="BM9" s="171"/>
      <c r="BN9" s="171"/>
      <c r="BO9" s="171"/>
      <c r="BP9" s="171"/>
      <c r="BQ9" s="171"/>
      <c r="BR9" s="171"/>
      <c r="BS9" s="171"/>
      <c r="BT9" s="171"/>
      <c r="BU9" s="171"/>
      <c r="BV9" s="171"/>
      <c r="BW9" s="171"/>
      <c r="BX9" s="171"/>
      <c r="BY9" s="171"/>
      <c r="BZ9" s="171"/>
      <c r="CA9" s="171"/>
      <c r="CB9" s="171"/>
      <c r="CC9" s="171"/>
      <c r="CD9" s="171"/>
    </row>
    <row r="10" spans="1:82" s="172" customFormat="1" ht="24" customHeight="1">
      <c r="D10" s="173"/>
      <c r="E10" s="174"/>
      <c r="F10" s="175"/>
      <c r="G10" s="175"/>
      <c r="H10" s="173"/>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I10" s="176"/>
      <c r="AJ10" s="176"/>
      <c r="AK10" s="176"/>
      <c r="AL10" s="176"/>
      <c r="AM10" s="176"/>
      <c r="AN10" s="176"/>
      <c r="AO10" s="176"/>
      <c r="AP10" s="176"/>
      <c r="AQ10" s="176"/>
      <c r="AR10" s="176"/>
      <c r="AS10" s="203"/>
      <c r="AT10" s="203"/>
      <c r="AU10" s="203"/>
      <c r="AV10" s="203"/>
      <c r="AW10" s="203"/>
      <c r="AX10" s="203"/>
      <c r="AY10" s="203"/>
      <c r="AZ10" s="177"/>
      <c r="BA10" s="177"/>
      <c r="BB10" s="177"/>
      <c r="BC10" s="177"/>
      <c r="BD10" s="177"/>
    </row>
    <row r="11" spans="1:82" s="172" customFormat="1" ht="25.5" customHeight="1">
      <c r="A11" s="274" t="s">
        <v>9</v>
      </c>
      <c r="B11" s="274"/>
      <c r="C11" s="275"/>
      <c r="D11" s="297" t="s">
        <v>44</v>
      </c>
      <c r="E11" s="298"/>
      <c r="F11" s="298"/>
      <c r="G11" s="298"/>
      <c r="H11" s="298"/>
      <c r="I11" s="298"/>
      <c r="J11" s="298"/>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298"/>
      <c r="AJ11" s="298"/>
      <c r="AK11" s="298"/>
      <c r="AL11" s="298"/>
      <c r="AM11" s="298"/>
      <c r="AN11" s="298"/>
      <c r="AO11" s="298"/>
      <c r="AP11" s="298"/>
      <c r="AQ11" s="298"/>
      <c r="AR11" s="309"/>
      <c r="AS11" s="294" t="s">
        <v>45</v>
      </c>
      <c r="AT11" s="294"/>
      <c r="AU11" s="294"/>
      <c r="AV11" s="294"/>
      <c r="AW11" s="294"/>
      <c r="AX11" s="294"/>
      <c r="AY11" s="294"/>
      <c r="AZ11" s="303" t="s">
        <v>46</v>
      </c>
      <c r="BA11" s="304"/>
      <c r="BB11" s="304"/>
      <c r="BC11" s="305" t="s">
        <v>47</v>
      </c>
      <c r="BD11" s="306"/>
    </row>
    <row r="12" spans="1:82" ht="27" customHeight="1">
      <c r="D12" s="283" t="s">
        <v>48</v>
      </c>
      <c r="E12" s="283"/>
      <c r="F12" s="283"/>
      <c r="G12" s="283"/>
      <c r="H12" s="283"/>
      <c r="I12" s="321"/>
      <c r="J12" s="321"/>
      <c r="K12" s="321"/>
      <c r="L12" s="321"/>
      <c r="M12" s="321"/>
      <c r="N12" s="321"/>
      <c r="O12" s="321"/>
      <c r="P12" s="321" t="s">
        <v>49</v>
      </c>
      <c r="Q12" s="321"/>
      <c r="R12" s="321"/>
      <c r="S12" s="321"/>
      <c r="T12" s="321"/>
      <c r="U12" s="321"/>
      <c r="V12" s="321" t="s">
        <v>50</v>
      </c>
      <c r="W12" s="321"/>
      <c r="X12" s="321"/>
      <c r="Y12" s="321"/>
      <c r="Z12" s="321"/>
      <c r="AA12" s="321"/>
      <c r="AB12" s="321"/>
      <c r="AC12" s="321"/>
      <c r="AD12" s="321"/>
      <c r="AE12" s="321"/>
      <c r="AF12" s="272" t="s">
        <v>51</v>
      </c>
      <c r="AG12" s="321" t="s">
        <v>52</v>
      </c>
      <c r="AH12" s="321"/>
      <c r="AI12" s="321"/>
      <c r="AJ12" s="321"/>
      <c r="AK12" s="321"/>
      <c r="AL12" s="321"/>
      <c r="AM12" s="321"/>
      <c r="AN12" s="216"/>
      <c r="AO12" s="297" t="s">
        <v>53</v>
      </c>
      <c r="AP12" s="298"/>
      <c r="AQ12" s="298"/>
      <c r="AR12" s="298"/>
      <c r="AS12" s="294"/>
      <c r="AT12" s="294"/>
      <c r="AU12" s="294"/>
      <c r="AV12" s="294"/>
      <c r="AW12" s="294"/>
      <c r="AX12" s="294"/>
      <c r="AY12" s="294"/>
      <c r="AZ12" s="303"/>
      <c r="BA12" s="304"/>
      <c r="BB12" s="304"/>
      <c r="BC12" s="307"/>
      <c r="BD12" s="308"/>
      <c r="BE12" s="171"/>
      <c r="BF12" s="171"/>
      <c r="BG12" s="171"/>
      <c r="BH12" s="171"/>
      <c r="BI12" s="171"/>
      <c r="BJ12" s="171"/>
      <c r="BK12" s="171"/>
      <c r="BL12" s="171"/>
      <c r="BM12" s="171"/>
      <c r="BN12" s="171"/>
      <c r="BO12" s="171"/>
      <c r="BP12" s="171"/>
      <c r="BQ12" s="171"/>
      <c r="BR12" s="171"/>
      <c r="BS12" s="171"/>
      <c r="BT12" s="171"/>
      <c r="BU12" s="171"/>
      <c r="BV12" s="171"/>
      <c r="BW12" s="171"/>
      <c r="BX12" s="171"/>
      <c r="BY12" s="171"/>
      <c r="BZ12" s="171"/>
      <c r="CA12" s="171"/>
      <c r="CB12" s="171"/>
      <c r="CC12" s="171"/>
      <c r="CD12" s="171"/>
    </row>
    <row r="13" spans="1:82" ht="29" customHeight="1">
      <c r="D13" s="302" t="s">
        <v>54</v>
      </c>
      <c r="E13" s="282" t="s">
        <v>55</v>
      </c>
      <c r="F13" s="276" t="s">
        <v>56</v>
      </c>
      <c r="G13" s="278" t="s">
        <v>57</v>
      </c>
      <c r="H13" s="283" t="s">
        <v>58</v>
      </c>
      <c r="I13" s="282" t="s">
        <v>59</v>
      </c>
      <c r="J13" s="282" t="s">
        <v>60</v>
      </c>
      <c r="K13" s="282" t="s">
        <v>420</v>
      </c>
      <c r="L13" s="278" t="s">
        <v>61</v>
      </c>
      <c r="M13" s="270" t="s">
        <v>62</v>
      </c>
      <c r="N13" s="271"/>
      <c r="O13" s="282" t="s">
        <v>63</v>
      </c>
      <c r="P13" s="282" t="s">
        <v>64</v>
      </c>
      <c r="Q13" s="283" t="s">
        <v>65</v>
      </c>
      <c r="R13" s="282" t="s">
        <v>66</v>
      </c>
      <c r="S13" s="282" t="s">
        <v>67</v>
      </c>
      <c r="T13" s="283" t="s">
        <v>65</v>
      </c>
      <c r="U13" s="282" t="s">
        <v>68</v>
      </c>
      <c r="V13" s="280" t="s">
        <v>69</v>
      </c>
      <c r="W13" s="282" t="s">
        <v>70</v>
      </c>
      <c r="X13" s="282" t="s">
        <v>71</v>
      </c>
      <c r="Y13" s="282" t="s">
        <v>72</v>
      </c>
      <c r="Z13" s="282" t="s">
        <v>73</v>
      </c>
      <c r="AA13" s="282"/>
      <c r="AB13" s="282"/>
      <c r="AC13" s="282"/>
      <c r="AD13" s="282"/>
      <c r="AE13" s="282"/>
      <c r="AF13" s="273"/>
      <c r="AG13" s="280" t="s">
        <v>74</v>
      </c>
      <c r="AH13" s="280" t="s">
        <v>75</v>
      </c>
      <c r="AI13" s="281" t="s">
        <v>65</v>
      </c>
      <c r="AJ13" s="280" t="s">
        <v>76</v>
      </c>
      <c r="AK13" s="280" t="s">
        <v>65</v>
      </c>
      <c r="AL13" s="280" t="s">
        <v>77</v>
      </c>
      <c r="AM13" s="280" t="s">
        <v>78</v>
      </c>
      <c r="AN13" s="280" t="s">
        <v>79</v>
      </c>
      <c r="AO13" s="282" t="s">
        <v>80</v>
      </c>
      <c r="AP13" s="282" t="s">
        <v>81</v>
      </c>
      <c r="AQ13" s="282" t="s">
        <v>82</v>
      </c>
      <c r="AR13" s="278" t="s">
        <v>83</v>
      </c>
      <c r="AS13" s="292" t="s">
        <v>84</v>
      </c>
      <c r="AT13" s="292" t="s">
        <v>85</v>
      </c>
      <c r="AU13" s="290" t="s">
        <v>418</v>
      </c>
      <c r="AV13" s="290" t="s">
        <v>86</v>
      </c>
      <c r="AW13" s="292" t="s">
        <v>419</v>
      </c>
      <c r="AX13" s="292" t="s">
        <v>87</v>
      </c>
      <c r="AY13" s="292" t="s">
        <v>88</v>
      </c>
      <c r="AZ13" s="304" t="s">
        <v>89</v>
      </c>
      <c r="BA13" s="304" t="s">
        <v>417</v>
      </c>
      <c r="BB13" s="304" t="s">
        <v>90</v>
      </c>
      <c r="BC13" s="292" t="s">
        <v>89</v>
      </c>
      <c r="BD13" s="292" t="s">
        <v>91</v>
      </c>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row>
    <row r="14" spans="1:82" s="180" customFormat="1" ht="29" customHeight="1" thickBot="1">
      <c r="A14" s="178"/>
      <c r="B14" s="178"/>
      <c r="C14" s="178"/>
      <c r="D14" s="272"/>
      <c r="E14" s="278"/>
      <c r="F14" s="277"/>
      <c r="G14" s="279"/>
      <c r="H14" s="276"/>
      <c r="I14" s="278"/>
      <c r="J14" s="278"/>
      <c r="K14" s="276"/>
      <c r="L14" s="279"/>
      <c r="M14" s="217" t="s">
        <v>92</v>
      </c>
      <c r="N14" s="217" t="s">
        <v>93</v>
      </c>
      <c r="O14" s="278"/>
      <c r="P14" s="278"/>
      <c r="Q14" s="276"/>
      <c r="R14" s="278"/>
      <c r="S14" s="276"/>
      <c r="T14" s="276"/>
      <c r="U14" s="278"/>
      <c r="V14" s="281"/>
      <c r="W14" s="278"/>
      <c r="X14" s="278"/>
      <c r="Y14" s="278"/>
      <c r="Z14" s="215" t="s">
        <v>94</v>
      </c>
      <c r="AA14" s="215" t="s">
        <v>95</v>
      </c>
      <c r="AB14" s="215" t="s">
        <v>96</v>
      </c>
      <c r="AC14" s="215" t="s">
        <v>51</v>
      </c>
      <c r="AD14" s="215" t="s">
        <v>97</v>
      </c>
      <c r="AE14" s="215" t="s">
        <v>98</v>
      </c>
      <c r="AF14" s="273"/>
      <c r="AG14" s="281"/>
      <c r="AH14" s="281"/>
      <c r="AI14" s="296"/>
      <c r="AJ14" s="281"/>
      <c r="AK14" s="281"/>
      <c r="AL14" s="281"/>
      <c r="AM14" s="281"/>
      <c r="AN14" s="281"/>
      <c r="AO14" s="278"/>
      <c r="AP14" s="278"/>
      <c r="AQ14" s="278"/>
      <c r="AR14" s="279"/>
      <c r="AS14" s="293"/>
      <c r="AT14" s="293"/>
      <c r="AU14" s="291"/>
      <c r="AV14" s="291"/>
      <c r="AW14" s="293"/>
      <c r="AX14" s="293"/>
      <c r="AY14" s="293"/>
      <c r="AZ14" s="310"/>
      <c r="BA14" s="310"/>
      <c r="BB14" s="310"/>
      <c r="BC14" s="293"/>
      <c r="BD14" s="293"/>
      <c r="BE14" s="179"/>
      <c r="BF14" s="179"/>
      <c r="BG14" s="179"/>
      <c r="BH14" s="179"/>
      <c r="BI14" s="179"/>
      <c r="BJ14" s="179"/>
      <c r="BK14" s="179"/>
      <c r="BL14" s="179"/>
      <c r="BM14" s="179"/>
      <c r="BN14" s="179"/>
      <c r="BO14" s="179"/>
      <c r="BP14" s="179"/>
      <c r="BQ14" s="179"/>
      <c r="BR14" s="179"/>
      <c r="BS14" s="179"/>
      <c r="BT14" s="179"/>
      <c r="BU14" s="179"/>
      <c r="BV14" s="179"/>
      <c r="BW14" s="179"/>
      <c r="BX14" s="179"/>
      <c r="BY14" s="179"/>
      <c r="BZ14" s="179"/>
      <c r="CA14" s="179"/>
      <c r="CB14" s="179"/>
      <c r="CC14" s="179"/>
      <c r="CD14" s="179"/>
    </row>
    <row r="15" spans="1:82" s="186" customFormat="1" ht="177" customHeight="1">
      <c r="D15" s="597">
        <v>1</v>
      </c>
      <c r="E15" s="598" t="s">
        <v>99</v>
      </c>
      <c r="F15" s="598" t="s">
        <v>173</v>
      </c>
      <c r="G15" s="599" t="s">
        <v>146</v>
      </c>
      <c r="H15" s="598" t="s">
        <v>188</v>
      </c>
      <c r="I15" s="595" t="s">
        <v>432</v>
      </c>
      <c r="J15" s="595" t="s">
        <v>431</v>
      </c>
      <c r="K15" s="595" t="s">
        <v>426</v>
      </c>
      <c r="L15" s="595" t="s">
        <v>189</v>
      </c>
      <c r="M15" s="600" t="s">
        <v>185</v>
      </c>
      <c r="N15" s="600" t="s">
        <v>164</v>
      </c>
      <c r="O15" s="595">
        <v>375</v>
      </c>
      <c r="P15" s="601" t="str">
        <f>IF(O15&lt;=0,"",IF(O15&lt;=2,"Muy Baja",IF(O15&lt;=24,"Baja",IF(O15&lt;=500,"Media",IF(O15&lt;=5000,"Alta","Muy Alta")))))</f>
        <v>Media</v>
      </c>
      <c r="Q15" s="602">
        <f t="shared" ref="Q15" si="0">IF(P15="","",IF(P15="Muy Baja",0.2,IF(P15="Baja",0.4,IF(P15="Media",0.6,IF(P15="Alta",0.8,IF(P15="Muy Alta",1,))))))</f>
        <v>0.6</v>
      </c>
      <c r="R15" s="705" t="s">
        <v>133</v>
      </c>
      <c r="S15" s="601" t="str">
        <f>IFERROR(VLOOKUP(R15,Criterios[],2,FALSE),"")</f>
        <v>Catastrófico</v>
      </c>
      <c r="T15" s="602">
        <f t="shared" ref="T15" si="1">IF(S15="","",IF(S15="Leve",0.2,IF(S15="Menor",0.4,IF(S15="Moderado",0.6,IF(S15="Mayor",0.8,IF(S15="Catastrófico",1,))))))</f>
        <v>1</v>
      </c>
      <c r="U15" s="601" t="str">
        <f>IF(OR(AND(P15="Muy Baja",S15="Leve"),AND(P15="Muy Baja",S15="Menor"),AND(P15="Baja",S15="Leve")),"Bajo",IF(OR(AND(P15="Muy baja",S15="Moderado"),AND(P15="Baja",S15="Menor"),AND(P15="Baja",S15="Moderado"),AND(P15="Media",S15="Leve"),AND(P15="Media",S15="Menor"),AND(P15="Media",S15="Moderado"),AND(P15="Alta",S15="Leve"),AND(P15="Alta",S15="Menor")),"Moderado",IF(OR(AND(P15="Muy Baja",S15="Mayor"),AND(P15="Baja",S15="Mayor"),AND(P15="Media",S15="Mayor"),AND(P15="Alta",S15="Moderado"),AND(P15="Alta",S15="Mayor"),AND(P15="Muy Alta",S15="Leve"),AND(P15="Muy Alta",S15="Menor"),AND(P15="Muy Alta",S15="Moderado"),AND(P15="Muy Alta",S15="Mayor")),"Alto",IF(OR(AND(P15="Muy Baja",S15="Catastrófico"),AND(P15="Baja",S15="Catastrófico"),AND(P15="Media",S15="Catastrófico"),AND(P15="Alta",S15="Catastrófico"),AND(P15="Muy Alta",S15="Catastrófico")),"Extremo",""))))</f>
        <v>Extremo</v>
      </c>
      <c r="V15" s="603">
        <v>1</v>
      </c>
      <c r="W15" s="604" t="s">
        <v>466</v>
      </c>
      <c r="X15" s="214" t="s">
        <v>467</v>
      </c>
      <c r="Y15" s="605" t="str">
        <f t="shared" ref="Y15:Y20" si="2">IF(OR(Z15="Preventivo",Z15="Detectivo"),"Probabilidad",IF(Z15="Correctivo","Impacto",""))</f>
        <v>Probabilidad</v>
      </c>
      <c r="Z15" s="606" t="s">
        <v>151</v>
      </c>
      <c r="AA15" s="606" t="s">
        <v>165</v>
      </c>
      <c r="AB15" s="607" t="str">
        <f t="shared" ref="AB15:AB21" si="3">IF(AND(Z15="Preventivo",AA15="Automático"),"50%",IF(AND(Z15="Preventivo",AA15="Manual"),"40%",IF(AND(Z15="Detectivo",AA15="Automático"),"40%",IF(AND(Z15="Detectivo",AA15="Manual"),"30%",IF(AND(Z15="Correctivo",AA15="Automático"),"35%",IF(AND(Z15="Correctivo",AA15="Manual"),"25%",""))))))</f>
        <v>40%</v>
      </c>
      <c r="AC15" s="606" t="s">
        <v>153</v>
      </c>
      <c r="AD15" s="606" t="s">
        <v>154</v>
      </c>
      <c r="AE15" s="606" t="s">
        <v>412</v>
      </c>
      <c r="AF15" s="596" t="s">
        <v>422</v>
      </c>
      <c r="AG15" s="608">
        <f>IFERROR(IF(Y15="Probabilidad",Q15-(Q15*((AB15+AB16)/2)),IF(Y15="Impacto",Q15,"")),"")</f>
        <v>0.36</v>
      </c>
      <c r="AH15" s="609" t="str">
        <f>IFERROR(IF(AG15="","",IF(AG15&lt;=0.2,"Muy Baja",IF(AG15&lt;=0.4,"Baja",IF(AG15&lt;=0.6,"Media",IF(AG15&lt;=0.8,"Alta","Muy Alta"))))),"")</f>
        <v>Baja</v>
      </c>
      <c r="AI15" s="602">
        <f>+AG15</f>
        <v>0.36</v>
      </c>
      <c r="AJ15" s="609" t="str">
        <f>IFERROR(IF(AK15="","",IF(AK15&lt;=0.2,"Leve",IF(AK15&lt;=0.4,"Menor",IF(AK15&lt;=0.6,"Moderado",IF(AK15&lt;=0.8,"Mayor","Catastrófico"))))),"")</f>
        <v>Catastrófico</v>
      </c>
      <c r="AK15" s="602">
        <f>IFERROR(IF(Y15="Impacto",(T15-(T15*((AB15+#REF!)/2))),IF(Y15="Probabilidad",T15,"")),"")</f>
        <v>1</v>
      </c>
      <c r="AL15" s="609" t="str">
        <f>IFERROR(IF(OR(AND(AH15="Muy Baja",AJ15="Leve"),AND(AH15="Muy Baja",AJ15="Menor"),
AND(AH15="Baja",AJ15="Leve")
),"Bajo",IF(OR(AND(AH15="Muy Baja",AJ15="Moderado"),AND(AH15="Baja",AJ15="Menor"),
AND(AH15="Baja",AJ15="Moderado"),AND(AH15="Media",AJ15="Leve"),
AND(AH15="Media",AJ15="Menor"),
AND(AH15="Media",AJ15="Moderado"),AND(AH15="Alta",AJ15="Leve"),
AND(AH15="Alta",AJ15="Menor")
),
"Moderado",
IF(
OR(
AND(AH15="Muy Baja",AJ15="Mayor"),
AND(AH15="Alta",AJ15="Moderado"),AND(AH15="Alta",AJ15="Mayor"),
AND(AH15="Muy Alta",AJ15="Leve"),AND(AH15="Muy Alta",AJ15="Menor"),
AND(AH15="Muy Alta",AJ15="Moderado"),
AND(AH15="Muy Alta",AJ15="Mayor"),
AND(AH15="Baja",AJ15="Mayor"),
AND(AH15="Media",AJ15="Mayor")
),"Alto",
IF(
AJ15="Catastrófico",
"Extremo",""
)
)
)
),
"")</f>
        <v>Extremo</v>
      </c>
      <c r="AM15" s="610" t="s">
        <v>101</v>
      </c>
      <c r="AN15" s="603">
        <v>1</v>
      </c>
      <c r="AO15" s="708" t="s">
        <v>423</v>
      </c>
      <c r="AP15" s="611" t="s">
        <v>468</v>
      </c>
      <c r="AQ15" s="611" t="s">
        <v>424</v>
      </c>
      <c r="AR15" s="612">
        <v>46387</v>
      </c>
      <c r="AS15" s="613"/>
      <c r="AT15" s="643"/>
      <c r="AU15" s="210"/>
      <c r="AV15" s="210"/>
      <c r="AW15" s="212"/>
      <c r="AX15" s="212"/>
      <c r="AY15" s="614"/>
      <c r="AZ15" s="615"/>
      <c r="BA15" s="616"/>
      <c r="BB15" s="709"/>
      <c r="BC15" s="617"/>
      <c r="BD15" s="618"/>
      <c r="BE15" s="199"/>
      <c r="BF15" s="187"/>
      <c r="BG15" s="187"/>
      <c r="BH15" s="187"/>
      <c r="BI15" s="187"/>
      <c r="BJ15" s="187"/>
      <c r="BK15" s="187"/>
      <c r="BL15" s="187"/>
      <c r="BM15" s="187"/>
      <c r="BN15" s="187"/>
      <c r="BO15" s="187"/>
      <c r="BP15" s="187"/>
      <c r="BQ15" s="187"/>
      <c r="BR15" s="187"/>
      <c r="BS15" s="187"/>
      <c r="BT15" s="187"/>
      <c r="BU15" s="187"/>
      <c r="BV15" s="187"/>
      <c r="BW15" s="187"/>
      <c r="BX15" s="187"/>
      <c r="BY15" s="187"/>
      <c r="BZ15" s="187"/>
      <c r="CA15" s="187"/>
      <c r="CB15" s="187"/>
      <c r="CC15" s="187"/>
      <c r="CD15" s="187"/>
    </row>
    <row r="16" spans="1:82" s="186" customFormat="1" ht="200.25" customHeight="1" thickBot="1">
      <c r="D16" s="644"/>
      <c r="E16" s="645"/>
      <c r="F16" s="645"/>
      <c r="G16" s="646"/>
      <c r="H16" s="645"/>
      <c r="I16" s="647"/>
      <c r="J16" s="647"/>
      <c r="K16" s="647"/>
      <c r="L16" s="647"/>
      <c r="M16" s="648"/>
      <c r="N16" s="648"/>
      <c r="O16" s="647"/>
      <c r="P16" s="650"/>
      <c r="Q16" s="651"/>
      <c r="R16" s="706"/>
      <c r="S16" s="650"/>
      <c r="T16" s="651"/>
      <c r="U16" s="650"/>
      <c r="V16" s="653">
        <v>2</v>
      </c>
      <c r="W16" s="654" t="s">
        <v>465</v>
      </c>
      <c r="X16" s="655" t="s">
        <v>458</v>
      </c>
      <c r="Y16" s="656" t="str">
        <f t="shared" si="2"/>
        <v>Probabilidad</v>
      </c>
      <c r="Z16" s="657" t="s">
        <v>151</v>
      </c>
      <c r="AA16" s="657" t="s">
        <v>165</v>
      </c>
      <c r="AB16" s="658" t="str">
        <f t="shared" si="3"/>
        <v>40%</v>
      </c>
      <c r="AC16" s="657" t="s">
        <v>153</v>
      </c>
      <c r="AD16" s="657" t="s">
        <v>154</v>
      </c>
      <c r="AE16" s="657" t="s">
        <v>412</v>
      </c>
      <c r="AF16" s="659" t="s">
        <v>421</v>
      </c>
      <c r="AG16" s="660"/>
      <c r="AH16" s="661"/>
      <c r="AI16" s="651"/>
      <c r="AJ16" s="661"/>
      <c r="AK16" s="651"/>
      <c r="AL16" s="661"/>
      <c r="AM16" s="662"/>
      <c r="AN16" s="653">
        <v>2</v>
      </c>
      <c r="AO16" s="712" t="s">
        <v>425</v>
      </c>
      <c r="AP16" s="707" t="s">
        <v>468</v>
      </c>
      <c r="AQ16" s="707" t="s">
        <v>455</v>
      </c>
      <c r="AR16" s="665">
        <v>46387</v>
      </c>
      <c r="AS16" s="666"/>
      <c r="AT16" s="667"/>
      <c r="AU16" s="211"/>
      <c r="AV16" s="211"/>
      <c r="AW16" s="213"/>
      <c r="AX16" s="213"/>
      <c r="AY16" s="668"/>
      <c r="AZ16" s="669"/>
      <c r="BA16" s="670"/>
      <c r="BB16" s="671"/>
      <c r="BC16" s="672"/>
      <c r="BD16" s="673"/>
      <c r="BE16" s="200"/>
      <c r="BF16" s="187"/>
      <c r="BG16" s="187"/>
      <c r="BH16" s="187"/>
      <c r="BI16" s="187"/>
      <c r="BJ16" s="187"/>
      <c r="BK16" s="187"/>
      <c r="BL16" s="187"/>
      <c r="BM16" s="187"/>
      <c r="BN16" s="187"/>
      <c r="BO16" s="187"/>
      <c r="BP16" s="187"/>
      <c r="BQ16" s="187"/>
      <c r="BR16" s="187"/>
      <c r="BS16" s="187"/>
      <c r="BT16" s="187"/>
      <c r="BU16" s="187"/>
      <c r="BV16" s="187"/>
      <c r="BW16" s="187"/>
      <c r="BX16" s="187"/>
      <c r="BY16" s="187"/>
      <c r="BZ16" s="187"/>
      <c r="CA16" s="187"/>
      <c r="CB16" s="187"/>
      <c r="CC16" s="187"/>
      <c r="CD16" s="187"/>
    </row>
    <row r="17" spans="4:82" s="186" customFormat="1" ht="175.5" customHeight="1">
      <c r="D17" s="674">
        <v>2</v>
      </c>
      <c r="E17" s="675" t="s">
        <v>143</v>
      </c>
      <c r="F17" s="675" t="s">
        <v>173</v>
      </c>
      <c r="G17" s="676" t="s">
        <v>146</v>
      </c>
      <c r="H17" s="675" t="s">
        <v>183</v>
      </c>
      <c r="I17" s="677" t="s">
        <v>436</v>
      </c>
      <c r="J17" s="677" t="s">
        <v>437</v>
      </c>
      <c r="K17" s="677" t="s">
        <v>451</v>
      </c>
      <c r="L17" s="677" t="s">
        <v>162</v>
      </c>
      <c r="M17" s="678" t="s">
        <v>185</v>
      </c>
      <c r="N17" s="678" t="s">
        <v>178</v>
      </c>
      <c r="O17" s="677">
        <f>+(270*11)+(105*4)</f>
        <v>3390</v>
      </c>
      <c r="P17" s="680" t="str">
        <f>IF(O17&lt;=0,"",IF(O17&lt;=2,"Muy Baja",IF(O17&lt;=24,"Baja",IF(O17&lt;=500,"Media",IF(O17&lt;=5000,"Alta","Muy Alta")))))</f>
        <v>Alta</v>
      </c>
      <c r="Q17" s="681">
        <f t="shared" ref="Q17" si="4">IF(P17="","",IF(P17="Muy Baja",0.2,IF(P17="Baja",0.4,IF(P17="Media",0.6,IF(P17="Alta",0.8,IF(P17="Muy Alta",1,))))))</f>
        <v>0.8</v>
      </c>
      <c r="R17" s="710" t="s">
        <v>124</v>
      </c>
      <c r="S17" s="680" t="str">
        <f>IFERROR(VLOOKUP(R17,Criterios[],2,FALSE),"")</f>
        <v>Catastrófico</v>
      </c>
      <c r="T17" s="681">
        <f t="shared" ref="T17" si="5">IF(S17="","",IF(S17="Leve",0.2,IF(S17="Menor",0.4,IF(S17="Moderado",0.6,IF(S17="Mayor",0.8,IF(S17="Catastrófico",1,))))))</f>
        <v>1</v>
      </c>
      <c r="U17" s="680" t="str">
        <f>IF(OR(AND(P17="Muy Baja",S17="Leve"),AND(P17="Muy Baja",S17="Menor"),AND(P17="Baja",S17="Leve")),"Bajo",IF(OR(AND(P17="Muy baja",S17="Moderado"),AND(P17="Baja",S17="Menor"),AND(P17="Baja",S17="Moderado"),AND(P17="Media",S17="Leve"),AND(P17="Media",S17="Menor"),AND(P17="Media",S17="Moderado"),AND(P17="Alta",S17="Leve"),AND(P17="Alta",S17="Menor")),"Moderado",IF(OR(AND(P17="Muy Baja",S17="Mayor"),AND(P17="Baja",S17="Mayor"),AND(P17="Media",S17="Mayor"),AND(P17="Alta",S17="Moderado"),AND(P17="Alta",S17="Mayor"),AND(P17="Muy Alta",S17="Leve"),AND(P17="Muy Alta",S17="Menor"),AND(P17="Muy Alta",S17="Moderado"),AND(P17="Muy Alta",S17="Mayor")),"Alto",IF(OR(AND(P17="Muy Baja",S17="Catastrófico"),AND(P17="Baja",S17="Catastrófico"),AND(P17="Media",S17="Catastrófico"),AND(P17="Alta",S17="Catastrófico"),AND(P17="Muy Alta",S17="Catastrófico")),"Extremo",""))))</f>
        <v>Extremo</v>
      </c>
      <c r="V17" s="683">
        <v>1</v>
      </c>
      <c r="W17" s="684" t="s">
        <v>427</v>
      </c>
      <c r="X17" s="685" t="s">
        <v>428</v>
      </c>
      <c r="Y17" s="686" t="str">
        <f t="shared" ref="Y17" si="6">IF(OR(Z17="Preventivo",Z17="Detectivo"),"Probabilidad",IF(Z17="Correctivo","Impacto",""))</f>
        <v>Probabilidad</v>
      </c>
      <c r="Z17" s="687" t="s">
        <v>151</v>
      </c>
      <c r="AA17" s="687" t="s">
        <v>165</v>
      </c>
      <c r="AB17" s="688" t="str">
        <f>IF(AND(Z17="Preventivo",AA17="Automático"),"50%",IF(AND(Z17="Preventivo",AA17="Manual"),"40%",IF(AND(Z17="Detectivo",AA17="Automático"),"40%",IF(AND(Z17="Detectivo",AA17="Manual"),"30%",IF(AND(Z17="Correctivo",AA17="Automático"),"35%",IF(AND(Z17="Correctivo",AA17="Manual"),"25%",""))))))</f>
        <v>40%</v>
      </c>
      <c r="AC17" s="687" t="s">
        <v>153</v>
      </c>
      <c r="AD17" s="687" t="s">
        <v>154</v>
      </c>
      <c r="AE17" s="687" t="s">
        <v>412</v>
      </c>
      <c r="AF17" s="151" t="s">
        <v>429</v>
      </c>
      <c r="AG17" s="689">
        <f>IFERROR(IF(Y17="Probabilidad",Q17-(Q17*((AB17))),IF(Y17="Impacto",Q17,"")),"")</f>
        <v>0.48</v>
      </c>
      <c r="AH17" s="690" t="str">
        <f>IFERROR(IF(AG17="","",IF(AG17&lt;=0.2,"Muy Baja",IF(AG17&lt;=0.4,"Baja",IF(AG17&lt;=0.6,"Media",IF(AG17&lt;=0.8,"Alta","Muy Alta"))))),"")</f>
        <v>Media</v>
      </c>
      <c r="AI17" s="681">
        <f t="shared" ref="AI17" si="7">+AG17</f>
        <v>0.48</v>
      </c>
      <c r="AJ17" s="690" t="str">
        <f t="shared" ref="AJ17" si="8">IFERROR(IF(AK17="","",IF(AK17&lt;=0.2,"Leve",IF(AK17&lt;=0.4,"Menor",IF(AK17&lt;=0.6,"Moderado",IF(AK17&lt;=0.8,"Mayor","Catastrófico"))))),"")</f>
        <v>Catastrófico</v>
      </c>
      <c r="AK17" s="681">
        <f>IFERROR(IF(Y17="Impacto",(T17-(T17*((AB17+#REF!+#REF!+#REF!)/4))),IF(Y17="Probabilidad",T17,"")),"")</f>
        <v>1</v>
      </c>
      <c r="AL17" s="690" t="str">
        <f>IFERROR(IF(OR(AND(AH17="Muy Baja",AJ17="Leve"),AND(AH17="Muy Baja",AJ17="Menor"),
AND(AH17="Baja",AJ17="Leve")
),"Bajo",IF(OR(AND(AH17="Muy Baja",AJ17="Moderado"),AND(AH17="Baja",AJ17="Menor"),
AND(AH17="Baja",AJ17="Moderado"),AND(AH17="Media",AJ17="Leve"),
AND(AH17="Media",AJ17="Menor"),
AND(AH17="Media",AJ17="Moderado"),AND(AH17="Alta",AJ17="Leve"),
AND(AH17="Alta",AJ17="Menor")
),
"Moderado",
IF(
OR(
AND(AH17="Muy Baja",AJ17="Mayor"),
AND(AH17="Alta",AJ17="Moderado"),AND(AH17="Alta",AJ17="Mayor"),
AND(AH17="Muy Alta",AJ17="Leve"),AND(AH17="Muy Alta",AJ17="Menor"),
AND(AH17="Muy Alta",AJ17="Moderado"),
AND(AH17="Muy Alta",AJ17="Mayor"),
AND(AH17="Baja",AJ17="Mayor"),
AND(AH17="Media",AJ17="Mayor")
),"Alto",
IF(
AJ17="Catastrófico",
"Extremo",""
)
)
)
),
"")</f>
        <v>Extremo</v>
      </c>
      <c r="AM17" s="687" t="s">
        <v>101</v>
      </c>
      <c r="AN17" s="683">
        <v>1</v>
      </c>
      <c r="AO17" s="692" t="s">
        <v>430</v>
      </c>
      <c r="AP17" s="693" t="s">
        <v>468</v>
      </c>
      <c r="AQ17" s="693" t="s">
        <v>424</v>
      </c>
      <c r="AR17" s="693">
        <v>46387</v>
      </c>
      <c r="AS17" s="711"/>
      <c r="AT17" s="696"/>
      <c r="AU17" s="697"/>
      <c r="AV17" s="697"/>
      <c r="AW17" s="698"/>
      <c r="AX17" s="698"/>
      <c r="AY17" s="699"/>
      <c r="AZ17" s="700"/>
      <c r="BA17" s="701"/>
      <c r="BB17" s="702"/>
      <c r="BC17" s="703"/>
      <c r="BD17" s="704"/>
      <c r="BE17" s="187"/>
      <c r="BF17" s="200"/>
      <c r="BG17" s="187"/>
      <c r="BH17" s="187"/>
      <c r="BI17" s="187"/>
      <c r="BJ17" s="187"/>
      <c r="BK17" s="187"/>
      <c r="BL17" s="187"/>
      <c r="BM17" s="187"/>
      <c r="BN17" s="187"/>
      <c r="BO17" s="187"/>
      <c r="BP17" s="187"/>
      <c r="BQ17" s="187"/>
      <c r="BR17" s="187"/>
      <c r="BS17" s="187"/>
      <c r="BT17" s="187"/>
      <c r="BU17" s="187"/>
      <c r="BV17" s="187"/>
      <c r="BW17" s="187"/>
      <c r="BX17" s="187"/>
      <c r="BY17" s="187"/>
      <c r="BZ17" s="187"/>
      <c r="CA17" s="187"/>
      <c r="CB17" s="187"/>
      <c r="CC17" s="187"/>
      <c r="CD17" s="187"/>
    </row>
    <row r="18" spans="4:82" s="186" customFormat="1" ht="176.25" customHeight="1" thickBot="1">
      <c r="D18" s="644"/>
      <c r="E18" s="645"/>
      <c r="F18" s="645"/>
      <c r="G18" s="646"/>
      <c r="H18" s="645"/>
      <c r="I18" s="647"/>
      <c r="J18" s="647"/>
      <c r="K18" s="647"/>
      <c r="L18" s="647"/>
      <c r="M18" s="648"/>
      <c r="N18" s="648"/>
      <c r="O18" s="647"/>
      <c r="P18" s="650"/>
      <c r="Q18" s="651"/>
      <c r="R18" s="706"/>
      <c r="S18" s="650"/>
      <c r="T18" s="651"/>
      <c r="U18" s="650"/>
      <c r="V18" s="663">
        <v>2</v>
      </c>
      <c r="W18" s="654" t="s">
        <v>464</v>
      </c>
      <c r="X18" s="655" t="s">
        <v>452</v>
      </c>
      <c r="Y18" s="656" t="str">
        <f t="shared" si="2"/>
        <v>Probabilidad</v>
      </c>
      <c r="Z18" s="657" t="s">
        <v>151</v>
      </c>
      <c r="AA18" s="657" t="s">
        <v>165</v>
      </c>
      <c r="AB18" s="658" t="str">
        <f t="shared" ref="AB18:AB20" si="9">IF(AND(Z18="Preventivo",AA18="Automático"),"50%",IF(AND(Z18="Preventivo",AA18="Manual"),"40%",IF(AND(Z18="Detectivo",AA18="Automático"),"40%",IF(AND(Z18="Detectivo",AA18="Manual"),"30%",IF(AND(Z18="Correctivo",AA18="Automático"),"35%",IF(AND(Z18="Correctivo",AA18="Manual"),"25%",""))))))</f>
        <v>40%</v>
      </c>
      <c r="AC18" s="657" t="s">
        <v>166</v>
      </c>
      <c r="AD18" s="657" t="s">
        <v>154</v>
      </c>
      <c r="AE18" s="657" t="s">
        <v>412</v>
      </c>
      <c r="AF18" s="659" t="s">
        <v>453</v>
      </c>
      <c r="AG18" s="660"/>
      <c r="AH18" s="661"/>
      <c r="AI18" s="651"/>
      <c r="AJ18" s="661"/>
      <c r="AK18" s="651"/>
      <c r="AL18" s="661"/>
      <c r="AM18" s="657" t="s">
        <v>101</v>
      </c>
      <c r="AN18" s="663">
        <v>2</v>
      </c>
      <c r="AO18" s="664" t="s">
        <v>454</v>
      </c>
      <c r="AP18" s="707" t="s">
        <v>468</v>
      </c>
      <c r="AQ18" s="707" t="s">
        <v>457</v>
      </c>
      <c r="AR18" s="665">
        <v>46387</v>
      </c>
      <c r="AS18" s="666"/>
      <c r="AT18" s="667"/>
      <c r="AU18" s="211"/>
      <c r="AV18" s="211"/>
      <c r="AW18" s="213"/>
      <c r="AX18" s="213"/>
      <c r="AY18" s="668"/>
      <c r="AZ18" s="669"/>
      <c r="BA18" s="670"/>
      <c r="BB18" s="671"/>
      <c r="BC18" s="672"/>
      <c r="BD18" s="673"/>
      <c r="BE18" s="187"/>
      <c r="BF18" s="200"/>
      <c r="BG18" s="187"/>
      <c r="BH18" s="187"/>
      <c r="BI18" s="187"/>
      <c r="BJ18" s="187"/>
      <c r="BK18" s="187"/>
      <c r="BL18" s="187"/>
      <c r="BM18" s="187"/>
      <c r="BN18" s="187"/>
      <c r="BO18" s="187"/>
      <c r="BP18" s="187"/>
      <c r="BQ18" s="187"/>
      <c r="BR18" s="187"/>
      <c r="BS18" s="187"/>
      <c r="BT18" s="187"/>
      <c r="BU18" s="187"/>
      <c r="BV18" s="187"/>
      <c r="BW18" s="187"/>
      <c r="BX18" s="187"/>
      <c r="BY18" s="187"/>
      <c r="BZ18" s="187"/>
      <c r="CA18" s="187"/>
      <c r="CB18" s="187"/>
      <c r="CC18" s="187"/>
      <c r="CD18" s="187"/>
    </row>
    <row r="19" spans="4:82" s="186" customFormat="1" ht="185.25" customHeight="1">
      <c r="D19" s="674">
        <v>3</v>
      </c>
      <c r="E19" s="675" t="s">
        <v>143</v>
      </c>
      <c r="F19" s="675" t="s">
        <v>173</v>
      </c>
      <c r="G19" s="676" t="s">
        <v>146</v>
      </c>
      <c r="H19" s="675" t="s">
        <v>183</v>
      </c>
      <c r="I19" s="677" t="s">
        <v>438</v>
      </c>
      <c r="J19" s="677" t="s">
        <v>439</v>
      </c>
      <c r="K19" s="677" t="s">
        <v>470</v>
      </c>
      <c r="L19" s="677" t="s">
        <v>162</v>
      </c>
      <c r="M19" s="678" t="s">
        <v>185</v>
      </c>
      <c r="N19" s="678" t="s">
        <v>164</v>
      </c>
      <c r="O19" s="679">
        <v>375</v>
      </c>
      <c r="P19" s="680" t="str">
        <f>IF(O19&lt;=0,"",IF(O19&lt;=2,"Muy Baja",IF(O19&lt;=24,"Baja",IF(O19&lt;=500,"Media",IF(O19&lt;=5000,"Alta","Muy Alta")))))</f>
        <v>Media</v>
      </c>
      <c r="Q19" s="681">
        <f t="shared" ref="Q19" si="10">IF(P19="","",IF(P19="Muy Baja",0.2,IF(P19="Baja",0.4,IF(P19="Media",0.6,IF(P19="Alta",0.8,IF(P19="Muy Alta",1,))))))</f>
        <v>0.6</v>
      </c>
      <c r="R19" s="682" t="s">
        <v>124</v>
      </c>
      <c r="S19" s="680" t="str">
        <f>IFERROR(VLOOKUP(R19,Criterios[],2,FALSE),"")</f>
        <v>Catastrófico</v>
      </c>
      <c r="T19" s="681">
        <f t="shared" ref="T19" si="11">IF(S19="","",IF(S19="Leve",0.2,IF(S19="Menor",0.4,IF(S19="Moderado",0.6,IF(S19="Mayor",0.8,IF(S19="Catastrófico",1,))))))</f>
        <v>1</v>
      </c>
      <c r="U19" s="680" t="str">
        <f>IF(OR(AND(P19="Muy Baja",S19="Leve"),AND(P19="Muy Baja",S19="Menor"),AND(P19="Baja",S19="Leve")),"Bajo",IF(OR(AND(P19="Muy baja",S19="Moderado"),AND(P19="Baja",S19="Menor"),AND(P19="Baja",S19="Moderado"),AND(P19="Media",S19="Leve"),AND(P19="Media",S19="Menor"),AND(P19="Media",S19="Moderado"),AND(P19="Alta",S19="Leve"),AND(P19="Alta",S19="Menor")),"Moderado",IF(OR(AND(P19="Muy Baja",S19="Mayor"),AND(P19="Baja",S19="Mayor"),AND(P19="Media",S19="Mayor"),AND(P19="Alta",S19="Moderado"),AND(P19="Alta",S19="Mayor"),AND(P19="Muy Alta",S19="Leve"),AND(P19="Muy Alta",S19="Menor"),AND(P19="Muy Alta",S19="Moderado"),AND(P19="Muy Alta",S19="Mayor")),"Alto",IF(OR(AND(P19="Muy Baja",S19="Catastrófico"),AND(P19="Baja",S19="Catastrófico"),AND(P19="Media",S19="Catastrófico"),AND(P19="Alta",S19="Catastrófico"),AND(P19="Muy Alta",S19="Catastrófico")),"Extremo",""))))</f>
        <v>Extremo</v>
      </c>
      <c r="V19" s="683">
        <v>1</v>
      </c>
      <c r="W19" s="684" t="s">
        <v>440</v>
      </c>
      <c r="X19" s="685" t="s">
        <v>442</v>
      </c>
      <c r="Y19" s="686" t="str">
        <f t="shared" si="2"/>
        <v>Probabilidad</v>
      </c>
      <c r="Z19" s="687" t="s">
        <v>100</v>
      </c>
      <c r="AA19" s="687" t="s">
        <v>165</v>
      </c>
      <c r="AB19" s="688" t="str">
        <f t="shared" si="9"/>
        <v>30%</v>
      </c>
      <c r="AC19" s="687" t="s">
        <v>166</v>
      </c>
      <c r="AD19" s="687" t="s">
        <v>154</v>
      </c>
      <c r="AE19" s="687" t="s">
        <v>412</v>
      </c>
      <c r="AF19" s="151" t="s">
        <v>441</v>
      </c>
      <c r="AG19" s="689" t="str">
        <f>IFERROR(IF(Y11="Probabilidad",Q11-(Q11*((AB19+#REF!+#REF!+AB20)/4)),IF(Y11="Impacto",Q11,"")),"")</f>
        <v/>
      </c>
      <c r="AH19" s="690" t="str">
        <f>IFERROR(IF(AG19="","",IF(AG19&lt;=0.2,"Muy Baja",IF(AG19&lt;=0.4,"Baja",IF(AG19&lt;=0.6,"Media",IF(AG19&lt;=0.8,"Alta","Muy Alta"))))),"")</f>
        <v/>
      </c>
      <c r="AI19" s="681" t="str">
        <f t="shared" ref="AI19" si="12">+AG19</f>
        <v/>
      </c>
      <c r="AJ19" s="690" t="str">
        <f t="shared" ref="AJ19" si="13">IFERROR(IF(AK19="","",IF(AK19&lt;=0.2,"Leve",IF(AK19&lt;=0.4,"Menor",IF(AK19&lt;=0.6,"Moderado",IF(AK19&lt;=0.8,"Mayor","Catastrófico"))))),"")</f>
        <v>Catastrófico</v>
      </c>
      <c r="AK19" s="681">
        <f>IFERROR(IF(Y19="Impacto",(T19-(T19*((AB19+#REF!+#REF!+AB20)/4))),IF(Y19="Probabilidad",T19,"")),"")</f>
        <v>1</v>
      </c>
      <c r="AL19" s="690" t="str">
        <f>IFERROR(IF(OR(AND(AH19="Muy Baja",AJ19="Leve"),AND(AH19="Muy Baja",AJ19="Menor"),
AND(AH19="Baja",AJ19="Leve")
),"Bajo",IF(OR(AND(AH19="Muy Baja",AJ19="Moderado"),AND(AH19="Baja",AJ19="Menor"),
AND(AH19="Baja",AJ19="Moderado"),AND(AH19="Media",AJ19="Leve"),
AND(AH19="Media",AJ19="Menor"),
AND(AH19="Media",AJ19="Moderado"),AND(AH19="Alta",AJ19="Leve"),
AND(AH19="Alta",AJ19="Menor")
),
"Moderado",
IF(
OR(
AND(AH19="Muy Baja",AJ19="Mayor"),
AND(AH19="Alta",AJ19="Moderado"),AND(AH19="Alta",AJ19="Mayor"),
AND(AH19="Muy Alta",AJ19="Leve"),AND(AH19="Muy Alta",AJ19="Menor"),
AND(AH19="Muy Alta",AJ19="Moderado"),
AND(AH19="Muy Alta",AJ19="Mayor"),
AND(AH19="Baja",AJ19="Mayor"),
AND(AH19="Media",AJ19="Mayor")
),"Alto",
IF(
AJ19="Catastrófico",
"Extremo",""
)
)
)
),
"")</f>
        <v>Extremo</v>
      </c>
      <c r="AM19" s="691" t="s">
        <v>101</v>
      </c>
      <c r="AN19" s="683">
        <v>1</v>
      </c>
      <c r="AO19" s="692" t="s">
        <v>456</v>
      </c>
      <c r="AP19" s="693" t="s">
        <v>468</v>
      </c>
      <c r="AQ19" s="692" t="s">
        <v>444</v>
      </c>
      <c r="AR19" s="694">
        <v>46387</v>
      </c>
      <c r="AS19" s="695"/>
      <c r="AT19" s="696"/>
      <c r="AU19" s="697"/>
      <c r="AV19" s="697"/>
      <c r="AW19" s="698"/>
      <c r="AX19" s="698"/>
      <c r="AY19" s="699"/>
      <c r="AZ19" s="700"/>
      <c r="BA19" s="701"/>
      <c r="BB19" s="702"/>
      <c r="BC19" s="703"/>
      <c r="BD19" s="704"/>
      <c r="BE19" s="187"/>
      <c r="BF19" s="200"/>
      <c r="BG19" s="187"/>
      <c r="BH19" s="187"/>
      <c r="BI19" s="187"/>
      <c r="BJ19" s="187"/>
      <c r="BK19" s="187"/>
      <c r="BL19" s="187"/>
      <c r="BM19" s="187"/>
      <c r="BN19" s="187"/>
      <c r="BO19" s="187"/>
      <c r="BP19" s="187"/>
      <c r="BQ19" s="187"/>
      <c r="BR19" s="187"/>
      <c r="BS19" s="187"/>
      <c r="BT19" s="187"/>
      <c r="BU19" s="187"/>
      <c r="BV19" s="187"/>
      <c r="BW19" s="187"/>
      <c r="BX19" s="187"/>
      <c r="BY19" s="187"/>
      <c r="BZ19" s="187"/>
      <c r="CA19" s="187"/>
      <c r="CB19" s="187"/>
      <c r="CC19" s="187"/>
      <c r="CD19" s="187"/>
    </row>
    <row r="20" spans="4:82" s="186" customFormat="1" ht="191.25" customHeight="1" thickBot="1">
      <c r="D20" s="644"/>
      <c r="E20" s="645"/>
      <c r="F20" s="645"/>
      <c r="G20" s="646"/>
      <c r="H20" s="645"/>
      <c r="I20" s="647"/>
      <c r="J20" s="647"/>
      <c r="K20" s="647"/>
      <c r="L20" s="647"/>
      <c r="M20" s="648"/>
      <c r="N20" s="648"/>
      <c r="O20" s="649"/>
      <c r="P20" s="650"/>
      <c r="Q20" s="651"/>
      <c r="R20" s="652"/>
      <c r="S20" s="650"/>
      <c r="T20" s="651"/>
      <c r="U20" s="650"/>
      <c r="V20" s="653">
        <v>2</v>
      </c>
      <c r="W20" s="654" t="s">
        <v>463</v>
      </c>
      <c r="X20" s="655" t="s">
        <v>459</v>
      </c>
      <c r="Y20" s="656" t="str">
        <f t="shared" si="2"/>
        <v>Probabilidad</v>
      </c>
      <c r="Z20" s="657" t="s">
        <v>151</v>
      </c>
      <c r="AA20" s="657" t="s">
        <v>165</v>
      </c>
      <c r="AB20" s="658" t="str">
        <f t="shared" si="9"/>
        <v>40%</v>
      </c>
      <c r="AC20" s="657" t="s">
        <v>153</v>
      </c>
      <c r="AD20" s="657" t="s">
        <v>154</v>
      </c>
      <c r="AE20" s="657" t="s">
        <v>412</v>
      </c>
      <c r="AF20" s="659" t="s">
        <v>443</v>
      </c>
      <c r="AG20" s="660"/>
      <c r="AH20" s="661"/>
      <c r="AI20" s="651"/>
      <c r="AJ20" s="661"/>
      <c r="AK20" s="651"/>
      <c r="AL20" s="661"/>
      <c r="AM20" s="662"/>
      <c r="AN20" s="663">
        <v>2</v>
      </c>
      <c r="AO20" s="664" t="s">
        <v>460</v>
      </c>
      <c r="AP20" s="664" t="s">
        <v>471</v>
      </c>
      <c r="AQ20" s="664" t="s">
        <v>445</v>
      </c>
      <c r="AR20" s="665">
        <v>46387</v>
      </c>
      <c r="AS20" s="666"/>
      <c r="AT20" s="667"/>
      <c r="AU20" s="211"/>
      <c r="AV20" s="211"/>
      <c r="AW20" s="213"/>
      <c r="AX20" s="213"/>
      <c r="AY20" s="668"/>
      <c r="AZ20" s="669"/>
      <c r="BA20" s="670"/>
      <c r="BB20" s="671"/>
      <c r="BC20" s="672"/>
      <c r="BD20" s="673"/>
      <c r="BE20" s="187"/>
      <c r="BF20" s="200"/>
      <c r="BG20" s="187"/>
      <c r="BH20" s="187"/>
      <c r="BI20" s="187"/>
      <c r="BJ20" s="187"/>
      <c r="BK20" s="187"/>
      <c r="BL20" s="187"/>
      <c r="BM20" s="187"/>
      <c r="BN20" s="187"/>
      <c r="BO20" s="187"/>
      <c r="BP20" s="187"/>
      <c r="BQ20" s="187"/>
      <c r="BR20" s="187"/>
      <c r="BS20" s="187"/>
      <c r="BT20" s="187"/>
      <c r="BU20" s="187"/>
      <c r="BV20" s="187"/>
      <c r="BW20" s="187"/>
      <c r="BX20" s="187"/>
      <c r="BY20" s="187"/>
      <c r="BZ20" s="187"/>
      <c r="CA20" s="187"/>
      <c r="CB20" s="187"/>
      <c r="CC20" s="187"/>
      <c r="CD20" s="187"/>
    </row>
    <row r="21" spans="4:82" s="186" customFormat="1" ht="147" customHeight="1" thickBot="1">
      <c r="D21" s="619">
        <v>4</v>
      </c>
      <c r="E21" s="620" t="s">
        <v>171</v>
      </c>
      <c r="F21" s="620" t="s">
        <v>173</v>
      </c>
      <c r="G21" s="620" t="s">
        <v>146</v>
      </c>
      <c r="H21" s="620" t="s">
        <v>183</v>
      </c>
      <c r="I21" s="621" t="s">
        <v>448</v>
      </c>
      <c r="J21" s="621" t="s">
        <v>449</v>
      </c>
      <c r="K21" s="621" t="s">
        <v>469</v>
      </c>
      <c r="L21" s="622" t="s">
        <v>162</v>
      </c>
      <c r="M21" s="623" t="s">
        <v>185</v>
      </c>
      <c r="N21" s="623" t="s">
        <v>164</v>
      </c>
      <c r="O21" s="624">
        <v>375</v>
      </c>
      <c r="P21" s="625" t="str">
        <f>IF(O21&lt;=0,"",IF(O21&lt;=2,"Muy Baja",IF(O21&lt;=24,"Baja",IF(O21&lt;=500,"Media",IF(O21&lt;=5000,"Alta","Muy Alta")))))</f>
        <v>Media</v>
      </c>
      <c r="Q21" s="220">
        <f t="shared" ref="Q21" si="14">IF(P21="","",IF(P21="Muy Baja",0.2,IF(P21="Baja",0.4,IF(P21="Media",0.6,IF(P21="Alta",0.8,IF(P21="Muy Alta",1,))))))</f>
        <v>0.6</v>
      </c>
      <c r="R21" s="626" t="s">
        <v>124</v>
      </c>
      <c r="S21" s="625" t="str">
        <f>IFERROR(VLOOKUP(R21,Criterios[],2,FALSE),"")</f>
        <v>Catastrófico</v>
      </c>
      <c r="T21" s="220">
        <f t="shared" ref="T21" si="15">IF(S21="","",IF(S21="Leve",0.2,IF(S21="Menor",0.4,IF(S21="Moderado",0.6,IF(S21="Mayor",0.8,IF(S21="Catastrófico",1,))))))</f>
        <v>1</v>
      </c>
      <c r="U21" s="625" t="str">
        <f>IF(OR(AND(P21="Muy Baja",S21="Leve"),AND(P21="Muy Baja",S21="Menor"),AND(P21="Baja",S21="Leve")),"Bajo",IF(OR(AND(P21="Muy baja",S21="Moderado"),AND(P21="Baja",S21="Menor"),AND(P21="Baja",S21="Moderado"),AND(P21="Media",S21="Leve"),AND(P21="Media",S21="Menor"),AND(P21="Media",S21="Moderado"),AND(P21="Alta",S21="Leve"),AND(P21="Alta",S21="Menor")),"Moderado",IF(OR(AND(P21="Muy Baja",S21="Mayor"),AND(P21="Baja",S21="Mayor"),AND(P21="Media",S21="Mayor"),AND(P21="Alta",S21="Moderado"),AND(P21="Alta",S21="Mayor"),AND(P21="Muy Alta",S21="Leve"),AND(P21="Muy Alta",S21="Menor"),AND(P21="Muy Alta",S21="Moderado"),AND(P21="Muy Alta",S21="Mayor")),"Alto",IF(OR(AND(P21="Muy Baja",S21="Catastrófico"),AND(P21="Baja",S21="Catastrófico"),AND(P21="Media",S21="Catastrófico"),AND(P21="Alta",S21="Catastrófico"),AND(P21="Muy Alta",S21="Catastrófico")),"Extremo",""))))</f>
        <v>Extremo</v>
      </c>
      <c r="V21" s="620">
        <v>1</v>
      </c>
      <c r="W21" s="627" t="s">
        <v>461</v>
      </c>
      <c r="X21" s="628" t="s">
        <v>462</v>
      </c>
      <c r="Y21" s="629" t="str">
        <f t="shared" ref="Y21" si="16">IF(OR(Z21="Preventivo",Z21="Detectivo"),"Probabilidad",IF(Z21="Correctivo","Impacto",""))</f>
        <v>Probabilidad</v>
      </c>
      <c r="Z21" s="630" t="s">
        <v>151</v>
      </c>
      <c r="AA21" s="630" t="s">
        <v>165</v>
      </c>
      <c r="AB21" s="220" t="str">
        <f t="shared" si="3"/>
        <v>40%</v>
      </c>
      <c r="AC21" s="630" t="s">
        <v>166</v>
      </c>
      <c r="AD21" s="630" t="s">
        <v>154</v>
      </c>
      <c r="AE21" s="630" t="s">
        <v>412</v>
      </c>
      <c r="AF21" s="622" t="s">
        <v>450</v>
      </c>
      <c r="AG21" s="218" t="str">
        <f>IFERROR(IF(Y15="Probabilidad",Q15-(Q15*((AB21+#REF!+#REF!+#REF!)/4)),IF(Y15="Impacto",Q15,"")),"")</f>
        <v/>
      </c>
      <c r="AH21" s="219" t="str">
        <f>IFERROR(IF(AG21="","",IF(AG21&lt;=0.2,"Muy Baja",IF(AG21&lt;=0.4,"Baja",IF(AG21&lt;=0.6,"Media",IF(AG21&lt;=0.8,"Alta","Muy Alta"))))),"")</f>
        <v/>
      </c>
      <c r="AI21" s="220" t="str">
        <f t="shared" ref="AI21" si="17">+AG21</f>
        <v/>
      </c>
      <c r="AJ21" s="219" t="str">
        <f t="shared" ref="AJ21" si="18">IFERROR(IF(AK21="","",IF(AK21&lt;=0.2,"Leve",IF(AK21&lt;=0.4,"Menor",IF(AK21&lt;=0.6,"Moderado",IF(AK21&lt;=0.8,"Mayor","Catastrófico"))))),"")</f>
        <v>Catastrófico</v>
      </c>
      <c r="AK21" s="220">
        <f>IFERROR(IF(Y21="Impacto",(T21-(T21*((AB21+#REF!+#REF!+#REF!)/4))),IF(Y21="Probabilidad",T21,"")),"")</f>
        <v>1</v>
      </c>
      <c r="AL21" s="219" t="str">
        <f>IFERROR(IF(OR(AND(AH21="Muy Baja",AJ21="Leve"),AND(AH21="Muy Baja",AJ21="Menor"),
AND(AH21="Baja",AJ21="Leve")
),"Bajo",IF(OR(AND(AH21="Muy Baja",AJ21="Moderado"),AND(AH21="Baja",AJ21="Menor"),
AND(AH21="Baja",AJ21="Moderado"),AND(AH21="Media",AJ21="Leve"),
AND(AH21="Media",AJ21="Menor"),
AND(AH21="Media",AJ21="Moderado"),AND(AH21="Alta",AJ21="Leve"),
AND(AH21="Alta",AJ21="Menor")
),
"Moderado",
IF(
OR(
AND(AH21="Muy Baja",AJ21="Mayor"),
AND(AH21="Alta",AJ21="Moderado"),AND(AH21="Alta",AJ21="Mayor"),
AND(AH21="Muy Alta",AJ21="Leve"),AND(AH21="Muy Alta",AJ21="Menor"),
AND(AH21="Muy Alta",AJ21="Moderado"),
AND(AH21="Muy Alta",AJ21="Mayor"),
AND(AH21="Baja",AJ21="Mayor"),
AND(AH21="Media",AJ21="Mayor")
),"Alto",
IF(
AJ21="Catastrófico",
"Extremo",""
)
)
)
),
"")</f>
        <v>Extremo</v>
      </c>
      <c r="AM21" s="630" t="s">
        <v>101</v>
      </c>
      <c r="AN21" s="620">
        <v>1</v>
      </c>
      <c r="AO21" s="631" t="s">
        <v>446</v>
      </c>
      <c r="AP21" s="632" t="s">
        <v>468</v>
      </c>
      <c r="AQ21" s="631" t="s">
        <v>447</v>
      </c>
      <c r="AR21" s="633">
        <v>46387</v>
      </c>
      <c r="AS21" s="634"/>
      <c r="AT21" s="221"/>
      <c r="AU21" s="635"/>
      <c r="AV21" s="635"/>
      <c r="AW21" s="636"/>
      <c r="AX21" s="636"/>
      <c r="AY21" s="637"/>
      <c r="AZ21" s="638"/>
      <c r="BA21" s="639"/>
      <c r="BB21" s="640"/>
      <c r="BC21" s="641"/>
      <c r="BD21" s="642"/>
      <c r="BE21" s="187"/>
      <c r="BF21" s="200"/>
      <c r="BG21" s="187"/>
      <c r="BH21" s="187"/>
      <c r="BI21" s="187"/>
      <c r="BJ21" s="187"/>
      <c r="BK21" s="187"/>
      <c r="BL21" s="187"/>
      <c r="BM21" s="187"/>
      <c r="BN21" s="187"/>
      <c r="BO21" s="187"/>
      <c r="BP21" s="187"/>
      <c r="BQ21" s="187"/>
      <c r="BR21" s="187"/>
      <c r="BS21" s="187"/>
      <c r="BT21" s="187"/>
      <c r="BU21" s="187"/>
      <c r="BV21" s="187"/>
      <c r="BW21" s="187"/>
      <c r="BX21" s="187"/>
      <c r="BY21" s="187"/>
      <c r="BZ21" s="187"/>
      <c r="CA21" s="187"/>
      <c r="CB21" s="187"/>
      <c r="CC21" s="187"/>
      <c r="CD21" s="187"/>
    </row>
    <row r="22" spans="4:82" ht="49.5" customHeight="1">
      <c r="D22" s="181"/>
      <c r="E22" s="182"/>
      <c r="F22" s="182"/>
      <c r="G22" s="182"/>
      <c r="H22" s="182"/>
      <c r="I22" s="295" t="s">
        <v>103</v>
      </c>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5"/>
      <c r="AT22" s="295"/>
      <c r="AU22" s="295"/>
      <c r="AV22" s="295"/>
      <c r="AW22" s="295"/>
      <c r="AX22" s="295"/>
      <c r="AY22" s="295"/>
    </row>
    <row r="24" spans="4:82" ht="16">
      <c r="D24" s="104"/>
      <c r="E24" s="105"/>
      <c r="F24" s="105"/>
      <c r="G24" s="105"/>
      <c r="H24" s="105"/>
      <c r="I24" s="105"/>
      <c r="J24" s="105"/>
      <c r="K24" s="105"/>
      <c r="L24" s="167"/>
      <c r="M24" s="167"/>
      <c r="N24" s="167"/>
      <c r="P24" s="106"/>
      <c r="Q24" s="105"/>
      <c r="R24" s="105"/>
      <c r="S24" s="105"/>
      <c r="T24" s="105"/>
      <c r="U24" s="105"/>
      <c r="V24" s="105"/>
      <c r="W24" s="105"/>
      <c r="X24" s="105"/>
      <c r="Y24" s="107"/>
      <c r="Z24" s="107"/>
      <c r="AA24" s="105"/>
      <c r="AB24" s="105"/>
      <c r="AC24" s="105"/>
      <c r="AD24" s="105"/>
      <c r="AE24" s="105"/>
      <c r="AF24" s="105"/>
      <c r="AG24" s="105"/>
      <c r="AH24" s="105"/>
      <c r="AI24" s="105"/>
      <c r="AJ24" s="105"/>
      <c r="AK24" s="105"/>
      <c r="AL24" s="105"/>
      <c r="AM24" s="108"/>
      <c r="AN24" s="108"/>
      <c r="AO24" s="108"/>
      <c r="AP24" s="105"/>
      <c r="AQ24" s="105"/>
      <c r="AR24" s="105"/>
      <c r="AS24" s="105"/>
      <c r="AT24" s="105"/>
      <c r="AU24" s="105"/>
      <c r="AV24" s="105"/>
      <c r="AW24" s="105"/>
      <c r="AX24" s="105"/>
      <c r="AY24" s="105"/>
      <c r="AZ24" s="105"/>
      <c r="BA24" s="105"/>
    </row>
    <row r="25" spans="4:82" ht="18">
      <c r="D25" s="289" t="s">
        <v>104</v>
      </c>
      <c r="E25" s="289"/>
      <c r="F25" s="289"/>
      <c r="G25" s="289"/>
      <c r="H25" s="289"/>
      <c r="I25" s="289"/>
      <c r="J25" s="289"/>
      <c r="K25" s="289"/>
      <c r="L25" s="167"/>
      <c r="M25" s="167"/>
      <c r="N25" s="167"/>
      <c r="O25" s="285"/>
      <c r="P25" s="286"/>
      <c r="Q25" s="286"/>
      <c r="R25" s="287"/>
      <c r="S25" s="105"/>
      <c r="T25" s="105"/>
      <c r="U25" s="105"/>
      <c r="V25" s="105"/>
      <c r="W25" s="105"/>
      <c r="X25" s="108"/>
      <c r="Y25" s="107"/>
      <c r="Z25" s="107"/>
      <c r="AA25" s="105"/>
      <c r="AB25" s="107"/>
      <c r="AC25" s="107"/>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H25" s="167" t="s">
        <v>105</v>
      </c>
    </row>
    <row r="26" spans="4:82" ht="15" thickBot="1">
      <c r="D26" s="167"/>
      <c r="E26" s="167"/>
      <c r="F26" s="167"/>
      <c r="G26" s="167"/>
      <c r="H26" s="167"/>
      <c r="I26" s="167"/>
      <c r="J26" s="167"/>
      <c r="L26" s="167"/>
      <c r="M26" s="167"/>
      <c r="N26" s="167"/>
      <c r="P26" s="169" t="str">
        <f>+IFERROR(VLOOKUP(L26,$L$181:$P$185,3,FALSE)*VLOOKUP(O26,$O$181:$P$185,3,FALSE),"")</f>
        <v/>
      </c>
      <c r="Y26" s="169"/>
      <c r="Z26" s="183"/>
      <c r="AB26" s="183"/>
      <c r="AC26" s="183"/>
      <c r="AD26" s="184"/>
      <c r="AE26" s="184"/>
      <c r="AF26" s="184"/>
      <c r="AG26" s="184"/>
      <c r="AH26" s="184"/>
      <c r="AI26" s="109"/>
      <c r="AJ26" s="109"/>
      <c r="AK26" s="184"/>
      <c r="AL26" s="185"/>
      <c r="AQ26" s="184"/>
      <c r="AY26" s="184"/>
      <c r="AZ26" s="184"/>
      <c r="BH26" s="167" t="s">
        <v>106</v>
      </c>
    </row>
    <row r="27" spans="4:82" ht="17.75" customHeight="1" thickTop="1" thickBot="1">
      <c r="D27" s="284" t="s">
        <v>107</v>
      </c>
      <c r="E27" s="284"/>
      <c r="F27" s="284"/>
      <c r="G27" s="284"/>
      <c r="H27" s="284"/>
      <c r="I27" s="284"/>
      <c r="J27" s="284"/>
      <c r="K27" s="194" t="s">
        <v>108</v>
      </c>
      <c r="L27" s="284" t="s">
        <v>109</v>
      </c>
      <c r="M27" s="284"/>
      <c r="N27" s="284"/>
      <c r="O27" s="284"/>
      <c r="P27" s="284"/>
      <c r="Q27" s="284"/>
      <c r="R27" s="284"/>
      <c r="S27" s="288" t="s">
        <v>110</v>
      </c>
      <c r="T27" s="288"/>
      <c r="U27" s="288"/>
      <c r="V27" s="284" t="s">
        <v>111</v>
      </c>
      <c r="W27" s="284"/>
      <c r="X27" s="284"/>
      <c r="Y27" s="284"/>
      <c r="Z27" s="288">
        <v>1</v>
      </c>
      <c r="AA27" s="288"/>
      <c r="AB27" s="288"/>
      <c r="AC27" s="288"/>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0"/>
      <c r="BH27" s="167" t="s">
        <v>112</v>
      </c>
    </row>
    <row r="28" spans="4:82" ht="13.5" customHeight="1" thickTop="1">
      <c r="D28" s="268" t="s">
        <v>113</v>
      </c>
      <c r="E28" s="269"/>
      <c r="F28" s="269"/>
      <c r="G28" s="269"/>
      <c r="H28" s="269"/>
      <c r="I28" s="269"/>
      <c r="J28" s="269"/>
      <c r="K28" s="269"/>
      <c r="L28" s="269"/>
      <c r="M28" s="269"/>
      <c r="N28" s="269"/>
      <c r="O28" s="269"/>
      <c r="P28" s="269"/>
      <c r="Q28" s="269"/>
      <c r="R28" s="269"/>
      <c r="S28" s="269"/>
      <c r="T28" s="269"/>
      <c r="U28" s="269"/>
      <c r="V28" s="269"/>
      <c r="W28" s="269"/>
      <c r="X28" s="269"/>
      <c r="Y28" s="269"/>
      <c r="Z28" s="269"/>
      <c r="AA28" s="269"/>
      <c r="AB28" s="269"/>
      <c r="AC28" s="269"/>
      <c r="BH28" s="167" t="s">
        <v>114</v>
      </c>
    </row>
  </sheetData>
  <sheetProtection formatCells="0" formatColumns="0" formatRows="0" selectLockedCells="1"/>
  <protectedRanges>
    <protectedRange sqref="P1:P1048576" name="Rango1"/>
  </protectedRanges>
  <dataConsolidate/>
  <mergeCells count="151">
    <mergeCell ref="I17:I18"/>
    <mergeCell ref="J17:J18"/>
    <mergeCell ref="K17:K18"/>
    <mergeCell ref="L17:L18"/>
    <mergeCell ref="O17:O18"/>
    <mergeCell ref="M17:M18"/>
    <mergeCell ref="N17:N18"/>
    <mergeCell ref="Z13:AE13"/>
    <mergeCell ref="N15:N16"/>
    <mergeCell ref="AN13:AN14"/>
    <mergeCell ref="R15:R16"/>
    <mergeCell ref="AI19:AI20"/>
    <mergeCell ref="AJ19:AJ20"/>
    <mergeCell ref="AK19:AK20"/>
    <mergeCell ref="AL19:AL20"/>
    <mergeCell ref="AM19:AM20"/>
    <mergeCell ref="O15:O16"/>
    <mergeCell ref="P17:P18"/>
    <mergeCell ref="Q17:Q18"/>
    <mergeCell ref="R17:R18"/>
    <mergeCell ref="S17:S18"/>
    <mergeCell ref="T17:T18"/>
    <mergeCell ref="U17:U18"/>
    <mergeCell ref="AG17:AG18"/>
    <mergeCell ref="R19:R20"/>
    <mergeCell ref="S19:S20"/>
    <mergeCell ref="T19:T20"/>
    <mergeCell ref="U19:U20"/>
    <mergeCell ref="AH17:AH18"/>
    <mergeCell ref="AI17:AI18"/>
    <mergeCell ref="AJ17:AJ18"/>
    <mergeCell ref="AU13:AU14"/>
    <mergeCell ref="G15:G16"/>
    <mergeCell ref="H15:H16"/>
    <mergeCell ref="D2:H5"/>
    <mergeCell ref="I2:BC5"/>
    <mergeCell ref="H7:BD7"/>
    <mergeCell ref="AM13:AM14"/>
    <mergeCell ref="AL13:AL14"/>
    <mergeCell ref="AK13:AK14"/>
    <mergeCell ref="AG13:AG14"/>
    <mergeCell ref="X13:X14"/>
    <mergeCell ref="L13:L14"/>
    <mergeCell ref="D12:O12"/>
    <mergeCell ref="P12:U12"/>
    <mergeCell ref="K13:K14"/>
    <mergeCell ref="J13:J14"/>
    <mergeCell ref="I13:I14"/>
    <mergeCell ref="R13:R14"/>
    <mergeCell ref="D7:G7"/>
    <mergeCell ref="V12:AE12"/>
    <mergeCell ref="D8:G8"/>
    <mergeCell ref="D9:G9"/>
    <mergeCell ref="AO13:AO14"/>
    <mergeCell ref="AG12:AM12"/>
    <mergeCell ref="AO12:AR12"/>
    <mergeCell ref="H9:BD9"/>
    <mergeCell ref="H8:BD8"/>
    <mergeCell ref="D13:D14"/>
    <mergeCell ref="AZ11:BB12"/>
    <mergeCell ref="BC11:BD12"/>
    <mergeCell ref="U13:U14"/>
    <mergeCell ref="AX13:AX14"/>
    <mergeCell ref="AR13:AR14"/>
    <mergeCell ref="AQ13:AQ14"/>
    <mergeCell ref="AP13:AP14"/>
    <mergeCell ref="AJ13:AJ14"/>
    <mergeCell ref="D11:AR11"/>
    <mergeCell ref="AS13:AS14"/>
    <mergeCell ref="BA13:BA14"/>
    <mergeCell ref="AW13:AW14"/>
    <mergeCell ref="AY13:AY14"/>
    <mergeCell ref="BC13:BC14"/>
    <mergeCell ref="E13:E14"/>
    <mergeCell ref="Y13:Y14"/>
    <mergeCell ref="H13:H14"/>
    <mergeCell ref="BB13:BB14"/>
    <mergeCell ref="BD13:BD14"/>
    <mergeCell ref="AZ13:AZ14"/>
    <mergeCell ref="S27:U27"/>
    <mergeCell ref="D25:K25"/>
    <mergeCell ref="AV13:AV14"/>
    <mergeCell ref="AT13:AT14"/>
    <mergeCell ref="W13:W14"/>
    <mergeCell ref="AS11:AY12"/>
    <mergeCell ref="V27:Y27"/>
    <mergeCell ref="Z27:AC27"/>
    <mergeCell ref="I22:AY22"/>
    <mergeCell ref="AM15:AM16"/>
    <mergeCell ref="AI15:AI16"/>
    <mergeCell ref="AI13:AI14"/>
    <mergeCell ref="AK15:AK16"/>
    <mergeCell ref="AJ15:AJ16"/>
    <mergeCell ref="AL15:AL16"/>
    <mergeCell ref="V13:V14"/>
    <mergeCell ref="P15:P16"/>
    <mergeCell ref="Q15:Q16"/>
    <mergeCell ref="S15:S16"/>
    <mergeCell ref="AG19:AG20"/>
    <mergeCell ref="AH19:AH20"/>
    <mergeCell ref="O19:O20"/>
    <mergeCell ref="P19:P20"/>
    <mergeCell ref="Q19:Q20"/>
    <mergeCell ref="D28:AC28"/>
    <mergeCell ref="M13:N13"/>
    <mergeCell ref="AF12:AF14"/>
    <mergeCell ref="A11:C11"/>
    <mergeCell ref="F13:F14"/>
    <mergeCell ref="G13:G14"/>
    <mergeCell ref="AH13:AH14"/>
    <mergeCell ref="O13:O14"/>
    <mergeCell ref="P13:P14"/>
    <mergeCell ref="Q13:Q14"/>
    <mergeCell ref="S13:S14"/>
    <mergeCell ref="T13:T14"/>
    <mergeCell ref="L15:L16"/>
    <mergeCell ref="M15:M16"/>
    <mergeCell ref="D15:D16"/>
    <mergeCell ref="E15:E16"/>
    <mergeCell ref="U15:U16"/>
    <mergeCell ref="AG15:AG16"/>
    <mergeCell ref="AH15:AH16"/>
    <mergeCell ref="D27:J27"/>
    <mergeCell ref="O25:R25"/>
    <mergeCell ref="L27:R27"/>
    <mergeCell ref="M19:M20"/>
    <mergeCell ref="N19:N20"/>
    <mergeCell ref="AK17:AK18"/>
    <mergeCell ref="AL17:AL18"/>
    <mergeCell ref="AT15:AT16"/>
    <mergeCell ref="AT17:AT18"/>
    <mergeCell ref="AT19:AT20"/>
    <mergeCell ref="D19:D20"/>
    <mergeCell ref="E19:E20"/>
    <mergeCell ref="F19:F20"/>
    <mergeCell ref="G19:G20"/>
    <mergeCell ref="H19:H20"/>
    <mergeCell ref="I19:I20"/>
    <mergeCell ref="J19:J20"/>
    <mergeCell ref="K19:K20"/>
    <mergeCell ref="L19:L20"/>
    <mergeCell ref="T15:T16"/>
    <mergeCell ref="I15:I16"/>
    <mergeCell ref="J15:J16"/>
    <mergeCell ref="K15:K16"/>
    <mergeCell ref="F15:F16"/>
    <mergeCell ref="D17:D18"/>
    <mergeCell ref="E17:E18"/>
    <mergeCell ref="F17:F18"/>
    <mergeCell ref="G17:G18"/>
    <mergeCell ref="H17:H18"/>
  </mergeCells>
  <conditionalFormatting sqref="P15 AH15 P21 AH21">
    <cfRule type="cellIs" dxfId="32" priority="96" operator="equal">
      <formula>"Baja"</formula>
    </cfRule>
    <cfRule type="cellIs" dxfId="31" priority="95" operator="equal">
      <formula>"Media"</formula>
    </cfRule>
    <cfRule type="cellIs" dxfId="30" priority="94" operator="equal">
      <formula>"Alta"</formula>
    </cfRule>
    <cfRule type="cellIs" dxfId="29" priority="97" operator="equal">
      <formula>"Muy Baja"</formula>
    </cfRule>
    <cfRule type="cellIs" dxfId="28" priority="93" operator="equal">
      <formula>"Muy Alta"</formula>
    </cfRule>
  </conditionalFormatting>
  <conditionalFormatting sqref="P17 AH17 P19 AH19">
    <cfRule type="cellIs" dxfId="27" priority="11" operator="equal">
      <formula>"Alta"</formula>
    </cfRule>
    <cfRule type="cellIs" dxfId="26" priority="14" operator="equal">
      <formula>"Muy Baja"</formula>
    </cfRule>
    <cfRule type="cellIs" dxfId="25" priority="13" operator="equal">
      <formula>"Baja"</formula>
    </cfRule>
    <cfRule type="cellIs" dxfId="24" priority="12" operator="equal">
      <formula>"Media"</formula>
    </cfRule>
    <cfRule type="cellIs" dxfId="23" priority="10" operator="equal">
      <formula>"Muy Alta"</formula>
    </cfRule>
  </conditionalFormatting>
  <conditionalFormatting sqref="S15 AJ15 S21 AJ21">
    <cfRule type="cellIs" dxfId="22" priority="89" operator="equal">
      <formula>"Mayor"</formula>
    </cfRule>
    <cfRule type="cellIs" dxfId="21" priority="92" operator="equal">
      <formula>"Leve"</formula>
    </cfRule>
    <cfRule type="cellIs" dxfId="20" priority="91" operator="equal">
      <formula>"Menor"</formula>
    </cfRule>
    <cfRule type="cellIs" dxfId="19" priority="90" operator="equal">
      <formula>"Moderado"</formula>
    </cfRule>
    <cfRule type="cellIs" dxfId="18" priority="88" operator="equal">
      <formula>"Catastrófico"</formula>
    </cfRule>
  </conditionalFormatting>
  <conditionalFormatting sqref="S17 AJ17 S19 AJ19">
    <cfRule type="cellIs" dxfId="17" priority="9" operator="equal">
      <formula>"Leve"</formula>
    </cfRule>
    <cfRule type="cellIs" dxfId="16" priority="8" operator="equal">
      <formula>"Menor"</formula>
    </cfRule>
    <cfRule type="cellIs" dxfId="15" priority="7" operator="equal">
      <formula>"Moderado"</formula>
    </cfRule>
    <cfRule type="cellIs" dxfId="14" priority="6" operator="equal">
      <formula>"Mayor"</formula>
    </cfRule>
    <cfRule type="cellIs" dxfId="13" priority="5" operator="equal">
      <formula>"Catastrófico"</formula>
    </cfRule>
  </conditionalFormatting>
  <conditionalFormatting sqref="U15 AL15 U21 AL21">
    <cfRule type="cellIs" dxfId="12" priority="84" operator="equal">
      <formula>"Extremo"</formula>
    </cfRule>
    <cfRule type="cellIs" dxfId="11" priority="85" operator="equal">
      <formula>"Alto"</formula>
    </cfRule>
    <cfRule type="cellIs" dxfId="10" priority="86" operator="equal">
      <formula>"Moderado"</formula>
    </cfRule>
    <cfRule type="cellIs" dxfId="9" priority="87" operator="equal">
      <formula>"Bajo"</formula>
    </cfRule>
  </conditionalFormatting>
  <conditionalFormatting sqref="U17 AL17 U19 AL19">
    <cfRule type="cellIs" dxfId="8" priority="1" operator="equal">
      <formula>"Extremo"</formula>
    </cfRule>
    <cfRule type="cellIs" dxfId="7" priority="4" operator="equal">
      <formula>"Bajo"</formula>
    </cfRule>
    <cfRule type="cellIs" dxfId="6" priority="3" operator="equal">
      <formula>"Moderado"</formula>
    </cfRule>
    <cfRule type="cellIs" dxfId="5" priority="2" operator="equal">
      <formula>"Alto"</formula>
    </cfRule>
  </conditionalFormatting>
  <conditionalFormatting sqref="AI24:AI26">
    <cfRule type="cellIs" dxfId="4" priority="58" operator="equal">
      <formula>#REF!</formula>
    </cfRule>
    <cfRule type="cellIs" dxfId="3" priority="59" operator="equal">
      <formula>#REF!</formula>
    </cfRule>
  </conditionalFormatting>
  <conditionalFormatting sqref="AI24:AJ26">
    <cfRule type="cellIs" dxfId="2" priority="57" stopIfTrue="1" operator="equal">
      <formula>#REF!</formula>
    </cfRule>
  </conditionalFormatting>
  <conditionalFormatting sqref="AJ24:AJ26">
    <cfRule type="cellIs" dxfId="1" priority="62" stopIfTrue="1" operator="equal">
      <formula>#REF!</formula>
    </cfRule>
    <cfRule type="cellIs" dxfId="0" priority="61" stopIfTrue="1" operator="equal">
      <formula>#REF!</formula>
    </cfRule>
  </conditionalFormatting>
  <dataValidations count="9">
    <dataValidation type="list" allowBlank="1" showInputMessage="1" showErrorMessage="1" sqref="K24" xr:uid="{9B8E16D4-65E3-4FC0-8B49-FB00EEB9463C}">
      <formula1>$K$181:$K$190</formula1>
    </dataValidation>
    <dataValidation type="list" allowBlank="1" showInputMessage="1" showErrorMessage="1" sqref="K26 AI26:AJ26" xr:uid="{56BDA849-9CD1-464D-ABC3-CC6131320E82}">
      <formula1>#REF!</formula1>
    </dataValidation>
    <dataValidation type="list" allowBlank="1" showInputMessage="1" showErrorMessage="1" sqref="Y26" xr:uid="{147A2C63-EF14-4136-99E5-A5843063344A}">
      <formula1>$R$181:$R$182</formula1>
    </dataValidation>
    <dataValidation type="list" allowBlank="1" showInputMessage="1" showErrorMessage="1" sqref="O26" xr:uid="{8EE57EF9-5DF3-487A-BC4C-4761CC09DEB7}">
      <formula1>$O$181:$O$185</formula1>
    </dataValidation>
    <dataValidation type="list" allowBlank="1" showInputMessage="1" showErrorMessage="1" sqref="L26:N26" xr:uid="{D2D788BB-90EF-4D83-9501-7A76D70F276A}">
      <formula1>$L$181:$L$185</formula1>
    </dataValidation>
    <dataValidation type="list" allowBlank="1" showInputMessage="1" showErrorMessage="1" sqref="AB26:AH26 AY26:AZ26 AQ26 Z26" xr:uid="{E84103B0-9994-4E41-B46F-B320E32CD5BD}">
      <formula1>$AQ$181:$AQ$188</formula1>
    </dataValidation>
    <dataValidation type="custom" allowBlank="1" showInputMessage="1" showErrorMessage="1" error="Recuerde que las acciones se generan bajo la medida de mitigar el riesgo" sqref="AP15:AP19 AP21" xr:uid="{B07833E9-A8CF-48C3-9883-D247657B992A}"/>
    <dataValidation type="list" allowBlank="1" showInputMessage="1" showErrorMessage="1" sqref="R15:R17 R19:R21" xr:uid="{102F2E01-5D88-46F7-9AFC-CEAAFED252CF}">
      <formula1>Criterios_Impacto</formula1>
    </dataValidation>
    <dataValidation type="list" allowBlank="1" showInputMessage="1" showErrorMessage="1" error="Recuerde que las acciones se generan bajo la medida de mitigar el riesgo" sqref="AY15:AY21" xr:uid="{0E47C7B7-A4CC-4DE1-9769-82A046915C34}">
      <formula1>$BH$25:$BH$28</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9">
        <x14:dataValidation type="list" allowBlank="1" showInputMessage="1" showErrorMessage="1" xr:uid="{FCC42D5D-4F09-44DA-8898-721EDA0A58DC}">
          <x14:formula1>
            <xm:f>'Opciones Tratamiento'!$B$13:$B$19</xm:f>
          </x14:formula1>
          <xm:sqref>L15 L17 L19:L21</xm:sqref>
        </x14:dataValidation>
        <x14:dataValidation type="list" allowBlank="1" showInputMessage="1" showErrorMessage="1" xr:uid="{66C167D9-888D-4478-940D-11B15B55A840}">
          <x14:formula1>
            <xm:f>'Opciones Tratamiento'!$B$2:$B$5</xm:f>
          </x14:formula1>
          <xm:sqref>AM21 AM15 AM17:AM19</xm:sqref>
        </x14:dataValidation>
        <x14:dataValidation type="list" allowBlank="1" showInputMessage="1" showErrorMessage="1" xr:uid="{4D2ABC01-AB60-4506-BE20-7CFF78DEA074}">
          <x14:formula1>
            <xm:f>Listas!$B$2:$B$7</xm:f>
          </x14:formula1>
          <xm:sqref>H15 H17 H19:H21</xm:sqref>
        </x14:dataValidation>
        <x14:dataValidation type="list" allowBlank="1" showInputMessage="1" showErrorMessage="1" xr:uid="{F55BF1AA-D287-4A81-857B-E0FF56A6077E}">
          <x14:formula1>
            <xm:f>Listas!$C$2:$C$6</xm:f>
          </x14:formula1>
          <xm:sqref>M15 M17 M19:M21</xm:sqref>
        </x14:dataValidation>
        <x14:dataValidation type="list" allowBlank="1" showInputMessage="1" showErrorMessage="1" xr:uid="{66B07D5A-2251-4F32-AC73-6CE9916008DE}">
          <x14:formula1>
            <xm:f>Listas!$D$2:$D$5</xm:f>
          </x14:formula1>
          <xm:sqref>N15 N17 N19:N21</xm:sqref>
        </x14:dataValidation>
        <x14:dataValidation type="custom" allowBlank="1" showInputMessage="1" showErrorMessage="1" error="Recuerde que las acciones se generan bajo la medida de mitigar el riesgo" xr:uid="{652FCB57-E5DF-4B56-8A35-F292B476ADCB}">
          <x14:formula1>
            <xm:f>IF(OR(AM16='Opciones Tratamiento'!$B$2,AM16='Opciones Tratamiento'!$B$3,AM16='Opciones Tratamiento'!$B$4),ISBLANK(AM16),ISTEXT(AM16))</xm:f>
          </x14:formula1>
          <xm:sqref>AR15:AS17</xm:sqref>
        </x14:dataValidation>
        <x14:dataValidation type="custom" allowBlank="1" showInputMessage="1" showErrorMessage="1" error="Recuerde que las acciones se generan bajo la medida de mitigar el riesgo" xr:uid="{A4AA2FB2-4BC8-4F04-8DBE-733CC5CB5361}">
          <x14:formula1>
            <xm:f>IF(OR(#REF!='Opciones Tratamiento'!$B$2,#REF!='Opciones Tratamiento'!$B$3,#REF!='Opciones Tratamiento'!$B$4),ISBLANK(#REF!),ISTEXT(#REF!))</xm:f>
          </x14:formula1>
          <xm:sqref>BC15:BD15 BD16:BD21 AQ21</xm:sqref>
        </x14:dataValidation>
        <x14:dataValidation type="custom" allowBlank="1" showInputMessage="1" showErrorMessage="1" error="Recuerde que las acciones se generan bajo la medida de mitigar el riesgo" xr:uid="{E033B3D7-7202-4647-8403-14B24613BD4D}">
          <x14:formula1>
            <xm:f>IF(OR(AM20='Opciones Tratamiento'!$B$2,AM20='Opciones Tratamiento'!$B$3,AM20='Opciones Tratamiento'!$B$4),ISBLANK(AM20),ISTEXT(AM20))</xm:f>
          </x14:formula1>
          <xm:sqref>AQ19</xm:sqref>
        </x14:dataValidation>
        <x14:dataValidation type="list" allowBlank="1" showInputMessage="1" showErrorMessage="1" xr:uid="{22EEB33B-04B8-408D-8BEC-7C6E2CB96BFE}">
          <x14:formula1>
            <xm:f>Formulas!$B$3:$B$6</xm:f>
          </x14:formula1>
          <xm:sqref>E15:E16</xm:sqref>
        </x14:dataValidation>
        <x14:dataValidation type="list" allowBlank="1" showInputMessage="1" showErrorMessage="1" xr:uid="{9B72C0F2-75B4-4570-899B-A9CE1EEEF191}">
          <x14:formula1>
            <xm:f>Formulas!$E$3:$E$5</xm:f>
          </x14:formula1>
          <xm:sqref>G15:G16</xm:sqref>
        </x14:dataValidation>
        <x14:dataValidation type="list" allowBlank="1" showInputMessage="1" showErrorMessage="1" error="Recuerde que las acciones se generan bajo la medida de mitigar el riesgo" xr:uid="{799189B5-CD41-4463-B32F-BECA7D30A425}">
          <x14:formula1>
            <xm:f>Formulas!$H$3:$H$4</xm:f>
          </x14:formula1>
          <xm:sqref>AT15</xm:sqref>
        </x14:dataValidation>
        <x14:dataValidation type="list" allowBlank="1" showInputMessage="1" showErrorMessage="1" xr:uid="{EF0091DC-57BE-4428-AF08-60F2CA6694E6}">
          <x14:formula1>
            <xm:f>Formulas!$B$3:$B$18</xm:f>
          </x14:formula1>
          <xm:sqref>E17 E19:E21</xm:sqref>
        </x14:dataValidation>
        <x14:dataValidation type="list" allowBlank="1" showInputMessage="1" showErrorMessage="1" xr:uid="{CFBCD91B-B151-4F15-8F6C-4D1F582D87A2}">
          <x14:formula1>
            <xm:f>Formulas!$E$3:$E$23</xm:f>
          </x14:formula1>
          <xm:sqref>G17 G19:G21</xm:sqref>
        </x14:dataValidation>
        <x14:dataValidation type="list" allowBlank="1" showInputMessage="1" showErrorMessage="1" xr:uid="{7E52C167-E2CF-4D1B-9512-ECA2BAC6FB27}">
          <x14:formula1>
            <xm:f>Formulas!$D$3:$D$6</xm:f>
          </x14:formula1>
          <xm:sqref>F15:F17 F19:F21</xm:sqref>
        </x14:dataValidation>
        <x14:dataValidation type="list" allowBlank="1" showInputMessage="1" showErrorMessage="1" xr:uid="{A737C272-1175-4615-9AAB-B8F48643E4B3}">
          <x14:formula1>
            <xm:f>'Tabla Valoración controles'!$D$4:$D$6</xm:f>
          </x14:formula1>
          <xm:sqref>Z15:Z21</xm:sqref>
        </x14:dataValidation>
        <x14:dataValidation type="list" allowBlank="1" showInputMessage="1" showErrorMessage="1" xr:uid="{DBF748EC-1DCA-4B36-8196-C64444D5AF1A}">
          <x14:formula1>
            <xm:f>'Tabla Valoración controles'!$D$7:$D$8</xm:f>
          </x14:formula1>
          <xm:sqref>AA15:AA21</xm:sqref>
        </x14:dataValidation>
        <x14:dataValidation type="list" allowBlank="1" showInputMessage="1" showErrorMessage="1" xr:uid="{A019DE5C-4F7B-472C-8308-C95D18801870}">
          <x14:formula1>
            <xm:f>'Tabla Valoración controles'!$D$9:$D$10</xm:f>
          </x14:formula1>
          <xm:sqref>AC15:AC21</xm:sqref>
        </x14:dataValidation>
        <x14:dataValidation type="list" allowBlank="1" showInputMessage="1" showErrorMessage="1" xr:uid="{5CE4F958-697A-48D7-9436-1F9BB1ABAD6B}">
          <x14:formula1>
            <xm:f>'Tabla Valoración controles'!$D$11:$D$12</xm:f>
          </x14:formula1>
          <xm:sqref>AD15:AD21</xm:sqref>
        </x14:dataValidation>
        <x14:dataValidation type="list" allowBlank="1" showInputMessage="1" showErrorMessage="1" xr:uid="{75B18BE0-DF94-4BEC-9D4B-9AD1FB453A5D}">
          <x14:formula1>
            <xm:f>'Tabla Valoración controles'!$D$13:$D$14</xm:f>
          </x14:formula1>
          <xm:sqref>AE15:AE21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65A79-E3BF-4801-A67D-CFEFB6AABDB4}">
  <dimension ref="A1:B14"/>
  <sheetViews>
    <sheetView workbookViewId="0">
      <selection activeCell="A31" sqref="A31"/>
    </sheetView>
  </sheetViews>
  <sheetFormatPr baseColWidth="10" defaultColWidth="11.5" defaultRowHeight="15"/>
  <cols>
    <col min="1" max="1" width="129.6640625" bestFit="1" customWidth="1"/>
  </cols>
  <sheetData>
    <row r="1" spans="1:2">
      <c r="A1" t="s">
        <v>115</v>
      </c>
      <c r="B1" t="s">
        <v>96</v>
      </c>
    </row>
    <row r="2" spans="1:2">
      <c r="A2" t="s">
        <v>116</v>
      </c>
      <c r="B2" t="s">
        <v>117</v>
      </c>
    </row>
    <row r="3" spans="1:2">
      <c r="A3" t="s">
        <v>118</v>
      </c>
      <c r="B3" t="s">
        <v>119</v>
      </c>
    </row>
    <row r="4" spans="1:2">
      <c r="A4" t="s">
        <v>120</v>
      </c>
      <c r="B4" t="s">
        <v>121</v>
      </c>
    </row>
    <row r="5" spans="1:2">
      <c r="A5" t="s">
        <v>122</v>
      </c>
      <c r="B5" t="s">
        <v>123</v>
      </c>
    </row>
    <row r="6" spans="1:2">
      <c r="A6" t="s">
        <v>124</v>
      </c>
      <c r="B6" t="s">
        <v>125</v>
      </c>
    </row>
    <row r="7" spans="1:2">
      <c r="A7" t="s">
        <v>126</v>
      </c>
      <c r="B7" t="s">
        <v>117</v>
      </c>
    </row>
    <row r="8" spans="1:2">
      <c r="A8" t="s">
        <v>127</v>
      </c>
      <c r="B8" t="s">
        <v>119</v>
      </c>
    </row>
    <row r="9" spans="1:2">
      <c r="A9" t="s">
        <v>128</v>
      </c>
      <c r="B9" t="s">
        <v>121</v>
      </c>
    </row>
    <row r="10" spans="1:2">
      <c r="A10" t="s">
        <v>129</v>
      </c>
      <c r="B10" t="s">
        <v>123</v>
      </c>
    </row>
    <row r="11" spans="1:2">
      <c r="A11" t="s">
        <v>130</v>
      </c>
      <c r="B11" t="s">
        <v>125</v>
      </c>
    </row>
    <row r="12" spans="1:2">
      <c r="A12" t="s">
        <v>131</v>
      </c>
      <c r="B12" t="s">
        <v>121</v>
      </c>
    </row>
    <row r="13" spans="1:2">
      <c r="A13" t="s">
        <v>132</v>
      </c>
      <c r="B13" t="s">
        <v>123</v>
      </c>
    </row>
    <row r="14" spans="1:2">
      <c r="A14" t="s">
        <v>133</v>
      </c>
      <c r="B14" t="s">
        <v>125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R13"/>
  <sheetViews>
    <sheetView workbookViewId="0">
      <selection activeCell="D22" sqref="D22"/>
    </sheetView>
  </sheetViews>
  <sheetFormatPr baseColWidth="10" defaultColWidth="11.5" defaultRowHeight="15"/>
  <cols>
    <col min="1" max="1" width="4" customWidth="1"/>
    <col min="2" max="3" width="31.33203125" customWidth="1"/>
    <col min="4" max="4" width="30.5" customWidth="1"/>
    <col min="5" max="5" width="24.5" customWidth="1"/>
    <col min="6" max="6" width="22.6640625" customWidth="1"/>
    <col min="7" max="7" width="37" customWidth="1"/>
    <col min="8" max="8" width="21.33203125" customWidth="1"/>
    <col min="9" max="9" width="13.6640625" customWidth="1"/>
    <col min="10" max="10" width="17.33203125" customWidth="1"/>
    <col min="13" max="13" width="15.6640625" customWidth="1"/>
    <col min="14" max="14" width="14.6640625" customWidth="1"/>
    <col min="17" max="17" width="24.6640625" customWidth="1"/>
    <col min="18" max="18" width="29.5" customWidth="1"/>
  </cols>
  <sheetData>
    <row r="1" spans="2:18">
      <c r="B1" s="325" t="s">
        <v>48</v>
      </c>
      <c r="C1" s="325"/>
      <c r="D1" s="325"/>
      <c r="E1" s="325"/>
      <c r="F1" s="325"/>
      <c r="G1" s="325"/>
      <c r="H1" s="325"/>
      <c r="I1" s="325"/>
      <c r="J1" s="325"/>
      <c r="L1" s="325" t="s">
        <v>50</v>
      </c>
      <c r="M1" s="325"/>
      <c r="N1" s="325"/>
      <c r="O1" s="325"/>
      <c r="P1" s="325"/>
      <c r="Q1" s="325"/>
      <c r="R1" s="325"/>
    </row>
    <row r="2" spans="2:18" ht="50.25" customHeight="1">
      <c r="B2" s="165" t="s">
        <v>134</v>
      </c>
      <c r="C2" s="165" t="s">
        <v>135</v>
      </c>
      <c r="D2" s="164" t="s">
        <v>56</v>
      </c>
      <c r="E2" s="164" t="s">
        <v>136</v>
      </c>
      <c r="F2" s="164" t="s">
        <v>137</v>
      </c>
      <c r="G2" s="165" t="s">
        <v>138</v>
      </c>
      <c r="H2" s="165" t="s">
        <v>139</v>
      </c>
      <c r="I2" s="165" t="s">
        <v>140</v>
      </c>
      <c r="J2" s="164" t="s">
        <v>141</v>
      </c>
      <c r="L2" s="163" t="s">
        <v>94</v>
      </c>
      <c r="M2" s="163" t="s">
        <v>95</v>
      </c>
      <c r="N2" s="163" t="s">
        <v>51</v>
      </c>
      <c r="O2" s="163" t="s">
        <v>97</v>
      </c>
      <c r="P2" s="163" t="s">
        <v>98</v>
      </c>
      <c r="Q2" s="163" t="s">
        <v>78</v>
      </c>
      <c r="R2" s="166" t="s">
        <v>142</v>
      </c>
    </row>
    <row r="3" spans="2:18" ht="28">
      <c r="B3" s="18" t="s">
        <v>143</v>
      </c>
      <c r="C3" s="18" t="s">
        <v>144</v>
      </c>
      <c r="D3" s="111" t="s">
        <v>145</v>
      </c>
      <c r="E3" s="111" t="s">
        <v>146</v>
      </c>
      <c r="F3" t="s">
        <v>147</v>
      </c>
      <c r="G3" s="111" t="s">
        <v>148</v>
      </c>
      <c r="H3" t="s">
        <v>14</v>
      </c>
      <c r="I3" t="s">
        <v>149</v>
      </c>
      <c r="J3" t="s">
        <v>150</v>
      </c>
      <c r="L3" s="2" t="s">
        <v>151</v>
      </c>
      <c r="M3" s="2" t="s">
        <v>152</v>
      </c>
      <c r="N3" s="2" t="s">
        <v>153</v>
      </c>
      <c r="O3" s="2" t="s">
        <v>154</v>
      </c>
      <c r="P3" s="2" t="s">
        <v>155</v>
      </c>
      <c r="Q3" s="2" t="s">
        <v>156</v>
      </c>
      <c r="R3" t="s">
        <v>157</v>
      </c>
    </row>
    <row r="4" spans="2:18" ht="31.5" customHeight="1">
      <c r="B4" s="18" t="s">
        <v>99</v>
      </c>
      <c r="C4" s="18" t="s">
        <v>158</v>
      </c>
      <c r="D4" s="111" t="s">
        <v>159</v>
      </c>
      <c r="E4" s="111" t="s">
        <v>160</v>
      </c>
      <c r="F4" t="s">
        <v>161</v>
      </c>
      <c r="G4" s="111" t="s">
        <v>162</v>
      </c>
      <c r="H4" t="s">
        <v>15</v>
      </c>
      <c r="I4" t="s">
        <v>163</v>
      </c>
      <c r="J4" t="s">
        <v>164</v>
      </c>
      <c r="L4" s="2" t="s">
        <v>100</v>
      </c>
      <c r="M4" s="2" t="s">
        <v>165</v>
      </c>
      <c r="N4" s="2" t="s">
        <v>166</v>
      </c>
      <c r="O4" s="2" t="s">
        <v>167</v>
      </c>
      <c r="P4" s="2" t="s">
        <v>168</v>
      </c>
      <c r="Q4" s="2" t="s">
        <v>169</v>
      </c>
      <c r="R4" t="s">
        <v>170</v>
      </c>
    </row>
    <row r="5" spans="2:18" ht="26.25" customHeight="1">
      <c r="B5" s="18" t="s">
        <v>171</v>
      </c>
      <c r="C5" s="18" t="s">
        <v>172</v>
      </c>
      <c r="D5" s="111" t="s">
        <v>173</v>
      </c>
      <c r="E5" s="111" t="s">
        <v>174</v>
      </c>
      <c r="F5" t="s">
        <v>175</v>
      </c>
      <c r="G5" s="111" t="s">
        <v>176</v>
      </c>
      <c r="I5" t="s">
        <v>177</v>
      </c>
      <c r="J5" t="s">
        <v>178</v>
      </c>
      <c r="L5" s="2" t="s">
        <v>179</v>
      </c>
      <c r="P5" s="2" t="s">
        <v>180</v>
      </c>
      <c r="Q5" s="2" t="s">
        <v>181</v>
      </c>
    </row>
    <row r="6" spans="2:18" ht="24.75" customHeight="1">
      <c r="B6" s="18" t="s">
        <v>62</v>
      </c>
      <c r="C6" s="18" t="s">
        <v>182</v>
      </c>
      <c r="D6" s="111"/>
      <c r="F6" t="s">
        <v>183</v>
      </c>
      <c r="G6" s="111" t="s">
        <v>184</v>
      </c>
      <c r="I6" t="s">
        <v>185</v>
      </c>
      <c r="J6" t="s">
        <v>186</v>
      </c>
      <c r="Q6" s="2" t="s">
        <v>101</v>
      </c>
    </row>
    <row r="7" spans="2:18" ht="26.25" customHeight="1">
      <c r="B7" s="18"/>
      <c r="C7" s="18" t="s">
        <v>187</v>
      </c>
      <c r="D7" s="111"/>
      <c r="F7" t="s">
        <v>188</v>
      </c>
      <c r="G7" s="111" t="s">
        <v>189</v>
      </c>
      <c r="I7" t="s">
        <v>190</v>
      </c>
      <c r="Q7" s="2" t="s">
        <v>191</v>
      </c>
    </row>
    <row r="8" spans="2:18" ht="32">
      <c r="B8" s="18"/>
      <c r="C8" s="18"/>
      <c r="D8" s="111"/>
      <c r="F8" t="s">
        <v>192</v>
      </c>
      <c r="G8" s="111" t="s">
        <v>193</v>
      </c>
      <c r="I8" s="111" t="s">
        <v>194</v>
      </c>
    </row>
    <row r="9" spans="2:18" ht="31.5" customHeight="1">
      <c r="B9" s="18"/>
      <c r="C9" s="18"/>
      <c r="D9" s="111"/>
      <c r="G9" s="111" t="s">
        <v>195</v>
      </c>
      <c r="I9" t="s">
        <v>196</v>
      </c>
    </row>
    <row r="10" spans="2:18">
      <c r="B10" s="18"/>
      <c r="C10" s="18"/>
      <c r="D10" s="111"/>
      <c r="I10" t="s">
        <v>197</v>
      </c>
    </row>
    <row r="11" spans="2:18">
      <c r="B11" s="18"/>
      <c r="C11" s="18"/>
      <c r="D11" s="111"/>
    </row>
    <row r="12" spans="2:18">
      <c r="B12" s="18"/>
      <c r="C12" s="18"/>
      <c r="I12" t="s">
        <v>197</v>
      </c>
    </row>
    <row r="13" spans="2:18">
      <c r="B13" s="18"/>
      <c r="C13" s="18"/>
    </row>
  </sheetData>
  <mergeCells count="2">
    <mergeCell ref="B1:J1"/>
    <mergeCell ref="L1:R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2:B30"/>
  <sheetViews>
    <sheetView zoomScale="70" zoomScaleNormal="70" workbookViewId="0">
      <selection activeCell="G93" sqref="G93"/>
    </sheetView>
  </sheetViews>
  <sheetFormatPr baseColWidth="10" defaultColWidth="11.5" defaultRowHeight="15"/>
  <sheetData>
    <row r="2" spans="2:2">
      <c r="B2" t="s">
        <v>198</v>
      </c>
    </row>
    <row r="30" spans="2:2">
      <c r="B30" t="s">
        <v>199</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C1:D75"/>
  <sheetViews>
    <sheetView topLeftCell="K64" workbookViewId="0">
      <selection activeCell="C41" sqref="C41"/>
    </sheetView>
  </sheetViews>
  <sheetFormatPr baseColWidth="10" defaultColWidth="11.5" defaultRowHeight="15"/>
  <cols>
    <col min="3" max="3" width="119" customWidth="1"/>
    <col min="4" max="4" width="33.33203125" customWidth="1"/>
  </cols>
  <sheetData>
    <row r="1" spans="3:4" ht="16" thickBot="1"/>
    <row r="2" spans="3:4">
      <c r="C2" s="326" t="s">
        <v>200</v>
      </c>
      <c r="D2" s="327"/>
    </row>
    <row r="3" spans="3:4">
      <c r="C3" s="328"/>
      <c r="D3" s="329"/>
    </row>
    <row r="4" spans="3:4" ht="16" thickBot="1">
      <c r="C4" s="148" t="s">
        <v>201</v>
      </c>
      <c r="D4" s="149" t="s">
        <v>202</v>
      </c>
    </row>
    <row r="5" spans="3:4" ht="30" customHeight="1">
      <c r="C5" s="150" t="s">
        <v>203</v>
      </c>
      <c r="D5" s="151">
        <v>1</v>
      </c>
    </row>
    <row r="6" spans="3:4" ht="28.5" customHeight="1">
      <c r="C6" s="152" t="s">
        <v>204</v>
      </c>
      <c r="D6" s="153">
        <v>1</v>
      </c>
    </row>
    <row r="7" spans="3:4" ht="28.5" customHeight="1">
      <c r="C7" s="154" t="s">
        <v>205</v>
      </c>
      <c r="D7" s="153">
        <v>1</v>
      </c>
    </row>
    <row r="8" spans="3:4" ht="28.5" customHeight="1">
      <c r="C8" s="154" t="s">
        <v>206</v>
      </c>
      <c r="D8" s="153">
        <v>1</v>
      </c>
    </row>
    <row r="9" spans="3:4" ht="18.5" customHeight="1">
      <c r="C9" s="154" t="s">
        <v>207</v>
      </c>
      <c r="D9" s="153">
        <v>1</v>
      </c>
    </row>
    <row r="10" spans="3:4" ht="28.5" customHeight="1">
      <c r="C10" s="154" t="s">
        <v>208</v>
      </c>
      <c r="D10" s="153">
        <v>1</v>
      </c>
    </row>
    <row r="11" spans="3:4" ht="21" customHeight="1">
      <c r="C11" s="152" t="s">
        <v>209</v>
      </c>
      <c r="D11" s="153">
        <v>1</v>
      </c>
    </row>
    <row r="12" spans="3:4" ht="21" customHeight="1">
      <c r="C12" s="152" t="s">
        <v>210</v>
      </c>
      <c r="D12" s="153">
        <v>1</v>
      </c>
    </row>
    <row r="13" spans="3:4" ht="21.5" customHeight="1">
      <c r="C13" s="152" t="s">
        <v>211</v>
      </c>
      <c r="D13" s="153">
        <v>1</v>
      </c>
    </row>
    <row r="14" spans="3:4" ht="28.5" customHeight="1">
      <c r="C14" s="152" t="s">
        <v>212</v>
      </c>
      <c r="D14" s="153">
        <v>1</v>
      </c>
    </row>
    <row r="15" spans="3:4" ht="22.5" customHeight="1">
      <c r="C15" s="155"/>
      <c r="D15" s="153">
        <v>1</v>
      </c>
    </row>
    <row r="16" spans="3:4" ht="28.5" customHeight="1">
      <c r="C16" s="156" t="s">
        <v>213</v>
      </c>
      <c r="D16" s="157"/>
    </row>
    <row r="17" spans="3:4" ht="28.5" customHeight="1">
      <c r="C17" s="150" t="s">
        <v>214</v>
      </c>
      <c r="D17" s="153">
        <v>1</v>
      </c>
    </row>
    <row r="18" spans="3:4" ht="28.5" customHeight="1">
      <c r="C18" s="150" t="s">
        <v>215</v>
      </c>
      <c r="D18" s="153">
        <v>1</v>
      </c>
    </row>
    <row r="19" spans="3:4" ht="28.5" customHeight="1">
      <c r="C19" s="150" t="s">
        <v>216</v>
      </c>
      <c r="D19" s="153">
        <v>1</v>
      </c>
    </row>
    <row r="20" spans="3:4" ht="28.5" customHeight="1">
      <c r="C20" s="152" t="s">
        <v>217</v>
      </c>
      <c r="D20" s="153">
        <v>1</v>
      </c>
    </row>
    <row r="21" spans="3:4" ht="28.5" customHeight="1">
      <c r="C21" s="150" t="s">
        <v>218</v>
      </c>
      <c r="D21" s="153">
        <v>1</v>
      </c>
    </row>
    <row r="22" spans="3:4" ht="28.5" customHeight="1">
      <c r="C22" s="158" t="s">
        <v>219</v>
      </c>
      <c r="D22" s="153">
        <v>1</v>
      </c>
    </row>
    <row r="23" spans="3:4" ht="28.5" customHeight="1">
      <c r="C23" s="150" t="s">
        <v>220</v>
      </c>
      <c r="D23" s="153">
        <v>1</v>
      </c>
    </row>
    <row r="24" spans="3:4" ht="28.5" customHeight="1">
      <c r="C24" s="150" t="s">
        <v>221</v>
      </c>
      <c r="D24" s="153">
        <v>1</v>
      </c>
    </row>
    <row r="25" spans="3:4" ht="28.5" customHeight="1">
      <c r="C25" s="155"/>
      <c r="D25" s="153">
        <v>1</v>
      </c>
    </row>
    <row r="26" spans="3:4" ht="28.5" customHeight="1">
      <c r="C26" s="155"/>
      <c r="D26" s="153">
        <v>1</v>
      </c>
    </row>
    <row r="27" spans="3:4" ht="28.5" customHeight="1">
      <c r="C27" s="156" t="s">
        <v>222</v>
      </c>
      <c r="D27" s="159"/>
    </row>
    <row r="28" spans="3:4" ht="28.5" customHeight="1">
      <c r="C28" s="154" t="s">
        <v>223</v>
      </c>
      <c r="D28" s="153">
        <v>1</v>
      </c>
    </row>
    <row r="29" spans="3:4" ht="28.5" customHeight="1">
      <c r="C29" s="154" t="s">
        <v>224</v>
      </c>
      <c r="D29" s="153">
        <v>1</v>
      </c>
    </row>
    <row r="30" spans="3:4" ht="28.5" customHeight="1">
      <c r="C30" s="154" t="s">
        <v>225</v>
      </c>
      <c r="D30" s="153">
        <v>1</v>
      </c>
    </row>
    <row r="31" spans="3:4" ht="28.5" customHeight="1">
      <c r="C31" s="154" t="s">
        <v>226</v>
      </c>
      <c r="D31" s="153">
        <v>1</v>
      </c>
    </row>
    <row r="32" spans="3:4" ht="28.5" customHeight="1">
      <c r="C32" s="154" t="s">
        <v>227</v>
      </c>
      <c r="D32" s="153">
        <v>1</v>
      </c>
    </row>
    <row r="33" spans="3:4" ht="28.5" customHeight="1">
      <c r="C33" s="160" t="s">
        <v>228</v>
      </c>
      <c r="D33" s="153">
        <v>1</v>
      </c>
    </row>
    <row r="34" spans="3:4" ht="28.5" customHeight="1">
      <c r="C34" s="152" t="s">
        <v>229</v>
      </c>
      <c r="D34" s="153">
        <v>1</v>
      </c>
    </row>
    <row r="35" spans="3:4" ht="28.5" customHeight="1">
      <c r="C35" s="154" t="s">
        <v>230</v>
      </c>
      <c r="D35" s="153">
        <v>1</v>
      </c>
    </row>
    <row r="36" spans="3:4" ht="28.5" customHeight="1">
      <c r="C36" s="154" t="s">
        <v>231</v>
      </c>
      <c r="D36" s="153">
        <v>1</v>
      </c>
    </row>
    <row r="37" spans="3:4" ht="28.5" customHeight="1">
      <c r="C37" s="154" t="s">
        <v>232</v>
      </c>
      <c r="D37" s="153">
        <v>1</v>
      </c>
    </row>
    <row r="38" spans="3:4" ht="28.5" customHeight="1">
      <c r="C38" s="152" t="s">
        <v>233</v>
      </c>
      <c r="D38" s="153">
        <v>1</v>
      </c>
    </row>
    <row r="39" spans="3:4" ht="28.5" customHeight="1">
      <c r="C39" s="160" t="s">
        <v>234</v>
      </c>
      <c r="D39" s="153">
        <v>1</v>
      </c>
    </row>
    <row r="40" spans="3:4" ht="28.5" customHeight="1">
      <c r="C40" s="160" t="s">
        <v>235</v>
      </c>
      <c r="D40" s="153">
        <v>1</v>
      </c>
    </row>
    <row r="41" spans="3:4" ht="28.5" customHeight="1">
      <c r="C41" s="160" t="s">
        <v>236</v>
      </c>
      <c r="D41" s="153">
        <v>1</v>
      </c>
    </row>
    <row r="42" spans="3:4" ht="28.5" customHeight="1">
      <c r="C42" s="160" t="s">
        <v>237</v>
      </c>
      <c r="D42" s="153">
        <v>1</v>
      </c>
    </row>
    <row r="43" spans="3:4" ht="28.5" customHeight="1">
      <c r="C43" s="161"/>
      <c r="D43" s="153"/>
    </row>
    <row r="44" spans="3:4" ht="28.5" customHeight="1">
      <c r="C44" s="161"/>
      <c r="D44" s="153"/>
    </row>
    <row r="45" spans="3:4" ht="28.5" customHeight="1">
      <c r="C45" s="156" t="s">
        <v>238</v>
      </c>
      <c r="D45" s="159"/>
    </row>
    <row r="46" spans="3:4" ht="28.5" customHeight="1">
      <c r="C46" s="160" t="s">
        <v>239</v>
      </c>
      <c r="D46" s="153">
        <v>1</v>
      </c>
    </row>
    <row r="47" spans="3:4" ht="28.5" customHeight="1">
      <c r="C47" s="160" t="s">
        <v>240</v>
      </c>
      <c r="D47" s="153">
        <v>1</v>
      </c>
    </row>
    <row r="48" spans="3:4" ht="28.5" customHeight="1">
      <c r="C48" s="160" t="s">
        <v>241</v>
      </c>
      <c r="D48" s="153">
        <v>1</v>
      </c>
    </row>
    <row r="49" spans="3:4" ht="28.5" customHeight="1">
      <c r="C49" s="160" t="s">
        <v>242</v>
      </c>
      <c r="D49" s="153">
        <v>1</v>
      </c>
    </row>
    <row r="50" spans="3:4" ht="28.5" customHeight="1">
      <c r="C50" s="162" t="s">
        <v>243</v>
      </c>
      <c r="D50" s="153">
        <v>1</v>
      </c>
    </row>
    <row r="51" spans="3:4" ht="28.5" customHeight="1">
      <c r="C51" s="162" t="s">
        <v>244</v>
      </c>
      <c r="D51" s="153">
        <v>1</v>
      </c>
    </row>
    <row r="52" spans="3:4" ht="28.5" customHeight="1">
      <c r="C52" s="162" t="s">
        <v>245</v>
      </c>
      <c r="D52" s="153">
        <v>1</v>
      </c>
    </row>
    <row r="53" spans="3:4" ht="28.5" customHeight="1">
      <c r="C53" s="150" t="s">
        <v>246</v>
      </c>
      <c r="D53" s="153">
        <v>1</v>
      </c>
    </row>
    <row r="54" spans="3:4" ht="28.5" customHeight="1">
      <c r="C54" s="150" t="s">
        <v>247</v>
      </c>
      <c r="D54" s="153">
        <v>1</v>
      </c>
    </row>
    <row r="55" spans="3:4" ht="28.5" customHeight="1"/>
    <row r="56" spans="3:4" ht="11" customHeight="1"/>
    <row r="57" spans="3:4" ht="11" customHeight="1"/>
    <row r="58" spans="3:4" ht="11" customHeight="1"/>
    <row r="59" spans="3:4" ht="11" customHeight="1"/>
    <row r="60" spans="3:4" ht="11" customHeight="1"/>
    <row r="61" spans="3:4" ht="11" customHeight="1"/>
    <row r="62" spans="3:4" ht="11" customHeight="1"/>
    <row r="63" spans="3:4" ht="11" customHeight="1"/>
    <row r="64" spans="3:4" ht="11" customHeight="1"/>
    <row r="65" ht="11" customHeight="1"/>
    <row r="66" ht="11" customHeight="1"/>
    <row r="67" ht="11" customHeight="1"/>
    <row r="68" ht="11" customHeight="1"/>
    <row r="69" ht="11" customHeight="1"/>
    <row r="70" ht="11" customHeight="1"/>
    <row r="71" ht="11" customHeight="1"/>
    <row r="72" ht="11" customHeight="1"/>
    <row r="73" ht="11" customHeight="1"/>
    <row r="74" ht="11" customHeight="1"/>
    <row r="75" ht="11" customHeight="1"/>
  </sheetData>
  <mergeCells count="1">
    <mergeCell ref="C2:D3"/>
  </mergeCells>
  <conditionalFormatting sqref="D5:D15 D17:D26 D43:D44">
    <cfRule type="iconSet" priority="6">
      <iconSet>
        <cfvo type="percent" val="0"/>
        <cfvo type="percent" val="33"/>
        <cfvo type="percent" val="67"/>
      </iconSet>
    </cfRule>
  </conditionalFormatting>
  <conditionalFormatting sqref="D28:D42">
    <cfRule type="iconSet" priority="4">
      <iconSet>
        <cfvo type="percent" val="0"/>
        <cfvo type="percent" val="33"/>
        <cfvo type="percent" val="67"/>
      </iconSet>
    </cfRule>
  </conditionalFormatting>
  <conditionalFormatting sqref="D46:D54">
    <cfRule type="iconSet" priority="2">
      <iconSet>
        <cfvo type="percent" val="0"/>
        <cfvo type="percent" val="33"/>
        <cfvo type="percent" val="67"/>
      </iconSe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iconSet" priority="5" id="{06EB6435-C432-4D19-A0A0-EA03417474CA}">
            <x14:iconSet showValue="0" custom="1">
              <x14:cfvo type="percent">
                <xm:f>0</xm:f>
              </x14:cfvo>
              <x14:cfvo type="percent">
                <xm:f>0</xm:f>
              </x14:cfvo>
              <x14:cfvo type="num">
                <xm:f>1</xm:f>
              </x14:cfvo>
              <x14:cfIcon iconSet="3Symbols" iconId="0"/>
              <x14:cfIcon iconSet="3Symbols" iconId="0"/>
              <x14:cfIcon iconSet="3Symbols" iconId="2"/>
            </x14:iconSet>
          </x14:cfRule>
          <xm:sqref>D5:D15 D17:D26 D43:D44</xm:sqref>
        </x14:conditionalFormatting>
        <x14:conditionalFormatting xmlns:xm="http://schemas.microsoft.com/office/excel/2006/main">
          <x14:cfRule type="iconSet" priority="3" id="{381B375A-42D7-49A6-A52D-2130434D1021}">
            <x14:iconSet showValue="0" custom="1">
              <x14:cfvo type="percent">
                <xm:f>0</xm:f>
              </x14:cfvo>
              <x14:cfvo type="percent">
                <xm:f>0</xm:f>
              </x14:cfvo>
              <x14:cfvo type="num">
                <xm:f>1</xm:f>
              </x14:cfvo>
              <x14:cfIcon iconSet="3Symbols" iconId="0"/>
              <x14:cfIcon iconSet="3Symbols" iconId="0"/>
              <x14:cfIcon iconSet="3Symbols" iconId="2"/>
            </x14:iconSet>
          </x14:cfRule>
          <xm:sqref>D28:D42</xm:sqref>
        </x14:conditionalFormatting>
        <x14:conditionalFormatting xmlns:xm="http://schemas.microsoft.com/office/excel/2006/main">
          <x14:cfRule type="iconSet" priority="1" id="{05A66E2B-23A5-4AC3-BFE1-977F769F42E5}">
            <x14:iconSet showValue="0" custom="1">
              <x14:cfvo type="percent">
                <xm:f>0</xm:f>
              </x14:cfvo>
              <x14:cfvo type="percent">
                <xm:f>0</xm:f>
              </x14:cfvo>
              <x14:cfvo type="num">
                <xm:f>1</xm:f>
              </x14:cfvo>
              <x14:cfIcon iconSet="3Symbols" iconId="0"/>
              <x14:cfIcon iconSet="3Symbols" iconId="0"/>
              <x14:cfIcon iconSet="3Symbols" iconId="2"/>
            </x14:iconSet>
          </x14:cfRule>
          <xm:sqref>D46:D54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CW145"/>
  <sheetViews>
    <sheetView showGridLines="0" showRowColHeaders="0" zoomScale="60" zoomScaleNormal="60" workbookViewId="0">
      <pane ySplit="7" topLeftCell="A8" activePane="bottomLeft" state="frozen"/>
      <selection pane="bottomLeft" activeCell="AP3" sqref="AP3:AV3"/>
    </sheetView>
  </sheetViews>
  <sheetFormatPr baseColWidth="10" defaultColWidth="11.5" defaultRowHeight="15"/>
  <cols>
    <col min="1" max="1" width="5.33203125" customWidth="1"/>
    <col min="2" max="2" width="8.6640625" customWidth="1"/>
    <col min="3" max="3" width="9" customWidth="1"/>
    <col min="4" max="41" width="5.6640625" customWidth="1"/>
    <col min="43" max="48" width="5.6640625" customWidth="1"/>
  </cols>
  <sheetData>
    <row r="1" spans="1:101" ht="16" thickBot="1"/>
    <row r="2" spans="1:101" ht="15" customHeight="1">
      <c r="D2" s="390" t="s">
        <v>248</v>
      </c>
      <c r="E2" s="391"/>
      <c r="F2" s="391"/>
      <c r="G2" s="391"/>
      <c r="H2" s="391"/>
      <c r="I2" s="391"/>
      <c r="J2" s="391"/>
      <c r="K2" s="392"/>
      <c r="L2" s="381" t="s">
        <v>38</v>
      </c>
      <c r="M2" s="382"/>
      <c r="N2" s="382"/>
      <c r="O2" s="382"/>
      <c r="P2" s="382"/>
      <c r="Q2" s="382"/>
      <c r="R2" s="382"/>
      <c r="S2" s="382"/>
      <c r="T2" s="382"/>
      <c r="U2" s="382"/>
      <c r="V2" s="382"/>
      <c r="W2" s="382"/>
      <c r="X2" s="382"/>
      <c r="Y2" s="382"/>
      <c r="Z2" s="382"/>
      <c r="AA2" s="382"/>
      <c r="AB2" s="382"/>
      <c r="AC2" s="382"/>
      <c r="AD2" s="382"/>
      <c r="AE2" s="382"/>
      <c r="AF2" s="382"/>
      <c r="AG2" s="382"/>
      <c r="AH2" s="382"/>
      <c r="AI2" s="382"/>
      <c r="AJ2" s="382"/>
      <c r="AK2" s="382"/>
      <c r="AL2" s="382"/>
      <c r="AM2" s="382"/>
      <c r="AN2" s="382"/>
      <c r="AO2" s="383"/>
      <c r="AP2" s="265" t="s">
        <v>249</v>
      </c>
      <c r="AQ2" s="378"/>
      <c r="AR2" s="378"/>
      <c r="AS2" s="378"/>
      <c r="AT2" s="378"/>
      <c r="AU2" s="378"/>
      <c r="AV2" s="239"/>
    </row>
    <row r="3" spans="1:101">
      <c r="D3" s="393"/>
      <c r="E3" s="394"/>
      <c r="F3" s="394"/>
      <c r="G3" s="394"/>
      <c r="H3" s="394"/>
      <c r="I3" s="394"/>
      <c r="J3" s="394"/>
      <c r="K3" s="395"/>
      <c r="L3" s="384"/>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c r="AO3" s="386"/>
      <c r="AP3" s="266" t="s">
        <v>3</v>
      </c>
      <c r="AQ3" s="379"/>
      <c r="AR3" s="379"/>
      <c r="AS3" s="379"/>
      <c r="AT3" s="379"/>
      <c r="AU3" s="379"/>
      <c r="AV3" s="241"/>
    </row>
    <row r="4" spans="1:101">
      <c r="D4" s="393"/>
      <c r="E4" s="394"/>
      <c r="F4" s="394"/>
      <c r="G4" s="394"/>
      <c r="H4" s="394"/>
      <c r="I4" s="394"/>
      <c r="J4" s="394"/>
      <c r="K4" s="395"/>
      <c r="L4" s="384"/>
      <c r="M4" s="385"/>
      <c r="N4" s="385"/>
      <c r="O4" s="385"/>
      <c r="P4" s="385"/>
      <c r="Q4" s="385"/>
      <c r="R4" s="385"/>
      <c r="S4" s="385"/>
      <c r="T4" s="385"/>
      <c r="U4" s="385"/>
      <c r="V4" s="385"/>
      <c r="W4" s="385"/>
      <c r="X4" s="385"/>
      <c r="Y4" s="385"/>
      <c r="Z4" s="385"/>
      <c r="AA4" s="385"/>
      <c r="AB4" s="385"/>
      <c r="AC4" s="385"/>
      <c r="AD4" s="385"/>
      <c r="AE4" s="385"/>
      <c r="AF4" s="385"/>
      <c r="AG4" s="385"/>
      <c r="AH4" s="385"/>
      <c r="AI4" s="385"/>
      <c r="AJ4" s="385"/>
      <c r="AK4" s="385"/>
      <c r="AL4" s="385"/>
      <c r="AM4" s="385"/>
      <c r="AN4" s="385"/>
      <c r="AO4" s="386"/>
      <c r="AP4" s="266" t="s">
        <v>4</v>
      </c>
      <c r="AQ4" s="379" t="s">
        <v>250</v>
      </c>
      <c r="AR4" s="379"/>
      <c r="AS4" s="379"/>
      <c r="AT4" s="379"/>
      <c r="AU4" s="379"/>
      <c r="AV4" s="241"/>
    </row>
    <row r="5" spans="1:101" ht="16" thickBot="1">
      <c r="D5" s="396"/>
      <c r="E5" s="397"/>
      <c r="F5" s="397"/>
      <c r="G5" s="397"/>
      <c r="H5" s="397"/>
      <c r="I5" s="397"/>
      <c r="J5" s="397"/>
      <c r="K5" s="398"/>
      <c r="L5" s="387"/>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9"/>
      <c r="AP5" s="267" t="s">
        <v>5</v>
      </c>
      <c r="AQ5" s="380" t="s">
        <v>5</v>
      </c>
      <c r="AR5" s="380"/>
      <c r="AS5" s="380"/>
      <c r="AT5" s="380"/>
      <c r="AU5" s="380"/>
      <c r="AV5" s="243"/>
    </row>
    <row r="7" spans="1:101" ht="18" customHeight="1">
      <c r="C7" s="68"/>
      <c r="D7" s="330" t="s">
        <v>251</v>
      </c>
      <c r="E7" s="330"/>
      <c r="F7" s="330"/>
      <c r="G7" s="330"/>
      <c r="H7" s="330"/>
      <c r="I7" s="330"/>
      <c r="J7" s="330"/>
      <c r="K7" s="330"/>
      <c r="L7" s="437" t="s">
        <v>56</v>
      </c>
      <c r="M7" s="437"/>
      <c r="N7" s="437"/>
      <c r="O7" s="437"/>
      <c r="P7" s="437"/>
      <c r="Q7" s="437"/>
      <c r="R7" s="437"/>
      <c r="S7" s="437"/>
      <c r="T7" s="437"/>
      <c r="U7" s="437"/>
      <c r="V7" s="437"/>
      <c r="W7" s="437"/>
      <c r="X7" s="437"/>
      <c r="Y7" s="437"/>
      <c r="Z7" s="437"/>
      <c r="AA7" s="437"/>
      <c r="AB7" s="437"/>
      <c r="AC7" s="437"/>
      <c r="AD7" s="437"/>
      <c r="AE7" s="437"/>
      <c r="AF7" s="437"/>
      <c r="AG7" s="437"/>
      <c r="AH7" s="437"/>
      <c r="AI7" s="437"/>
      <c r="AJ7" s="437"/>
      <c r="AK7" s="437"/>
      <c r="AL7" s="437"/>
      <c r="AM7" s="437"/>
      <c r="AN7" s="437"/>
      <c r="AO7" s="437"/>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row>
    <row r="8" spans="1:101" ht="18.75" customHeight="1">
      <c r="A8" s="274" t="s">
        <v>9</v>
      </c>
      <c r="B8" s="274"/>
      <c r="C8" s="275"/>
      <c r="D8" s="330"/>
      <c r="E8" s="330"/>
      <c r="F8" s="330"/>
      <c r="G8" s="330"/>
      <c r="H8" s="330"/>
      <c r="I8" s="330"/>
      <c r="J8" s="330"/>
      <c r="K8" s="330"/>
      <c r="L8" s="437"/>
      <c r="M8" s="437"/>
      <c r="N8" s="437"/>
      <c r="O8" s="437"/>
      <c r="P8" s="437"/>
      <c r="Q8" s="437"/>
      <c r="R8" s="437"/>
      <c r="S8" s="437"/>
      <c r="T8" s="437"/>
      <c r="U8" s="437"/>
      <c r="V8" s="437"/>
      <c r="W8" s="437"/>
      <c r="X8" s="437"/>
      <c r="Y8" s="437"/>
      <c r="Z8" s="437"/>
      <c r="AA8" s="437"/>
      <c r="AB8" s="437"/>
      <c r="AC8" s="437"/>
      <c r="AD8" s="437"/>
      <c r="AE8" s="437"/>
      <c r="AF8" s="437"/>
      <c r="AG8" s="437"/>
      <c r="AH8" s="437"/>
      <c r="AI8" s="437"/>
      <c r="AJ8" s="437"/>
      <c r="AK8" s="437"/>
      <c r="AL8" s="437"/>
      <c r="AM8" s="437"/>
      <c r="AN8" s="437"/>
      <c r="AO8" s="437"/>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68"/>
      <c r="CE8" s="68"/>
      <c r="CF8" s="68"/>
      <c r="CG8" s="68"/>
      <c r="CH8" s="68"/>
      <c r="CI8" s="68"/>
      <c r="CJ8" s="68"/>
      <c r="CK8" s="68"/>
      <c r="CL8" s="68"/>
      <c r="CM8" s="68"/>
      <c r="CN8" s="68"/>
      <c r="CO8" s="68"/>
      <c r="CP8" s="68"/>
      <c r="CQ8" s="68"/>
      <c r="CR8" s="68"/>
      <c r="CS8" s="68"/>
      <c r="CT8" s="68"/>
      <c r="CU8" s="68"/>
      <c r="CV8" s="68"/>
      <c r="CW8" s="68"/>
    </row>
    <row r="9" spans="1:101" ht="15" customHeight="1">
      <c r="C9" s="68"/>
      <c r="D9" s="330"/>
      <c r="E9" s="330"/>
      <c r="F9" s="330"/>
      <c r="G9" s="330"/>
      <c r="H9" s="330"/>
      <c r="I9" s="330"/>
      <c r="J9" s="330"/>
      <c r="K9" s="330"/>
      <c r="L9" s="437"/>
      <c r="M9" s="437"/>
      <c r="N9" s="437"/>
      <c r="O9" s="437"/>
      <c r="P9" s="437"/>
      <c r="Q9" s="437"/>
      <c r="R9" s="437"/>
      <c r="S9" s="437"/>
      <c r="T9" s="437"/>
      <c r="U9" s="437"/>
      <c r="V9" s="437"/>
      <c r="W9" s="437"/>
      <c r="X9" s="437"/>
      <c r="Y9" s="437"/>
      <c r="Z9" s="437"/>
      <c r="AA9" s="437"/>
      <c r="AB9" s="437"/>
      <c r="AC9" s="437"/>
      <c r="AD9" s="437"/>
      <c r="AE9" s="437"/>
      <c r="AF9" s="437"/>
      <c r="AG9" s="437"/>
      <c r="AH9" s="437"/>
      <c r="AI9" s="437"/>
      <c r="AJ9" s="437"/>
      <c r="AK9" s="437"/>
      <c r="AL9" s="437"/>
      <c r="AM9" s="437"/>
      <c r="AN9" s="437"/>
      <c r="AO9" s="437"/>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row>
    <row r="10" spans="1:101" ht="16" thickBot="1">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row>
    <row r="11" spans="1:101" ht="15" customHeight="1">
      <c r="C11" s="68"/>
      <c r="D11" s="399" t="s">
        <v>252</v>
      </c>
      <c r="E11" s="399"/>
      <c r="F11" s="400"/>
      <c r="G11" s="367" t="s">
        <v>253</v>
      </c>
      <c r="H11" s="369"/>
      <c r="I11" s="369"/>
      <c r="J11" s="369"/>
      <c r="K11" s="369"/>
      <c r="L11" s="364"/>
      <c r="M11" s="365"/>
      <c r="N11" s="365" t="str">
        <f>IF(AND('Mapa final'!$K$15="Muy Alta",'Mapa final'!$O$15="Leve"),CONCATENATE("R",'Mapa final'!#REF!),"")</f>
        <v/>
      </c>
      <c r="O11" s="365"/>
      <c r="P11" s="365" t="str">
        <f>IF(AND('Mapa final'!$K$21="Muy Alta",'Mapa final'!$O$21="Leve"),CONCATENATE("R",'Mapa final'!$A$21),"")</f>
        <v/>
      </c>
      <c r="Q11" s="366"/>
      <c r="R11" s="364"/>
      <c r="S11" s="365"/>
      <c r="T11" s="365" t="str">
        <f>IF(AND('Mapa final'!$P$15="Muy Alta",'Mapa final'!$S$15="Menor"),CONCATENATE("R",'Mapa final'!#REF!),"")</f>
        <v/>
      </c>
      <c r="U11" s="365"/>
      <c r="V11" s="365" t="str">
        <f>IF(AND('Mapa final'!$P$21="Muy Alta",'Mapa final'!$S$21="Menor"),CONCATENATE("R",'Mapa final'!$A$21),"")</f>
        <v/>
      </c>
      <c r="W11" s="365"/>
      <c r="X11" s="364"/>
      <c r="Y11" s="365"/>
      <c r="Z11" s="365" t="str">
        <f>IF(AND('Mapa final'!P$15="Muy Alta",'Mapa final'!$S$15="Moderado"),CONCATENATE("R",'Mapa final'!#REF!),"")</f>
        <v/>
      </c>
      <c r="AA11" s="365"/>
      <c r="AB11" s="365" t="str">
        <f>IF(AND('Mapa final'!$P$21="Muy Alta",'Mapa final'!$S$21="Moderado"),CONCATENATE("R",'Mapa final'!$A$21),"")</f>
        <v/>
      </c>
      <c r="AC11" s="365"/>
      <c r="AD11" s="364"/>
      <c r="AE11" s="365"/>
      <c r="AF11" s="365" t="str">
        <f>IF(AND('Mapa final'!$P$15="Muy Alta",'Mapa final'!$S$15="Mayor"),CONCATENATE("R",'Mapa final'!#REF!),"")</f>
        <v/>
      </c>
      <c r="AG11" s="365"/>
      <c r="AH11" s="365" t="str">
        <f>IF(AND('Mapa final'!$P$21="Muy Alta",'Mapa final'!$S$21="Mayor"),CONCATENATE("R",'Mapa final'!$A$21),"")</f>
        <v/>
      </c>
      <c r="AI11" s="365"/>
      <c r="AJ11" s="355"/>
      <c r="AK11" s="356"/>
      <c r="AL11" s="356" t="str">
        <f>IF(AND('Mapa final'!$P$15="Muy Alta",'Mapa final'!$S$15="Catastrófico"),CONCATENATE("R",'Mapa final'!#REF!),"")</f>
        <v/>
      </c>
      <c r="AM11" s="356"/>
      <c r="AN11" s="356" t="str">
        <f>IF(AND('Mapa final'!$P$21="Muy Alta",'Mapa final'!$S$21="Catastrófico"),CONCATENATE("R",'Mapa final'!$A$21),"")</f>
        <v/>
      </c>
      <c r="AO11" s="357"/>
      <c r="AQ11" s="401" t="s">
        <v>254</v>
      </c>
      <c r="AR11" s="402"/>
      <c r="AS11" s="402"/>
      <c r="AT11" s="402"/>
      <c r="AU11" s="402"/>
      <c r="AV11" s="403"/>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row>
    <row r="12" spans="1:101" ht="15" customHeight="1">
      <c r="C12" s="68"/>
      <c r="D12" s="399"/>
      <c r="E12" s="399"/>
      <c r="F12" s="400"/>
      <c r="G12" s="371"/>
      <c r="H12" s="372"/>
      <c r="I12" s="372"/>
      <c r="J12" s="372"/>
      <c r="K12" s="372"/>
      <c r="L12" s="358"/>
      <c r="M12" s="359"/>
      <c r="N12" s="359"/>
      <c r="O12" s="359"/>
      <c r="P12" s="359"/>
      <c r="Q12" s="360"/>
      <c r="R12" s="358"/>
      <c r="S12" s="359"/>
      <c r="T12" s="359"/>
      <c r="U12" s="359"/>
      <c r="V12" s="359"/>
      <c r="W12" s="359"/>
      <c r="X12" s="358"/>
      <c r="Y12" s="359"/>
      <c r="Z12" s="359"/>
      <c r="AA12" s="359"/>
      <c r="AB12" s="359"/>
      <c r="AC12" s="359"/>
      <c r="AD12" s="358"/>
      <c r="AE12" s="359"/>
      <c r="AF12" s="359"/>
      <c r="AG12" s="359"/>
      <c r="AH12" s="359"/>
      <c r="AI12" s="359"/>
      <c r="AJ12" s="349"/>
      <c r="AK12" s="350"/>
      <c r="AL12" s="350"/>
      <c r="AM12" s="350"/>
      <c r="AN12" s="350"/>
      <c r="AO12" s="351"/>
      <c r="AP12" s="68"/>
      <c r="AQ12" s="404"/>
      <c r="AR12" s="405"/>
      <c r="AS12" s="405"/>
      <c r="AT12" s="405"/>
      <c r="AU12" s="405"/>
      <c r="AV12" s="406"/>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row>
    <row r="13" spans="1:101" ht="15" customHeight="1">
      <c r="C13" s="68"/>
      <c r="D13" s="399"/>
      <c r="E13" s="399"/>
      <c r="F13" s="400"/>
      <c r="G13" s="371"/>
      <c r="H13" s="372"/>
      <c r="I13" s="372"/>
      <c r="J13" s="372"/>
      <c r="K13" s="372"/>
      <c r="L13" s="358" t="e">
        <f>IF(AND('Mapa final'!#REF!="Muy Alta",'Mapa final'!#REF!="Leve"),CONCATENATE("R",'Mapa final'!#REF!),"")</f>
        <v>#REF!</v>
      </c>
      <c r="M13" s="359"/>
      <c r="N13" s="359" t="e">
        <f>IF(AND('Mapa final'!#REF!="Muy Alta",'Mapa final'!#REF!="Leve"),CONCATENATE("R",'Mapa final'!#REF!),"")</f>
        <v>#REF!</v>
      </c>
      <c r="O13" s="359"/>
      <c r="P13" s="359" t="e">
        <f>IF(AND('Mapa final'!#REF!="Muy Alta",'Mapa final'!#REF!="Leve"),CONCATENATE("R",'Mapa final'!#REF!),"")</f>
        <v>#REF!</v>
      </c>
      <c r="Q13" s="360"/>
      <c r="R13" s="358" t="e">
        <f>IF(AND('Mapa final'!#REF!="Muy Alta",'Mapa final'!#REF!="Menor"),CONCATENATE("R",'Mapa final'!#REF!),"")</f>
        <v>#REF!</v>
      </c>
      <c r="S13" s="359"/>
      <c r="T13" s="359" t="e">
        <f>IF(AND('Mapa final'!#REF!="Muy Alta",'Mapa final'!#REF!="Menor"),CONCATENATE("R",'Mapa final'!#REF!),"")</f>
        <v>#REF!</v>
      </c>
      <c r="U13" s="359"/>
      <c r="V13" s="359" t="e">
        <f>IF(AND('Mapa final'!#REF!="Muy Alta",'Mapa final'!#REF!="Menor"),CONCATENATE("R",'Mapa final'!#REF!),"")</f>
        <v>#REF!</v>
      </c>
      <c r="W13" s="359"/>
      <c r="X13" s="358" t="e">
        <f>IF(AND('Mapa final'!#REF!="Muy Alta",'Mapa final'!#REF!="Moderado"),CONCATENATE("R",'Mapa final'!#REF!),"")</f>
        <v>#REF!</v>
      </c>
      <c r="Y13" s="359"/>
      <c r="Z13" s="359" t="e">
        <f>IF(AND('Mapa final'!#REF!="Muy Alta",'Mapa final'!#REF!="Moderado"),CONCATENATE("R",'Mapa final'!#REF!),"")</f>
        <v>#REF!</v>
      </c>
      <c r="AA13" s="359"/>
      <c r="AB13" s="359" t="e">
        <f>IF(AND('Mapa final'!#REF!="Muy Alta",'Mapa final'!#REF!="Moderado"),CONCATENATE("R",'Mapa final'!#REF!),"")</f>
        <v>#REF!</v>
      </c>
      <c r="AC13" s="359"/>
      <c r="AD13" s="358" t="e">
        <f>IF(AND('Mapa final'!#REF!="Muy Alta",'Mapa final'!#REF!="Mayor"),CONCATENATE("R",'Mapa final'!#REF!),"")</f>
        <v>#REF!</v>
      </c>
      <c r="AE13" s="359"/>
      <c r="AF13" s="359" t="e">
        <f>IF(AND('Mapa final'!#REF!="Muy Alta",'Mapa final'!#REF!="Mayor"),CONCATENATE("R",'Mapa final'!#REF!),"")</f>
        <v>#REF!</v>
      </c>
      <c r="AG13" s="359"/>
      <c r="AH13" s="359" t="e">
        <f>IF(AND('Mapa final'!#REF!="Muy Alta",'Mapa final'!#REF!="Mayor"),CONCATENATE("R",'Mapa final'!#REF!),"")</f>
        <v>#REF!</v>
      </c>
      <c r="AI13" s="359"/>
      <c r="AJ13" s="349" t="e">
        <f>IF(AND('Mapa final'!#REF!="Muy Alta",'Mapa final'!#REF!="Catastrófico"),CONCATENATE("R",'Mapa final'!#REF!),"")</f>
        <v>#REF!</v>
      </c>
      <c r="AK13" s="350"/>
      <c r="AL13" s="350" t="e">
        <f>IF(AND('Mapa final'!#REF!="Muy Alta",'Mapa final'!#REF!="Catastrófico"),CONCATENATE("R",'Mapa final'!#REF!),"")</f>
        <v>#REF!</v>
      </c>
      <c r="AM13" s="350"/>
      <c r="AN13" s="350" t="e">
        <f>IF(AND('Mapa final'!#REF!="Muy Alta",'Mapa final'!#REF!="Catastrófico"),CONCATENATE("R",'Mapa final'!#REF!),"")</f>
        <v>#REF!</v>
      </c>
      <c r="AO13" s="351"/>
      <c r="AP13" s="68"/>
      <c r="AQ13" s="404"/>
      <c r="AR13" s="405"/>
      <c r="AS13" s="405"/>
      <c r="AT13" s="405"/>
      <c r="AU13" s="405"/>
      <c r="AV13" s="406"/>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row>
    <row r="14" spans="1:101" ht="15" customHeight="1">
      <c r="C14" s="68"/>
      <c r="D14" s="399"/>
      <c r="E14" s="399"/>
      <c r="F14" s="400"/>
      <c r="G14" s="371"/>
      <c r="H14" s="372"/>
      <c r="I14" s="372"/>
      <c r="J14" s="372"/>
      <c r="K14" s="372"/>
      <c r="L14" s="358"/>
      <c r="M14" s="359"/>
      <c r="N14" s="359"/>
      <c r="O14" s="359"/>
      <c r="P14" s="359"/>
      <c r="Q14" s="360"/>
      <c r="R14" s="358"/>
      <c r="S14" s="359"/>
      <c r="T14" s="359"/>
      <c r="U14" s="359"/>
      <c r="V14" s="359"/>
      <c r="W14" s="359"/>
      <c r="X14" s="358"/>
      <c r="Y14" s="359"/>
      <c r="Z14" s="359"/>
      <c r="AA14" s="359"/>
      <c r="AB14" s="359"/>
      <c r="AC14" s="359"/>
      <c r="AD14" s="358"/>
      <c r="AE14" s="359"/>
      <c r="AF14" s="359"/>
      <c r="AG14" s="359"/>
      <c r="AH14" s="359"/>
      <c r="AI14" s="359"/>
      <c r="AJ14" s="349"/>
      <c r="AK14" s="350"/>
      <c r="AL14" s="350"/>
      <c r="AM14" s="350"/>
      <c r="AN14" s="350"/>
      <c r="AO14" s="351"/>
      <c r="AP14" s="68"/>
      <c r="AQ14" s="404"/>
      <c r="AR14" s="405"/>
      <c r="AS14" s="405"/>
      <c r="AT14" s="405"/>
      <c r="AU14" s="405"/>
      <c r="AV14" s="406"/>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row>
    <row r="15" spans="1:101" ht="15" customHeight="1">
      <c r="C15" s="68"/>
      <c r="D15" s="399"/>
      <c r="E15" s="399"/>
      <c r="F15" s="400"/>
      <c r="G15" s="371"/>
      <c r="H15" s="372"/>
      <c r="I15" s="372"/>
      <c r="J15" s="372"/>
      <c r="K15" s="372"/>
      <c r="L15" s="358" t="e">
        <f>IF(AND('Mapa final'!#REF!="Muy Alta",'Mapa final'!#REF!="Leve"),CONCATENATE("R",'Mapa final'!#REF!),"")</f>
        <v>#REF!</v>
      </c>
      <c r="M15" s="359"/>
      <c r="N15" s="359" t="e">
        <f>IF(AND('Mapa final'!#REF!="Muy Alta",'Mapa final'!#REF!="Leve"),CONCATENATE("R",'Mapa final'!#REF!),"")</f>
        <v>#REF!</v>
      </c>
      <c r="O15" s="359"/>
      <c r="P15" s="359" t="str">
        <f>IF(AND('Mapa final'!$K$22="Muy Alta",'Mapa final'!$O$22="Leve"),CONCATENATE("R",'Mapa final'!$A$22),"")</f>
        <v/>
      </c>
      <c r="Q15" s="360"/>
      <c r="R15" s="358" t="e">
        <f>IF(AND('Mapa final'!#REF!="Muy Alta",'Mapa final'!#REF!="Menor"),CONCATENATE("R",'Mapa final'!#REF!),"")</f>
        <v>#REF!</v>
      </c>
      <c r="S15" s="359"/>
      <c r="T15" s="359" t="e">
        <f>IF(AND('Mapa final'!#REF!="Muy Alta",'Mapa final'!#REF!="Menor"),CONCATENATE("R",'Mapa final'!#REF!),"")</f>
        <v>#REF!</v>
      </c>
      <c r="U15" s="359"/>
      <c r="V15" s="359" t="str">
        <f>IF(AND('Mapa final'!$P$22="Muy Alta",'Mapa final'!$S$22="Menor"),CONCATENATE("R",'Mapa final'!$A$22),"")</f>
        <v/>
      </c>
      <c r="W15" s="359"/>
      <c r="X15" s="358" t="e">
        <f>IF(AND('Mapa final'!#REF!="Muy Alta",'Mapa final'!#REF!="Moderado"),CONCATENATE("R",'Mapa final'!#REF!),"")</f>
        <v>#REF!</v>
      </c>
      <c r="Y15" s="359"/>
      <c r="Z15" s="359" t="e">
        <f>IF(AND('Mapa final'!#REF!="Muy Alta",'Mapa final'!#REF!="Moderado"),CONCATENATE("R",'Mapa final'!#REF!),"")</f>
        <v>#REF!</v>
      </c>
      <c r="AA15" s="359"/>
      <c r="AB15" s="359" t="str">
        <f>IF(AND('Mapa final'!$P$22="Muy Alta",'Mapa final'!$S$22="Moderado"),CONCATENATE("R",'Mapa final'!$A$22),"")</f>
        <v/>
      </c>
      <c r="AC15" s="359"/>
      <c r="AD15" s="358" t="e">
        <f>IF(AND('Mapa final'!#REF!="Muy Alta",'Mapa final'!#REF!="Mayor"),CONCATENATE("R",'Mapa final'!#REF!),"")</f>
        <v>#REF!</v>
      </c>
      <c r="AE15" s="359"/>
      <c r="AF15" s="359" t="e">
        <f>IF(AND('Mapa final'!#REF!="Muy Alta",'Mapa final'!#REF!="Mayor"),CONCATENATE("R",'Mapa final'!#REF!),"")</f>
        <v>#REF!</v>
      </c>
      <c r="AG15" s="359"/>
      <c r="AH15" s="359" t="str">
        <f>IF(AND('Mapa final'!$P$22="Muy Alta",'Mapa final'!$S$22="Mayor"),CONCATENATE("R",'Mapa final'!$A$22),"")</f>
        <v/>
      </c>
      <c r="AI15" s="359"/>
      <c r="AJ15" s="349" t="e">
        <f>IF(AND('Mapa final'!#REF!="Muy Alta",'Mapa final'!#REF!="Catastrófico"),CONCATENATE("R",'Mapa final'!#REF!),"")</f>
        <v>#REF!</v>
      </c>
      <c r="AK15" s="350"/>
      <c r="AL15" s="350" t="e">
        <f>IF(AND('Mapa final'!#REF!="Muy Alta",'Mapa final'!#REF!="Catastrófico"),CONCATENATE("R",'Mapa final'!#REF!),"")</f>
        <v>#REF!</v>
      </c>
      <c r="AM15" s="350"/>
      <c r="AN15" s="350" t="str">
        <f>IF(AND('Mapa final'!$P$22="Muy Alta",'Mapa final'!$S$22="Catastrófico"),CONCATENATE("R",'Mapa final'!$A$22),"")</f>
        <v/>
      </c>
      <c r="AO15" s="351"/>
      <c r="AP15" s="68"/>
      <c r="AQ15" s="404"/>
      <c r="AR15" s="405"/>
      <c r="AS15" s="405"/>
      <c r="AT15" s="405"/>
      <c r="AU15" s="405"/>
      <c r="AV15" s="406"/>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row>
    <row r="16" spans="1:101" ht="15" customHeight="1">
      <c r="C16" s="68"/>
      <c r="D16" s="399"/>
      <c r="E16" s="399"/>
      <c r="F16" s="400"/>
      <c r="G16" s="371"/>
      <c r="H16" s="372"/>
      <c r="I16" s="372"/>
      <c r="J16" s="372"/>
      <c r="K16" s="372"/>
      <c r="L16" s="358"/>
      <c r="M16" s="359"/>
      <c r="N16" s="359"/>
      <c r="O16" s="359"/>
      <c r="P16" s="359"/>
      <c r="Q16" s="360"/>
      <c r="R16" s="358"/>
      <c r="S16" s="359"/>
      <c r="T16" s="359"/>
      <c r="U16" s="359"/>
      <c r="V16" s="359"/>
      <c r="W16" s="359"/>
      <c r="X16" s="358"/>
      <c r="Y16" s="359"/>
      <c r="Z16" s="359"/>
      <c r="AA16" s="359"/>
      <c r="AB16" s="359"/>
      <c r="AC16" s="359"/>
      <c r="AD16" s="358"/>
      <c r="AE16" s="359"/>
      <c r="AF16" s="359"/>
      <c r="AG16" s="359"/>
      <c r="AH16" s="359"/>
      <c r="AI16" s="359"/>
      <c r="AJ16" s="349"/>
      <c r="AK16" s="350"/>
      <c r="AL16" s="350"/>
      <c r="AM16" s="350"/>
      <c r="AN16" s="350"/>
      <c r="AO16" s="351"/>
      <c r="AP16" s="68"/>
      <c r="AQ16" s="404"/>
      <c r="AR16" s="405"/>
      <c r="AS16" s="405"/>
      <c r="AT16" s="405"/>
      <c r="AU16" s="405"/>
      <c r="AV16" s="406"/>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row>
    <row r="17" spans="3:82" ht="15" customHeight="1">
      <c r="C17" s="68"/>
      <c r="D17" s="399"/>
      <c r="E17" s="399"/>
      <c r="F17" s="400"/>
      <c r="G17" s="371"/>
      <c r="H17" s="372"/>
      <c r="I17" s="372"/>
      <c r="J17" s="372"/>
      <c r="K17" s="372"/>
      <c r="L17" s="358" t="str">
        <f>IF(AND('Mapa final'!$P$23="Muy Alta",'Mapa final'!$S$23="Leve"),CONCATENATE("R",'Mapa final'!$A$23),"")</f>
        <v/>
      </c>
      <c r="M17" s="359"/>
      <c r="N17" s="359" t="str">
        <f>IF(AND('Mapa final'!$K$24="Muy Alta",'Mapa final'!$O$24="Leve"),CONCATENATE("R",'Mapa final'!$A$24),"")</f>
        <v/>
      </c>
      <c r="O17" s="359"/>
      <c r="P17" s="359" t="str">
        <f>IF(AND('Mapa final'!$K$25="Muy Alta",'Mapa final'!$O$25="Leve"),CONCATENATE("R",'Mapa final'!$A$25),"")</f>
        <v/>
      </c>
      <c r="Q17" s="360"/>
      <c r="R17" s="358" t="str">
        <f>IF(AND('Mapa final'!$P$23="Muy Alta",'Mapa final'!$S$23="Menor"),CONCATENATE("R",'Mapa final'!$A$23),"")</f>
        <v/>
      </c>
      <c r="S17" s="359"/>
      <c r="T17" s="359" t="str">
        <f>IF(AND('Mapa final'!$P$24="Muy Alta",'Mapa final'!$S$24="Menor"),CONCATENATE("R",'Mapa final'!$A$24),"")</f>
        <v/>
      </c>
      <c r="U17" s="359"/>
      <c r="V17" s="359" t="str">
        <f>IF(AND('Mapa final'!$P$25="Muy Alta",'Mapa final'!$S$25="Menor"),CONCATENATE("R",'Mapa final'!$A$25),"")</f>
        <v/>
      </c>
      <c r="W17" s="359"/>
      <c r="X17" s="358" t="str">
        <f>IF(AND('Mapa final'!$P$23="Muy Alta",'Mapa final'!$S$23="Moderado"),CONCATENATE("R",'Mapa final'!$A$23),"")</f>
        <v/>
      </c>
      <c r="Y17" s="359"/>
      <c r="Z17" s="359" t="str">
        <f>IF(AND('Mapa final'!$P$24="Muy Alta",'Mapa final'!$S$24="Moderado"),CONCATENATE("R",'Mapa final'!$A$24),"")</f>
        <v/>
      </c>
      <c r="AA17" s="359"/>
      <c r="AB17" s="359" t="str">
        <f>IF(AND('Mapa final'!$P$25="Muy Alta",'Mapa final'!$S$25="Moderado"),CONCATENATE("R",'Mapa final'!$A$25),"")</f>
        <v/>
      </c>
      <c r="AC17" s="359"/>
      <c r="AD17" s="358" t="str">
        <f>IF(AND('Mapa final'!$P$23="Muy Alta",'Mapa final'!$S$23="Mayor"),CONCATENATE("R",'Mapa final'!$A$23),"")</f>
        <v/>
      </c>
      <c r="AE17" s="359"/>
      <c r="AF17" s="359" t="str">
        <f>IF(AND('Mapa final'!$P$24="Muy Alta",'Mapa final'!$S$24="Mayor"),CONCATENATE("R",'Mapa final'!$A$24),"")</f>
        <v/>
      </c>
      <c r="AG17" s="359"/>
      <c r="AH17" s="359" t="str">
        <f>IF(AND('Mapa final'!$P$25="Muy Alta",'Mapa final'!$S$25="Mayor"),CONCATENATE("R",'Mapa final'!$A$25),"")</f>
        <v/>
      </c>
      <c r="AI17" s="359"/>
      <c r="AJ17" s="349" t="str">
        <f>IF(AND('Mapa final'!$P$23="Muy Alta",'Mapa final'!$S$23="Catastrófico"),CONCATENATE("R",'Mapa final'!$A$23),"")</f>
        <v/>
      </c>
      <c r="AK17" s="350"/>
      <c r="AL17" s="350" t="str">
        <f>IF(AND('Mapa final'!$P$24="Muy Alta",'Mapa final'!$S$24="Catastrófico"),CONCATENATE("R",'Mapa final'!$A$24),"")</f>
        <v/>
      </c>
      <c r="AM17" s="350"/>
      <c r="AN17" s="350" t="str">
        <f>IF(AND('Mapa final'!$P$25="Muy Alta",'Mapa final'!$S$25="Catastrófico"),CONCATENATE("R",'Mapa final'!$A$25),"")</f>
        <v/>
      </c>
      <c r="AO17" s="351"/>
      <c r="AP17" s="68"/>
      <c r="AQ17" s="404"/>
      <c r="AR17" s="405"/>
      <c r="AS17" s="405"/>
      <c r="AT17" s="405"/>
      <c r="AU17" s="405"/>
      <c r="AV17" s="406"/>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row>
    <row r="18" spans="3:82" ht="15.75" customHeight="1" thickBot="1">
      <c r="C18" s="68"/>
      <c r="D18" s="399"/>
      <c r="E18" s="399"/>
      <c r="F18" s="400"/>
      <c r="G18" s="374"/>
      <c r="H18" s="375"/>
      <c r="I18" s="375"/>
      <c r="J18" s="375"/>
      <c r="K18" s="375"/>
      <c r="L18" s="361"/>
      <c r="M18" s="362"/>
      <c r="N18" s="362"/>
      <c r="O18" s="362"/>
      <c r="P18" s="362"/>
      <c r="Q18" s="363"/>
      <c r="R18" s="361"/>
      <c r="S18" s="362"/>
      <c r="T18" s="362"/>
      <c r="U18" s="362"/>
      <c r="V18" s="362"/>
      <c r="W18" s="362"/>
      <c r="X18" s="358"/>
      <c r="Y18" s="359"/>
      <c r="Z18" s="359"/>
      <c r="AA18" s="359"/>
      <c r="AB18" s="359"/>
      <c r="AC18" s="359"/>
      <c r="AD18" s="358"/>
      <c r="AE18" s="359"/>
      <c r="AF18" s="359"/>
      <c r="AG18" s="359"/>
      <c r="AH18" s="359"/>
      <c r="AI18" s="359"/>
      <c r="AJ18" s="349"/>
      <c r="AK18" s="350"/>
      <c r="AL18" s="350"/>
      <c r="AM18" s="350"/>
      <c r="AN18" s="350"/>
      <c r="AO18" s="351"/>
      <c r="AP18" s="68"/>
      <c r="AQ18" s="407"/>
      <c r="AR18" s="408"/>
      <c r="AS18" s="408"/>
      <c r="AT18" s="408"/>
      <c r="AU18" s="408"/>
      <c r="AV18" s="409"/>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row>
    <row r="19" spans="3:82" ht="15" customHeight="1">
      <c r="C19" s="68"/>
      <c r="D19" s="399"/>
      <c r="E19" s="399"/>
      <c r="F19" s="400"/>
      <c r="G19" s="367" t="s">
        <v>255</v>
      </c>
      <c r="H19" s="369"/>
      <c r="I19" s="369"/>
      <c r="J19" s="369"/>
      <c r="K19" s="369"/>
      <c r="L19" s="346"/>
      <c r="M19" s="347"/>
      <c r="N19" s="347" t="str">
        <f>IF(AND('Mapa final'!$K$15="Alta",'Mapa final'!$O$15="Leve"),CONCATENATE("R",'Mapa final'!#REF!),"")</f>
        <v/>
      </c>
      <c r="O19" s="347"/>
      <c r="P19" s="347" t="str">
        <f>IF(AND('Mapa final'!$K$21="Alta",'Mapa final'!$O$21="Leve"),CONCATENATE("R",'Mapa final'!$A$21),"")</f>
        <v/>
      </c>
      <c r="Q19" s="348"/>
      <c r="R19" s="346"/>
      <c r="S19" s="347"/>
      <c r="T19" s="341" t="str">
        <f>IF(AND('Mapa final'!$P$15="Alta",'Mapa final'!$S$15="Menor"),CONCATENATE("R",'Mapa final'!#REF!),"")</f>
        <v/>
      </c>
      <c r="U19" s="341"/>
      <c r="V19" s="341" t="str">
        <f>IF(AND('Mapa final'!$P$21="Alta",'Mapa final'!$S$21="Menor"),CONCATENATE("R",'Mapa final'!$A$21),"")</f>
        <v/>
      </c>
      <c r="W19" s="341"/>
      <c r="X19" s="364"/>
      <c r="Y19" s="365"/>
      <c r="Z19" s="365" t="str">
        <f>IF(AND('Mapa final'!P$15="Alta",'Mapa final'!$S$15="Moderado"),CONCATENATE("R",'Mapa final'!#REF!),"")</f>
        <v/>
      </c>
      <c r="AA19" s="365"/>
      <c r="AB19" s="365" t="str">
        <f>IF(AND('Mapa final'!$P$21="Alta",'Mapa final'!$S$21="Moderado"),CONCATENATE("R",'Mapa final'!$A$21),"")</f>
        <v/>
      </c>
      <c r="AC19" s="365"/>
      <c r="AD19" s="364"/>
      <c r="AE19" s="365"/>
      <c r="AF19" s="365" t="str">
        <f>IF(AND('Mapa final'!$P$15="Alta",'Mapa final'!$S$15="Mayor"),CONCATENATE("R",'Mapa final'!#REF!),"")</f>
        <v/>
      </c>
      <c r="AG19" s="365"/>
      <c r="AH19" s="365" t="str">
        <f>IF(AND('Mapa final'!$P$21="Alta",'Mapa final'!$S$21="Mayor"),CONCATENATE("R",'Mapa final'!$A$21),"")</f>
        <v/>
      </c>
      <c r="AI19" s="365"/>
      <c r="AJ19" s="355"/>
      <c r="AK19" s="356"/>
      <c r="AL19" s="356" t="str">
        <f>IF(AND('Mapa final'!$P$15="Alta",'Mapa final'!$S$15="Catastrófico"),CONCATENATE("R",'Mapa final'!#REF!),"")</f>
        <v/>
      </c>
      <c r="AM19" s="356"/>
      <c r="AN19" s="356" t="str">
        <f>IF(AND('Mapa final'!$P$21="Alta",'Mapa final'!$S$21="Catastrófico"),CONCATENATE("R",'Mapa final'!$A$21),"")</f>
        <v/>
      </c>
      <c r="AO19" s="357"/>
      <c r="AP19" s="68"/>
      <c r="AQ19" s="410" t="s">
        <v>256</v>
      </c>
      <c r="AR19" s="411"/>
      <c r="AS19" s="411"/>
      <c r="AT19" s="411"/>
      <c r="AU19" s="411"/>
      <c r="AV19" s="412"/>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row>
    <row r="20" spans="3:82" ht="15" customHeight="1">
      <c r="C20" s="68"/>
      <c r="D20" s="399"/>
      <c r="E20" s="399"/>
      <c r="F20" s="400"/>
      <c r="G20" s="371"/>
      <c r="H20" s="372"/>
      <c r="I20" s="372"/>
      <c r="J20" s="372"/>
      <c r="K20" s="372"/>
      <c r="L20" s="340"/>
      <c r="M20" s="341"/>
      <c r="N20" s="341"/>
      <c r="O20" s="341"/>
      <c r="P20" s="341"/>
      <c r="Q20" s="342"/>
      <c r="R20" s="340"/>
      <c r="S20" s="341"/>
      <c r="T20" s="341"/>
      <c r="U20" s="341"/>
      <c r="V20" s="341"/>
      <c r="W20" s="341"/>
      <c r="X20" s="358"/>
      <c r="Y20" s="359"/>
      <c r="Z20" s="359"/>
      <c r="AA20" s="359"/>
      <c r="AB20" s="359"/>
      <c r="AC20" s="359"/>
      <c r="AD20" s="358"/>
      <c r="AE20" s="359"/>
      <c r="AF20" s="359"/>
      <c r="AG20" s="359"/>
      <c r="AH20" s="359"/>
      <c r="AI20" s="359"/>
      <c r="AJ20" s="349"/>
      <c r="AK20" s="350"/>
      <c r="AL20" s="350"/>
      <c r="AM20" s="350"/>
      <c r="AN20" s="350"/>
      <c r="AO20" s="351"/>
      <c r="AP20" s="68"/>
      <c r="AQ20" s="413"/>
      <c r="AR20" s="414"/>
      <c r="AS20" s="414"/>
      <c r="AT20" s="414"/>
      <c r="AU20" s="414"/>
      <c r="AV20" s="415"/>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row>
    <row r="21" spans="3:82" ht="15" customHeight="1">
      <c r="C21" s="68"/>
      <c r="D21" s="399"/>
      <c r="E21" s="399"/>
      <c r="F21" s="400"/>
      <c r="G21" s="371"/>
      <c r="H21" s="372"/>
      <c r="I21" s="372"/>
      <c r="J21" s="372"/>
      <c r="K21" s="372"/>
      <c r="L21" s="340" t="e">
        <f>IF(AND('Mapa final'!#REF!="Alta",'Mapa final'!#REF!="Leve"),CONCATENATE("R",'Mapa final'!#REF!),"")</f>
        <v>#REF!</v>
      </c>
      <c r="M21" s="341"/>
      <c r="N21" s="341" t="e">
        <f>IF(AND('Mapa final'!#REF!="Alta",'Mapa final'!#REF!="Leve"),CONCATENATE("R",'Mapa final'!#REF!),"")</f>
        <v>#REF!</v>
      </c>
      <c r="O21" s="341"/>
      <c r="P21" s="341" t="e">
        <f>IF(AND('Mapa final'!#REF!="Alta",'Mapa final'!#REF!="Leve"),CONCATENATE("R",'Mapa final'!#REF!),"")</f>
        <v>#REF!</v>
      </c>
      <c r="Q21" s="342"/>
      <c r="R21" s="340" t="e">
        <f>IF(AND('Mapa final'!#REF!="Alta",'Mapa final'!#REF!="Menor"),CONCATENATE("R",'Mapa final'!#REF!),"")</f>
        <v>#REF!</v>
      </c>
      <c r="S21" s="341"/>
      <c r="T21" s="341" t="e">
        <f>IF(AND('Mapa final'!#REF!="Alta",'Mapa final'!#REF!="Menor"),CONCATENATE("R",'Mapa final'!#REF!),"")</f>
        <v>#REF!</v>
      </c>
      <c r="U21" s="341"/>
      <c r="V21" s="341" t="e">
        <f>IF(AND('Mapa final'!#REF!="Alta",'Mapa final'!#REF!="Menor"),CONCATENATE("R",'Mapa final'!#REF!),"")</f>
        <v>#REF!</v>
      </c>
      <c r="W21" s="341"/>
      <c r="X21" s="358" t="e">
        <f>IF(AND('Mapa final'!#REF!="Alta",'Mapa final'!#REF!="Moderado"),CONCATENATE("R",'Mapa final'!#REF!),"")</f>
        <v>#REF!</v>
      </c>
      <c r="Y21" s="359"/>
      <c r="Z21" s="359" t="e">
        <f>IF(AND('Mapa final'!#REF!="Alta",'Mapa final'!#REF!="Moderado"),CONCATENATE("R",'Mapa final'!#REF!),"")</f>
        <v>#REF!</v>
      </c>
      <c r="AA21" s="359"/>
      <c r="AB21" s="359" t="e">
        <f>IF(AND('Mapa final'!#REF!="Alta",'Mapa final'!#REF!="Moderado"),CONCATENATE("R",'Mapa final'!#REF!),"")</f>
        <v>#REF!</v>
      </c>
      <c r="AC21" s="359"/>
      <c r="AD21" s="358" t="e">
        <f>IF(AND('Mapa final'!#REF!="Alta",'Mapa final'!#REF!="Mayor"),CONCATENATE("R",'Mapa final'!#REF!),"")</f>
        <v>#REF!</v>
      </c>
      <c r="AE21" s="359"/>
      <c r="AF21" s="359" t="e">
        <f>IF(AND('Mapa final'!#REF!="Alta",'Mapa final'!#REF!="Mayor"),CONCATENATE("R",'Mapa final'!#REF!),"")</f>
        <v>#REF!</v>
      </c>
      <c r="AG21" s="359"/>
      <c r="AH21" s="359" t="e">
        <f>IF(AND('Mapa final'!#REF!="Alta",'Mapa final'!#REF!="Mayor"),CONCATENATE("R",'Mapa final'!#REF!),"")</f>
        <v>#REF!</v>
      </c>
      <c r="AI21" s="359"/>
      <c r="AJ21" s="349" t="e">
        <f>IF(AND('Mapa final'!#REF!="Alta",'Mapa final'!#REF!="Catastrófico"),CONCATENATE("R",'Mapa final'!#REF!),"")</f>
        <v>#REF!</v>
      </c>
      <c r="AK21" s="350"/>
      <c r="AL21" s="350" t="e">
        <f>IF(AND('Mapa final'!#REF!="Alta",'Mapa final'!#REF!="Catastrófico"),CONCATENATE("R",'Mapa final'!#REF!),"")</f>
        <v>#REF!</v>
      </c>
      <c r="AM21" s="350"/>
      <c r="AN21" s="350" t="e">
        <f>IF(AND('Mapa final'!#REF!="Alta",'Mapa final'!#REF!="Catastrófico"),CONCATENATE("R",'Mapa final'!#REF!),"")</f>
        <v>#REF!</v>
      </c>
      <c r="AO21" s="351"/>
      <c r="AP21" s="68"/>
      <c r="AQ21" s="413"/>
      <c r="AR21" s="414"/>
      <c r="AS21" s="414"/>
      <c r="AT21" s="414"/>
      <c r="AU21" s="414"/>
      <c r="AV21" s="415"/>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row>
    <row r="22" spans="3:82" ht="15" customHeight="1">
      <c r="C22" s="68"/>
      <c r="D22" s="399"/>
      <c r="E22" s="399"/>
      <c r="F22" s="400"/>
      <c r="G22" s="371"/>
      <c r="H22" s="372"/>
      <c r="I22" s="372"/>
      <c r="J22" s="372"/>
      <c r="K22" s="372"/>
      <c r="L22" s="340"/>
      <c r="M22" s="341"/>
      <c r="N22" s="341"/>
      <c r="O22" s="341"/>
      <c r="P22" s="341"/>
      <c r="Q22" s="342"/>
      <c r="R22" s="340"/>
      <c r="S22" s="341"/>
      <c r="T22" s="341"/>
      <c r="U22" s="341"/>
      <c r="V22" s="341"/>
      <c r="W22" s="341"/>
      <c r="X22" s="358"/>
      <c r="Y22" s="359"/>
      <c r="Z22" s="359"/>
      <c r="AA22" s="359"/>
      <c r="AB22" s="359"/>
      <c r="AC22" s="359"/>
      <c r="AD22" s="358"/>
      <c r="AE22" s="359"/>
      <c r="AF22" s="359"/>
      <c r="AG22" s="359"/>
      <c r="AH22" s="359"/>
      <c r="AI22" s="359"/>
      <c r="AJ22" s="349"/>
      <c r="AK22" s="350"/>
      <c r="AL22" s="350"/>
      <c r="AM22" s="350"/>
      <c r="AN22" s="350"/>
      <c r="AO22" s="351"/>
      <c r="AP22" s="68"/>
      <c r="AQ22" s="413"/>
      <c r="AR22" s="414"/>
      <c r="AS22" s="414"/>
      <c r="AT22" s="414"/>
      <c r="AU22" s="414"/>
      <c r="AV22" s="415"/>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row>
    <row r="23" spans="3:82" ht="15" customHeight="1">
      <c r="C23" s="68"/>
      <c r="D23" s="399"/>
      <c r="E23" s="399"/>
      <c r="F23" s="400"/>
      <c r="G23" s="371"/>
      <c r="H23" s="372"/>
      <c r="I23" s="372"/>
      <c r="J23" s="372"/>
      <c r="K23" s="372"/>
      <c r="L23" s="340" t="e">
        <f>IF(AND('Mapa final'!#REF!="Alta",'Mapa final'!#REF!="Leve"),CONCATENATE("R",'Mapa final'!#REF!),"")</f>
        <v>#REF!</v>
      </c>
      <c r="M23" s="341"/>
      <c r="N23" s="341" t="e">
        <f>IF(AND('Mapa final'!#REF!="Alta",'Mapa final'!#REF!="Leve"),CONCATENATE("R",'Mapa final'!#REF!),"")</f>
        <v>#REF!</v>
      </c>
      <c r="O23" s="341"/>
      <c r="P23" s="341" t="str">
        <f>IF(AND('Mapa final'!$K$22="Alta",'Mapa final'!$O$22="Leve"),CONCATENATE("R",'Mapa final'!$A$22),"")</f>
        <v/>
      </c>
      <c r="Q23" s="342"/>
      <c r="R23" s="340" t="e">
        <f>IF(AND('Mapa final'!#REF!="Alta",'Mapa final'!#REF!="Menor"),CONCATENATE("R",'Mapa final'!#REF!),"")</f>
        <v>#REF!</v>
      </c>
      <c r="S23" s="341"/>
      <c r="T23" s="341" t="e">
        <f>IF(AND('Mapa final'!#REF!="Alta",'Mapa final'!#REF!="Menor"),CONCATENATE("R",'Mapa final'!#REF!),"")</f>
        <v>#REF!</v>
      </c>
      <c r="U23" s="341"/>
      <c r="V23" s="341" t="str">
        <f>IF(AND('Mapa final'!$P$22="Alta",'Mapa final'!$S$22="Menor"),CONCATENATE("R",'Mapa final'!$A$22),"")</f>
        <v/>
      </c>
      <c r="W23" s="341"/>
      <c r="X23" s="358" t="e">
        <f>IF(AND('Mapa final'!#REF!="Alta",'Mapa final'!#REF!="Moderado"),CONCATENATE("R",'Mapa final'!#REF!),"")</f>
        <v>#REF!</v>
      </c>
      <c r="Y23" s="359"/>
      <c r="Z23" s="359" t="e">
        <f>IF(AND('Mapa final'!#REF!="Alta",'Mapa final'!#REF!="Moderado"),CONCATENATE("R",'Mapa final'!#REF!),"")</f>
        <v>#REF!</v>
      </c>
      <c r="AA23" s="359"/>
      <c r="AB23" s="359" t="str">
        <f>IF(AND('Mapa final'!$P$22="Alta",'Mapa final'!$S$22="Moderado"),CONCATENATE("R",'Mapa final'!$A$22),"")</f>
        <v/>
      </c>
      <c r="AC23" s="359"/>
      <c r="AD23" s="358" t="e">
        <f>IF(AND('Mapa final'!#REF!="Alta",'Mapa final'!#REF!="Mayor"),CONCATENATE("R",'Mapa final'!#REF!),"")</f>
        <v>#REF!</v>
      </c>
      <c r="AE23" s="359"/>
      <c r="AF23" s="359" t="e">
        <f>IF(AND('Mapa final'!#REF!="Alta",'Mapa final'!#REF!="Mayor"),CONCATENATE("R",'Mapa final'!#REF!),"")</f>
        <v>#REF!</v>
      </c>
      <c r="AG23" s="359"/>
      <c r="AH23" s="359" t="str">
        <f>IF(AND('Mapa final'!$P$22="Alta",'Mapa final'!$S$22="Mayor"),CONCATENATE("R",'Mapa final'!$A$22),"")</f>
        <v/>
      </c>
      <c r="AI23" s="359"/>
      <c r="AJ23" s="349" t="e">
        <f>IF(AND('Mapa final'!#REF!="Alta",'Mapa final'!#REF!="Catastrófico"),CONCATENATE("R",'Mapa final'!#REF!),"")</f>
        <v>#REF!</v>
      </c>
      <c r="AK23" s="350"/>
      <c r="AL23" s="350" t="e">
        <f>IF(AND('Mapa final'!#REF!="Alta",'Mapa final'!#REF!="Catastrófico"),CONCATENATE("R",'Mapa final'!#REF!),"")</f>
        <v>#REF!</v>
      </c>
      <c r="AM23" s="350"/>
      <c r="AN23" s="350" t="str">
        <f>IF(AND('Mapa final'!$P$22="Alta",'Mapa final'!$S$22="Catastrófico"),CONCATENATE("R",'Mapa final'!$A$22),"")</f>
        <v/>
      </c>
      <c r="AO23" s="351"/>
      <c r="AP23" s="68"/>
      <c r="AQ23" s="413"/>
      <c r="AR23" s="414"/>
      <c r="AS23" s="414"/>
      <c r="AT23" s="414"/>
      <c r="AU23" s="414"/>
      <c r="AV23" s="415"/>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row>
    <row r="24" spans="3:82" ht="15" customHeight="1">
      <c r="C24" s="68"/>
      <c r="D24" s="399"/>
      <c r="E24" s="399"/>
      <c r="F24" s="400"/>
      <c r="G24" s="371"/>
      <c r="H24" s="372"/>
      <c r="I24" s="372"/>
      <c r="J24" s="372"/>
      <c r="K24" s="372"/>
      <c r="L24" s="340"/>
      <c r="M24" s="341"/>
      <c r="N24" s="341"/>
      <c r="O24" s="341"/>
      <c r="P24" s="341"/>
      <c r="Q24" s="342"/>
      <c r="R24" s="340"/>
      <c r="S24" s="341"/>
      <c r="T24" s="341"/>
      <c r="U24" s="341"/>
      <c r="V24" s="341"/>
      <c r="W24" s="341"/>
      <c r="X24" s="358"/>
      <c r="Y24" s="359"/>
      <c r="Z24" s="359"/>
      <c r="AA24" s="359"/>
      <c r="AB24" s="359"/>
      <c r="AC24" s="359"/>
      <c r="AD24" s="358"/>
      <c r="AE24" s="359"/>
      <c r="AF24" s="359"/>
      <c r="AG24" s="359"/>
      <c r="AH24" s="359"/>
      <c r="AI24" s="359"/>
      <c r="AJ24" s="349"/>
      <c r="AK24" s="350"/>
      <c r="AL24" s="350"/>
      <c r="AM24" s="350"/>
      <c r="AN24" s="350"/>
      <c r="AO24" s="351"/>
      <c r="AP24" s="68"/>
      <c r="AQ24" s="413"/>
      <c r="AR24" s="414"/>
      <c r="AS24" s="414"/>
      <c r="AT24" s="414"/>
      <c r="AU24" s="414"/>
      <c r="AV24" s="415"/>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row>
    <row r="25" spans="3:82" ht="15" customHeight="1">
      <c r="C25" s="68"/>
      <c r="D25" s="399"/>
      <c r="E25" s="399"/>
      <c r="F25" s="400"/>
      <c r="G25" s="371"/>
      <c r="H25" s="372"/>
      <c r="I25" s="372"/>
      <c r="J25" s="372"/>
      <c r="K25" s="372"/>
      <c r="L25" s="340" t="str">
        <f>IF(AND('Mapa final'!$P$23="Alta",'Mapa final'!$S$23="Leve"),CONCATENATE("R",'Mapa final'!$A$23),"")</f>
        <v/>
      </c>
      <c r="M25" s="341"/>
      <c r="N25" s="341" t="str">
        <f>IF(AND('Mapa final'!$K$24="Alta",'Mapa final'!$O$24="Leve"),CONCATENATE("R",'Mapa final'!$A$24),"")</f>
        <v/>
      </c>
      <c r="O25" s="341"/>
      <c r="P25" s="341" t="str">
        <f>IF(AND('Mapa final'!$K$25="Alta",'Mapa final'!$O$25="Leve"),CONCATENATE("R",'Mapa final'!$A$25),"")</f>
        <v/>
      </c>
      <c r="Q25" s="342"/>
      <c r="R25" s="340" t="str">
        <f>IF(AND('Mapa final'!$P$23="Alta",'Mapa final'!$S$23="Menor"),CONCATENATE("R",'Mapa final'!$A$23),"")</f>
        <v/>
      </c>
      <c r="S25" s="341"/>
      <c r="T25" s="341" t="str">
        <f>IF(AND('Mapa final'!$P$24="Alta",'Mapa final'!$S$24="Menor"),CONCATENATE("R",'Mapa final'!$A$24),"")</f>
        <v/>
      </c>
      <c r="U25" s="341"/>
      <c r="V25" s="341" t="str">
        <f>IF(AND('Mapa final'!$P$25="Alta",'Mapa final'!$S$25="Menor"),CONCATENATE("R",'Mapa final'!$A$25),"")</f>
        <v/>
      </c>
      <c r="W25" s="341"/>
      <c r="X25" s="358" t="str">
        <f>IF(AND('Mapa final'!$P$23="Alta",'Mapa final'!$S$23="Moderado"),CONCATENATE("R",'Mapa final'!$A$23),"")</f>
        <v/>
      </c>
      <c r="Y25" s="359"/>
      <c r="Z25" s="359" t="str">
        <f>IF(AND('Mapa final'!$P$24="Alta",'Mapa final'!$S$24="Moderado"),CONCATENATE("R",'Mapa final'!$A$24),"")</f>
        <v/>
      </c>
      <c r="AA25" s="359"/>
      <c r="AB25" s="359" t="str">
        <f>IF(AND('Mapa final'!$P$25="Alta",'Mapa final'!$S$25="Moderado"),CONCATENATE("R",'Mapa final'!$A$25),"")</f>
        <v/>
      </c>
      <c r="AC25" s="359"/>
      <c r="AD25" s="358" t="str">
        <f>IF(AND('Mapa final'!$P$23="Alta",'Mapa final'!$S$23="Mayor"),CONCATENATE("R",'Mapa final'!$A$23),"")</f>
        <v/>
      </c>
      <c r="AE25" s="359"/>
      <c r="AF25" s="359" t="str">
        <f>IF(AND('Mapa final'!$P$24="Alta",'Mapa final'!$S$24="Mayor"),CONCATENATE("R",'Mapa final'!$A$24),"")</f>
        <v/>
      </c>
      <c r="AG25" s="359"/>
      <c r="AH25" s="359" t="str">
        <f>IF(AND('Mapa final'!$P$25="Alta",'Mapa final'!$S$25="Mayor"),CONCATENATE("R",'Mapa final'!$A$25),"")</f>
        <v/>
      </c>
      <c r="AI25" s="359"/>
      <c r="AJ25" s="349" t="str">
        <f>IF(AND('Mapa final'!$P$23="Alta",'Mapa final'!$S$23="Catastrófico"),CONCATENATE("R",'Mapa final'!$A$23),"")</f>
        <v/>
      </c>
      <c r="AK25" s="350"/>
      <c r="AL25" s="350" t="str">
        <f>IF(AND('Mapa final'!$P$24="Alta",'Mapa final'!$S$24="Catastrófico"),CONCATENATE("R",'Mapa final'!$A$24),"")</f>
        <v/>
      </c>
      <c r="AM25" s="350"/>
      <c r="AN25" s="350" t="str">
        <f>IF(AND('Mapa final'!$P$25="Alta",'Mapa final'!$S$25="Catastrófico"),CONCATENATE("R",'Mapa final'!$A$25),"")</f>
        <v/>
      </c>
      <c r="AO25" s="351"/>
      <c r="AP25" s="68"/>
      <c r="AQ25" s="413"/>
      <c r="AR25" s="414"/>
      <c r="AS25" s="414"/>
      <c r="AT25" s="414"/>
      <c r="AU25" s="414"/>
      <c r="AV25" s="415"/>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row>
    <row r="26" spans="3:82" ht="15.75" customHeight="1" thickBot="1">
      <c r="C26" s="68"/>
      <c r="D26" s="399"/>
      <c r="E26" s="399"/>
      <c r="F26" s="400"/>
      <c r="G26" s="374"/>
      <c r="H26" s="375"/>
      <c r="I26" s="375"/>
      <c r="J26" s="375"/>
      <c r="K26" s="375"/>
      <c r="L26" s="343"/>
      <c r="M26" s="344"/>
      <c r="N26" s="344"/>
      <c r="O26" s="344"/>
      <c r="P26" s="344"/>
      <c r="Q26" s="345"/>
      <c r="R26" s="343"/>
      <c r="S26" s="344"/>
      <c r="T26" s="341"/>
      <c r="U26" s="341"/>
      <c r="V26" s="341"/>
      <c r="W26" s="341"/>
      <c r="X26" s="358"/>
      <c r="Y26" s="359"/>
      <c r="Z26" s="359"/>
      <c r="AA26" s="359"/>
      <c r="AB26" s="359"/>
      <c r="AC26" s="359"/>
      <c r="AD26" s="358"/>
      <c r="AE26" s="359"/>
      <c r="AF26" s="359"/>
      <c r="AG26" s="359"/>
      <c r="AH26" s="359"/>
      <c r="AI26" s="359"/>
      <c r="AJ26" s="349"/>
      <c r="AK26" s="350"/>
      <c r="AL26" s="350"/>
      <c r="AM26" s="350"/>
      <c r="AN26" s="350"/>
      <c r="AO26" s="351"/>
      <c r="AP26" s="68"/>
      <c r="AQ26" s="416"/>
      <c r="AR26" s="417"/>
      <c r="AS26" s="417"/>
      <c r="AT26" s="417"/>
      <c r="AU26" s="417"/>
      <c r="AV26" s="41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68"/>
    </row>
    <row r="27" spans="3:82" ht="15" customHeight="1">
      <c r="C27" s="68"/>
      <c r="D27" s="399"/>
      <c r="E27" s="399"/>
      <c r="F27" s="400"/>
      <c r="G27" s="367" t="s">
        <v>257</v>
      </c>
      <c r="H27" s="369"/>
      <c r="I27" s="369"/>
      <c r="J27" s="369"/>
      <c r="K27" s="369"/>
      <c r="L27" s="346"/>
      <c r="M27" s="347"/>
      <c r="N27" s="347" t="str">
        <f>IF(AND('Mapa final'!$K$15="Media",'Mapa final'!$O$15="Leve"),CONCATENATE("R",'Mapa final'!#REF!),"")</f>
        <v/>
      </c>
      <c r="O27" s="347"/>
      <c r="P27" s="347" t="str">
        <f>IF(AND('Mapa final'!$K$21="Media",'Mapa final'!$O$21="Leve"),CONCATENATE("R",'Mapa final'!$A$21),"")</f>
        <v/>
      </c>
      <c r="Q27" s="348"/>
      <c r="R27" s="346"/>
      <c r="S27" s="347"/>
      <c r="T27" s="347" t="str">
        <f>IF(AND('Mapa final'!$P$15="Media",'Mapa final'!$S$15="Menor"),CONCATENATE("R",'Mapa final'!#REF!),"")</f>
        <v/>
      </c>
      <c r="U27" s="347"/>
      <c r="V27" s="347" t="str">
        <f>IF(AND('Mapa final'!$P$21="Media",'Mapa final'!$S$21="Menor"),CONCATENATE("R",'Mapa final'!$A$21),"")</f>
        <v/>
      </c>
      <c r="W27" s="347"/>
      <c r="X27" s="346"/>
      <c r="Y27" s="347"/>
      <c r="Z27" s="347" t="str">
        <f>IF(AND('Mapa final'!P$15="Media",'Mapa final'!$S$15="Moderado"),CONCATENATE("R",'Mapa final'!#REF!),"")</f>
        <v/>
      </c>
      <c r="AA27" s="347"/>
      <c r="AB27" s="347" t="str">
        <f>IF(AND('Mapa final'!$P$21="Media",'Mapa final'!$S$21="Moderado"),CONCATENATE("R",'Mapa final'!$A$21),"")</f>
        <v/>
      </c>
      <c r="AC27" s="347"/>
      <c r="AD27" s="364"/>
      <c r="AE27" s="365"/>
      <c r="AF27" s="365" t="str">
        <f>IF(AND('Mapa final'!$P$15="Media",'Mapa final'!$S$15="Mayor"),CONCATENATE("R",'Mapa final'!#REF!),"")</f>
        <v/>
      </c>
      <c r="AG27" s="365"/>
      <c r="AH27" s="365" t="str">
        <f>IF(AND('Mapa final'!$P$21="Media",'Mapa final'!$S$21="Mayor"),CONCATENATE("R",'Mapa final'!$A$21),"")</f>
        <v/>
      </c>
      <c r="AI27" s="365"/>
      <c r="AJ27" s="355"/>
      <c r="AK27" s="356"/>
      <c r="AL27" s="356" t="e">
        <f>IF(AND('Mapa final'!$P$15="Media",'Mapa final'!$S$15="Catastrófico"),CONCATENATE("R",'Mapa final'!#REF!),"")</f>
        <v>#REF!</v>
      </c>
      <c r="AM27" s="356"/>
      <c r="AN27" s="356" t="str">
        <f>IF(AND('Mapa final'!$P$21="Media",'Mapa final'!$S$21="Catastrófico"),CONCATENATE("R",'Mapa final'!$A$21),"")</f>
        <v>R</v>
      </c>
      <c r="AO27" s="357"/>
      <c r="AP27" s="68"/>
      <c r="AQ27" s="419" t="s">
        <v>121</v>
      </c>
      <c r="AR27" s="420"/>
      <c r="AS27" s="420"/>
      <c r="AT27" s="420"/>
      <c r="AU27" s="420"/>
      <c r="AV27" s="421"/>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row>
    <row r="28" spans="3:82" ht="15" customHeight="1">
      <c r="C28" s="68"/>
      <c r="D28" s="399"/>
      <c r="E28" s="399"/>
      <c r="F28" s="400"/>
      <c r="G28" s="371"/>
      <c r="H28" s="372"/>
      <c r="I28" s="372"/>
      <c r="J28" s="372"/>
      <c r="K28" s="372"/>
      <c r="L28" s="340"/>
      <c r="M28" s="341"/>
      <c r="N28" s="341"/>
      <c r="O28" s="341"/>
      <c r="P28" s="341"/>
      <c r="Q28" s="342"/>
      <c r="R28" s="340"/>
      <c r="S28" s="341"/>
      <c r="T28" s="341"/>
      <c r="U28" s="341"/>
      <c r="V28" s="341"/>
      <c r="W28" s="341"/>
      <c r="X28" s="340"/>
      <c r="Y28" s="341"/>
      <c r="Z28" s="341"/>
      <c r="AA28" s="341"/>
      <c r="AB28" s="341"/>
      <c r="AC28" s="341"/>
      <c r="AD28" s="358"/>
      <c r="AE28" s="359"/>
      <c r="AF28" s="359"/>
      <c r="AG28" s="359"/>
      <c r="AH28" s="359"/>
      <c r="AI28" s="359"/>
      <c r="AJ28" s="349"/>
      <c r="AK28" s="350"/>
      <c r="AL28" s="350"/>
      <c r="AM28" s="350"/>
      <c r="AN28" s="350"/>
      <c r="AO28" s="351"/>
      <c r="AP28" s="68"/>
      <c r="AQ28" s="422"/>
      <c r="AR28" s="423"/>
      <c r="AS28" s="423"/>
      <c r="AT28" s="423"/>
      <c r="AU28" s="423"/>
      <c r="AV28" s="424"/>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row>
    <row r="29" spans="3:82" ht="15" customHeight="1">
      <c r="C29" s="68"/>
      <c r="D29" s="399"/>
      <c r="E29" s="399"/>
      <c r="F29" s="400"/>
      <c r="G29" s="371"/>
      <c r="H29" s="372"/>
      <c r="I29" s="372"/>
      <c r="J29" s="372"/>
      <c r="K29" s="372"/>
      <c r="L29" s="340" t="e">
        <f>IF(AND('Mapa final'!#REF!="Media",'Mapa final'!#REF!="Leve"),CONCATENATE("R",'Mapa final'!#REF!),"")</f>
        <v>#REF!</v>
      </c>
      <c r="M29" s="341"/>
      <c r="N29" s="341" t="e">
        <f>IF(AND('Mapa final'!#REF!="Media",'Mapa final'!#REF!="Leve"),CONCATENATE("R",'Mapa final'!#REF!),"")</f>
        <v>#REF!</v>
      </c>
      <c r="O29" s="341"/>
      <c r="P29" s="341" t="e">
        <f>IF(AND('Mapa final'!#REF!="Media",'Mapa final'!#REF!="Leve"),CONCATENATE("R",'Mapa final'!#REF!),"")</f>
        <v>#REF!</v>
      </c>
      <c r="Q29" s="342"/>
      <c r="R29" s="340" t="e">
        <f>IF(AND('Mapa final'!#REF!="Media",'Mapa final'!#REF!="Menor"),CONCATENATE("R",'Mapa final'!#REF!),"")</f>
        <v>#REF!</v>
      </c>
      <c r="S29" s="341"/>
      <c r="T29" s="341" t="e">
        <f>IF(AND('Mapa final'!#REF!="Media",'Mapa final'!#REF!="Menor"),CONCATENATE("R",'Mapa final'!#REF!),"")</f>
        <v>#REF!</v>
      </c>
      <c r="U29" s="341"/>
      <c r="V29" s="341" t="e">
        <f>IF(AND('Mapa final'!#REF!="Media",'Mapa final'!#REF!="Menor"),CONCATENATE("R",'Mapa final'!#REF!),"")</f>
        <v>#REF!</v>
      </c>
      <c r="W29" s="341"/>
      <c r="X29" s="340" t="e">
        <f>IF(AND('Mapa final'!#REF!="Media",'Mapa final'!#REF!="Moderado"),CONCATENATE("R",'Mapa final'!#REF!),"")</f>
        <v>#REF!</v>
      </c>
      <c r="Y29" s="341"/>
      <c r="Z29" s="341" t="e">
        <f>IF(AND('Mapa final'!#REF!="Media",'Mapa final'!#REF!="Moderado"),CONCATENATE("R",'Mapa final'!#REF!),"")</f>
        <v>#REF!</v>
      </c>
      <c r="AA29" s="341"/>
      <c r="AB29" s="341" t="e">
        <f>IF(AND('Mapa final'!#REF!="Media",'Mapa final'!#REF!="Moderado"),CONCATENATE("R",'Mapa final'!#REF!),"")</f>
        <v>#REF!</v>
      </c>
      <c r="AC29" s="341"/>
      <c r="AD29" s="358" t="e">
        <f>IF(AND('Mapa final'!#REF!="Media",'Mapa final'!#REF!="Mayor"),CONCATENATE("R",'Mapa final'!#REF!),"")</f>
        <v>#REF!</v>
      </c>
      <c r="AE29" s="359"/>
      <c r="AF29" s="359" t="e">
        <f>IF(AND('Mapa final'!#REF!="Media",'Mapa final'!#REF!="Mayor"),CONCATENATE("R",'Mapa final'!#REF!),"")</f>
        <v>#REF!</v>
      </c>
      <c r="AG29" s="359"/>
      <c r="AH29" s="359" t="e">
        <f>IF(AND('Mapa final'!#REF!="Media",'Mapa final'!#REF!="Mayor"),CONCATENATE("R",'Mapa final'!#REF!),"")</f>
        <v>#REF!</v>
      </c>
      <c r="AI29" s="359"/>
      <c r="AJ29" s="349" t="e">
        <f>IF(AND('Mapa final'!#REF!="Media",'Mapa final'!#REF!="Catastrófico"),CONCATENATE("R",'Mapa final'!#REF!),"")</f>
        <v>#REF!</v>
      </c>
      <c r="AK29" s="350"/>
      <c r="AL29" s="350" t="e">
        <f>IF(AND('Mapa final'!#REF!="Media",'Mapa final'!#REF!="Catastrófico"),CONCATENATE("R",'Mapa final'!#REF!),"")</f>
        <v>#REF!</v>
      </c>
      <c r="AM29" s="350"/>
      <c r="AN29" s="350" t="e">
        <f>IF(AND('Mapa final'!#REF!="Media",'Mapa final'!#REF!="Catastrófico"),CONCATENATE("R",'Mapa final'!#REF!),"")</f>
        <v>#REF!</v>
      </c>
      <c r="AO29" s="351"/>
      <c r="AP29" s="68"/>
      <c r="AQ29" s="422"/>
      <c r="AR29" s="423"/>
      <c r="AS29" s="423"/>
      <c r="AT29" s="423"/>
      <c r="AU29" s="423"/>
      <c r="AV29" s="424"/>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row>
    <row r="30" spans="3:82" ht="15" customHeight="1">
      <c r="C30" s="68"/>
      <c r="D30" s="399"/>
      <c r="E30" s="399"/>
      <c r="F30" s="400"/>
      <c r="G30" s="371"/>
      <c r="H30" s="372"/>
      <c r="I30" s="372"/>
      <c r="J30" s="372"/>
      <c r="K30" s="372"/>
      <c r="L30" s="340"/>
      <c r="M30" s="341"/>
      <c r="N30" s="341"/>
      <c r="O30" s="341"/>
      <c r="P30" s="341"/>
      <c r="Q30" s="342"/>
      <c r="R30" s="340"/>
      <c r="S30" s="341"/>
      <c r="T30" s="341"/>
      <c r="U30" s="341"/>
      <c r="V30" s="341"/>
      <c r="W30" s="341"/>
      <c r="X30" s="340"/>
      <c r="Y30" s="341"/>
      <c r="Z30" s="341"/>
      <c r="AA30" s="341"/>
      <c r="AB30" s="341"/>
      <c r="AC30" s="341"/>
      <c r="AD30" s="358"/>
      <c r="AE30" s="359"/>
      <c r="AF30" s="359"/>
      <c r="AG30" s="359"/>
      <c r="AH30" s="359"/>
      <c r="AI30" s="359"/>
      <c r="AJ30" s="349"/>
      <c r="AK30" s="350"/>
      <c r="AL30" s="350"/>
      <c r="AM30" s="350"/>
      <c r="AN30" s="350"/>
      <c r="AO30" s="351"/>
      <c r="AP30" s="68"/>
      <c r="AQ30" s="422"/>
      <c r="AR30" s="423"/>
      <c r="AS30" s="423"/>
      <c r="AT30" s="423"/>
      <c r="AU30" s="423"/>
      <c r="AV30" s="424"/>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row>
    <row r="31" spans="3:82" ht="15" customHeight="1">
      <c r="C31" s="68"/>
      <c r="D31" s="399"/>
      <c r="E31" s="399"/>
      <c r="F31" s="400"/>
      <c r="G31" s="371"/>
      <c r="H31" s="372"/>
      <c r="I31" s="372"/>
      <c r="J31" s="372"/>
      <c r="K31" s="372"/>
      <c r="L31" s="340" t="e">
        <f>IF(AND('Mapa final'!#REF!="Media",'Mapa final'!#REF!="Leve"),CONCATENATE("R",'Mapa final'!#REF!),"")</f>
        <v>#REF!</v>
      </c>
      <c r="M31" s="341"/>
      <c r="N31" s="341" t="e">
        <f>IF(AND('Mapa final'!#REF!="Media",'Mapa final'!#REF!="Leve"),CONCATENATE("R",'Mapa final'!#REF!),"")</f>
        <v>#REF!</v>
      </c>
      <c r="O31" s="341"/>
      <c r="P31" s="341" t="str">
        <f>IF(AND('Mapa final'!$K$22="Media",'Mapa final'!$O$22="Leve"),CONCATENATE("R",'Mapa final'!$A$22),"")</f>
        <v/>
      </c>
      <c r="Q31" s="342"/>
      <c r="R31" s="340" t="e">
        <f>IF(AND('Mapa final'!#REF!="Media",'Mapa final'!#REF!="Menor"),CONCATENATE("R",'Mapa final'!#REF!),"")</f>
        <v>#REF!</v>
      </c>
      <c r="S31" s="341"/>
      <c r="T31" s="341" t="e">
        <f>IF(AND('Mapa final'!#REF!="Media",'Mapa final'!#REF!="Menor"),CONCATENATE("R",'Mapa final'!#REF!),"")</f>
        <v>#REF!</v>
      </c>
      <c r="U31" s="341"/>
      <c r="V31" s="341" t="str">
        <f>IF(AND('Mapa final'!$P$22="Media",'Mapa final'!$S$22="Menor"),CONCATENATE("R",'Mapa final'!$A$22),"")</f>
        <v/>
      </c>
      <c r="W31" s="341"/>
      <c r="X31" s="340" t="e">
        <f>IF(AND('Mapa final'!#REF!="Media",'Mapa final'!#REF!="Moderado"),CONCATENATE("R",'Mapa final'!#REF!),"")</f>
        <v>#REF!</v>
      </c>
      <c r="Y31" s="341"/>
      <c r="Z31" s="341" t="e">
        <f>IF(AND('Mapa final'!#REF!="Media",'Mapa final'!#REF!="Moderado"),CONCATENATE("R",'Mapa final'!#REF!),"")</f>
        <v>#REF!</v>
      </c>
      <c r="AA31" s="341"/>
      <c r="AB31" s="341" t="str">
        <f>IF(AND('Mapa final'!$P$22="Media",'Mapa final'!$S$22="Moderado"),CONCATENATE("R",'Mapa final'!$A$22),"")</f>
        <v/>
      </c>
      <c r="AC31" s="341"/>
      <c r="AD31" s="358" t="e">
        <f>IF(AND('Mapa final'!#REF!="Media",'Mapa final'!#REF!="Mayor"),CONCATENATE("R",'Mapa final'!#REF!),"")</f>
        <v>#REF!</v>
      </c>
      <c r="AE31" s="359"/>
      <c r="AF31" s="359" t="e">
        <f>IF(AND('Mapa final'!#REF!="Media",'Mapa final'!#REF!="Mayor"),CONCATENATE("R",'Mapa final'!#REF!),"")</f>
        <v>#REF!</v>
      </c>
      <c r="AG31" s="359"/>
      <c r="AH31" s="359" t="str">
        <f>IF(AND('Mapa final'!$P$22="Media",'Mapa final'!$S$22="Mayor"),CONCATENATE("R",'Mapa final'!$A$22),"")</f>
        <v/>
      </c>
      <c r="AI31" s="359"/>
      <c r="AJ31" s="349" t="e">
        <f>IF(AND('Mapa final'!#REF!="Media",'Mapa final'!#REF!="Catastrófico"),CONCATENATE("R",'Mapa final'!#REF!),"")</f>
        <v>#REF!</v>
      </c>
      <c r="AK31" s="350"/>
      <c r="AL31" s="350" t="e">
        <f>IF(AND('Mapa final'!#REF!="Media",'Mapa final'!#REF!="Catastrófico"),CONCATENATE("R",'Mapa final'!#REF!),"")</f>
        <v>#REF!</v>
      </c>
      <c r="AM31" s="350"/>
      <c r="AN31" s="350" t="str">
        <f>IF(AND('Mapa final'!$P$22="Media",'Mapa final'!$S$22="Catastrófico"),CONCATENATE("R",'Mapa final'!$A$22),"")</f>
        <v/>
      </c>
      <c r="AO31" s="351"/>
      <c r="AP31" s="68"/>
      <c r="AQ31" s="422"/>
      <c r="AR31" s="423"/>
      <c r="AS31" s="423"/>
      <c r="AT31" s="423"/>
      <c r="AU31" s="423"/>
      <c r="AV31" s="424"/>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row>
    <row r="32" spans="3:82" ht="15" customHeight="1">
      <c r="C32" s="68"/>
      <c r="D32" s="399"/>
      <c r="E32" s="399"/>
      <c r="F32" s="400"/>
      <c r="G32" s="371"/>
      <c r="H32" s="372"/>
      <c r="I32" s="372"/>
      <c r="J32" s="372"/>
      <c r="K32" s="372"/>
      <c r="L32" s="340"/>
      <c r="M32" s="341"/>
      <c r="N32" s="341"/>
      <c r="O32" s="341"/>
      <c r="P32" s="341"/>
      <c r="Q32" s="342"/>
      <c r="R32" s="340"/>
      <c r="S32" s="341"/>
      <c r="T32" s="341"/>
      <c r="U32" s="341"/>
      <c r="V32" s="341"/>
      <c r="W32" s="341"/>
      <c r="X32" s="340"/>
      <c r="Y32" s="341"/>
      <c r="Z32" s="341"/>
      <c r="AA32" s="341"/>
      <c r="AB32" s="341"/>
      <c r="AC32" s="341"/>
      <c r="AD32" s="358"/>
      <c r="AE32" s="359"/>
      <c r="AF32" s="359"/>
      <c r="AG32" s="359"/>
      <c r="AH32" s="359"/>
      <c r="AI32" s="359"/>
      <c r="AJ32" s="349"/>
      <c r="AK32" s="350"/>
      <c r="AL32" s="350"/>
      <c r="AM32" s="350"/>
      <c r="AN32" s="350"/>
      <c r="AO32" s="351"/>
      <c r="AP32" s="68"/>
      <c r="AQ32" s="422"/>
      <c r="AR32" s="423"/>
      <c r="AS32" s="423"/>
      <c r="AT32" s="423"/>
      <c r="AU32" s="423"/>
      <c r="AV32" s="424"/>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row>
    <row r="33" spans="3:82" ht="15" customHeight="1">
      <c r="C33" s="68"/>
      <c r="D33" s="399"/>
      <c r="E33" s="399"/>
      <c r="F33" s="400"/>
      <c r="G33" s="371"/>
      <c r="H33" s="372"/>
      <c r="I33" s="372"/>
      <c r="J33" s="372"/>
      <c r="K33" s="372"/>
      <c r="L33" s="340" t="str">
        <f>IF(AND('Mapa final'!$P$23="Mediaa",'Mapa final'!$S$23="Leve"),CONCATENATE("R",'Mapa final'!$A$23),"")</f>
        <v/>
      </c>
      <c r="M33" s="341"/>
      <c r="N33" s="341" t="str">
        <f>IF(AND('Mapa final'!$K$24="Media",'Mapa final'!$O$24="Leve"),CONCATENATE("R",'Mapa final'!$A$24),"")</f>
        <v/>
      </c>
      <c r="O33" s="341"/>
      <c r="P33" s="341" t="str">
        <f>IF(AND('Mapa final'!$K$25="Media",'Mapa final'!$O$25="Leve"),CONCATENATE("R",'Mapa final'!$A$25),"")</f>
        <v/>
      </c>
      <c r="Q33" s="342"/>
      <c r="R33" s="340" t="str">
        <f>IF(AND('Mapa final'!$P$23="Media",'Mapa final'!$S$23="Menor"),CONCATENATE("R",'Mapa final'!$A$23),"")</f>
        <v/>
      </c>
      <c r="S33" s="341"/>
      <c r="T33" s="341" t="str">
        <f>IF(AND('Mapa final'!$P$24="Media",'Mapa final'!$S$24="Menor"),CONCATENATE("R",'Mapa final'!$A$24),"")</f>
        <v/>
      </c>
      <c r="U33" s="341"/>
      <c r="V33" s="341" t="str">
        <f>IF(AND('Mapa final'!$P$25="Media",'Mapa final'!$S$25="Menor"),CONCATENATE("R",'Mapa final'!$A$25),"")</f>
        <v/>
      </c>
      <c r="W33" s="341"/>
      <c r="X33" s="340" t="str">
        <f>IF(AND('Mapa final'!$P$23="Media",'Mapa final'!$S$23="Moderado"),CONCATENATE("R",'Mapa final'!$A$23),"")</f>
        <v/>
      </c>
      <c r="Y33" s="341"/>
      <c r="Z33" s="341" t="str">
        <f>IF(AND('Mapa final'!$P$24="Media",'Mapa final'!$S$24="Moderado"),CONCATENATE("R",'Mapa final'!$A$24),"")</f>
        <v/>
      </c>
      <c r="AA33" s="341"/>
      <c r="AB33" s="341" t="str">
        <f>IF(AND('Mapa final'!$P$25="Media",'Mapa final'!$S$25="Moderado"),CONCATENATE("R",'Mapa final'!$A$25),"")</f>
        <v/>
      </c>
      <c r="AC33" s="341"/>
      <c r="AD33" s="358" t="str">
        <f>IF(AND('Mapa final'!$P$23="Media",'Mapa final'!$S$23="Mayor"),CONCATENATE("R",'Mapa final'!$A$23),"")</f>
        <v/>
      </c>
      <c r="AE33" s="359"/>
      <c r="AF33" s="359" t="str">
        <f>IF(AND('Mapa final'!$P$24="Media",'Mapa final'!$S$24="Mayor"),CONCATENATE("R",'Mapa final'!$A$24),"")</f>
        <v/>
      </c>
      <c r="AG33" s="359"/>
      <c r="AH33" s="359" t="str">
        <f>IF(AND('Mapa final'!$P$25="Media",'Mapa final'!$S$25="Mayor"),CONCATENATE("R",'Mapa final'!$A$25),"")</f>
        <v/>
      </c>
      <c r="AI33" s="359"/>
      <c r="AJ33" s="349" t="str">
        <f>IF(AND('Mapa final'!$P$23="Media",'Mapa final'!$S$23="Catastrófico"),CONCATENATE("R",'Mapa final'!$A$23),"")</f>
        <v/>
      </c>
      <c r="AK33" s="350"/>
      <c r="AL33" s="350" t="str">
        <f>IF(AND('Mapa final'!$P$24="Media",'Mapa final'!$S$24="Catastrófico"),CONCATENATE("R",'Mapa final'!$A$24),"")</f>
        <v/>
      </c>
      <c r="AM33" s="350"/>
      <c r="AN33" s="350" t="str">
        <f>IF(AND('Mapa final'!$P$25="Media",'Mapa final'!$S$25="Catastrófico"),CONCATENATE("R",'Mapa final'!$A$25),"")</f>
        <v/>
      </c>
      <c r="AO33" s="351"/>
      <c r="AP33" s="68"/>
      <c r="AQ33" s="422"/>
      <c r="AR33" s="423"/>
      <c r="AS33" s="423"/>
      <c r="AT33" s="423"/>
      <c r="AU33" s="423"/>
      <c r="AV33" s="424"/>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row>
    <row r="34" spans="3:82" ht="15.75" customHeight="1" thickBot="1">
      <c r="C34" s="68"/>
      <c r="D34" s="399"/>
      <c r="E34" s="399"/>
      <c r="F34" s="400"/>
      <c r="G34" s="374"/>
      <c r="H34" s="375"/>
      <c r="I34" s="375"/>
      <c r="J34" s="375"/>
      <c r="K34" s="375"/>
      <c r="L34" s="343"/>
      <c r="M34" s="344"/>
      <c r="N34" s="344"/>
      <c r="O34" s="344"/>
      <c r="P34" s="344"/>
      <c r="Q34" s="345"/>
      <c r="R34" s="343"/>
      <c r="S34" s="344"/>
      <c r="T34" s="344"/>
      <c r="U34" s="344"/>
      <c r="V34" s="344"/>
      <c r="W34" s="344"/>
      <c r="X34" s="343"/>
      <c r="Y34" s="344"/>
      <c r="Z34" s="344"/>
      <c r="AA34" s="344"/>
      <c r="AB34" s="344"/>
      <c r="AC34" s="344"/>
      <c r="AD34" s="361"/>
      <c r="AE34" s="362"/>
      <c r="AF34" s="362"/>
      <c r="AG34" s="362"/>
      <c r="AH34" s="362"/>
      <c r="AI34" s="362"/>
      <c r="AJ34" s="349"/>
      <c r="AK34" s="350"/>
      <c r="AL34" s="350"/>
      <c r="AM34" s="350"/>
      <c r="AN34" s="350"/>
      <c r="AO34" s="351"/>
      <c r="AP34" s="68"/>
      <c r="AQ34" s="425"/>
      <c r="AR34" s="426"/>
      <c r="AS34" s="426"/>
      <c r="AT34" s="426"/>
      <c r="AU34" s="426"/>
      <c r="AV34" s="427"/>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row>
    <row r="35" spans="3:82" ht="15" customHeight="1">
      <c r="C35" s="68"/>
      <c r="D35" s="399"/>
      <c r="E35" s="399"/>
      <c r="F35" s="400"/>
      <c r="G35" s="367" t="s">
        <v>258</v>
      </c>
      <c r="H35" s="369"/>
      <c r="I35" s="369"/>
      <c r="J35" s="369"/>
      <c r="K35" s="369"/>
      <c r="L35" s="336"/>
      <c r="M35" s="337"/>
      <c r="N35" s="337" t="str">
        <f>IF(AND('Mapa final'!$K$15="Baja",'Mapa final'!$O$15="Leve"),CONCATENATE("R",'Mapa final'!#REF!),"")</f>
        <v/>
      </c>
      <c r="O35" s="337"/>
      <c r="P35" s="337" t="str">
        <f>IF(AND('Mapa final'!$K$21="Baja",'Mapa final'!$O$21="Leve"),CONCATENATE("R",'Mapa final'!$A$21),"")</f>
        <v/>
      </c>
      <c r="Q35" s="338"/>
      <c r="R35" s="346"/>
      <c r="S35" s="347"/>
      <c r="T35" s="341" t="str">
        <f>IF(AND('Mapa final'!$P$15="Baja",'Mapa final'!$S$15="Menor"),CONCATENATE("R",'Mapa final'!#REF!),"")</f>
        <v/>
      </c>
      <c r="U35" s="341"/>
      <c r="V35" s="341" t="str">
        <f>IF(AND('Mapa final'!$P$21="Baja",'Mapa final'!$S$21="Menor"),CONCATENATE("R",'Mapa final'!$A$21),"")</f>
        <v/>
      </c>
      <c r="W35" s="342"/>
      <c r="X35" s="340"/>
      <c r="Y35" s="341"/>
      <c r="Z35" s="341" t="str">
        <f>IF(AND('Mapa final'!P$15="Baja",'Mapa final'!$S$15="Moderado"),CONCATENATE("R",'Mapa final'!#REF!),"")</f>
        <v/>
      </c>
      <c r="AA35" s="341"/>
      <c r="AB35" s="341" t="str">
        <f>IF(AND('Mapa final'!$P$21="Baja",'Mapa final'!$S$21="Moderado"),CONCATENATE("R",'Mapa final'!$A$21),"")</f>
        <v/>
      </c>
      <c r="AC35" s="342"/>
      <c r="AD35" s="358"/>
      <c r="AE35" s="359"/>
      <c r="AF35" s="359" t="str">
        <f>IF(AND('Mapa final'!$P$15="Baja",'Mapa final'!$S$15="Mayor"),CONCATENATE("R",'Mapa final'!#REF!),"")</f>
        <v/>
      </c>
      <c r="AG35" s="359"/>
      <c r="AH35" s="359" t="str">
        <f>IF(AND('Mapa final'!$P$21="Baja",'Mapa final'!$S$21="Mayor"),CONCATENATE("R",'Mapa final'!$A$21),"")</f>
        <v/>
      </c>
      <c r="AI35" s="359"/>
      <c r="AJ35" s="355"/>
      <c r="AK35" s="356"/>
      <c r="AL35" s="356" t="str">
        <f>IF(AND('Mapa final'!$P$15="Baja",'Mapa final'!$S$15="Catastrófico"),CONCATENATE("R",'Mapa final'!#REF!),"")</f>
        <v/>
      </c>
      <c r="AM35" s="356"/>
      <c r="AN35" s="356" t="str">
        <f>IF(AND('Mapa final'!$P$21="Baja",'Mapa final'!$S$21="Catastrófico"),CONCATENATE("R",'Mapa final'!$A$21),"")</f>
        <v/>
      </c>
      <c r="AO35" s="357"/>
      <c r="AP35" s="68"/>
      <c r="AQ35" s="428" t="s">
        <v>259</v>
      </c>
      <c r="AR35" s="429"/>
      <c r="AS35" s="429"/>
      <c r="AT35" s="429"/>
      <c r="AU35" s="429"/>
      <c r="AV35" s="430"/>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row>
    <row r="36" spans="3:82" ht="15" customHeight="1">
      <c r="C36" s="68"/>
      <c r="D36" s="399"/>
      <c r="E36" s="399"/>
      <c r="F36" s="400"/>
      <c r="G36" s="371"/>
      <c r="H36" s="372"/>
      <c r="I36" s="372"/>
      <c r="J36" s="372"/>
      <c r="K36" s="372"/>
      <c r="L36" s="331"/>
      <c r="M36" s="332"/>
      <c r="N36" s="332"/>
      <c r="O36" s="332"/>
      <c r="P36" s="332"/>
      <c r="Q36" s="333"/>
      <c r="R36" s="340"/>
      <c r="S36" s="341"/>
      <c r="T36" s="341"/>
      <c r="U36" s="341"/>
      <c r="V36" s="341"/>
      <c r="W36" s="342"/>
      <c r="X36" s="340"/>
      <c r="Y36" s="341"/>
      <c r="Z36" s="341"/>
      <c r="AA36" s="341"/>
      <c r="AB36" s="341"/>
      <c r="AC36" s="342"/>
      <c r="AD36" s="358"/>
      <c r="AE36" s="359"/>
      <c r="AF36" s="359"/>
      <c r="AG36" s="359"/>
      <c r="AH36" s="359"/>
      <c r="AI36" s="359"/>
      <c r="AJ36" s="349"/>
      <c r="AK36" s="350"/>
      <c r="AL36" s="350"/>
      <c r="AM36" s="350"/>
      <c r="AN36" s="350"/>
      <c r="AO36" s="351"/>
      <c r="AP36" s="68"/>
      <c r="AQ36" s="431"/>
      <c r="AR36" s="432"/>
      <c r="AS36" s="432"/>
      <c r="AT36" s="432"/>
      <c r="AU36" s="432"/>
      <c r="AV36" s="433"/>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row>
    <row r="37" spans="3:82" ht="15" customHeight="1">
      <c r="C37" s="68"/>
      <c r="D37" s="399"/>
      <c r="E37" s="399"/>
      <c r="F37" s="400"/>
      <c r="G37" s="371"/>
      <c r="H37" s="372"/>
      <c r="I37" s="372"/>
      <c r="J37" s="372"/>
      <c r="K37" s="372"/>
      <c r="L37" s="331" t="e">
        <f>IF(AND('Mapa final'!#REF!="Baja",'Mapa final'!#REF!="Leve"),CONCATENATE("R",'Mapa final'!#REF!),"")</f>
        <v>#REF!</v>
      </c>
      <c r="M37" s="332"/>
      <c r="N37" s="332" t="e">
        <f>IF(AND('Mapa final'!#REF!="Baja",'Mapa final'!#REF!="Leve"),CONCATENATE("R",'Mapa final'!#REF!),"")</f>
        <v>#REF!</v>
      </c>
      <c r="O37" s="332"/>
      <c r="P37" s="332" t="e">
        <f>IF(AND('Mapa final'!#REF!="Baja",'Mapa final'!#REF!="Leve"),CONCATENATE("R",'Mapa final'!#REF!),"")</f>
        <v>#REF!</v>
      </c>
      <c r="Q37" s="333"/>
      <c r="R37" s="340" t="e">
        <f>IF(AND('Mapa final'!#REF!="Baja",'Mapa final'!#REF!="Menor"),CONCATENATE("R",'Mapa final'!#REF!),"")</f>
        <v>#REF!</v>
      </c>
      <c r="S37" s="341"/>
      <c r="T37" s="341" t="e">
        <f>IF(AND('Mapa final'!#REF!="Baja",'Mapa final'!#REF!="Menor"),CONCATENATE("R",'Mapa final'!#REF!),"")</f>
        <v>#REF!</v>
      </c>
      <c r="U37" s="341"/>
      <c r="V37" s="341" t="e">
        <f>IF(AND('Mapa final'!#REF!="Baja",'Mapa final'!#REF!="Menor"),CONCATENATE("R",'Mapa final'!#REF!),"")</f>
        <v>#REF!</v>
      </c>
      <c r="W37" s="342"/>
      <c r="X37" s="340" t="e">
        <f>IF(AND('Mapa final'!#REF!="Baja",'Mapa final'!#REF!="Moderado"),CONCATENATE("R",'Mapa final'!#REF!),"")</f>
        <v>#REF!</v>
      </c>
      <c r="Y37" s="341"/>
      <c r="Z37" s="341" t="e">
        <f>IF(AND('Mapa final'!#REF!="Baja",'Mapa final'!#REF!="Moderado"),CONCATENATE("R",'Mapa final'!#REF!),"")</f>
        <v>#REF!</v>
      </c>
      <c r="AA37" s="341"/>
      <c r="AB37" s="341" t="e">
        <f>IF(AND('Mapa final'!#REF!="Baja",'Mapa final'!#REF!="Moderado"),CONCATENATE("R",'Mapa final'!#REF!),"")</f>
        <v>#REF!</v>
      </c>
      <c r="AC37" s="342"/>
      <c r="AD37" s="358" t="e">
        <f>IF(AND('Mapa final'!#REF!="Baja",'Mapa final'!#REF!="Mayor"),CONCATENATE("R",'Mapa final'!#REF!),"")</f>
        <v>#REF!</v>
      </c>
      <c r="AE37" s="359"/>
      <c r="AF37" s="359" t="e">
        <f>IF(AND('Mapa final'!#REF!="Baja",'Mapa final'!#REF!="Mayor"),CONCATENATE("R",'Mapa final'!#REF!),"")</f>
        <v>#REF!</v>
      </c>
      <c r="AG37" s="359"/>
      <c r="AH37" s="359" t="e">
        <f>IF(AND('Mapa final'!#REF!="Baja",'Mapa final'!#REF!="Mayor"),CONCATENATE("R",'Mapa final'!#REF!),"")</f>
        <v>#REF!</v>
      </c>
      <c r="AI37" s="359"/>
      <c r="AJ37" s="349" t="e">
        <f>IF(AND('Mapa final'!#REF!="Baja",'Mapa final'!#REF!="Catastrófico"),CONCATENATE("R",'Mapa final'!#REF!),"")</f>
        <v>#REF!</v>
      </c>
      <c r="AK37" s="350"/>
      <c r="AL37" s="350" t="e">
        <f>IF(AND('Mapa final'!#REF!="Baja",'Mapa final'!#REF!="Catastrófico"),CONCATENATE("R",'Mapa final'!#REF!),"")</f>
        <v>#REF!</v>
      </c>
      <c r="AM37" s="350"/>
      <c r="AN37" s="350" t="e">
        <f>IF(AND('Mapa final'!#REF!="Baja",'Mapa final'!#REF!="Catastrófico"),CONCATENATE("R",'Mapa final'!#REF!),"")</f>
        <v>#REF!</v>
      </c>
      <c r="AO37" s="351"/>
      <c r="AP37" s="68"/>
      <c r="AQ37" s="431"/>
      <c r="AR37" s="432"/>
      <c r="AS37" s="432"/>
      <c r="AT37" s="432"/>
      <c r="AU37" s="432"/>
      <c r="AV37" s="433"/>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row>
    <row r="38" spans="3:82" ht="15" customHeight="1">
      <c r="C38" s="68"/>
      <c r="D38" s="399"/>
      <c r="E38" s="399"/>
      <c r="F38" s="400"/>
      <c r="G38" s="371"/>
      <c r="H38" s="372"/>
      <c r="I38" s="372"/>
      <c r="J38" s="372"/>
      <c r="K38" s="372"/>
      <c r="L38" s="331"/>
      <c r="M38" s="332"/>
      <c r="N38" s="332"/>
      <c r="O38" s="332"/>
      <c r="P38" s="332"/>
      <c r="Q38" s="333"/>
      <c r="R38" s="340"/>
      <c r="S38" s="341"/>
      <c r="T38" s="341"/>
      <c r="U38" s="341"/>
      <c r="V38" s="341"/>
      <c r="W38" s="342"/>
      <c r="X38" s="340"/>
      <c r="Y38" s="341"/>
      <c r="Z38" s="341"/>
      <c r="AA38" s="341"/>
      <c r="AB38" s="341"/>
      <c r="AC38" s="342"/>
      <c r="AD38" s="358"/>
      <c r="AE38" s="359"/>
      <c r="AF38" s="359"/>
      <c r="AG38" s="359"/>
      <c r="AH38" s="359"/>
      <c r="AI38" s="359"/>
      <c r="AJ38" s="349"/>
      <c r="AK38" s="350"/>
      <c r="AL38" s="350"/>
      <c r="AM38" s="350"/>
      <c r="AN38" s="350"/>
      <c r="AO38" s="351"/>
      <c r="AP38" s="68"/>
      <c r="AQ38" s="431"/>
      <c r="AR38" s="432"/>
      <c r="AS38" s="432"/>
      <c r="AT38" s="432"/>
      <c r="AU38" s="432"/>
      <c r="AV38" s="433"/>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row>
    <row r="39" spans="3:82" ht="15" customHeight="1">
      <c r="C39" s="68"/>
      <c r="D39" s="399"/>
      <c r="E39" s="399"/>
      <c r="F39" s="400"/>
      <c r="G39" s="371"/>
      <c r="H39" s="372"/>
      <c r="I39" s="372"/>
      <c r="J39" s="372"/>
      <c r="K39" s="372"/>
      <c r="L39" s="331" t="e">
        <f>IF(AND('Mapa final'!#REF!="Baja",'Mapa final'!#REF!="Leve"),CONCATENATE("R",'Mapa final'!#REF!),"")</f>
        <v>#REF!</v>
      </c>
      <c r="M39" s="332"/>
      <c r="N39" s="332" t="e">
        <f>IF(AND('Mapa final'!#REF!="Baja",'Mapa final'!#REF!="Leve"),CONCATENATE("R",'Mapa final'!#REF!),"")</f>
        <v>#REF!</v>
      </c>
      <c r="O39" s="332"/>
      <c r="P39" s="332" t="str">
        <f>IF(AND('Mapa final'!$K$22="Baja",'Mapa final'!$O$22="Leve"),CONCATENATE("R",'Mapa final'!$A$22),"")</f>
        <v/>
      </c>
      <c r="Q39" s="333"/>
      <c r="R39" s="340" t="e">
        <f>IF(AND('Mapa final'!#REF!="Baja",'Mapa final'!#REF!="Menor"),CONCATENATE("R",'Mapa final'!#REF!),"")</f>
        <v>#REF!</v>
      </c>
      <c r="S39" s="341"/>
      <c r="T39" s="341" t="e">
        <f>IF(AND('Mapa final'!#REF!="Baja",'Mapa final'!#REF!="Menor"),CONCATENATE("R",'Mapa final'!#REF!),"")</f>
        <v>#REF!</v>
      </c>
      <c r="U39" s="341"/>
      <c r="V39" s="341" t="str">
        <f>IF(AND('Mapa final'!$P$22="Baja",'Mapa final'!$S$22="Menor"),CONCATENATE("R",'Mapa final'!$A$22),"")</f>
        <v/>
      </c>
      <c r="W39" s="342"/>
      <c r="X39" s="340" t="e">
        <f>IF(AND('Mapa final'!#REF!="Baja",'Mapa final'!#REF!="Moderado"),CONCATENATE("R",'Mapa final'!#REF!),"")</f>
        <v>#REF!</v>
      </c>
      <c r="Y39" s="341"/>
      <c r="Z39" s="341" t="e">
        <f>IF(AND('Mapa final'!#REF!="Baja",'Mapa final'!#REF!="Moderado"),CONCATENATE("R",'Mapa final'!#REF!),"")</f>
        <v>#REF!</v>
      </c>
      <c r="AA39" s="341"/>
      <c r="AB39" s="341" t="str">
        <f>IF(AND('Mapa final'!$P$22="Baja",'Mapa final'!$S$22="Moderado"),CONCATENATE("R",'Mapa final'!$A$22),"")</f>
        <v/>
      </c>
      <c r="AC39" s="342"/>
      <c r="AD39" s="358" t="e">
        <f>IF(AND('Mapa final'!#REF!="Baja",'Mapa final'!#REF!="Mayor"),CONCATENATE("R",'Mapa final'!#REF!),"")</f>
        <v>#REF!</v>
      </c>
      <c r="AE39" s="359"/>
      <c r="AF39" s="359" t="e">
        <f>IF(AND('Mapa final'!#REF!="Baja",'Mapa final'!#REF!="Mayor"),CONCATENATE("R",'Mapa final'!#REF!),"")</f>
        <v>#REF!</v>
      </c>
      <c r="AG39" s="359"/>
      <c r="AH39" s="359" t="str">
        <f>IF(AND('Mapa final'!$P$22="Baja",'Mapa final'!$S$22="Mayor"),CONCATENATE("R",'Mapa final'!$A$22),"")</f>
        <v/>
      </c>
      <c r="AI39" s="359"/>
      <c r="AJ39" s="349" t="e">
        <f>IF(AND('Mapa final'!#REF!="Baja",'Mapa final'!#REF!="Catastrófico"),CONCATENATE("R",'Mapa final'!#REF!),"")</f>
        <v>#REF!</v>
      </c>
      <c r="AK39" s="350"/>
      <c r="AL39" s="350" t="e">
        <f>IF(AND('Mapa final'!#REF!="Baja",'Mapa final'!#REF!="Catastrófico"),CONCATENATE("R",'Mapa final'!#REF!),"")</f>
        <v>#REF!</v>
      </c>
      <c r="AM39" s="350"/>
      <c r="AN39" s="350" t="str">
        <f>IF(AND('Mapa final'!$P$22="Baja",'Mapa final'!$S$22="Catastrófico"),CONCATENATE("R",'Mapa final'!$A$22),"")</f>
        <v/>
      </c>
      <c r="AO39" s="351"/>
      <c r="AP39" s="68"/>
      <c r="AQ39" s="431"/>
      <c r="AR39" s="432"/>
      <c r="AS39" s="432"/>
      <c r="AT39" s="432"/>
      <c r="AU39" s="432"/>
      <c r="AV39" s="433"/>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row>
    <row r="40" spans="3:82" ht="15" customHeight="1">
      <c r="C40" s="68"/>
      <c r="D40" s="399"/>
      <c r="E40" s="399"/>
      <c r="F40" s="400"/>
      <c r="G40" s="371"/>
      <c r="H40" s="372"/>
      <c r="I40" s="372"/>
      <c r="J40" s="372"/>
      <c r="K40" s="372"/>
      <c r="L40" s="331"/>
      <c r="M40" s="332"/>
      <c r="N40" s="332"/>
      <c r="O40" s="332"/>
      <c r="P40" s="332"/>
      <c r="Q40" s="333"/>
      <c r="R40" s="340"/>
      <c r="S40" s="341"/>
      <c r="T40" s="341"/>
      <c r="U40" s="341"/>
      <c r="V40" s="341"/>
      <c r="W40" s="342"/>
      <c r="X40" s="340"/>
      <c r="Y40" s="341"/>
      <c r="Z40" s="341"/>
      <c r="AA40" s="341"/>
      <c r="AB40" s="341"/>
      <c r="AC40" s="342"/>
      <c r="AD40" s="358"/>
      <c r="AE40" s="359"/>
      <c r="AF40" s="359"/>
      <c r="AG40" s="359"/>
      <c r="AH40" s="359"/>
      <c r="AI40" s="359"/>
      <c r="AJ40" s="349"/>
      <c r="AK40" s="350"/>
      <c r="AL40" s="350"/>
      <c r="AM40" s="350"/>
      <c r="AN40" s="350"/>
      <c r="AO40" s="351"/>
      <c r="AP40" s="68"/>
      <c r="AQ40" s="431"/>
      <c r="AR40" s="432"/>
      <c r="AS40" s="432"/>
      <c r="AT40" s="432"/>
      <c r="AU40" s="432"/>
      <c r="AV40" s="433"/>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row>
    <row r="41" spans="3:82" ht="15" customHeight="1">
      <c r="C41" s="68"/>
      <c r="D41" s="399"/>
      <c r="E41" s="399"/>
      <c r="F41" s="400"/>
      <c r="G41" s="371"/>
      <c r="H41" s="372"/>
      <c r="I41" s="372"/>
      <c r="J41" s="372"/>
      <c r="K41" s="372"/>
      <c r="L41" s="331" t="str">
        <f>IF(AND('Mapa final'!$P$23="Baja",'Mapa final'!$S$23="Leve"),CONCATENATE("R",'Mapa final'!$A$23),"")</f>
        <v/>
      </c>
      <c r="M41" s="332"/>
      <c r="N41" s="332" t="str">
        <f>IF(AND('Mapa final'!$K$24="Baja",'Mapa final'!$O$24="Leve"),CONCATENATE("R",'Mapa final'!$A$24),"")</f>
        <v/>
      </c>
      <c r="O41" s="332"/>
      <c r="P41" s="332" t="str">
        <f>IF(AND('Mapa final'!$K$25="Baja",'Mapa final'!$O$25="Leve"),CONCATENATE("R",'Mapa final'!$A$25),"")</f>
        <v/>
      </c>
      <c r="Q41" s="333"/>
      <c r="R41" s="340" t="str">
        <f>IF(AND('Mapa final'!$P$23="Baja",'Mapa final'!$S$23="Menor"),CONCATENATE("R",'Mapa final'!$A$23),"")</f>
        <v/>
      </c>
      <c r="S41" s="341"/>
      <c r="T41" s="341" t="str">
        <f>IF(AND('Mapa final'!$P$24="Baja",'Mapa final'!$S$24="Menor"),CONCATENATE("R",'Mapa final'!$A$24),"")</f>
        <v/>
      </c>
      <c r="U41" s="341"/>
      <c r="V41" s="341" t="str">
        <f>IF(AND('Mapa final'!$P$25="Baja",'Mapa final'!$S$25="Menor"),CONCATENATE("R",'Mapa final'!$A$25),"")</f>
        <v/>
      </c>
      <c r="W41" s="342"/>
      <c r="X41" s="340" t="str">
        <f>IF(AND('Mapa final'!$P$23="Baja",'Mapa final'!$S$23="Moderado"),CONCATENATE("R",'Mapa final'!$A$23),"")</f>
        <v/>
      </c>
      <c r="Y41" s="341"/>
      <c r="Z41" s="341" t="str">
        <f>IF(AND('Mapa final'!$P$24="Baja",'Mapa final'!$S$24="Moderado"),CONCATENATE("R",'Mapa final'!$A$24),"")</f>
        <v/>
      </c>
      <c r="AA41" s="341"/>
      <c r="AB41" s="341" t="str">
        <f>IF(AND('Mapa final'!$P$25="Baja",'Mapa final'!$S$25="Moderado"),CONCATENATE("R",'Mapa final'!$A$25),"")</f>
        <v/>
      </c>
      <c r="AC41" s="342"/>
      <c r="AD41" s="358" t="str">
        <f>IF(AND('Mapa final'!$P$23="Baja",'Mapa final'!$S$23="Mayor"),CONCATENATE("R",'Mapa final'!$A$23),"")</f>
        <v/>
      </c>
      <c r="AE41" s="359"/>
      <c r="AF41" s="359" t="str">
        <f>IF(AND('Mapa final'!$P$24="Baja",'Mapa final'!$S$24="Mayor"),CONCATENATE("R",'Mapa final'!$A$24),"")</f>
        <v/>
      </c>
      <c r="AG41" s="359"/>
      <c r="AH41" s="359" t="str">
        <f>IF(AND('Mapa final'!$P$25="Baja",'Mapa final'!$S$25="Mayor"),CONCATENATE("R",'Mapa final'!$A$25),"")</f>
        <v/>
      </c>
      <c r="AI41" s="359"/>
      <c r="AJ41" s="349" t="str">
        <f>IF(AND('Mapa final'!$P$23="Baja",'Mapa final'!$S$23="Catastrófico"),CONCATENATE("R",'Mapa final'!$A$23),"")</f>
        <v/>
      </c>
      <c r="AK41" s="350"/>
      <c r="AL41" s="350" t="str">
        <f>IF(AND('Mapa final'!$P$24="Baja",'Mapa final'!$S$24="Catastrófico"),CONCATENATE("R",'Mapa final'!$A$24),"")</f>
        <v/>
      </c>
      <c r="AM41" s="350"/>
      <c r="AN41" s="350" t="str">
        <f>IF(AND('Mapa final'!$P$25="Baja",'Mapa final'!$S$25="Catastrófico"),CONCATENATE("R",'Mapa final'!$A$25),"")</f>
        <v/>
      </c>
      <c r="AO41" s="351"/>
      <c r="AP41" s="68"/>
      <c r="AQ41" s="431"/>
      <c r="AR41" s="432"/>
      <c r="AS41" s="432"/>
      <c r="AT41" s="432"/>
      <c r="AU41" s="432"/>
      <c r="AV41" s="433"/>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row>
    <row r="42" spans="3:82" ht="15.75" customHeight="1" thickBot="1">
      <c r="C42" s="68"/>
      <c r="D42" s="399"/>
      <c r="E42" s="399"/>
      <c r="F42" s="400"/>
      <c r="G42" s="374"/>
      <c r="H42" s="375"/>
      <c r="I42" s="375"/>
      <c r="J42" s="375"/>
      <c r="K42" s="375"/>
      <c r="L42" s="339"/>
      <c r="M42" s="334"/>
      <c r="N42" s="334"/>
      <c r="O42" s="334"/>
      <c r="P42" s="334"/>
      <c r="Q42" s="335"/>
      <c r="R42" s="343"/>
      <c r="S42" s="344"/>
      <c r="T42" s="344"/>
      <c r="U42" s="344"/>
      <c r="V42" s="344"/>
      <c r="W42" s="345"/>
      <c r="X42" s="343"/>
      <c r="Y42" s="344"/>
      <c r="Z42" s="344"/>
      <c r="AA42" s="344"/>
      <c r="AB42" s="344"/>
      <c r="AC42" s="345"/>
      <c r="AD42" s="361"/>
      <c r="AE42" s="362"/>
      <c r="AF42" s="362"/>
      <c r="AG42" s="362"/>
      <c r="AH42" s="362"/>
      <c r="AI42" s="362"/>
      <c r="AJ42" s="352"/>
      <c r="AK42" s="353"/>
      <c r="AL42" s="353"/>
      <c r="AM42" s="353"/>
      <c r="AN42" s="353"/>
      <c r="AO42" s="354"/>
      <c r="AP42" s="68"/>
      <c r="AQ42" s="434"/>
      <c r="AR42" s="435"/>
      <c r="AS42" s="435"/>
      <c r="AT42" s="435"/>
      <c r="AU42" s="435"/>
      <c r="AV42" s="436"/>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row>
    <row r="43" spans="3:82" ht="15" customHeight="1">
      <c r="C43" s="68"/>
      <c r="D43" s="399"/>
      <c r="E43" s="399"/>
      <c r="F43" s="400"/>
      <c r="G43" s="367" t="s">
        <v>260</v>
      </c>
      <c r="H43" s="369"/>
      <c r="I43" s="369"/>
      <c r="J43" s="369"/>
      <c r="K43" s="369"/>
      <c r="L43" s="336"/>
      <c r="M43" s="337"/>
      <c r="N43" s="337" t="str">
        <f>IF(AND('Mapa final'!$K$15="Muy Baja",'Mapa final'!$O$15="Leve"),CONCATENATE("R",'Mapa final'!#REF!),"")</f>
        <v/>
      </c>
      <c r="O43" s="337"/>
      <c r="P43" s="337" t="str">
        <f>IF(AND('Mapa final'!$K$21="Muy Baja",'Mapa final'!$O$21="Leve"),CONCATENATE("R",'Mapa final'!$A$21),"")</f>
        <v/>
      </c>
      <c r="Q43" s="338"/>
      <c r="R43" s="336"/>
      <c r="S43" s="337"/>
      <c r="T43" s="337" t="str">
        <f>IF(AND('Mapa final'!$P$15="Muy Baja",'Mapa final'!$S$15="Menor"),CONCATENATE("R",'Mapa final'!#REF!),"")</f>
        <v/>
      </c>
      <c r="U43" s="337"/>
      <c r="V43" s="337" t="str">
        <f>IF(AND('Mapa final'!$P$21="Muy Baja",'Mapa final'!$S$21="Menor"),CONCATENATE("R",'Mapa final'!$A$21),"")</f>
        <v/>
      </c>
      <c r="W43" s="338"/>
      <c r="X43" s="346"/>
      <c r="Y43" s="347"/>
      <c r="Z43" s="347" t="str">
        <f>IF(AND('Mapa final'!P$15="Muy Baja",'Mapa final'!$S$15="Moderado"),CONCATENATE("R",'Mapa final'!$D$15),"")</f>
        <v/>
      </c>
      <c r="AA43" s="347"/>
      <c r="AB43" s="347" t="str">
        <f>IF(AND('Mapa final'!$P$21="Muy Baja",'Mapa final'!$S$21="Moderado"),CONCATENATE("R",'Mapa final'!$A$21),"")</f>
        <v/>
      </c>
      <c r="AC43" s="348"/>
      <c r="AD43" s="364"/>
      <c r="AE43" s="365"/>
      <c r="AF43" s="365" t="str">
        <f>IF(AND('Mapa final'!$P$15="Muy Baja",'Mapa final'!$S$15="Mayor"),CONCATENATE("R",'Mapa final'!#REF!),"")</f>
        <v/>
      </c>
      <c r="AG43" s="365"/>
      <c r="AH43" s="365" t="str">
        <f>IF(AND('Mapa final'!$P$21="Muy Baja",'Mapa final'!$S$21="Mayor"),CONCATENATE("R",'Mapa final'!$D$21),"")</f>
        <v/>
      </c>
      <c r="AI43" s="366"/>
      <c r="AJ43" s="349"/>
      <c r="AK43" s="350"/>
      <c r="AL43" s="350" t="str">
        <f>IF(AND('Mapa final'!$P$15="Muy Baja",'Mapa final'!$S$15="Catastrófico"),CONCATENATE("R",'Mapa final'!$D$15),"")</f>
        <v/>
      </c>
      <c r="AM43" s="350"/>
      <c r="AN43" s="350" t="str">
        <f>IF(AND('Mapa final'!$P$21="Muy Baja",'Mapa final'!$S$21="Catastrófico"),CONCATENATE("R",'Mapa final'!$A$21),"")</f>
        <v/>
      </c>
      <c r="AO43" s="351"/>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row>
    <row r="44" spans="3:82" ht="15" customHeight="1">
      <c r="C44" s="68"/>
      <c r="D44" s="399"/>
      <c r="E44" s="399"/>
      <c r="F44" s="400"/>
      <c r="G44" s="371"/>
      <c r="H44" s="372"/>
      <c r="I44" s="372"/>
      <c r="J44" s="372"/>
      <c r="K44" s="372"/>
      <c r="L44" s="331"/>
      <c r="M44" s="332"/>
      <c r="N44" s="332"/>
      <c r="O44" s="332"/>
      <c r="P44" s="332"/>
      <c r="Q44" s="333"/>
      <c r="R44" s="331"/>
      <c r="S44" s="332"/>
      <c r="T44" s="332"/>
      <c r="U44" s="332"/>
      <c r="V44" s="332"/>
      <c r="W44" s="333"/>
      <c r="X44" s="340"/>
      <c r="Y44" s="341"/>
      <c r="Z44" s="341"/>
      <c r="AA44" s="341"/>
      <c r="AB44" s="341"/>
      <c r="AC44" s="342"/>
      <c r="AD44" s="358"/>
      <c r="AE44" s="359"/>
      <c r="AF44" s="359"/>
      <c r="AG44" s="359"/>
      <c r="AH44" s="359"/>
      <c r="AI44" s="360"/>
      <c r="AJ44" s="349"/>
      <c r="AK44" s="350"/>
      <c r="AL44" s="350"/>
      <c r="AM44" s="350"/>
      <c r="AN44" s="350"/>
      <c r="AO44" s="351"/>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68"/>
    </row>
    <row r="45" spans="3:82" ht="15" customHeight="1">
      <c r="C45" s="68"/>
      <c r="D45" s="399"/>
      <c r="E45" s="399"/>
      <c r="F45" s="400"/>
      <c r="G45" s="371"/>
      <c r="H45" s="372"/>
      <c r="I45" s="372"/>
      <c r="J45" s="372"/>
      <c r="K45" s="372"/>
      <c r="L45" s="331" t="e">
        <f>IF(AND('Mapa final'!#REF!="Muy Baja",'Mapa final'!#REF!="Leve"),CONCATENATE("R",'Mapa final'!#REF!),"")</f>
        <v>#REF!</v>
      </c>
      <c r="M45" s="332"/>
      <c r="N45" s="332" t="e">
        <f>IF(AND('Mapa final'!#REF!="Muy Baja",'Mapa final'!#REF!="Leve"),CONCATENATE("R",'Mapa final'!#REF!),"")</f>
        <v>#REF!</v>
      </c>
      <c r="O45" s="332"/>
      <c r="P45" s="332" t="e">
        <f>IF(AND('Mapa final'!#REF!="Muy Baja",'Mapa final'!#REF!="Leve"),CONCATENATE("R",'Mapa final'!#REF!),"")</f>
        <v>#REF!</v>
      </c>
      <c r="Q45" s="333"/>
      <c r="R45" s="331" t="e">
        <f>IF(AND('Mapa final'!#REF!="Muy Baja",'Mapa final'!#REF!="Menor"),CONCATENATE("R",'Mapa final'!#REF!),"")</f>
        <v>#REF!</v>
      </c>
      <c r="S45" s="332"/>
      <c r="T45" s="332" t="e">
        <f>IF(AND('Mapa final'!#REF!="Muy Baja",'Mapa final'!#REF!="Menor"),CONCATENATE("R",'Mapa final'!#REF!),"")</f>
        <v>#REF!</v>
      </c>
      <c r="U45" s="332"/>
      <c r="V45" s="332" t="e">
        <f>IF(AND('Mapa final'!#REF!="Muy Baja",'Mapa final'!#REF!="Menor"),CONCATENATE("R",'Mapa final'!#REF!),"")</f>
        <v>#REF!</v>
      </c>
      <c r="W45" s="333"/>
      <c r="X45" s="340" t="e">
        <f>IF(AND('Mapa final'!#REF!="Muy Baja",'Mapa final'!#REF!="Moderado"),CONCATENATE("R",'Mapa final'!#REF!),"")</f>
        <v>#REF!</v>
      </c>
      <c r="Y45" s="341"/>
      <c r="Z45" s="341" t="e">
        <f>IF(AND('Mapa final'!#REF!="Muy Baja",'Mapa final'!#REF!="Moderado"),CONCATENATE("R",'Mapa final'!#REF!),"")</f>
        <v>#REF!</v>
      </c>
      <c r="AA45" s="341"/>
      <c r="AB45" s="341" t="e">
        <f>IF(AND('Mapa final'!#REF!="Muy Baja",'Mapa final'!#REF!="Moderado"),CONCATENATE("R",'Mapa final'!#REF!),"")</f>
        <v>#REF!</v>
      </c>
      <c r="AC45" s="342"/>
      <c r="AD45" s="358" t="e">
        <f>IF(AND('Mapa final'!#REF!="Muy Baja",'Mapa final'!#REF!="Mayor"),CONCATENATE("R",'Mapa final'!#REF!),"")</f>
        <v>#REF!</v>
      </c>
      <c r="AE45" s="359"/>
      <c r="AF45" s="359" t="e">
        <f>IF(AND('Mapa final'!#REF!="Muy Baja",'Mapa final'!#REF!="Mayor"),CONCATENATE("R",'Mapa final'!#REF!),"")</f>
        <v>#REF!</v>
      </c>
      <c r="AG45" s="359"/>
      <c r="AH45" s="359" t="e">
        <f>IF(AND('Mapa final'!#REF!="Muy Baja",'Mapa final'!#REF!="Mayor"),CONCATENATE("R",'Mapa final'!#REF!),"")</f>
        <v>#REF!</v>
      </c>
      <c r="AI45" s="360"/>
      <c r="AJ45" s="349" t="e">
        <f>IF(AND('Mapa final'!#REF!="Muy Baja",'Mapa final'!#REF!="Catastrófico"),CONCATENATE("R",'Mapa final'!#REF!),"")</f>
        <v>#REF!</v>
      </c>
      <c r="AK45" s="350"/>
      <c r="AL45" s="350" t="e">
        <f>IF(AND('Mapa final'!#REF!="Muy Baja",'Mapa final'!#REF!="Catastrófico"),CONCATENATE("R",'Mapa final'!#REF!),"")</f>
        <v>#REF!</v>
      </c>
      <c r="AM45" s="350"/>
      <c r="AN45" s="350" t="e">
        <f>IF(AND('Mapa final'!#REF!="Muy Baja",'Mapa final'!#REF!="Catastrófico"),CONCATENATE("R",'Mapa final'!#REF!),"")</f>
        <v>#REF!</v>
      </c>
      <c r="AO45" s="351"/>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c r="CA45" s="68"/>
      <c r="CB45" s="68"/>
      <c r="CC45" s="68"/>
      <c r="CD45" s="68"/>
    </row>
    <row r="46" spans="3:82" ht="15" customHeight="1">
      <c r="C46" s="68"/>
      <c r="D46" s="399"/>
      <c r="E46" s="399"/>
      <c r="F46" s="400"/>
      <c r="G46" s="371"/>
      <c r="H46" s="372"/>
      <c r="I46" s="372"/>
      <c r="J46" s="372"/>
      <c r="K46" s="372"/>
      <c r="L46" s="331"/>
      <c r="M46" s="332"/>
      <c r="N46" s="332"/>
      <c r="O46" s="332"/>
      <c r="P46" s="332"/>
      <c r="Q46" s="333"/>
      <c r="R46" s="331"/>
      <c r="S46" s="332"/>
      <c r="T46" s="332"/>
      <c r="U46" s="332"/>
      <c r="V46" s="332"/>
      <c r="W46" s="333"/>
      <c r="X46" s="340"/>
      <c r="Y46" s="341"/>
      <c r="Z46" s="341"/>
      <c r="AA46" s="341"/>
      <c r="AB46" s="341"/>
      <c r="AC46" s="342"/>
      <c r="AD46" s="358"/>
      <c r="AE46" s="359"/>
      <c r="AF46" s="359"/>
      <c r="AG46" s="359"/>
      <c r="AH46" s="359"/>
      <c r="AI46" s="360"/>
      <c r="AJ46" s="349"/>
      <c r="AK46" s="350"/>
      <c r="AL46" s="350"/>
      <c r="AM46" s="350"/>
      <c r="AN46" s="350"/>
      <c r="AO46" s="351"/>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row>
    <row r="47" spans="3:82" ht="15" customHeight="1">
      <c r="C47" s="68"/>
      <c r="D47" s="399"/>
      <c r="E47" s="399"/>
      <c r="F47" s="400"/>
      <c r="G47" s="371"/>
      <c r="H47" s="372"/>
      <c r="I47" s="372"/>
      <c r="J47" s="372"/>
      <c r="K47" s="372"/>
      <c r="L47" s="331" t="e">
        <f>IF(AND('Mapa final'!#REF!="Muy Baja",'Mapa final'!#REF!="Leve"),CONCATENATE("R",'Mapa final'!#REF!),"")</f>
        <v>#REF!</v>
      </c>
      <c r="M47" s="332"/>
      <c r="N47" s="332" t="e">
        <f>IF(AND('Mapa final'!#REF!="Muy Baja",'Mapa final'!#REF!="Leve"),CONCATENATE("R",'Mapa final'!#REF!),"")</f>
        <v>#REF!</v>
      </c>
      <c r="O47" s="332"/>
      <c r="P47" s="332" t="str">
        <f>IF(AND('Mapa final'!$K$22="Muy Baja",'Mapa final'!$O$22="Leve"),CONCATENATE("R",'Mapa final'!$A$22),"")</f>
        <v/>
      </c>
      <c r="Q47" s="333"/>
      <c r="R47" s="331" t="e">
        <f>IF(AND('Mapa final'!#REF!="Muy Baja",'Mapa final'!#REF!="Menor"),CONCATENATE("R",'Mapa final'!#REF!),"")</f>
        <v>#REF!</v>
      </c>
      <c r="S47" s="332"/>
      <c r="T47" s="332" t="e">
        <f>IF(AND('Mapa final'!#REF!="Muy Baja",'Mapa final'!#REF!="Menor"),CONCATENATE("R",'Mapa final'!#REF!),"")</f>
        <v>#REF!</v>
      </c>
      <c r="U47" s="332"/>
      <c r="V47" s="332" t="str">
        <f>IF(AND('Mapa final'!$P$22="Muy Baja",'Mapa final'!$S$22="Menor"),CONCATENATE("R",'Mapa final'!$A$22),"")</f>
        <v/>
      </c>
      <c r="W47" s="333"/>
      <c r="X47" s="340" t="e">
        <f>IF(AND('Mapa final'!#REF!="Muy Baja",'Mapa final'!#REF!="Moderado"),CONCATENATE("R",'Mapa final'!#REF!),"")</f>
        <v>#REF!</v>
      </c>
      <c r="Y47" s="341"/>
      <c r="Z47" s="341" t="e">
        <f>IF(AND('Mapa final'!#REF!="Muy Baja",'Mapa final'!#REF!="Moderado"),CONCATENATE("R",'Mapa final'!#REF!),"")</f>
        <v>#REF!</v>
      </c>
      <c r="AA47" s="341"/>
      <c r="AB47" s="341" t="str">
        <f>IF(AND('Mapa final'!$P$22="Muy Baja",'Mapa final'!$S$22="Moderado"),CONCATENATE("R",'Mapa final'!$A$22),"")</f>
        <v/>
      </c>
      <c r="AC47" s="342"/>
      <c r="AD47" s="358" t="e">
        <f>IF(AND('Mapa final'!#REF!="Muy Baja",'Mapa final'!#REF!="Mayor"),CONCATENATE("R",'Mapa final'!#REF!),"")</f>
        <v>#REF!</v>
      </c>
      <c r="AE47" s="359"/>
      <c r="AF47" s="359" t="e">
        <f>IF(AND('Mapa final'!#REF!="Muy Baja",'Mapa final'!#REF!="Mayor"),CONCATENATE("R",'Mapa final'!#REF!),"")</f>
        <v>#REF!</v>
      </c>
      <c r="AG47" s="359"/>
      <c r="AH47" s="359" t="str">
        <f>IF(AND('Mapa final'!$P$22="Muy Baja",'Mapa final'!$S$22="Mayor"),CONCATENATE("R",'Mapa final'!$A$22),"")</f>
        <v/>
      </c>
      <c r="AI47" s="360"/>
      <c r="AJ47" s="349" t="e">
        <f>IF(AND('Mapa final'!#REF!="Muy Baja",'Mapa final'!#REF!="Catastrófico"),CONCATENATE("R",'Mapa final'!#REF!),"")</f>
        <v>#REF!</v>
      </c>
      <c r="AK47" s="350"/>
      <c r="AL47" s="350" t="e">
        <f>IF(AND('Mapa final'!#REF!="Muy Baja",'Mapa final'!#REF!="Catastrófico"),CONCATENATE("R",'Mapa final'!#REF!),"")</f>
        <v>#REF!</v>
      </c>
      <c r="AM47" s="350"/>
      <c r="AN47" s="350" t="str">
        <f>IF(AND('Mapa final'!$P$22="Muy Baja",'Mapa final'!$S$22="Catastrófico"),CONCATENATE("R",'Mapa final'!$A$22),"")</f>
        <v/>
      </c>
      <c r="AO47" s="351"/>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c r="CA47" s="68"/>
      <c r="CB47" s="68"/>
      <c r="CC47" s="68"/>
      <c r="CD47" s="68"/>
    </row>
    <row r="48" spans="3:82" ht="15" customHeight="1">
      <c r="C48" s="68"/>
      <c r="D48" s="399"/>
      <c r="E48" s="399"/>
      <c r="F48" s="400"/>
      <c r="G48" s="371"/>
      <c r="H48" s="372"/>
      <c r="I48" s="372"/>
      <c r="J48" s="372"/>
      <c r="K48" s="372"/>
      <c r="L48" s="331"/>
      <c r="M48" s="332"/>
      <c r="N48" s="332"/>
      <c r="O48" s="332"/>
      <c r="P48" s="332"/>
      <c r="Q48" s="333"/>
      <c r="R48" s="331"/>
      <c r="S48" s="332"/>
      <c r="T48" s="332"/>
      <c r="U48" s="332"/>
      <c r="V48" s="332"/>
      <c r="W48" s="333"/>
      <c r="X48" s="340"/>
      <c r="Y48" s="341"/>
      <c r="Z48" s="341"/>
      <c r="AA48" s="341"/>
      <c r="AB48" s="341"/>
      <c r="AC48" s="342"/>
      <c r="AD48" s="358"/>
      <c r="AE48" s="359"/>
      <c r="AF48" s="359"/>
      <c r="AG48" s="359"/>
      <c r="AH48" s="359"/>
      <c r="AI48" s="360"/>
      <c r="AJ48" s="349"/>
      <c r="AK48" s="350"/>
      <c r="AL48" s="350"/>
      <c r="AM48" s="350"/>
      <c r="AN48" s="350"/>
      <c r="AO48" s="351"/>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row>
    <row r="49" spans="3:82" ht="15" customHeight="1">
      <c r="C49" s="68"/>
      <c r="D49" s="399"/>
      <c r="E49" s="399"/>
      <c r="F49" s="400"/>
      <c r="G49" s="371"/>
      <c r="H49" s="372"/>
      <c r="I49" s="372"/>
      <c r="J49" s="372"/>
      <c r="K49" s="372"/>
      <c r="L49" s="331" t="str">
        <f>IF(AND('Mapa final'!$P$23="Muy Baja",'Mapa final'!$S$23="Leve"),CONCATENATE("R",'Mapa final'!$A$23),"")</f>
        <v/>
      </c>
      <c r="M49" s="332"/>
      <c r="N49" s="332" t="str">
        <f>IF(AND('Mapa final'!$K$24="Muy Baja",'Mapa final'!$O$24="Leve"),CONCATENATE("R",'Mapa final'!$A$24),"")</f>
        <v/>
      </c>
      <c r="O49" s="332"/>
      <c r="P49" s="332" t="str">
        <f>IF(AND('Mapa final'!$K$25="Muy Baja",'Mapa final'!$O$25="Leve"),CONCATENATE("R",'Mapa final'!$A$25),"")</f>
        <v/>
      </c>
      <c r="Q49" s="333"/>
      <c r="R49" s="332" t="str">
        <f>IF(AND('Mapa final'!$P$23="Muy Baja",'Mapa final'!$S$23="Menor"),CONCATENATE("R",'Mapa final'!$A$23),"")</f>
        <v/>
      </c>
      <c r="S49" s="332"/>
      <c r="T49" s="332" t="str">
        <f>IF(AND('Mapa final'!$P$24="Muy Baja",'Mapa final'!$S$24="Menor"),CONCATENATE("R",'Mapa final'!$A$24),"")</f>
        <v/>
      </c>
      <c r="U49" s="332"/>
      <c r="V49" s="332" t="str">
        <f>IF(AND('Mapa final'!$P$25="Muy Baja",'Mapa final'!$S$25="Menor"),CONCATENATE("R",'Mapa final'!$A$25),"")</f>
        <v/>
      </c>
      <c r="W49" s="333"/>
      <c r="X49" s="340" t="str">
        <f>IF(AND('Mapa final'!$P$23="Muy Baja",'Mapa final'!$S$23="Moderado"),CONCATENATE("R",'Mapa final'!$A$23),"")</f>
        <v/>
      </c>
      <c r="Y49" s="341"/>
      <c r="Z49" s="341" t="str">
        <f>IF(AND('Mapa final'!$P$24="Muy Baja",'Mapa final'!$S$24="Moderado"),CONCATENATE("R",'Mapa final'!$A$24),"")</f>
        <v/>
      </c>
      <c r="AA49" s="341"/>
      <c r="AB49" s="341" t="str">
        <f>IF(AND('Mapa final'!$P$25="Muy Baja",'Mapa final'!$S$25="Moderado"),CONCATENATE("R",'Mapa final'!$A$25),"")</f>
        <v/>
      </c>
      <c r="AC49" s="342"/>
      <c r="AD49" s="358" t="str">
        <f>IF(AND('Mapa final'!$P$23="Muy Baja",'Mapa final'!$S$23="Mayor"),CONCATENATE("R",'Mapa final'!$A$23),"")</f>
        <v/>
      </c>
      <c r="AE49" s="359"/>
      <c r="AF49" s="359" t="str">
        <f>IF(AND('Mapa final'!$P$24="Muy Baja",'Mapa final'!$S$24="Mayor"),CONCATENATE("R",'Mapa final'!$A$24),"")</f>
        <v/>
      </c>
      <c r="AG49" s="359"/>
      <c r="AH49" s="359" t="str">
        <f>IF(AND('Mapa final'!$P$25="Muy Baja",'Mapa final'!$S$25="Mayor"),CONCATENATE("R",'Mapa final'!$A$25),"")</f>
        <v/>
      </c>
      <c r="AI49" s="360"/>
      <c r="AJ49" s="349" t="str">
        <f>IF(AND('Mapa final'!$P$23="Muy Baja",'Mapa final'!$S$23="Catastrófico"),CONCATENATE("R",'Mapa final'!$A$23),"")</f>
        <v/>
      </c>
      <c r="AK49" s="350"/>
      <c r="AL49" s="350" t="str">
        <f>IF(AND('Mapa final'!$P$24="Muy Baja",'Mapa final'!$S$24="Catastrófico"),CONCATENATE("R",'Mapa final'!$A$24),"")</f>
        <v/>
      </c>
      <c r="AM49" s="350"/>
      <c r="AN49" s="350" t="str">
        <f>IF(AND('Mapa final'!$P$25="Muy Baja",'Mapa final'!$S$25="Catastrófico"),CONCATENATE("R",'Mapa final'!$A$25),"")</f>
        <v/>
      </c>
      <c r="AO49" s="351"/>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row>
    <row r="50" spans="3:82" ht="15.75" customHeight="1" thickBot="1">
      <c r="C50" s="68"/>
      <c r="D50" s="399"/>
      <c r="E50" s="399"/>
      <c r="F50" s="400"/>
      <c r="G50" s="374"/>
      <c r="H50" s="375"/>
      <c r="I50" s="375"/>
      <c r="J50" s="375"/>
      <c r="K50" s="375"/>
      <c r="L50" s="339"/>
      <c r="M50" s="334"/>
      <c r="N50" s="334"/>
      <c r="O50" s="334"/>
      <c r="P50" s="334"/>
      <c r="Q50" s="335"/>
      <c r="R50" s="334"/>
      <c r="S50" s="334"/>
      <c r="T50" s="334"/>
      <c r="U50" s="334"/>
      <c r="V50" s="334"/>
      <c r="W50" s="335"/>
      <c r="X50" s="343"/>
      <c r="Y50" s="344"/>
      <c r="Z50" s="344"/>
      <c r="AA50" s="344"/>
      <c r="AB50" s="344"/>
      <c r="AC50" s="345"/>
      <c r="AD50" s="361"/>
      <c r="AE50" s="362"/>
      <c r="AF50" s="362"/>
      <c r="AG50" s="362"/>
      <c r="AH50" s="362"/>
      <c r="AI50" s="363"/>
      <c r="AJ50" s="352"/>
      <c r="AK50" s="353"/>
      <c r="AL50" s="353"/>
      <c r="AM50" s="353"/>
      <c r="AN50" s="353"/>
      <c r="AO50" s="354"/>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row>
    <row r="51" spans="3:82">
      <c r="C51" s="68"/>
      <c r="D51" s="68"/>
      <c r="E51" s="68"/>
      <c r="F51" s="68"/>
      <c r="G51" s="68"/>
      <c r="H51" s="68"/>
      <c r="I51" s="68"/>
      <c r="J51" s="68"/>
      <c r="K51" s="68"/>
      <c r="L51" s="377" t="s">
        <v>261</v>
      </c>
      <c r="M51" s="372"/>
      <c r="N51" s="372"/>
      <c r="O51" s="372"/>
      <c r="P51" s="372"/>
      <c r="Q51" s="373"/>
      <c r="R51" s="367" t="s">
        <v>262</v>
      </c>
      <c r="S51" s="369"/>
      <c r="T51" s="369"/>
      <c r="U51" s="369"/>
      <c r="V51" s="369"/>
      <c r="W51" s="370"/>
      <c r="X51" s="367" t="s">
        <v>263</v>
      </c>
      <c r="Y51" s="369"/>
      <c r="Z51" s="369"/>
      <c r="AA51" s="369"/>
      <c r="AB51" s="369"/>
      <c r="AC51" s="370"/>
      <c r="AD51" s="367" t="s">
        <v>264</v>
      </c>
      <c r="AE51" s="368"/>
      <c r="AF51" s="369"/>
      <c r="AG51" s="369"/>
      <c r="AH51" s="369"/>
      <c r="AI51" s="370"/>
      <c r="AJ51" s="367" t="s">
        <v>265</v>
      </c>
      <c r="AK51" s="369"/>
      <c r="AL51" s="369"/>
      <c r="AM51" s="369"/>
      <c r="AN51" s="369"/>
      <c r="AO51" s="370"/>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row>
    <row r="52" spans="3:82">
      <c r="C52" s="68"/>
      <c r="D52" s="68"/>
      <c r="E52" s="68"/>
      <c r="F52" s="68"/>
      <c r="G52" s="68"/>
      <c r="H52" s="68"/>
      <c r="I52" s="68"/>
      <c r="J52" s="68"/>
      <c r="K52" s="68"/>
      <c r="L52" s="371"/>
      <c r="M52" s="372"/>
      <c r="N52" s="372"/>
      <c r="O52" s="372"/>
      <c r="P52" s="372"/>
      <c r="Q52" s="373"/>
      <c r="R52" s="371"/>
      <c r="S52" s="372"/>
      <c r="T52" s="372"/>
      <c r="U52" s="372"/>
      <c r="V52" s="372"/>
      <c r="W52" s="373"/>
      <c r="X52" s="371"/>
      <c r="Y52" s="372"/>
      <c r="Z52" s="372"/>
      <c r="AA52" s="372"/>
      <c r="AB52" s="372"/>
      <c r="AC52" s="373"/>
      <c r="AD52" s="371"/>
      <c r="AE52" s="372"/>
      <c r="AF52" s="372"/>
      <c r="AG52" s="372"/>
      <c r="AH52" s="372"/>
      <c r="AI52" s="373"/>
      <c r="AJ52" s="371"/>
      <c r="AK52" s="372"/>
      <c r="AL52" s="372"/>
      <c r="AM52" s="372"/>
      <c r="AN52" s="372"/>
      <c r="AO52" s="373"/>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row>
    <row r="53" spans="3:82">
      <c r="C53" s="68"/>
      <c r="D53" s="68"/>
      <c r="E53" s="68"/>
      <c r="F53" s="68"/>
      <c r="G53" s="68"/>
      <c r="H53" s="68"/>
      <c r="I53" s="68"/>
      <c r="J53" s="68"/>
      <c r="K53" s="68"/>
      <c r="L53" s="371"/>
      <c r="M53" s="372"/>
      <c r="N53" s="372"/>
      <c r="O53" s="372"/>
      <c r="P53" s="372"/>
      <c r="Q53" s="373"/>
      <c r="R53" s="371"/>
      <c r="S53" s="372"/>
      <c r="T53" s="372"/>
      <c r="U53" s="372"/>
      <c r="V53" s="372"/>
      <c r="W53" s="373"/>
      <c r="X53" s="371"/>
      <c r="Y53" s="372"/>
      <c r="Z53" s="372"/>
      <c r="AA53" s="372"/>
      <c r="AB53" s="372"/>
      <c r="AC53" s="373"/>
      <c r="AD53" s="371"/>
      <c r="AE53" s="372"/>
      <c r="AF53" s="372"/>
      <c r="AG53" s="372"/>
      <c r="AH53" s="372"/>
      <c r="AI53" s="373"/>
      <c r="AJ53" s="371"/>
      <c r="AK53" s="372"/>
      <c r="AL53" s="372"/>
      <c r="AM53" s="372"/>
      <c r="AN53" s="372"/>
      <c r="AO53" s="373"/>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row>
    <row r="54" spans="3:82">
      <c r="C54" s="68"/>
      <c r="D54" s="68"/>
      <c r="E54" s="68"/>
      <c r="F54" s="68"/>
      <c r="G54" s="68"/>
      <c r="H54" s="68"/>
      <c r="I54" s="68"/>
      <c r="J54" s="68"/>
      <c r="K54" s="68"/>
      <c r="L54" s="371"/>
      <c r="M54" s="372"/>
      <c r="N54" s="372"/>
      <c r="O54" s="372"/>
      <c r="P54" s="372"/>
      <c r="Q54" s="373"/>
      <c r="R54" s="371"/>
      <c r="S54" s="372"/>
      <c r="T54" s="372"/>
      <c r="U54" s="372"/>
      <c r="V54" s="372"/>
      <c r="W54" s="373"/>
      <c r="X54" s="371"/>
      <c r="Y54" s="372"/>
      <c r="Z54" s="372"/>
      <c r="AA54" s="372"/>
      <c r="AB54" s="372"/>
      <c r="AC54" s="373"/>
      <c r="AD54" s="371"/>
      <c r="AE54" s="372"/>
      <c r="AF54" s="372"/>
      <c r="AG54" s="372"/>
      <c r="AH54" s="372"/>
      <c r="AI54" s="373"/>
      <c r="AJ54" s="371"/>
      <c r="AK54" s="372"/>
      <c r="AL54" s="372"/>
      <c r="AM54" s="372"/>
      <c r="AN54" s="372"/>
      <c r="AO54" s="373"/>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row>
    <row r="55" spans="3:82">
      <c r="C55" s="68"/>
      <c r="D55" s="68"/>
      <c r="E55" s="68"/>
      <c r="F55" s="68"/>
      <c r="G55" s="68"/>
      <c r="H55" s="68"/>
      <c r="I55" s="68"/>
      <c r="J55" s="68"/>
      <c r="K55" s="68"/>
      <c r="L55" s="371"/>
      <c r="M55" s="372"/>
      <c r="N55" s="372"/>
      <c r="O55" s="372"/>
      <c r="P55" s="372"/>
      <c r="Q55" s="373"/>
      <c r="R55" s="371"/>
      <c r="S55" s="372"/>
      <c r="T55" s="372"/>
      <c r="U55" s="372"/>
      <c r="V55" s="372"/>
      <c r="W55" s="373"/>
      <c r="X55" s="371"/>
      <c r="Y55" s="372"/>
      <c r="Z55" s="372"/>
      <c r="AA55" s="372"/>
      <c r="AB55" s="372"/>
      <c r="AC55" s="373"/>
      <c r="AD55" s="371"/>
      <c r="AE55" s="372"/>
      <c r="AF55" s="372"/>
      <c r="AG55" s="372"/>
      <c r="AH55" s="372"/>
      <c r="AI55" s="373"/>
      <c r="AJ55" s="371"/>
      <c r="AK55" s="372"/>
      <c r="AL55" s="372"/>
      <c r="AM55" s="372"/>
      <c r="AN55" s="372"/>
      <c r="AO55" s="373"/>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row>
    <row r="56" spans="3:82" ht="16" thickBot="1">
      <c r="C56" s="68"/>
      <c r="D56" s="68"/>
      <c r="E56" s="68"/>
      <c r="F56" s="68"/>
      <c r="G56" s="68"/>
      <c r="H56" s="68"/>
      <c r="I56" s="68"/>
      <c r="J56" s="68"/>
      <c r="K56" s="68"/>
      <c r="L56" s="374"/>
      <c r="M56" s="375"/>
      <c r="N56" s="375"/>
      <c r="O56" s="375"/>
      <c r="P56" s="375"/>
      <c r="Q56" s="376"/>
      <c r="R56" s="374"/>
      <c r="S56" s="375"/>
      <c r="T56" s="375"/>
      <c r="U56" s="375"/>
      <c r="V56" s="375"/>
      <c r="W56" s="376"/>
      <c r="X56" s="374"/>
      <c r="Y56" s="375"/>
      <c r="Z56" s="375"/>
      <c r="AA56" s="375"/>
      <c r="AB56" s="375"/>
      <c r="AC56" s="376"/>
      <c r="AD56" s="374"/>
      <c r="AE56" s="375"/>
      <c r="AF56" s="375"/>
      <c r="AG56" s="375"/>
      <c r="AH56" s="375"/>
      <c r="AI56" s="376"/>
      <c r="AJ56" s="374"/>
      <c r="AK56" s="375"/>
      <c r="AL56" s="375"/>
      <c r="AM56" s="375"/>
      <c r="AN56" s="375"/>
      <c r="AO56" s="376"/>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row>
    <row r="57" spans="3:82">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row>
    <row r="58" spans="3:82" ht="15" customHeight="1">
      <c r="C58" s="68"/>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row>
    <row r="59" spans="3:82" ht="15" customHeight="1">
      <c r="C59" s="68"/>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c r="CD59" s="68"/>
    </row>
    <row r="60" spans="3:82">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row>
    <row r="61" spans="3:82">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row>
    <row r="62" spans="3:82">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row>
    <row r="63" spans="3:82">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row>
    <row r="64" spans="3:82">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row>
    <row r="65" spans="3:82">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row>
    <row r="66" spans="3:82">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row>
    <row r="67" spans="3:82">
      <c r="C67" s="68"/>
      <c r="D67" s="68"/>
      <c r="E67" s="68"/>
      <c r="F67" s="68"/>
      <c r="G67" s="68"/>
      <c r="H67" s="68" t="s">
        <v>266</v>
      </c>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row>
    <row r="68" spans="3:82">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8"/>
      <c r="CC68" s="68"/>
      <c r="CD68" s="68"/>
    </row>
    <row r="69" spans="3:82">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row>
    <row r="70" spans="3:82">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row>
    <row r="71" spans="3:82">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row>
    <row r="72" spans="3:82">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row>
    <row r="73" spans="3:82">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row>
    <row r="74" spans="3:82">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8"/>
      <c r="CC74" s="68"/>
      <c r="CD74" s="68"/>
    </row>
    <row r="75" spans="3:82">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row>
    <row r="76" spans="3:82">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row>
    <row r="77" spans="3:82">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row>
    <row r="78" spans="3:82">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row>
    <row r="79" spans="3:82">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row>
    <row r="80" spans="3:82">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row>
    <row r="81" spans="3:82">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row>
    <row r="82" spans="3:82">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row>
    <row r="83" spans="3:82">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row>
    <row r="84" spans="3:82">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row>
    <row r="85" spans="3:82">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row>
    <row r="86" spans="3:82">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row>
    <row r="87" spans="3:82">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row>
    <row r="88" spans="3:82">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row>
    <row r="89" spans="3:82">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row>
    <row r="90" spans="3:82">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row>
    <row r="91" spans="3:82">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row>
    <row r="92" spans="3:82">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row>
    <row r="93" spans="3:82">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row>
    <row r="94" spans="3:82">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row>
    <row r="95" spans="3:82">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row>
    <row r="96" spans="3:82">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row>
    <row r="97" spans="3:65">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row>
    <row r="98" spans="3:65">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row>
    <row r="99" spans="3:65">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row>
    <row r="100" spans="3:65">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row>
    <row r="101" spans="3:65">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row>
    <row r="102" spans="3:65">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row>
    <row r="103" spans="3:65">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row>
    <row r="104" spans="3:65">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row>
    <row r="105" spans="3:65">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row>
    <row r="106" spans="3:65">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row>
    <row r="107" spans="3:65">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row>
    <row r="108" spans="3:65">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row>
    <row r="109" spans="3:65">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row>
    <row r="110" spans="3:65">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row>
    <row r="111" spans="3:65">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row>
    <row r="112" spans="3:65">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row>
    <row r="113" spans="3:65">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row>
    <row r="114" spans="3:65">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row>
    <row r="115" spans="3:65">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row>
    <row r="116" spans="3:65">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row>
    <row r="117" spans="3:65">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row>
    <row r="118" spans="3:65">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row>
    <row r="119" spans="3:65">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row>
    <row r="120" spans="3:65">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row>
    <row r="121" spans="3:65">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row>
    <row r="122" spans="3:65">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row>
    <row r="123" spans="3:65">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row>
    <row r="124" spans="3:65">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row>
    <row r="125" spans="3:65">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row>
    <row r="126" spans="3:65">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row>
    <row r="127" spans="3:6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row>
    <row r="128" spans="3:6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row>
    <row r="129" spans="4:65">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row>
    <row r="130" spans="4:65">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row>
    <row r="131" spans="4:65">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row>
    <row r="132" spans="4:65">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row>
    <row r="133" spans="4:65">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row>
    <row r="134" spans="4:65">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row>
    <row r="135" spans="4:65">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row>
    <row r="136" spans="4:65">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row>
    <row r="137" spans="4:65">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c r="BL137" s="68"/>
      <c r="BM137" s="68"/>
    </row>
    <row r="138" spans="4:65">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row>
    <row r="139" spans="4:65">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c r="BJ139" s="68"/>
      <c r="BK139" s="68"/>
      <c r="BL139" s="68"/>
      <c r="BM139" s="68"/>
    </row>
    <row r="140" spans="4:65">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c r="BL140" s="68"/>
      <c r="BM140" s="68"/>
    </row>
    <row r="141" spans="4:65">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c r="BL141" s="68"/>
      <c r="BM141" s="68"/>
    </row>
    <row r="142" spans="4:65">
      <c r="D142" s="68"/>
      <c r="E142" s="68"/>
      <c r="F142" s="68"/>
      <c r="G142" s="68"/>
      <c r="H142" s="68"/>
      <c r="I142" s="68"/>
      <c r="J142" s="68"/>
      <c r="K142" s="68"/>
    </row>
    <row r="143" spans="4:65">
      <c r="D143" s="68"/>
      <c r="E143" s="68"/>
      <c r="F143" s="68"/>
      <c r="G143" s="68"/>
      <c r="H143" s="68"/>
      <c r="I143" s="68"/>
      <c r="J143" s="68"/>
      <c r="K143" s="68"/>
    </row>
    <row r="144" spans="4:65">
      <c r="D144" s="68"/>
      <c r="E144" s="68"/>
      <c r="F144" s="68"/>
      <c r="G144" s="68"/>
      <c r="H144" s="68"/>
      <c r="I144" s="68"/>
      <c r="J144" s="68"/>
      <c r="K144" s="68"/>
    </row>
    <row r="145" spans="4:11">
      <c r="D145" s="68"/>
      <c r="E145" s="68"/>
      <c r="F145" s="68"/>
      <c r="G145" s="68"/>
      <c r="H145" s="68"/>
      <c r="I145" s="68"/>
      <c r="J145" s="68"/>
      <c r="K145" s="68"/>
    </row>
  </sheetData>
  <mergeCells count="324">
    <mergeCell ref="AP2:AV2"/>
    <mergeCell ref="AP3:AV3"/>
    <mergeCell ref="AP4:AV4"/>
    <mergeCell ref="AP5:AV5"/>
    <mergeCell ref="L2:AO5"/>
    <mergeCell ref="D2:K5"/>
    <mergeCell ref="D11:F50"/>
    <mergeCell ref="AQ11:AV18"/>
    <mergeCell ref="AQ19:AV26"/>
    <mergeCell ref="AQ27:AV34"/>
    <mergeCell ref="AQ35:AV42"/>
    <mergeCell ref="G27:K34"/>
    <mergeCell ref="G43:K50"/>
    <mergeCell ref="L7:AO9"/>
    <mergeCell ref="G11:K18"/>
    <mergeCell ref="G19:K26"/>
    <mergeCell ref="G35:K42"/>
    <mergeCell ref="AF15:AG16"/>
    <mergeCell ref="AH15:AI16"/>
    <mergeCell ref="AD11:AE12"/>
    <mergeCell ref="AF11:AG12"/>
    <mergeCell ref="AD17:AE18"/>
    <mergeCell ref="AF17:AG18"/>
    <mergeCell ref="AH17:AI18"/>
    <mergeCell ref="L51:Q56"/>
    <mergeCell ref="R51:W56"/>
    <mergeCell ref="X51:AC56"/>
    <mergeCell ref="P15:Q16"/>
    <mergeCell ref="P17:Q18"/>
    <mergeCell ref="T17:U18"/>
    <mergeCell ref="V17:W18"/>
    <mergeCell ref="X11:Y12"/>
    <mergeCell ref="Z11:AA12"/>
    <mergeCell ref="AB11:AC12"/>
    <mergeCell ref="X13:Y14"/>
    <mergeCell ref="Z13:AA14"/>
    <mergeCell ref="AB13:AC14"/>
    <mergeCell ref="X15:Y16"/>
    <mergeCell ref="Z15:AA16"/>
    <mergeCell ref="T11:U12"/>
    <mergeCell ref="V11:W12"/>
    <mergeCell ref="L11:M12"/>
    <mergeCell ref="AB15:AC16"/>
    <mergeCell ref="X17:Y18"/>
    <mergeCell ref="Z17:AA18"/>
    <mergeCell ref="AB17:AC18"/>
    <mergeCell ref="L23:M24"/>
    <mergeCell ref="N23:O24"/>
    <mergeCell ref="AD51:AI56"/>
    <mergeCell ref="AJ51:AO56"/>
    <mergeCell ref="R11:S12"/>
    <mergeCell ref="R17:S18"/>
    <mergeCell ref="N11:O12"/>
    <mergeCell ref="P11:Q12"/>
    <mergeCell ref="P13:Q14"/>
    <mergeCell ref="N13:O14"/>
    <mergeCell ref="L13:M14"/>
    <mergeCell ref="L15:M16"/>
    <mergeCell ref="R13:S14"/>
    <mergeCell ref="T13:U14"/>
    <mergeCell ref="V13:W14"/>
    <mergeCell ref="R15:S16"/>
    <mergeCell ref="T15:U16"/>
    <mergeCell ref="V15:W16"/>
    <mergeCell ref="L17:M18"/>
    <mergeCell ref="N15:O16"/>
    <mergeCell ref="N17:O18"/>
    <mergeCell ref="AH11:AI12"/>
    <mergeCell ref="AD13:AE14"/>
    <mergeCell ref="AF13:AG14"/>
    <mergeCell ref="AH13:AI14"/>
    <mergeCell ref="AD15:AE16"/>
    <mergeCell ref="AD19:AE20"/>
    <mergeCell ref="AF19:AG20"/>
    <mergeCell ref="AH19:AI20"/>
    <mergeCell ref="AD21:AE22"/>
    <mergeCell ref="AF21:AG22"/>
    <mergeCell ref="AH21:AI22"/>
    <mergeCell ref="X25:Y26"/>
    <mergeCell ref="Z25:AA26"/>
    <mergeCell ref="AB25:AC26"/>
    <mergeCell ref="X19:Y20"/>
    <mergeCell ref="Z19:AA20"/>
    <mergeCell ref="AB19:AC20"/>
    <mergeCell ref="X21:Y22"/>
    <mergeCell ref="Z21:AA22"/>
    <mergeCell ref="AB21:AC22"/>
    <mergeCell ref="AD23:AE24"/>
    <mergeCell ref="AF23:AG24"/>
    <mergeCell ref="X23:Y24"/>
    <mergeCell ref="Z23:AA24"/>
    <mergeCell ref="AB23:AC24"/>
    <mergeCell ref="AH23:AI24"/>
    <mergeCell ref="AD25:AE26"/>
    <mergeCell ref="AF25:AG26"/>
    <mergeCell ref="AH25:AI26"/>
    <mergeCell ref="AD31:AE32"/>
    <mergeCell ref="AF31:AG32"/>
    <mergeCell ref="AH31:AI32"/>
    <mergeCell ref="AD33:AE34"/>
    <mergeCell ref="AF33:AG34"/>
    <mergeCell ref="AH33:AI34"/>
    <mergeCell ref="AD27:AE28"/>
    <mergeCell ref="AF27:AG28"/>
    <mergeCell ref="AH27:AI28"/>
    <mergeCell ref="AD29:AE30"/>
    <mergeCell ref="AF29:AG30"/>
    <mergeCell ref="AH29:AI30"/>
    <mergeCell ref="AD39:AE40"/>
    <mergeCell ref="AF39:AG40"/>
    <mergeCell ref="AH39:AI40"/>
    <mergeCell ref="AD41:AE42"/>
    <mergeCell ref="AF41:AG42"/>
    <mergeCell ref="AH41:AI42"/>
    <mergeCell ref="AD35:AE36"/>
    <mergeCell ref="AF35:AG36"/>
    <mergeCell ref="AH35:AI36"/>
    <mergeCell ref="AD37:AE38"/>
    <mergeCell ref="AF37:AG38"/>
    <mergeCell ref="AH37:AI38"/>
    <mergeCell ref="AD47:AE48"/>
    <mergeCell ref="AF47:AG48"/>
    <mergeCell ref="AH47:AI48"/>
    <mergeCell ref="AD49:AE50"/>
    <mergeCell ref="AF49:AG50"/>
    <mergeCell ref="AH49:AI50"/>
    <mergeCell ref="AD43:AE44"/>
    <mergeCell ref="AF43:AG44"/>
    <mergeCell ref="AH43:AI44"/>
    <mergeCell ref="AD45:AE46"/>
    <mergeCell ref="AF45:AG46"/>
    <mergeCell ref="AH45:AI46"/>
    <mergeCell ref="AJ15:AK16"/>
    <mergeCell ref="AL15:AM16"/>
    <mergeCell ref="AN15:AO16"/>
    <mergeCell ref="AJ17:AK18"/>
    <mergeCell ref="AL17:AM18"/>
    <mergeCell ref="AN17:AO18"/>
    <mergeCell ref="AJ11:AK12"/>
    <mergeCell ref="AL11:AM12"/>
    <mergeCell ref="AN11:AO12"/>
    <mergeCell ref="AJ13:AK14"/>
    <mergeCell ref="AL13:AM14"/>
    <mergeCell ref="AN13:AO14"/>
    <mergeCell ref="AJ23:AK24"/>
    <mergeCell ref="AL23:AM24"/>
    <mergeCell ref="AN23:AO24"/>
    <mergeCell ref="AJ25:AK26"/>
    <mergeCell ref="AL25:AM26"/>
    <mergeCell ref="AN25:AO26"/>
    <mergeCell ref="AJ19:AK20"/>
    <mergeCell ref="AL19:AM20"/>
    <mergeCell ref="AN19:AO20"/>
    <mergeCell ref="AJ21:AK22"/>
    <mergeCell ref="AL21:AM22"/>
    <mergeCell ref="AN21:AO22"/>
    <mergeCell ref="AJ31:AK32"/>
    <mergeCell ref="AL31:AM32"/>
    <mergeCell ref="AN31:AO32"/>
    <mergeCell ref="AJ33:AK34"/>
    <mergeCell ref="AL33:AM34"/>
    <mergeCell ref="AN33:AO34"/>
    <mergeCell ref="AJ27:AK28"/>
    <mergeCell ref="AL27:AM28"/>
    <mergeCell ref="AN27:AO28"/>
    <mergeCell ref="AJ29:AK30"/>
    <mergeCell ref="AL29:AM30"/>
    <mergeCell ref="AN29:AO30"/>
    <mergeCell ref="AJ39:AK40"/>
    <mergeCell ref="AL39:AM40"/>
    <mergeCell ref="AN39:AO40"/>
    <mergeCell ref="AJ41:AK42"/>
    <mergeCell ref="AL41:AM42"/>
    <mergeCell ref="AN41:AO42"/>
    <mergeCell ref="AJ35:AK36"/>
    <mergeCell ref="AL35:AM36"/>
    <mergeCell ref="AN35:AO36"/>
    <mergeCell ref="AJ37:AK38"/>
    <mergeCell ref="AL37:AM38"/>
    <mergeCell ref="AN37:AO38"/>
    <mergeCell ref="AJ47:AK48"/>
    <mergeCell ref="AL47:AM48"/>
    <mergeCell ref="AN47:AO48"/>
    <mergeCell ref="AJ49:AK50"/>
    <mergeCell ref="AL49:AM50"/>
    <mergeCell ref="AN49:AO50"/>
    <mergeCell ref="AJ43:AK44"/>
    <mergeCell ref="AL43:AM44"/>
    <mergeCell ref="AN43:AO44"/>
    <mergeCell ref="AJ45:AK46"/>
    <mergeCell ref="AL45:AM46"/>
    <mergeCell ref="AN45:AO46"/>
    <mergeCell ref="P23:Q24"/>
    <mergeCell ref="L25:M26"/>
    <mergeCell ref="N25:O26"/>
    <mergeCell ref="P25:Q26"/>
    <mergeCell ref="L19:M20"/>
    <mergeCell ref="N19:O20"/>
    <mergeCell ref="P19:Q20"/>
    <mergeCell ref="L21:M22"/>
    <mergeCell ref="N21:O22"/>
    <mergeCell ref="P21:Q22"/>
    <mergeCell ref="R23:S24"/>
    <mergeCell ref="T23:U24"/>
    <mergeCell ref="V23:W24"/>
    <mergeCell ref="R25:S26"/>
    <mergeCell ref="T25:U26"/>
    <mergeCell ref="V25:W26"/>
    <mergeCell ref="R19:S20"/>
    <mergeCell ref="T19:U20"/>
    <mergeCell ref="V19:W20"/>
    <mergeCell ref="R21:S22"/>
    <mergeCell ref="T21:U22"/>
    <mergeCell ref="V21:W22"/>
    <mergeCell ref="L31:M32"/>
    <mergeCell ref="N31:O32"/>
    <mergeCell ref="P31:Q32"/>
    <mergeCell ref="L33:M34"/>
    <mergeCell ref="N33:O34"/>
    <mergeCell ref="P33:Q34"/>
    <mergeCell ref="L27:M28"/>
    <mergeCell ref="N27:O28"/>
    <mergeCell ref="P27:Q28"/>
    <mergeCell ref="L29:M30"/>
    <mergeCell ref="N29:O30"/>
    <mergeCell ref="P29:Q30"/>
    <mergeCell ref="R31:S32"/>
    <mergeCell ref="T31:U32"/>
    <mergeCell ref="V31:W32"/>
    <mergeCell ref="R33:S34"/>
    <mergeCell ref="T33:U34"/>
    <mergeCell ref="V33:W34"/>
    <mergeCell ref="R27:S28"/>
    <mergeCell ref="T27:U28"/>
    <mergeCell ref="V27:W28"/>
    <mergeCell ref="R29:S30"/>
    <mergeCell ref="T29:U30"/>
    <mergeCell ref="V29:W30"/>
    <mergeCell ref="X31:Y32"/>
    <mergeCell ref="Z31:AA32"/>
    <mergeCell ref="AB31:AC32"/>
    <mergeCell ref="X33:Y34"/>
    <mergeCell ref="Z33:AA34"/>
    <mergeCell ref="AB33:AC34"/>
    <mergeCell ref="X27:Y28"/>
    <mergeCell ref="Z27:AA28"/>
    <mergeCell ref="AB27:AC28"/>
    <mergeCell ref="X29:Y30"/>
    <mergeCell ref="Z29:AA30"/>
    <mergeCell ref="AB29:AC30"/>
    <mergeCell ref="X39:Y40"/>
    <mergeCell ref="Z39:AA40"/>
    <mergeCell ref="AB39:AC40"/>
    <mergeCell ref="X41:Y42"/>
    <mergeCell ref="Z41:AA42"/>
    <mergeCell ref="AB41:AC42"/>
    <mergeCell ref="X35:Y36"/>
    <mergeCell ref="Z35:AA36"/>
    <mergeCell ref="AB35:AC36"/>
    <mergeCell ref="X37:Y38"/>
    <mergeCell ref="Z37:AA38"/>
    <mergeCell ref="AB37:AC38"/>
    <mergeCell ref="R39:S40"/>
    <mergeCell ref="T39:U40"/>
    <mergeCell ref="V39:W40"/>
    <mergeCell ref="R41:S42"/>
    <mergeCell ref="T41:U42"/>
    <mergeCell ref="V41:W42"/>
    <mergeCell ref="R35:S36"/>
    <mergeCell ref="T35:U36"/>
    <mergeCell ref="V35:W36"/>
    <mergeCell ref="R37:S38"/>
    <mergeCell ref="T37:U38"/>
    <mergeCell ref="V37:W38"/>
    <mergeCell ref="X47:Y48"/>
    <mergeCell ref="Z47:AA48"/>
    <mergeCell ref="AB47:AC48"/>
    <mergeCell ref="X49:Y50"/>
    <mergeCell ref="Z49:AA50"/>
    <mergeCell ref="AB49:AC50"/>
    <mergeCell ref="X43:Y44"/>
    <mergeCell ref="Z43:AA44"/>
    <mergeCell ref="AB43:AC44"/>
    <mergeCell ref="X45:Y46"/>
    <mergeCell ref="Z45:AA46"/>
    <mergeCell ref="AB45:AC46"/>
    <mergeCell ref="N45:O46"/>
    <mergeCell ref="P45:Q46"/>
    <mergeCell ref="L39:M40"/>
    <mergeCell ref="N39:O40"/>
    <mergeCell ref="P39:Q40"/>
    <mergeCell ref="L41:M42"/>
    <mergeCell ref="N41:O42"/>
    <mergeCell ref="P41:Q42"/>
    <mergeCell ref="L35:M36"/>
    <mergeCell ref="N35:O36"/>
    <mergeCell ref="P35:Q36"/>
    <mergeCell ref="L37:M38"/>
    <mergeCell ref="N37:O38"/>
    <mergeCell ref="P37:Q38"/>
    <mergeCell ref="A8:C8"/>
    <mergeCell ref="D7:K9"/>
    <mergeCell ref="R47:S48"/>
    <mergeCell ref="T47:U48"/>
    <mergeCell ref="V47:W48"/>
    <mergeCell ref="R49:S50"/>
    <mergeCell ref="T49:U50"/>
    <mergeCell ref="V49:W50"/>
    <mergeCell ref="R43:S44"/>
    <mergeCell ref="T43:U44"/>
    <mergeCell ref="V43:W44"/>
    <mergeCell ref="R45:S46"/>
    <mergeCell ref="T45:U46"/>
    <mergeCell ref="V45:W46"/>
    <mergeCell ref="L47:M48"/>
    <mergeCell ref="N47:O48"/>
    <mergeCell ref="P47:Q48"/>
    <mergeCell ref="L49:M50"/>
    <mergeCell ref="N49:O50"/>
    <mergeCell ref="P49:Q50"/>
    <mergeCell ref="L43:M44"/>
    <mergeCell ref="N43:O44"/>
    <mergeCell ref="P43:Q44"/>
    <mergeCell ref="L45:M46"/>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CN254"/>
  <sheetViews>
    <sheetView showGridLines="0" topLeftCell="BA1" zoomScale="60" zoomScaleNormal="60" workbookViewId="0">
      <pane ySplit="7" topLeftCell="A41" activePane="bottomLeft" state="frozen"/>
      <selection pane="bottomLeft" activeCell="BL52" sqref="BL52"/>
    </sheetView>
  </sheetViews>
  <sheetFormatPr baseColWidth="10" defaultColWidth="11.5" defaultRowHeight="15"/>
  <cols>
    <col min="3" max="19" width="5.6640625" customWidth="1"/>
    <col min="20" max="20" width="6.6640625" customWidth="1"/>
    <col min="21" max="23" width="5.6640625" customWidth="1"/>
    <col min="24" max="24" width="7.5" customWidth="1"/>
    <col min="25" max="25" width="8.5" customWidth="1"/>
    <col min="26" max="26" width="12" customWidth="1"/>
    <col min="27" max="27" width="5.6640625" customWidth="1"/>
    <col min="28" max="28" width="10.6640625" customWidth="1"/>
    <col min="29" max="29" width="5.6640625" customWidth="1"/>
    <col min="30" max="30" width="7.5" customWidth="1"/>
    <col min="31" max="31" width="8.5" customWidth="1"/>
    <col min="32" max="34" width="5.6640625" customWidth="1"/>
    <col min="35" max="35" width="8.5" customWidth="1"/>
    <col min="36" max="36" width="9.6640625" customWidth="1"/>
    <col min="37" max="40" width="5.6640625" customWidth="1"/>
    <col min="42" max="47" width="5.6640625" customWidth="1"/>
    <col min="51" max="51" width="11.5" customWidth="1"/>
    <col min="63" max="63" width="11.5" customWidth="1"/>
    <col min="64" max="69" width="35.6640625" customWidth="1"/>
  </cols>
  <sheetData>
    <row r="1" spans="1:92" ht="16" thickBot="1"/>
    <row r="2" spans="1:92">
      <c r="C2" s="390" t="s">
        <v>248</v>
      </c>
      <c r="D2" s="391"/>
      <c r="E2" s="391"/>
      <c r="F2" s="391"/>
      <c r="G2" s="391"/>
      <c r="H2" s="391"/>
      <c r="I2" s="391"/>
      <c r="J2" s="392"/>
      <c r="K2" s="381" t="s">
        <v>1</v>
      </c>
      <c r="L2" s="382"/>
      <c r="M2" s="382"/>
      <c r="N2" s="382"/>
      <c r="O2" s="382"/>
      <c r="P2" s="382"/>
      <c r="Q2" s="382"/>
      <c r="R2" s="382"/>
      <c r="S2" s="382"/>
      <c r="T2" s="382"/>
      <c r="U2" s="382"/>
      <c r="V2" s="382"/>
      <c r="W2" s="382"/>
      <c r="X2" s="382"/>
      <c r="Y2" s="382"/>
      <c r="Z2" s="382"/>
      <c r="AA2" s="382"/>
      <c r="AB2" s="382"/>
      <c r="AC2" s="382"/>
      <c r="AD2" s="382"/>
      <c r="AE2" s="382"/>
      <c r="AF2" s="382"/>
      <c r="AG2" s="382"/>
      <c r="AH2" s="382"/>
      <c r="AI2" s="382"/>
      <c r="AJ2" s="382"/>
      <c r="AK2" s="382"/>
      <c r="AL2" s="382"/>
      <c r="AM2" s="382"/>
      <c r="AN2" s="383"/>
      <c r="AO2" s="265" t="s">
        <v>8</v>
      </c>
      <c r="AP2" s="378"/>
      <c r="AQ2" s="378"/>
      <c r="AR2" s="378"/>
      <c r="AS2" s="378"/>
      <c r="AT2" s="378"/>
      <c r="AU2" s="239"/>
    </row>
    <row r="3" spans="1:92">
      <c r="C3" s="393"/>
      <c r="D3" s="394"/>
      <c r="E3" s="394"/>
      <c r="F3" s="394"/>
      <c r="G3" s="394"/>
      <c r="H3" s="394"/>
      <c r="I3" s="394"/>
      <c r="J3" s="395"/>
      <c r="K3" s="384"/>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6"/>
      <c r="AO3" s="266" t="s">
        <v>3</v>
      </c>
      <c r="AP3" s="379"/>
      <c r="AQ3" s="379"/>
      <c r="AR3" s="379"/>
      <c r="AS3" s="379"/>
      <c r="AT3" s="379"/>
      <c r="AU3" s="241"/>
    </row>
    <row r="4" spans="1:92">
      <c r="C4" s="393"/>
      <c r="D4" s="394"/>
      <c r="E4" s="394"/>
      <c r="F4" s="394"/>
      <c r="G4" s="394"/>
      <c r="H4" s="394"/>
      <c r="I4" s="394"/>
      <c r="J4" s="395"/>
      <c r="K4" s="384"/>
      <c r="L4" s="385"/>
      <c r="M4" s="385"/>
      <c r="N4" s="385"/>
      <c r="O4" s="385"/>
      <c r="P4" s="385"/>
      <c r="Q4" s="385"/>
      <c r="R4" s="385"/>
      <c r="S4" s="385"/>
      <c r="T4" s="385"/>
      <c r="U4" s="385"/>
      <c r="V4" s="385"/>
      <c r="W4" s="385"/>
      <c r="X4" s="385"/>
      <c r="Y4" s="385"/>
      <c r="Z4" s="385"/>
      <c r="AA4" s="385"/>
      <c r="AB4" s="385"/>
      <c r="AC4" s="385"/>
      <c r="AD4" s="385"/>
      <c r="AE4" s="385"/>
      <c r="AF4" s="385"/>
      <c r="AG4" s="385"/>
      <c r="AH4" s="385"/>
      <c r="AI4" s="385"/>
      <c r="AJ4" s="385"/>
      <c r="AK4" s="385"/>
      <c r="AL4" s="385"/>
      <c r="AM4" s="385"/>
      <c r="AN4" s="386"/>
      <c r="AO4" s="266" t="s">
        <v>4</v>
      </c>
      <c r="AP4" s="379" t="s">
        <v>250</v>
      </c>
      <c r="AQ4" s="379"/>
      <c r="AR4" s="379"/>
      <c r="AS4" s="379"/>
      <c r="AT4" s="379"/>
      <c r="AU4" s="241"/>
    </row>
    <row r="5" spans="1:92" ht="16" thickBot="1">
      <c r="C5" s="396"/>
      <c r="D5" s="397"/>
      <c r="E5" s="397"/>
      <c r="F5" s="397"/>
      <c r="G5" s="397"/>
      <c r="H5" s="397"/>
      <c r="I5" s="397"/>
      <c r="J5" s="398"/>
      <c r="K5" s="387"/>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9"/>
      <c r="AO5" s="267" t="s">
        <v>5</v>
      </c>
      <c r="AP5" s="380" t="s">
        <v>5</v>
      </c>
      <c r="AQ5" s="380"/>
      <c r="AR5" s="380"/>
      <c r="AS5" s="380"/>
      <c r="AT5" s="380"/>
      <c r="AU5" s="243"/>
    </row>
    <row r="7" spans="1:92">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row>
    <row r="8" spans="1:92" ht="18" customHeight="1">
      <c r="A8" s="438" t="s">
        <v>9</v>
      </c>
      <c r="B8" s="438"/>
      <c r="C8" s="468" t="s">
        <v>267</v>
      </c>
      <c r="D8" s="469"/>
      <c r="E8" s="469"/>
      <c r="F8" s="469"/>
      <c r="G8" s="469"/>
      <c r="H8" s="469"/>
      <c r="I8" s="469"/>
      <c r="J8" s="469"/>
      <c r="K8" s="470" t="s">
        <v>56</v>
      </c>
      <c r="L8" s="470"/>
      <c r="M8" s="470"/>
      <c r="N8" s="470"/>
      <c r="O8" s="470"/>
      <c r="P8" s="470"/>
      <c r="Q8" s="470"/>
      <c r="R8" s="470"/>
      <c r="S8" s="470"/>
      <c r="T8" s="470"/>
      <c r="U8" s="470"/>
      <c r="V8" s="470"/>
      <c r="W8" s="470"/>
      <c r="X8" s="470"/>
      <c r="Y8" s="470"/>
      <c r="Z8" s="470"/>
      <c r="AA8" s="470"/>
      <c r="AB8" s="470"/>
      <c r="AC8" s="470"/>
      <c r="AD8" s="470"/>
      <c r="AE8" s="470"/>
      <c r="AF8" s="470"/>
      <c r="AG8" s="470"/>
      <c r="AH8" s="470"/>
      <c r="AI8" s="470"/>
      <c r="AJ8" s="470"/>
      <c r="AK8" s="470"/>
      <c r="AL8" s="470"/>
      <c r="AM8" s="470"/>
      <c r="AN8" s="470"/>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68"/>
      <c r="CE8" s="68"/>
      <c r="CF8" s="68"/>
      <c r="CG8" s="68"/>
      <c r="CH8" s="68"/>
      <c r="CI8" s="68"/>
      <c r="CJ8" s="68"/>
      <c r="CK8" s="68"/>
      <c r="CL8" s="68"/>
      <c r="CM8" s="68"/>
      <c r="CN8" s="68"/>
    </row>
    <row r="9" spans="1:92" ht="18.75" customHeight="1">
      <c r="B9" s="68"/>
      <c r="C9" s="469"/>
      <c r="D9" s="469"/>
      <c r="E9" s="469"/>
      <c r="F9" s="469"/>
      <c r="G9" s="469"/>
      <c r="H9" s="469"/>
      <c r="I9" s="469"/>
      <c r="J9" s="469"/>
      <c r="K9" s="470"/>
      <c r="L9" s="470"/>
      <c r="M9" s="470"/>
      <c r="N9" s="470"/>
      <c r="O9" s="470"/>
      <c r="P9" s="470"/>
      <c r="Q9" s="470"/>
      <c r="R9" s="470"/>
      <c r="S9" s="470"/>
      <c r="T9" s="470"/>
      <c r="U9" s="470"/>
      <c r="V9" s="470"/>
      <c r="W9" s="470"/>
      <c r="X9" s="470"/>
      <c r="Y9" s="470"/>
      <c r="Z9" s="470"/>
      <c r="AA9" s="470"/>
      <c r="AB9" s="470"/>
      <c r="AC9" s="470"/>
      <c r="AD9" s="470"/>
      <c r="AE9" s="470"/>
      <c r="AF9" s="470"/>
      <c r="AG9" s="470"/>
      <c r="AH9" s="470"/>
      <c r="AI9" s="470"/>
      <c r="AJ9" s="470"/>
      <c r="AK9" s="470"/>
      <c r="AL9" s="470"/>
      <c r="AM9" s="470"/>
      <c r="AN9" s="470"/>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row>
    <row r="10" spans="1:92" ht="15" customHeight="1">
      <c r="B10" s="68"/>
      <c r="C10" s="469"/>
      <c r="D10" s="469"/>
      <c r="E10" s="469"/>
      <c r="F10" s="469"/>
      <c r="G10" s="469"/>
      <c r="H10" s="469"/>
      <c r="I10" s="469"/>
      <c r="J10" s="469"/>
      <c r="K10" s="470"/>
      <c r="L10" s="470"/>
      <c r="M10" s="470"/>
      <c r="N10" s="470"/>
      <c r="O10" s="470"/>
      <c r="P10" s="470"/>
      <c r="Q10" s="470"/>
      <c r="R10" s="470"/>
      <c r="S10" s="470"/>
      <c r="T10" s="470"/>
      <c r="U10" s="470"/>
      <c r="V10" s="470"/>
      <c r="W10" s="470"/>
      <c r="X10" s="470"/>
      <c r="Y10" s="470"/>
      <c r="Z10" s="470"/>
      <c r="AA10" s="470"/>
      <c r="AB10" s="470"/>
      <c r="AC10" s="470"/>
      <c r="AD10" s="470"/>
      <c r="AE10" s="470"/>
      <c r="AF10" s="470"/>
      <c r="AG10" s="470"/>
      <c r="AH10" s="470"/>
      <c r="AI10" s="470"/>
      <c r="AJ10" s="470"/>
      <c r="AK10" s="470"/>
      <c r="AL10" s="470"/>
      <c r="AM10" s="470"/>
      <c r="AN10" s="470"/>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row>
    <row r="11" spans="1:92" ht="16" thickBot="1">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row>
    <row r="12" spans="1:92" ht="15" customHeight="1">
      <c r="B12" s="68"/>
      <c r="C12" s="399" t="s">
        <v>252</v>
      </c>
      <c r="D12" s="399"/>
      <c r="E12" s="400"/>
      <c r="F12" s="439" t="s">
        <v>253</v>
      </c>
      <c r="G12" s="440"/>
      <c r="H12" s="440"/>
      <c r="I12" s="440"/>
      <c r="J12" s="440"/>
      <c r="K12" s="32"/>
      <c r="L12" s="33" t="e">
        <f>IF(AND('Mapa final'!#REF!="Muy Alta",'Mapa final'!#REF!="Leve"),CONCATENATE("R2C",'Mapa final'!$R$15),"")</f>
        <v>#REF!</v>
      </c>
      <c r="M12" s="33" t="str">
        <f>IF(AND('Mapa final'!$AH$21="Muy Alta",'Mapa final'!$AJ$21="Leve"),CONCATENATE("R2C",'Mapa final'!$R$21),"")</f>
        <v/>
      </c>
      <c r="N12" s="33" t="e">
        <f>IF(AND('Mapa final'!#REF!="Muy Alta",'Mapa final'!#REF!="Leve"),CONCATENATE("R2C",'Mapa final'!#REF!),"")</f>
        <v>#REF!</v>
      </c>
      <c r="O12" s="33" t="e">
        <f>IF(AND('Mapa final'!#REF!="Muy Alta",'Mapa final'!#REF!="Leve"),CONCATENATE("R2C",'Mapa final'!#REF!),"")</f>
        <v>#REF!</v>
      </c>
      <c r="P12" s="34" t="e">
        <f>IF(AND('Mapa final'!#REF!="Muy Alta",'Mapa final'!#REF!="Leve"),CONCATENATE("R2C",'Mapa final'!#REF!),"")</f>
        <v>#REF!</v>
      </c>
      <c r="Q12" s="33"/>
      <c r="R12" s="33" t="e">
        <f>IF(AND('Mapa final'!#REF!="Muy Alta",'Mapa final'!#REF!="Menore"),CONCATENATE("R2C",'Mapa final'!$R$15),"")</f>
        <v>#REF!</v>
      </c>
      <c r="S12" s="33" t="str">
        <f>IF(AND('Mapa final'!$AH$21="Muy Alta",'Mapa final'!$AJ$21="Menor"),CONCATENATE("R2C",'Mapa final'!$R$21),"")</f>
        <v/>
      </c>
      <c r="T12" s="33" t="e">
        <f>IF(AND('Mapa final'!#REF!="Muy Alta",'Mapa final'!#REF!="Menor"),CONCATENATE("R2C",'Mapa final'!#REF!),"")</f>
        <v>#REF!</v>
      </c>
      <c r="U12" s="33" t="e">
        <f>IF(AND('Mapa final'!#REF!="Muy Alta",'Mapa final'!#REF!="Menor"),CONCATENATE("R2C",'Mapa final'!#REF!),"")</f>
        <v>#REF!</v>
      </c>
      <c r="V12" s="34" t="e">
        <f>IF(AND('Mapa final'!#REF!="Muy Alta",'Mapa final'!#REF!="Menor"),CONCATENATE("R2C",'Mapa final'!#REF!),"")</f>
        <v>#REF!</v>
      </c>
      <c r="W12" s="32"/>
      <c r="X12" s="33" t="e">
        <f>IF(AND('Mapa final'!#REF!="Muy Alta",'Mapa final'!#REF!="Moderado"),CONCATENATE("R2C",'Mapa final'!$R$15),"")</f>
        <v>#REF!</v>
      </c>
      <c r="Y12" s="33"/>
      <c r="Z12" s="33" t="e">
        <f>IF(AND('Mapa final'!#REF!="Muy Alta",'Mapa final'!#REF!="Moderado"),CONCATENATE("R2C",'Mapa final'!#REF!),"")</f>
        <v>#REF!</v>
      </c>
      <c r="AA12" s="33" t="e">
        <f>IF(AND('Mapa final'!#REF!="Muy Alta",'Mapa final'!#REF!="Moderado"),CONCATENATE("R2C",'Mapa final'!#REF!),"")</f>
        <v>#REF!</v>
      </c>
      <c r="AB12" s="34" t="e">
        <f>IF(AND('Mapa final'!#REF!="Muy Alta",'Mapa final'!#REF!="Moderado"),CONCATENATE("R2C",'Mapa final'!#REF!),"")</f>
        <v>#REF!</v>
      </c>
      <c r="AC12" s="32"/>
      <c r="AD12" s="33" t="e">
        <f>IF(AND('Mapa final'!#REF!="Muy Alta",'Mapa final'!#REF!="Mayor"),CONCATENATE("R2C",'Mapa final'!$R$15),"")</f>
        <v>#REF!</v>
      </c>
      <c r="AE12" s="33" t="str">
        <f>IF(AND('Mapa final'!$AH$21="Muy Alta",'Mapa final'!$AJ$21="Mayor"),CONCATENATE("R2C",'Mapa final'!$R$21),"")</f>
        <v/>
      </c>
      <c r="AF12" s="33" t="e">
        <f>IF(AND('Mapa final'!#REF!="Muy Alta",'Mapa final'!#REF!="Mayor"),CONCATENATE("R2C",'Mapa final'!#REF!),"")</f>
        <v>#REF!</v>
      </c>
      <c r="AG12" s="33" t="e">
        <f>IF(AND('Mapa final'!#REF!="Muy Alta",'Mapa final'!#REF!="Mayor"),CONCATENATE("R2C",'Mapa final'!#REF!),"")</f>
        <v>#REF!</v>
      </c>
      <c r="AH12" s="34" t="e">
        <f>IF(AND('Mapa final'!#REF!="Muy Alta",'Mapa final'!#REF!="Mayor"),CONCATENATE("R2C",'Mapa final'!#REF!),"")</f>
        <v>#REF!</v>
      </c>
      <c r="AI12" s="35"/>
      <c r="AJ12" s="36" t="e">
        <f>IF(AND('Mapa final'!#REF!="Muy Alta",'Mapa final'!#REF!="Catastrófico"),CONCATENATE("R2C",'Mapa final'!$R$15),"")</f>
        <v>#REF!</v>
      </c>
      <c r="AK12" s="36" t="str">
        <f>IF(AND('Mapa final'!$AH$21="Muy Alta",'Mapa final'!$AJ$21="Catastrófico"),CONCATENATE("R2C",'Mapa final'!$R$21),"")</f>
        <v/>
      </c>
      <c r="AL12" s="36" t="e">
        <f>IF(AND('Mapa final'!#REF!="Muy Alta",'Mapa final'!#REF!="Catastrófico"),CONCATENATE("R2C",'Mapa final'!#REF!),"")</f>
        <v>#REF!</v>
      </c>
      <c r="AM12" s="36" t="e">
        <f>IF(AND('Mapa final'!#REF!="Muy Alta",'Mapa final'!#REF!="Catastrófico"),CONCATENATE("R2C",'Mapa final'!#REF!),"")</f>
        <v>#REF!</v>
      </c>
      <c r="AN12" s="37" t="e">
        <f>IF(AND('Mapa final'!#REF!="Muy Alta",'Mapa final'!#REF!="Catastrófico"),CONCATENATE("R2C",'Mapa final'!#REF!),"")</f>
        <v>#REF!</v>
      </c>
      <c r="AO12" s="68"/>
      <c r="AP12" s="459" t="s">
        <v>254</v>
      </c>
      <c r="AQ12" s="460"/>
      <c r="AR12" s="460"/>
      <c r="AS12" s="460"/>
      <c r="AT12" s="460"/>
      <c r="AU12" s="461"/>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row>
    <row r="13" spans="1:92" ht="15" customHeight="1">
      <c r="B13" s="68"/>
      <c r="C13" s="399"/>
      <c r="D13" s="399"/>
      <c r="E13" s="400"/>
      <c r="F13" s="442"/>
      <c r="G13" s="443"/>
      <c r="H13" s="443"/>
      <c r="I13" s="443"/>
      <c r="J13" s="443"/>
      <c r="K13" s="38" t="e">
        <f>IF(AND('Mapa final'!#REF!="Muy Alta",'Mapa final'!#REF!="Leve"),CONCATENATE("R2C",'Mapa final'!#REF!),"")</f>
        <v>#REF!</v>
      </c>
      <c r="L13" s="39" t="e">
        <f>IF(AND('Mapa final'!#REF!="Muy Alta",'Mapa final'!#REF!="Leve"),CONCATENATE("R2C",'Mapa final'!#REF!),"")</f>
        <v>#REF!</v>
      </c>
      <c r="M13" s="39" t="str">
        <f>IF(AND('Mapa final'!$AH$22="Muy Alta",'Mapa final'!$AJ$22="Leve"),CONCATENATE("R2C",'Mapa final'!$R$22),"")</f>
        <v/>
      </c>
      <c r="N13" s="39" t="str">
        <f>IF(AND('Mapa final'!$AH$23="Muy Alta",'Mapa final'!$AJ$23="Leve"),CONCATENATE("R2C",'Mapa final'!$R$23),"")</f>
        <v/>
      </c>
      <c r="O13" s="39" t="str">
        <f>IF(AND('Mapa final'!$AH$24="Muy Alta",'Mapa final'!$AJ$24="Leve"),CONCATENATE("R2C",'Mapa final'!$R$24),"")</f>
        <v/>
      </c>
      <c r="P13" s="40" t="str">
        <f>IF(AND('Mapa final'!$AH$25="Muy Alta",'Mapa final'!$AJ$25="Leve"),CONCATENATE("R2C",'Mapa final'!$R$25),"")</f>
        <v/>
      </c>
      <c r="Q13" s="39" t="e">
        <f>IF(AND('Mapa final'!#REF!="Muy Alta",'Mapa final'!#REF!="Menor"),CONCATENATE("R2C",'Mapa final'!#REF!),"")</f>
        <v>#REF!</v>
      </c>
      <c r="R13" s="39" t="e">
        <f>IF(AND('Mapa final'!#REF!="Muy Alta",'Mapa final'!#REF!="Menor"),CONCATENATE("R2C",'Mapa final'!#REF!),"")</f>
        <v>#REF!</v>
      </c>
      <c r="S13" s="39" t="str">
        <f>IF(AND('Mapa final'!$AH$22="Muy Alta",'Mapa final'!$AJ$22="Menor"),CONCATENATE("R2C",'Mapa final'!$R$22),"")</f>
        <v/>
      </c>
      <c r="T13" s="39" t="str">
        <f>IF(AND('Mapa final'!$AH$23="Muy Alta",'Mapa final'!$AJ$23="Menor"),CONCATENATE("R2C",'Mapa final'!$R$23),"")</f>
        <v/>
      </c>
      <c r="U13" s="39" t="str">
        <f>IF(AND('Mapa final'!$AH$24="Muy Alta",'Mapa final'!$AJ$24="Menor"),CONCATENATE("R2C",'Mapa final'!$R$24),"")</f>
        <v/>
      </c>
      <c r="V13" s="40" t="str">
        <f>IF(AND('Mapa final'!$AH$25="Muy Alta",'Mapa final'!$AJ$25="Menor"),CONCATENATE("R2C",'Mapa final'!$R$25),"")</f>
        <v/>
      </c>
      <c r="W13" s="38" t="e">
        <f>IF(AND('Mapa final'!#REF!="Muy Alta",'Mapa final'!#REF!="Moderado"),CONCATENATE("R2C",'Mapa final'!#REF!),"")</f>
        <v>#REF!</v>
      </c>
      <c r="X13" s="39" t="e">
        <f>IF(AND('Mapa final'!#REF!="Muy Alta",'Mapa final'!#REF!="Moderado"),CONCATENATE("R2C",'Mapa final'!#REF!),"")</f>
        <v>#REF!</v>
      </c>
      <c r="Y13" s="39" t="str">
        <f>IF(AND('Mapa final'!$AH$22="Muy Alta",'Mapa final'!$AJ$22="Moderado"),CONCATENATE("R2C",'Mapa final'!$R$22),"")</f>
        <v/>
      </c>
      <c r="Z13" s="39" t="str">
        <f>IF(AND('Mapa final'!$AH$23="Muy Alta",'Mapa final'!$AJ$23="Moderado"),CONCATENATE("R2C",'Mapa final'!$R$23),"")</f>
        <v/>
      </c>
      <c r="AA13" s="39" t="str">
        <f>IF(AND('Mapa final'!$AH$24="Muy Alta",'Mapa final'!$AJ$24="Moderado"),CONCATENATE("R2C",'Mapa final'!$R$24),"")</f>
        <v/>
      </c>
      <c r="AB13" s="40" t="str">
        <f>IF(AND('Mapa final'!$AH$25="Muy Alta",'Mapa final'!$AJ$25="Moderado"),CONCATENATE("R2C",'Mapa final'!$R$25),"")</f>
        <v/>
      </c>
      <c r="AC13" s="38" t="e">
        <f>IF(AND('Mapa final'!#REF!="Muy Alta",'Mapa final'!#REF!="Mayor"),CONCATENATE("R2C",'Mapa final'!#REF!),"")</f>
        <v>#REF!</v>
      </c>
      <c r="AD13" s="39" t="e">
        <f>IF(AND('Mapa final'!#REF!="Muy Alta",'Mapa final'!#REF!="Mayor"),CONCATENATE("R2C",'Mapa final'!#REF!),"")</f>
        <v>#REF!</v>
      </c>
      <c r="AE13" s="39" t="str">
        <f>IF(AND('Mapa final'!$AH$22="Muy Alta",'Mapa final'!$AJ$22="Mayor"),CONCATENATE("R2C",'Mapa final'!$R$22),"")</f>
        <v/>
      </c>
      <c r="AF13" s="39" t="str">
        <f>IF(AND('Mapa final'!$AH$23="Muy Alta",'Mapa final'!$AJ$23="Mayor"),CONCATENATE("R2C",'Mapa final'!$R$23),"")</f>
        <v/>
      </c>
      <c r="AG13" s="39" t="str">
        <f>IF(AND('Mapa final'!$AH$24="Muy Alta",'Mapa final'!$AJ$24="Mayor"),CONCATENATE("R2C",'Mapa final'!$R$24),"")</f>
        <v/>
      </c>
      <c r="AH13" s="40" t="str">
        <f>IF(AND('Mapa final'!$AH$25="Muy Alta",'Mapa final'!$AJ$25="Mayor"),CONCATENATE("R2C",'Mapa final'!$R$25),"")</f>
        <v/>
      </c>
      <c r="AI13" s="41" t="e">
        <f>IF(AND('Mapa final'!#REF!="Muy Alta",'Mapa final'!#REF!="Catastrófico"),CONCATENATE("R2C",'Mapa final'!#REF!),"")</f>
        <v>#REF!</v>
      </c>
      <c r="AJ13" s="42" t="e">
        <f>IF(AND('Mapa final'!#REF!="Muy Alta",'Mapa final'!#REF!="Catastrófico"),CONCATENATE("R2C",'Mapa final'!#REF!),"")</f>
        <v>#REF!</v>
      </c>
      <c r="AK13" s="42" t="str">
        <f>IF(AND('Mapa final'!$AH$22="Muy Alta",'Mapa final'!$AJ$22="Catastrófico"),CONCATENATE("R2C",'Mapa final'!$R$22),"")</f>
        <v/>
      </c>
      <c r="AL13" s="42" t="str">
        <f>IF(AND('Mapa final'!$AH$23="Muy Alta",'Mapa final'!$AJ$23="Catastrófico"),CONCATENATE("R2C",'Mapa final'!$R$23),"")</f>
        <v/>
      </c>
      <c r="AM13" s="42" t="str">
        <f>IF(AND('Mapa final'!$AH$24="Muy Alta",'Mapa final'!$AJ$24="Catastrófico"),CONCATENATE("R2C",'Mapa final'!$R$24),"")</f>
        <v/>
      </c>
      <c r="AN13" s="43" t="str">
        <f>IF(AND('Mapa final'!$AH$25="Muy Alta",'Mapa final'!$AJ$25="Catastrófico"),CONCATENATE("R2C",'Mapa final'!$R$25),"")</f>
        <v/>
      </c>
      <c r="AO13" s="68"/>
      <c r="AP13" s="462"/>
      <c r="AQ13" s="463"/>
      <c r="AR13" s="463"/>
      <c r="AS13" s="463"/>
      <c r="AT13" s="463"/>
      <c r="AU13" s="464"/>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row>
    <row r="14" spans="1:92" ht="15" customHeight="1">
      <c r="B14" s="68"/>
      <c r="C14" s="399"/>
      <c r="D14" s="399"/>
      <c r="E14" s="400"/>
      <c r="F14" s="442"/>
      <c r="G14" s="443"/>
      <c r="H14" s="443"/>
      <c r="I14" s="443"/>
      <c r="J14" s="443"/>
      <c r="K14" s="38" t="str">
        <f>IF(AND('Mapa final'!$AH$26="Muy Alta",'Mapa final'!$AJ$26="Leve"),CONCATENATE("R2C",'Mapa final'!$R$26),"")</f>
        <v/>
      </c>
      <c r="L14" s="39" t="str">
        <f>IF(AND('Mapa final'!$AH$27="Muy Alta",'Mapa final'!$AJ$27="Leve"),CONCATENATE("R2C",'Mapa final'!$R$27),"")</f>
        <v/>
      </c>
      <c r="M14" s="39" t="str">
        <f>IF(AND('Mapa final'!$AH$28="Muy Alta",'Mapa final'!$AJ$28="Leve"),CONCATENATE("R2C",'Mapa final'!$R$28),"")</f>
        <v/>
      </c>
      <c r="N14" s="39" t="str">
        <f>IF(AND('Mapa final'!$AH$29="Muy Alta",'Mapa final'!$AJ$29="Leve"),CONCATENATE("R2C",'Mapa final'!$R$29),"")</f>
        <v/>
      </c>
      <c r="O14" s="39" t="str">
        <f>IF(AND('Mapa final'!$AH$30="Muy Alta",'Mapa final'!$AJ$30="Leve"),CONCATENATE("R2C",'Mapa final'!$R$30),"")</f>
        <v/>
      </c>
      <c r="P14" s="40" t="str">
        <f>IF(AND('Mapa final'!$AH$31="Muy Alta",'Mapa final'!$AJ$31="Leve"),CONCATENATE("R2C",'Mapa final'!$R$31),"")</f>
        <v/>
      </c>
      <c r="Q14" s="39" t="str">
        <f>IF(AND('Mapa final'!$AH$26="Muy Alta",'Mapa final'!$AJ$26="Menor"),CONCATENATE("R2C",'Mapa final'!$R$26),"")</f>
        <v/>
      </c>
      <c r="R14" s="39" t="str">
        <f>IF(AND('Mapa final'!$AH$27="Muy Alta",'Mapa final'!$AJ$27="Menor"),CONCATENATE("R2C",'Mapa final'!$R$27),"")</f>
        <v/>
      </c>
      <c r="S14" s="39" t="str">
        <f>IF(AND('Mapa final'!$AH$28="Muy Alta",'Mapa final'!$AJ$28="Menor"),CONCATENATE("R2C",'Mapa final'!$R$28),"")</f>
        <v/>
      </c>
      <c r="T14" s="39" t="str">
        <f>IF(AND('Mapa final'!$AH$29="Muy Alta",'Mapa final'!$AJ$29="Menor"),CONCATENATE("R2C",'Mapa final'!$R$29),"")</f>
        <v/>
      </c>
      <c r="U14" s="39" t="str">
        <f>IF(AND('Mapa final'!$AH$30="Muy Alta",'Mapa final'!$AJ$30="Menor"),CONCATENATE("R2C",'Mapa final'!$R$30),"")</f>
        <v/>
      </c>
      <c r="V14" s="40" t="str">
        <f>IF(AND('Mapa final'!$AH$31="Muy Alta",'Mapa final'!$AJ$31="Menor"),CONCATENATE("R2C",'Mapa final'!$R$31),"")</f>
        <v/>
      </c>
      <c r="W14" s="38" t="str">
        <f>IF(AND('Mapa final'!$AH$26="Muy Alta",'Mapa final'!$AJ$26="Moderado"),CONCATENATE("R2C",'Mapa final'!$R$26),"")</f>
        <v/>
      </c>
      <c r="X14" s="39" t="str">
        <f>IF(AND('Mapa final'!$AH$27="Muy Alta",'Mapa final'!$AJ$27="Moderado"),CONCATENATE("R2C",'Mapa final'!$R$27),"")</f>
        <v/>
      </c>
      <c r="Y14" s="39" t="str">
        <f>IF(AND('Mapa final'!$AH$28="Muy Alta",'Mapa final'!$AJ$28="Moderado"),CONCATENATE("R2C",'Mapa final'!$R$28),"")</f>
        <v/>
      </c>
      <c r="Z14" s="39" t="str">
        <f>IF(AND('Mapa final'!$AH$29="Muy Alta",'Mapa final'!$AJ$29="Moderado"),CONCATENATE("R2C",'Mapa final'!$R$29),"")</f>
        <v/>
      </c>
      <c r="AA14" s="39" t="str">
        <f>IF(AND('Mapa final'!$AH$30="Muy Alta",'Mapa final'!$AJ$30="Moderado"),CONCATENATE("R2C",'Mapa final'!$R$30),"")</f>
        <v/>
      </c>
      <c r="AB14" s="40" t="str">
        <f>IF(AND('Mapa final'!$AH$31="Muy Alta",'Mapa final'!$AJ$31="Moderado"),CONCATENATE("R2C",'Mapa final'!$R$31),"")</f>
        <v/>
      </c>
      <c r="AC14" s="38" t="str">
        <f>IF(AND('Mapa final'!$AH$26="Muy Alta",'Mapa final'!$AJ$26="Mayor"),CONCATENATE("R2C",'Mapa final'!$R$26),"")</f>
        <v/>
      </c>
      <c r="AD14" s="39" t="str">
        <f>IF(AND('Mapa final'!$AH$27="Muy Alta",'Mapa final'!$AJ$27="Mayor"),CONCATENATE("R2C",'Mapa final'!$R$27),"")</f>
        <v/>
      </c>
      <c r="AE14" s="39" t="str">
        <f>IF(AND('Mapa final'!$AH$28="Muy Alta",'Mapa final'!$AJ$28="Mayor"),CONCATENATE("R2C",'Mapa final'!$R$28),"")</f>
        <v/>
      </c>
      <c r="AF14" s="39" t="str">
        <f>IF(AND('Mapa final'!$AH$29="Muy Alta",'Mapa final'!$AJ$29="Mayor"),CONCATENATE("R2C",'Mapa final'!$R$29),"")</f>
        <v/>
      </c>
      <c r="AG14" s="39" t="str">
        <f>IF(AND('Mapa final'!$AH$30="Muy Alta",'Mapa final'!$AJ$30="Mayor"),CONCATENATE("R2C",'Mapa final'!$R$30),"")</f>
        <v/>
      </c>
      <c r="AH14" s="40" t="str">
        <f>IF(AND('Mapa final'!$AH$31="Muy Alta",'Mapa final'!$AJ$31="Mayor"),CONCATENATE("R2C",'Mapa final'!$R$31),"")</f>
        <v/>
      </c>
      <c r="AI14" s="41" t="str">
        <f>IF(AND('Mapa final'!$AH$26="Muy Alta",'Mapa final'!$AJ$26="Catastrófico"),CONCATENATE("R2C",'Mapa final'!$R$26),"")</f>
        <v/>
      </c>
      <c r="AJ14" s="42" t="str">
        <f>IF(AND('Mapa final'!$AH$27="Muy Alta",'Mapa final'!$AJ$27="Catastrófico"),CONCATENATE("R2C",'Mapa final'!$R$27),"")</f>
        <v/>
      </c>
      <c r="AK14" s="42" t="str">
        <f>IF(AND('Mapa final'!$AH$28="Muy Alta",'Mapa final'!$AJ$28="Catastrófico"),CONCATENATE("R2C",'Mapa final'!$R$28),"")</f>
        <v/>
      </c>
      <c r="AL14" s="42" t="str">
        <f>IF(AND('Mapa final'!$AH$29="Muy Alta",'Mapa final'!$AJ$29="Catastrófico"),CONCATENATE("R2C",'Mapa final'!$R$29),"")</f>
        <v/>
      </c>
      <c r="AM14" s="42" t="str">
        <f>IF(AND('Mapa final'!$AH$30="Muy Alta",'Mapa final'!$AJ$30="Catastrófico"),CONCATENATE("R2C",'Mapa final'!$R$30),"")</f>
        <v/>
      </c>
      <c r="AN14" s="43" t="str">
        <f>IF(AND('Mapa final'!$AH$31="Muy Alta",'Mapa final'!$AJ$31="Catastrófico"),CONCATENATE("R2C",'Mapa final'!$R$31),"")</f>
        <v/>
      </c>
      <c r="AO14" s="68"/>
      <c r="AP14" s="462"/>
      <c r="AQ14" s="463"/>
      <c r="AR14" s="463"/>
      <c r="AS14" s="463"/>
      <c r="AT14" s="463"/>
      <c r="AU14" s="464"/>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row>
    <row r="15" spans="1:92" ht="15" customHeight="1">
      <c r="B15" s="68"/>
      <c r="C15" s="399"/>
      <c r="D15" s="399"/>
      <c r="E15" s="400"/>
      <c r="F15" s="442"/>
      <c r="G15" s="443"/>
      <c r="H15" s="443"/>
      <c r="I15" s="443"/>
      <c r="J15" s="443"/>
      <c r="K15" s="38" t="str">
        <f>IF(AND('Mapa final'!$AH$32="Muy Alta",'Mapa final'!$AJ$32="Leve"),CONCATENATE("R2C",'Mapa final'!$R$32),"")</f>
        <v/>
      </c>
      <c r="L15" s="39" t="str">
        <f>IF(AND('Mapa final'!$AH$33="Muy Alta",'Mapa final'!$AJ$33="Leve"),CONCATENATE("R2C",'Mapa final'!$R$33),"")</f>
        <v/>
      </c>
      <c r="M15" s="39" t="str">
        <f>IF(AND('Mapa final'!$AH$34="Muy Alta",'Mapa final'!$AJ$34="Leve"),CONCATENATE("R2C",'Mapa final'!$R$34),"")</f>
        <v/>
      </c>
      <c r="N15" s="39" t="str">
        <f>IF(AND('Mapa final'!$AH$35="Muy Alta",'Mapa final'!$AJ$35="Leve"),CONCATENATE("R2C",'Mapa final'!$R$35),"")</f>
        <v/>
      </c>
      <c r="O15" s="39" t="str">
        <f>IF(AND('Mapa final'!$AH$36="Muy Alta",'Mapa final'!$AJ$36="Leve"),CONCATENATE("R2C",'Mapa final'!$R$36),"")</f>
        <v/>
      </c>
      <c r="P15" s="40" t="str">
        <f>IF(AND('Mapa final'!$AH$37="Muy Alta",'Mapa final'!$AJ$37="Leve"),CONCATENATE("R2C",'Mapa final'!$R$37),"")</f>
        <v/>
      </c>
      <c r="Q15" s="39" t="str">
        <f>IF(AND('Mapa final'!$AH$32="Muy Alta",'Mapa final'!$AJ$32="Menor"),CONCATENATE("R2C",'Mapa final'!$R$32),"")</f>
        <v/>
      </c>
      <c r="R15" s="39" t="str">
        <f>IF(AND('Mapa final'!$AH$33="Muy Alta",'Mapa final'!$AJ$33="Menor"),CONCATENATE("R2C",'Mapa final'!$R$33),"")</f>
        <v/>
      </c>
      <c r="S15" s="39" t="str">
        <f>IF(AND('Mapa final'!$AH$34="Muy Alta",'Mapa final'!$AJ$34="Menor"),CONCATENATE("R2C",'Mapa final'!$R$34),"")</f>
        <v/>
      </c>
      <c r="T15" s="39" t="str">
        <f>IF(AND('Mapa final'!$AH$35="Muy Alta",'Mapa final'!$AJ$35="Menor"),CONCATENATE("R2C",'Mapa final'!$R$35),"")</f>
        <v/>
      </c>
      <c r="U15" s="39" t="str">
        <f>IF(AND('Mapa final'!$AH$36="Muy Alta",'Mapa final'!$AJ$36="LMenor"),CONCATENATE("R2C",'Mapa final'!$R$36),"")</f>
        <v/>
      </c>
      <c r="V15" s="40" t="str">
        <f>IF(AND('Mapa final'!$AH$37="Muy Alta",'Mapa final'!$AJ$37="Menor"),CONCATENATE("R2C",'Mapa final'!$R$37),"")</f>
        <v/>
      </c>
      <c r="W15" s="38" t="str">
        <f>IF(AND('Mapa final'!$AH$32="Muy Alta",'Mapa final'!$AJ$32="Moderado"),CONCATENATE("R2C",'Mapa final'!$R$32),"")</f>
        <v/>
      </c>
      <c r="X15" s="39" t="str">
        <f>IF(AND('Mapa final'!$AH$33="Muy Alta",'Mapa final'!$AJ$33="Moderado"),CONCATENATE("R2C",'Mapa final'!$R$33),"")</f>
        <v/>
      </c>
      <c r="Y15" s="39" t="str">
        <f>IF(AND('Mapa final'!$AH$34="Muy Alta",'Mapa final'!$AJ$34="Moderado"),CONCATENATE("R2C",'Mapa final'!$R$34),"")</f>
        <v/>
      </c>
      <c r="Z15" s="39" t="str">
        <f>IF(AND('Mapa final'!$AH$35="Muy Alta",'Mapa final'!$AJ$35="Moderado"),CONCATENATE("R2C",'Mapa final'!$R$35),"")</f>
        <v/>
      </c>
      <c r="AA15" s="39" t="str">
        <f>IF(AND('Mapa final'!$AH$36="Muy Alta",'Mapa final'!$AJ$36="Moderado"),CONCATENATE("R2C",'Mapa final'!$R$36),"")</f>
        <v/>
      </c>
      <c r="AB15" s="40" t="str">
        <f>IF(AND('Mapa final'!$AH$37="Muy Alta",'Mapa final'!$AJ$37="Moderado"),CONCATENATE("R2C",'Mapa final'!$R$37),"")</f>
        <v/>
      </c>
      <c r="AC15" s="38" t="str">
        <f>IF(AND('Mapa final'!$AH$32="Muy Alta",'Mapa final'!$AJ$32="Mayor"),CONCATENATE("R2C",'Mapa final'!$R$32),"")</f>
        <v/>
      </c>
      <c r="AD15" s="39" t="str">
        <f>IF(AND('Mapa final'!$AH$33="Muy Alta",'Mapa final'!$AJ$33="Mayor"),CONCATENATE("R2C",'Mapa final'!$R$33),"")</f>
        <v/>
      </c>
      <c r="AE15" s="39" t="str">
        <f>IF(AND('Mapa final'!$AH$34="Muy Alta",'Mapa final'!$AJ$34="Mayor"),CONCATENATE("R2C",'Mapa final'!$R$34),"")</f>
        <v/>
      </c>
      <c r="AF15" s="39" t="str">
        <f>IF(AND('Mapa final'!$AH$35="Muy Alta",'Mapa final'!$AJ$35="Mayor"),CONCATENATE("R2C",'Mapa final'!$R$35),"")</f>
        <v/>
      </c>
      <c r="AG15" s="39" t="str">
        <f>IF(AND('Mapa final'!$AH$36="Muy Alta",'Mapa final'!$AJ$36="Mayor"),CONCATENATE("R2C",'Mapa final'!$R$36),"")</f>
        <v/>
      </c>
      <c r="AH15" s="40" t="str">
        <f>IF(AND('Mapa final'!$AH$37="Muy Alta",'Mapa final'!$AJ$37="Mayor"),CONCATENATE("R2C",'Mapa final'!$R$37),"")</f>
        <v/>
      </c>
      <c r="AI15" s="41" t="str">
        <f>IF(AND('Mapa final'!$AH$32="Muy Alta",'Mapa final'!$AJ$32="Catastrófico"),CONCATENATE("R2C",'Mapa final'!$R$32),"")</f>
        <v/>
      </c>
      <c r="AJ15" s="42" t="str">
        <f>IF(AND('Mapa final'!$AH$33="Muy Alta",'Mapa final'!$AJ$33="Catastrófico"),CONCATENATE("R2C",'Mapa final'!$R$33),"")</f>
        <v/>
      </c>
      <c r="AK15" s="42" t="str">
        <f>IF(AND('Mapa final'!$AH$34="Muy Alta",'Mapa final'!$AJ$34="Catastrófico"),CONCATENATE("R2C",'Mapa final'!$R$34),"")</f>
        <v/>
      </c>
      <c r="AL15" s="42" t="str">
        <f>IF(AND('Mapa final'!$AH$35="Muy Alta",'Mapa final'!$AJ$35="Catastrófico"),CONCATENATE("R2C",'Mapa final'!$R$35),"")</f>
        <v/>
      </c>
      <c r="AM15" s="42" t="str">
        <f>IF(AND('Mapa final'!$AH$36="Muy Alta",'Mapa final'!$AJ$36="LCatastrófico"),CONCATENATE("R2C",'Mapa final'!$R$36),"")</f>
        <v/>
      </c>
      <c r="AN15" s="43" t="str">
        <f>IF(AND('Mapa final'!$AH$37="Muy Alta",'Mapa final'!$AJ$37="Catastrófico"),CONCATENATE("R2C",'Mapa final'!$R$37),"")</f>
        <v/>
      </c>
      <c r="AO15" s="68"/>
      <c r="AP15" s="462"/>
      <c r="AQ15" s="463"/>
      <c r="AR15" s="463"/>
      <c r="AS15" s="463"/>
      <c r="AT15" s="463"/>
      <c r="AU15" s="464"/>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row>
    <row r="16" spans="1:92" ht="15" customHeight="1">
      <c r="B16" s="68"/>
      <c r="C16" s="399"/>
      <c r="D16" s="399"/>
      <c r="E16" s="400"/>
      <c r="F16" s="442"/>
      <c r="G16" s="443"/>
      <c r="H16" s="443"/>
      <c r="I16" s="443"/>
      <c r="J16" s="443"/>
      <c r="K16" s="38" t="str">
        <f>IF(AND('Mapa final'!$AH$38="Muy Alta",'Mapa final'!$AJ$38="Leve"),CONCATENATE("R2C",'Mapa final'!$R$38),"")</f>
        <v/>
      </c>
      <c r="L16" s="39" t="str">
        <f>IF(AND('Mapa final'!$AH$39="Muy Alta",'Mapa final'!$AJ$39="Leve"),CONCATENATE("R2C",'Mapa final'!$R$39),"")</f>
        <v/>
      </c>
      <c r="M16" s="39" t="str">
        <f>IF(AND('Mapa final'!$AH$40="Muy Alta",'Mapa final'!$AJ$40="Leve"),CONCATENATE("R2C",'Mapa final'!$R$40),"")</f>
        <v/>
      </c>
      <c r="N16" s="39" t="str">
        <f>IF(AND('Mapa final'!$AH$41="Muy Alta",'Mapa final'!$AJ$41="Leve"),CONCATENATE("R2C",'Mapa final'!$R$41),"")</f>
        <v/>
      </c>
      <c r="O16" s="39" t="str">
        <f>IF(AND('Mapa final'!$AH$42="Muy Alta",'Mapa final'!$AJ$42="Leve"),CONCATENATE("R2C",'Mapa final'!$R$42),"")</f>
        <v/>
      </c>
      <c r="P16" s="40" t="str">
        <f>IF(AND('Mapa final'!$AH$43="Muy Alta",'Mapa final'!$AJ$43="Leve"),CONCATENATE("R2C",'Mapa final'!$R$43),"")</f>
        <v/>
      </c>
      <c r="Q16" s="39" t="str">
        <f>IF(AND('Mapa final'!$AH$38="Muy Alta",'Mapa final'!$AJ$38="Menor"),CONCATENATE("R2C",'Mapa final'!$R$38),"")</f>
        <v/>
      </c>
      <c r="R16" s="39" t="str">
        <f>IF(AND('Mapa final'!$AH$39="Muy Alta",'Mapa final'!$AJ$39="Menor"),CONCATENATE("R2C",'Mapa final'!$R$39),"")</f>
        <v/>
      </c>
      <c r="S16" s="39" t="str">
        <f>IF(AND('Mapa final'!$AH$40="Muy Alta",'Mapa final'!$AJ$40="Menor"),CONCATENATE("R2C",'Mapa final'!$R$40),"")</f>
        <v/>
      </c>
      <c r="T16" s="39" t="str">
        <f>IF(AND('Mapa final'!$AH$41="Muy Alta",'Mapa final'!$AJ$41="Menor"),CONCATENATE("R2C",'Mapa final'!$R$41),"")</f>
        <v/>
      </c>
      <c r="U16" s="39" t="str">
        <f>IF(AND('Mapa final'!$AH$42="Muy Alta",'Mapa final'!$AJ$42="Menor"),CONCATENATE("R2C",'Mapa final'!$R$42),"")</f>
        <v/>
      </c>
      <c r="V16" s="40" t="str">
        <f>IF(AND('Mapa final'!$AH$43="Muy Alta",'Mapa final'!$AJ$43="Menor"),CONCATENATE("R2C",'Mapa final'!$R$43),"")</f>
        <v/>
      </c>
      <c r="W16" s="38" t="str">
        <f>IF(AND('Mapa final'!$AH$38="Muy Alta",'Mapa final'!$AJ$38="Moderado"),CONCATENATE("R2C",'Mapa final'!$R$38),"")</f>
        <v/>
      </c>
      <c r="X16" s="39" t="str">
        <f>IF(AND('Mapa final'!$AH$39="Muy Alta",'Mapa final'!$AJ$39="Moderado"),CONCATENATE("R2C",'Mapa final'!$R$39),"")</f>
        <v/>
      </c>
      <c r="Y16" s="39" t="str">
        <f>IF(AND('Mapa final'!$AH$40="Muy Alta",'Mapa final'!$AJ$40="Moderado"),CONCATENATE("R2C",'Mapa final'!$R$40),"")</f>
        <v/>
      </c>
      <c r="Z16" s="39" t="str">
        <f>IF(AND('Mapa final'!$AH$41="Muy Alta",'Mapa final'!$AJ$41="Moderado"),CONCATENATE("R2C",'Mapa final'!$R$41),"")</f>
        <v/>
      </c>
      <c r="AA16" s="39" t="str">
        <f>IF(AND('Mapa final'!$AH$42="Muy Alta",'Mapa final'!$AJ$42="Moderado"),CONCATENATE("R2C",'Mapa final'!$R$42),"")</f>
        <v/>
      </c>
      <c r="AB16" s="40" t="str">
        <f>IF(AND('Mapa final'!$AH$43="Muy Alta",'Mapa final'!$AJ$43="Moderado"),CONCATENATE("R2C",'Mapa final'!$R$43),"")</f>
        <v/>
      </c>
      <c r="AC16" s="38" t="str">
        <f>IF(AND('Mapa final'!$AH$38="Muy Alta",'Mapa final'!$AJ$38="Mayor"),CONCATENATE("R2C",'Mapa final'!$R$38),"")</f>
        <v/>
      </c>
      <c r="AD16" s="39" t="str">
        <f>IF(AND('Mapa final'!$AH$39="Muy Alta",'Mapa final'!$AJ$39="Mayor"),CONCATENATE("R2C",'Mapa final'!$R$39),"")</f>
        <v/>
      </c>
      <c r="AE16" s="39" t="str">
        <f>IF(AND('Mapa final'!$AH$40="Muy Alta",'Mapa final'!$AJ$40="Mayor"),CONCATENATE("R2C",'Mapa final'!$R$40),"")</f>
        <v/>
      </c>
      <c r="AF16" s="39" t="str">
        <f>IF(AND('Mapa final'!$AH$41="Muy Alta",'Mapa final'!$AJ$41="Mayor"),CONCATENATE("R2C",'Mapa final'!$R$41),"")</f>
        <v/>
      </c>
      <c r="AG16" s="39" t="str">
        <f>IF(AND('Mapa final'!$AH$42="Muy Alta",'Mapa final'!$AJ$42="Mayor"),CONCATENATE("R2C",'Mapa final'!$R$42),"")</f>
        <v/>
      </c>
      <c r="AH16" s="40" t="str">
        <f>IF(AND('Mapa final'!$AH$43="Muy Alta",'Mapa final'!$AJ$43="Mayor"),CONCATENATE("R2C",'Mapa final'!$R$43),"")</f>
        <v/>
      </c>
      <c r="AI16" s="41" t="str">
        <f>IF(AND('Mapa final'!$AH$38="Muy Alta",'Mapa final'!$AJ$38="Catastrófico"),CONCATENATE("R2C",'Mapa final'!$R$38),"")</f>
        <v/>
      </c>
      <c r="AJ16" s="42" t="str">
        <f>IF(AND('Mapa final'!$AH$39="Muy Alta",'Mapa final'!$AJ$39="Catastrófico"),CONCATENATE("R2C",'Mapa final'!$R$39),"")</f>
        <v/>
      </c>
      <c r="AK16" s="42" t="str">
        <f>IF(AND('Mapa final'!$AH$40="Muy Alta",'Mapa final'!$AJ$40="Catastrófico"),CONCATENATE("R2C",'Mapa final'!$R$40),"")</f>
        <v/>
      </c>
      <c r="AL16" s="42" t="str">
        <f>IF(AND('Mapa final'!$AH$41="Muy Alta",'Mapa final'!$AJ$41="Catastrófico"),CONCATENATE("R2C",'Mapa final'!$R$41),"")</f>
        <v/>
      </c>
      <c r="AM16" s="42" t="str">
        <f>IF(AND('Mapa final'!$AH$42="Muy Alta",'Mapa final'!$AJ$42="Catastrófico"),CONCATENATE("R2C",'Mapa final'!$R$42),"")</f>
        <v/>
      </c>
      <c r="AN16" s="43" t="str">
        <f>IF(AND('Mapa final'!$AH$43="Muy Alta",'Mapa final'!$AJ$43="Catastrófico"),CONCATENATE("R2C",'Mapa final'!$R$43),"")</f>
        <v/>
      </c>
      <c r="AO16" s="68"/>
      <c r="AP16" s="462"/>
      <c r="AQ16" s="463"/>
      <c r="AR16" s="463"/>
      <c r="AS16" s="463"/>
      <c r="AT16" s="463"/>
      <c r="AU16" s="464"/>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row>
    <row r="17" spans="2:77" ht="15" customHeight="1">
      <c r="B17" s="68"/>
      <c r="C17" s="399"/>
      <c r="D17" s="399"/>
      <c r="E17" s="400"/>
      <c r="F17" s="442"/>
      <c r="G17" s="443"/>
      <c r="H17" s="443"/>
      <c r="I17" s="443"/>
      <c r="J17" s="443"/>
      <c r="K17" s="38" t="str">
        <f>IF(AND('Mapa final'!$AH$44="Muy Alta",'Mapa final'!$AJ$44="Leve"),CONCATENATE("R2C",'Mapa final'!$R$44),"")</f>
        <v/>
      </c>
      <c r="L17" s="39" t="str">
        <f>IF(AND('Mapa final'!$AH$45="Muy Alta",'Mapa final'!$AJ$45="Leve"),CONCATENATE("R2C",'Mapa final'!$R$45),"")</f>
        <v/>
      </c>
      <c r="M17" s="39" t="str">
        <f>IF(AND('Mapa final'!$AH$46="Muy Alta",'Mapa final'!$AJ$46="Leve"),CONCATENATE("R2C",'Mapa final'!$R$46),"")</f>
        <v/>
      </c>
      <c r="N17" s="39" t="str">
        <f>IF(AND('Mapa final'!$AH$47="Muy Alta",'Mapa final'!$AJ$47="Leve"),CONCATENATE("R2C",'Mapa final'!$R$47),"")</f>
        <v/>
      </c>
      <c r="O17" s="39" t="str">
        <f>IF(AND('Mapa final'!$AH$48="Muy Alta",'Mapa final'!$AJ$48="Leve"),CONCATENATE("R2C",'Mapa final'!$R$48),"")</f>
        <v/>
      </c>
      <c r="P17" s="40" t="str">
        <f>IF(AND('Mapa final'!$AH$59="Muy Alta",'Mapa final'!$AJ$49="Leve"),CONCATENATE("R2C",'Mapa final'!$R$49),"")</f>
        <v/>
      </c>
      <c r="Q17" s="39" t="str">
        <f>IF(AND('Mapa final'!$AH$44="Muy Alta",'Mapa final'!$AJ$44="Menor"),CONCATENATE("R2C",'Mapa final'!$R$44),"")</f>
        <v/>
      </c>
      <c r="R17" s="39" t="str">
        <f>IF(AND('Mapa final'!$AH$45="Muy Alta",'Mapa final'!$AJ$45="Menor"),CONCATENATE("R2C",'Mapa final'!$R$45),"")</f>
        <v/>
      </c>
      <c r="S17" s="39" t="str">
        <f>IF(AND('Mapa final'!$AH$46="Muy Alta",'Mapa final'!$AJ$46="Menor"),CONCATENATE("R2C",'Mapa final'!$R$46),"")</f>
        <v/>
      </c>
      <c r="T17" s="39" t="str">
        <f>IF(AND('Mapa final'!$AH$47="Muy Alta",'Mapa final'!$AJ$47="Menor"),CONCATENATE("R2C",'Mapa final'!$R$47),"")</f>
        <v/>
      </c>
      <c r="U17" s="39" t="str">
        <f>IF(AND('Mapa final'!$AH$48="Muy Alta",'Mapa final'!$AJ$48="Menor"),CONCATENATE("R2C",'Mapa final'!$R$48),"")</f>
        <v/>
      </c>
      <c r="V17" s="40" t="str">
        <f>IF(AND('Mapa final'!$AH$59="Muy Alta",'Mapa final'!$AJ$49="Menor"),CONCATENATE("R2C",'Mapa final'!$R$49),"")</f>
        <v/>
      </c>
      <c r="W17" s="38" t="str">
        <f>IF(AND('Mapa final'!$AH$44="Muy Alta",'Mapa final'!$AJ$44="Moderado"),CONCATENATE("R2C",'Mapa final'!$R$44),"")</f>
        <v/>
      </c>
      <c r="X17" s="39" t="str">
        <f>IF(AND('Mapa final'!$AH$45="Muy Alta",'Mapa final'!$AJ$45="Moderado"),CONCATENATE("R2C",'Mapa final'!$R$45),"")</f>
        <v/>
      </c>
      <c r="Y17" s="39" t="str">
        <f>IF(AND('Mapa final'!$AH$46="Muy Alta",'Mapa final'!$AJ$46="Moderado"),CONCATENATE("R2C",'Mapa final'!$R$46),"")</f>
        <v/>
      </c>
      <c r="Z17" s="39" t="str">
        <f>IF(AND('Mapa final'!$AH$47="Muy Alta",'Mapa final'!$AJ$47="Moderado"),CONCATENATE("R2C",'Mapa final'!$R$47),"")</f>
        <v/>
      </c>
      <c r="AA17" s="39" t="str">
        <f>IF(AND('Mapa final'!$AH$48="Muy Alta",'Mapa final'!$AJ$48="Moderado"),CONCATENATE("R2C",'Mapa final'!$R$48),"")</f>
        <v/>
      </c>
      <c r="AB17" s="40" t="str">
        <f>IF(AND('Mapa final'!$AH$59="Muy Alta",'Mapa final'!$AJ$49="Moderado"),CONCATENATE("R2C",'Mapa final'!$R$49),"")</f>
        <v/>
      </c>
      <c r="AC17" s="38" t="str">
        <f>IF(AND('Mapa final'!$AH$44="Muy Alta",'Mapa final'!$AJ$44="Mayor"),CONCATENATE("R2C",'Mapa final'!$R$44),"")</f>
        <v/>
      </c>
      <c r="AD17" s="39" t="str">
        <f>IF(AND('Mapa final'!$AH$45="Muy Alta",'Mapa final'!$AJ$45="Mayor"),CONCATENATE("R2C",'Mapa final'!$R$45),"")</f>
        <v/>
      </c>
      <c r="AE17" s="39" t="str">
        <f>IF(AND('Mapa final'!$AH$46="Muy Alta",'Mapa final'!$AJ$46="Mayor"),CONCATENATE("R2C",'Mapa final'!$R$46),"")</f>
        <v/>
      </c>
      <c r="AF17" s="39" t="str">
        <f>IF(AND('Mapa final'!$AH$47="Muy Alta",'Mapa final'!$AJ$47="Mayor"),CONCATENATE("R2C",'Mapa final'!$R$47),"")</f>
        <v/>
      </c>
      <c r="AG17" s="39" t="str">
        <f>IF(AND('Mapa final'!$AH$48="Muy Alta",'Mapa final'!$AJ$48="Mayor"),CONCATENATE("R2C",'Mapa final'!$R$48),"")</f>
        <v/>
      </c>
      <c r="AH17" s="40" t="str">
        <f>IF(AND('Mapa final'!$AH$59="Muy Alta",'Mapa final'!$AJ$49="Mayor"),CONCATENATE("R2C",'Mapa final'!$R$49),"")</f>
        <v/>
      </c>
      <c r="AI17" s="41" t="str">
        <f>IF(AND('Mapa final'!$AH$44="Muy Alta",'Mapa final'!$AJ$44="Catastrófico"),CONCATENATE("R2C",'Mapa final'!$R$44),"")</f>
        <v/>
      </c>
      <c r="AJ17" s="42" t="str">
        <f>IF(AND('Mapa final'!$AH$45="Muy Alta",'Mapa final'!$AJ$45="Catastrófico"),CONCATENATE("R2C",'Mapa final'!$R$45),"")</f>
        <v/>
      </c>
      <c r="AK17" s="42" t="str">
        <f>IF(AND('Mapa final'!$AH$46="Muy Alta",'Mapa final'!$AJ$46="Catastrófico"),CONCATENATE("R2C",'Mapa final'!$R$46),"")</f>
        <v/>
      </c>
      <c r="AL17" s="42" t="str">
        <f>IF(AND('Mapa final'!$AH$47="Muy Alta",'Mapa final'!$AJ$47="Catastrófico"),CONCATENATE("R2C",'Mapa final'!$R$47),"")</f>
        <v/>
      </c>
      <c r="AM17" s="42" t="str">
        <f>IF(AND('Mapa final'!$AH$48="Muy Alta",'Mapa final'!$AJ$48="Catastrófico"),CONCATENATE("R2C",'Mapa final'!$R$48),"")</f>
        <v/>
      </c>
      <c r="AN17" s="43" t="str">
        <f>IF(AND('Mapa final'!$AH$59="Muy Alta",'Mapa final'!$AJ$49="Catastrófico"),CONCATENATE("R2C",'Mapa final'!$R$49),"")</f>
        <v/>
      </c>
      <c r="AO17" s="68"/>
      <c r="AP17" s="462"/>
      <c r="AQ17" s="463"/>
      <c r="AR17" s="463"/>
      <c r="AS17" s="463"/>
      <c r="AT17" s="463"/>
      <c r="AU17" s="464"/>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row>
    <row r="18" spans="2:77" ht="15" customHeight="1">
      <c r="B18" s="68"/>
      <c r="C18" s="399"/>
      <c r="D18" s="399"/>
      <c r="E18" s="400"/>
      <c r="F18" s="442"/>
      <c r="G18" s="443"/>
      <c r="H18" s="443"/>
      <c r="I18" s="443"/>
      <c r="J18" s="443"/>
      <c r="K18" s="38" t="str">
        <f>IF(AND('Mapa final'!$AH$50="Muy Alta",'Mapa final'!$AJ$50="Leve"),CONCATENATE("R2C",'Mapa final'!$R$50),"")</f>
        <v/>
      </c>
      <c r="L18" s="39" t="str">
        <f>IF(AND('Mapa final'!$AH$51="Muy Alta",'Mapa final'!$AJ$51="Leve"),CONCATENATE("R2C",'Mapa final'!$R$51),"")</f>
        <v/>
      </c>
      <c r="M18" s="39" t="str">
        <f>IF(AND('Mapa final'!$AH$52="Muy Alta",'Mapa final'!$AJ$52="Leve"),CONCATENATE("R2C",'Mapa final'!$R$52),"")</f>
        <v/>
      </c>
      <c r="N18" s="39" t="str">
        <f>IF(AND('Mapa final'!$AH$53="Muy Alta",'Mapa final'!$AJ$53="Leve"),CONCATENATE("R2C",'Mapa final'!$R$53),"")</f>
        <v/>
      </c>
      <c r="O18" s="39" t="str">
        <f>IF(AND('Mapa final'!$AH$54="Muy Alta",'Mapa final'!$AJ$54="Leve"),CONCATENATE("R2C",'Mapa final'!$R$54),"")</f>
        <v/>
      </c>
      <c r="P18" s="40" t="str">
        <f>IF(AND('Mapa final'!$AH$55="Muy Alta",'Mapa final'!$AJ$55="Leve"),CONCATENATE("R2C",'Mapa final'!$R$55),"")</f>
        <v/>
      </c>
      <c r="Q18" s="39" t="str">
        <f>IF(AND('Mapa final'!$AH$50="Muy Alta",'Mapa final'!$AJ$50="Menor"),CONCATENATE("R2C",'Mapa final'!$R$50),"")</f>
        <v/>
      </c>
      <c r="R18" s="39" t="str">
        <f>IF(AND('Mapa final'!$AH$51="Muy Alta",'Mapa final'!$AJ$51="Menor"),CONCATENATE("R2C",'Mapa final'!$R$51),"")</f>
        <v/>
      </c>
      <c r="S18" s="39" t="str">
        <f>IF(AND('Mapa final'!$AH$52="Muy Alta",'Mapa final'!$AJ$52="Menor"),CONCATENATE("R2C",'Mapa final'!$R$52),"")</f>
        <v/>
      </c>
      <c r="T18" s="39" t="str">
        <f>IF(AND('Mapa final'!$AH$53="Muy Alta",'Mapa final'!$AJ$53="Menor"),CONCATENATE("R2C",'Mapa final'!$R$53),"")</f>
        <v/>
      </c>
      <c r="U18" s="39" t="str">
        <f>IF(AND('Mapa final'!$AH$54="Muy Alta",'Mapa final'!$AJ$54="Menor"),CONCATENATE("R2C",'Mapa final'!$R$54),"")</f>
        <v/>
      </c>
      <c r="V18" s="40" t="str">
        <f>IF(AND('Mapa final'!$AH$55="Muy Alta",'Mapa final'!$AJ$55="Menor"),CONCATENATE("R2C",'Mapa final'!$R$55),"")</f>
        <v/>
      </c>
      <c r="W18" s="38" t="str">
        <f>IF(AND('Mapa final'!$AH$50="Muy Alta",'Mapa final'!$AJ$50="Moderado"),CONCATENATE("R2C",'Mapa final'!$R$50),"")</f>
        <v/>
      </c>
      <c r="X18" s="39" t="str">
        <f>IF(AND('Mapa final'!$AH$51="Muy Alta",'Mapa final'!$AJ$51="Moderado"),CONCATENATE("R2C",'Mapa final'!$R$51),"")</f>
        <v/>
      </c>
      <c r="Y18" s="39" t="str">
        <f>IF(AND('Mapa final'!$AH$52="Muy Alta",'Mapa final'!$AJ$52="Moderado"),CONCATENATE("R2C",'Mapa final'!$R$52),"")</f>
        <v/>
      </c>
      <c r="Z18" s="39" t="str">
        <f>IF(AND('Mapa final'!$AH$53="Muy Alta",'Mapa final'!$AJ$53="Moderado"),CONCATENATE("R2C",'Mapa final'!$R$53),"")</f>
        <v/>
      </c>
      <c r="AA18" s="39" t="str">
        <f>IF(AND('Mapa final'!$AH$54="Muy Alta",'Mapa final'!$AJ$54="Moderado"),CONCATENATE("R2C",'Mapa final'!$R$54),"")</f>
        <v/>
      </c>
      <c r="AB18" s="40" t="str">
        <f>IF(AND('Mapa final'!$AH$55="Muy Alta",'Mapa final'!$AJ$55="Moderado"),CONCATENATE("R2C",'Mapa final'!$R$55),"")</f>
        <v/>
      </c>
      <c r="AC18" s="38" t="str">
        <f>IF(AND('Mapa final'!$AH$50="Muy Alta",'Mapa final'!$AJ$50="Mayor"),CONCATENATE("R2C",'Mapa final'!$R$50),"")</f>
        <v/>
      </c>
      <c r="AD18" s="39" t="str">
        <f>IF(AND('Mapa final'!$AH$51="Muy Alta",'Mapa final'!$AJ$51="Mayor"),CONCATENATE("R2C",'Mapa final'!$R$51),"")</f>
        <v/>
      </c>
      <c r="AE18" s="39" t="str">
        <f>IF(AND('Mapa final'!$AH$52="Muy Alta",'Mapa final'!$AJ$52="Mayor"),CONCATENATE("R2C",'Mapa final'!$R$52),"")</f>
        <v/>
      </c>
      <c r="AF18" s="39" t="str">
        <f>IF(AND('Mapa final'!$AH$53="Muy Alta",'Mapa final'!$AJ$53="Mayor"),CONCATENATE("R2C",'Mapa final'!$R$53),"")</f>
        <v/>
      </c>
      <c r="AG18" s="39" t="str">
        <f>IF(AND('Mapa final'!$AH$54="Muy Alta",'Mapa final'!$AJ$54="Mayor"),CONCATENATE("R2C",'Mapa final'!$R$54),"")</f>
        <v/>
      </c>
      <c r="AH18" s="40" t="str">
        <f>IF(AND('Mapa final'!$AH$55="Muy Alta",'Mapa final'!$AJ$55="Mayor"),CONCATENATE("R2C",'Mapa final'!$R$55),"")</f>
        <v/>
      </c>
      <c r="AI18" s="41" t="str">
        <f>IF(AND('Mapa final'!$AH$50="Muy Alta",'Mapa final'!$AJ$50="Catastrófico"),CONCATENATE("R2C",'Mapa final'!$R$50),"")</f>
        <v/>
      </c>
      <c r="AJ18" s="42" t="str">
        <f>IF(AND('Mapa final'!$AH$51="Muy Alta",'Mapa final'!$AJ$51="Catastrófico"),CONCATENATE("R2C",'Mapa final'!$R$51),"")</f>
        <v/>
      </c>
      <c r="AK18" s="42" t="str">
        <f>IF(AND('Mapa final'!$AH$52="Muy Alta",'Mapa final'!$AJ$52="Catastrófico"),CONCATENATE("R2C",'Mapa final'!$R$52),"")</f>
        <v/>
      </c>
      <c r="AL18" s="42" t="str">
        <f>IF(AND('Mapa final'!$AH$53="Muy Alta",'Mapa final'!$AJ$53="Catastrófico"),CONCATENATE("R2C",'Mapa final'!$R$53),"")</f>
        <v/>
      </c>
      <c r="AM18" s="42" t="str">
        <f>IF(AND('Mapa final'!$AH$54="Muy Alta",'Mapa final'!$AJ$54="Catastrófico"),CONCATENATE("R2C",'Mapa final'!$R$54),"")</f>
        <v/>
      </c>
      <c r="AN18" s="43" t="str">
        <f>IF(AND('Mapa final'!$AH$55="Muy Alta",'Mapa final'!$AJ$55="Catastrófico"),CONCATENATE("R2C",'Mapa final'!$R$55),"")</f>
        <v/>
      </c>
      <c r="AO18" s="68"/>
      <c r="AP18" s="462"/>
      <c r="AQ18" s="463"/>
      <c r="AR18" s="463"/>
      <c r="AS18" s="463"/>
      <c r="AT18" s="463"/>
      <c r="AU18" s="464"/>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row>
    <row r="19" spans="2:77" ht="15" customHeight="1">
      <c r="B19" s="68"/>
      <c r="C19" s="399"/>
      <c r="D19" s="399"/>
      <c r="E19" s="400"/>
      <c r="F19" s="442"/>
      <c r="G19" s="443"/>
      <c r="H19" s="443"/>
      <c r="I19" s="443"/>
      <c r="J19" s="443"/>
      <c r="K19" s="38" t="str">
        <f>IF(AND('Mapa final'!$AH$56="Muy Alta",'Mapa final'!$AJ$56="Leve"),CONCATENATE("R2C",'Mapa final'!$R$56),"")</f>
        <v/>
      </c>
      <c r="L19" s="39" t="str">
        <f>IF(AND('Mapa final'!$AH$57="Muy Alta",'Mapa final'!$AJ$57="Leve"),CONCATENATE("R2C",'Mapa final'!$R$57),"")</f>
        <v/>
      </c>
      <c r="M19" s="39" t="str">
        <f>IF(AND('Mapa final'!$AH$58="Muy Alta",'Mapa final'!$AJ$58="Leve"),CONCATENATE("R2C",'Mapa final'!$R$58),"")</f>
        <v/>
      </c>
      <c r="N19" s="39" t="str">
        <f>IF(AND('Mapa final'!$AH$59="Muy Alta",'Mapa final'!$AJ$59="Leve"),CONCATENATE("R2C",'Mapa final'!$R$59),"")</f>
        <v/>
      </c>
      <c r="O19" s="39" t="str">
        <f>IF(AND('Mapa final'!$AH$60="Muy Alta",'Mapa final'!$AJ$60="Leve"),CONCATENATE("R2C",'Mapa final'!$R$60),"")</f>
        <v/>
      </c>
      <c r="P19" s="40" t="str">
        <f>IF(AND('Mapa final'!$AH$61="Muy Alta",'Mapa final'!$AJ$61="Leve"),CONCATENATE("R2C",'Mapa final'!$R$61),"")</f>
        <v/>
      </c>
      <c r="Q19" s="39" t="str">
        <f>IF(AND('Mapa final'!$AH$56="Muy Alta",'Mapa final'!$AJ$56="Menor"),CONCATENATE("R2C",'Mapa final'!$R$56),"")</f>
        <v/>
      </c>
      <c r="R19" s="39" t="str">
        <f>IF(AND('Mapa final'!$AH$57="Muy Alta",'Mapa final'!$AJ$57="Menor"),CONCATENATE("R2C",'Mapa final'!$R$57),"")</f>
        <v/>
      </c>
      <c r="S19" s="39" t="str">
        <f>IF(AND('Mapa final'!$AH$58="Muy Alta",'Mapa final'!$AJ$58="Menor"),CONCATENATE("R2C",'Mapa final'!$R$58),"")</f>
        <v/>
      </c>
      <c r="T19" s="39" t="str">
        <f>IF(AND('Mapa final'!$AH$59="Muy Alta",'Mapa final'!$AJ$59="Menor"),CONCATENATE("R2C",'Mapa final'!$R$59),"")</f>
        <v/>
      </c>
      <c r="U19" s="39" t="str">
        <f>IF(AND('Mapa final'!$AH$60="Muy Alta",'Mapa final'!$AJ$60="Menor"),CONCATENATE("R2C",'Mapa final'!$R$60),"")</f>
        <v/>
      </c>
      <c r="V19" s="40" t="str">
        <f>IF(AND('Mapa final'!$AH$61="Muy Alta",'Mapa final'!$AJ$61="Menor"),CONCATENATE("R2C",'Mapa final'!$R$61),"")</f>
        <v/>
      </c>
      <c r="W19" s="38" t="str">
        <f>IF(AND('Mapa final'!$AH$56="Muy Alta",'Mapa final'!$AJ$56="Moderado"),CONCATENATE("R2C",'Mapa final'!$R$56),"")</f>
        <v/>
      </c>
      <c r="X19" s="39" t="str">
        <f>IF(AND('Mapa final'!$AH$57="Muy Alta",'Mapa final'!$AJ$57="Moderado"),CONCATENATE("R2C",'Mapa final'!$R$57),"")</f>
        <v/>
      </c>
      <c r="Y19" s="39" t="str">
        <f>IF(AND('Mapa final'!$AH$58="Muy Alta",'Mapa final'!$AJ$58="Moderado"),CONCATENATE("R2C",'Mapa final'!$R$58),"")</f>
        <v/>
      </c>
      <c r="Z19" s="39" t="str">
        <f>IF(AND('Mapa final'!$AH$59="Muy Alta",'Mapa final'!$AJ$59="Moderado"),CONCATENATE("R2C",'Mapa final'!$R$59),"")</f>
        <v/>
      </c>
      <c r="AA19" s="39" t="str">
        <f>IF(AND('Mapa final'!$AH$60="Muy Alta",'Mapa final'!$AJ$60="Moderado"),CONCATENATE("R2C",'Mapa final'!$R$60),"")</f>
        <v/>
      </c>
      <c r="AB19" s="40" t="str">
        <f>IF(AND('Mapa final'!$AH$61="Muy Alta",'Mapa final'!$AJ$61="Moderado"),CONCATENATE("R2C",'Mapa final'!$R$61),"")</f>
        <v/>
      </c>
      <c r="AC19" s="38" t="str">
        <f>IF(AND('Mapa final'!$AH$56="Muy Alta",'Mapa final'!$AJ$56="Mayor"),CONCATENATE("R2C",'Mapa final'!$R$56),"")</f>
        <v/>
      </c>
      <c r="AD19" s="39" t="str">
        <f>IF(AND('Mapa final'!$AH$57="Muy Alta",'Mapa final'!$AJ$57="Mayor"),CONCATENATE("R2C",'Mapa final'!$R$57),"")</f>
        <v/>
      </c>
      <c r="AE19" s="39" t="str">
        <f>IF(AND('Mapa final'!$AH$58="Muy Alta",'Mapa final'!$AJ$58="Mayor"),CONCATENATE("R2C",'Mapa final'!$R$58),"")</f>
        <v/>
      </c>
      <c r="AF19" s="39" t="str">
        <f>IF(AND('Mapa final'!$AH$59="Muy Alta",'Mapa final'!$AJ$59="Mayor"),CONCATENATE("R2C",'Mapa final'!$R$59),"")</f>
        <v/>
      </c>
      <c r="AG19" s="39" t="str">
        <f>IF(AND('Mapa final'!$AH$60="Muy Alta",'Mapa final'!$AJ$60="Mayor"),CONCATENATE("R2C",'Mapa final'!$R$60),"")</f>
        <v/>
      </c>
      <c r="AH19" s="40" t="str">
        <f>IF(AND('Mapa final'!$AH$61="Muy Alta",'Mapa final'!$AJ$61="Mayor"),CONCATENATE("R2C",'Mapa final'!$R$61),"")</f>
        <v/>
      </c>
      <c r="AI19" s="41" t="str">
        <f>IF(AND('Mapa final'!$AH$56="Muy Alta",'Mapa final'!$AJ$56="Catastrófico"),CONCATENATE("R2C",'Mapa final'!$R$56),"")</f>
        <v/>
      </c>
      <c r="AJ19" s="42" t="str">
        <f>IF(AND('Mapa final'!$AH$57="Muy Alta",'Mapa final'!$AJ$57="Catastrófico"),CONCATENATE("R2C",'Mapa final'!$R$57),"")</f>
        <v/>
      </c>
      <c r="AK19" s="42" t="str">
        <f>IF(AND('Mapa final'!$AH$58="Muy Alta",'Mapa final'!$AJ$58="Catastrófico"),CONCATENATE("R2C",'Mapa final'!$R$58),"")</f>
        <v/>
      </c>
      <c r="AL19" s="42" t="str">
        <f>IF(AND('Mapa final'!$AH$59="Muy Alta",'Mapa final'!$AJ$59="Catastrófico"),CONCATENATE("R2C",'Mapa final'!$R$59),"")</f>
        <v/>
      </c>
      <c r="AM19" s="42" t="str">
        <f>IF(AND('Mapa final'!$AH$60="Muy Alta",'Mapa final'!$AJ$60="Catastrófico"),CONCATENATE("R2C",'Mapa final'!$R$60),"")</f>
        <v/>
      </c>
      <c r="AN19" s="43" t="str">
        <f>IF(AND('Mapa final'!$AH$61="Muy Alta",'Mapa final'!$AJ$61="Catastrófico"),CONCATENATE("R2C",'Mapa final'!$R$61),"")</f>
        <v/>
      </c>
      <c r="AO19" s="68"/>
      <c r="AP19" s="462"/>
      <c r="AQ19" s="463"/>
      <c r="AR19" s="463"/>
      <c r="AS19" s="463"/>
      <c r="AT19" s="463"/>
      <c r="AU19" s="464"/>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row>
    <row r="20" spans="2:77" ht="15" customHeight="1">
      <c r="B20" s="68"/>
      <c r="C20" s="399"/>
      <c r="D20" s="399"/>
      <c r="E20" s="400"/>
      <c r="F20" s="442"/>
      <c r="G20" s="443"/>
      <c r="H20" s="443"/>
      <c r="I20" s="443"/>
      <c r="J20" s="443"/>
      <c r="K20" s="38" t="str">
        <f>IF(AND('Mapa final'!$AH$62="Muy Alta",'Mapa final'!$AJ$62="Leve"),CONCATENATE("R2C",'Mapa final'!$R$62),"")</f>
        <v/>
      </c>
      <c r="L20" s="39" t="str">
        <f>IF(AND('Mapa final'!$AH$63="Muy Alta",'Mapa final'!$AJ$63="Leve"),CONCATENATE("R2C",'Mapa final'!$R$63),"")</f>
        <v/>
      </c>
      <c r="M20" s="39" t="str">
        <f>IF(AND('Mapa final'!$AH$64="Muy Alta",'Mapa final'!$AJ$64="Leve"),CONCATENATE("R2C",'Mapa final'!$R$64),"")</f>
        <v/>
      </c>
      <c r="N20" s="39" t="str">
        <f>IF(AND('Mapa final'!$AH$65="Muy Alta",'Mapa final'!$AJ$65="Leve"),CONCATENATE("R2C",'Mapa final'!$R$65),"")</f>
        <v/>
      </c>
      <c r="O20" s="39" t="str">
        <f>IF(AND('Mapa final'!$AH$66="Muy Alta",'Mapa final'!$AJ$66="Leve"),CONCATENATE("R2C",'Mapa final'!$R$66),"")</f>
        <v/>
      </c>
      <c r="P20" s="40" t="str">
        <f>IF(AND('Mapa final'!$AH$67="Muy Alta",'Mapa final'!$AJ$67="Leve"),CONCATENATE("R2C",'Mapa final'!$R$67),"")</f>
        <v/>
      </c>
      <c r="Q20" s="39" t="str">
        <f>IF(AND('Mapa final'!$AH$62="Muy Alta",'Mapa final'!$AJ$62="Menor"),CONCATENATE("R2C",'Mapa final'!$R$62),"")</f>
        <v/>
      </c>
      <c r="R20" s="39" t="str">
        <f>IF(AND('Mapa final'!$AH$63="Muy Alta",'Mapa final'!$AJ$63="Menor"),CONCATENATE("R2C",'Mapa final'!$R$63),"")</f>
        <v/>
      </c>
      <c r="S20" s="39" t="str">
        <f>IF(AND('Mapa final'!$AH$64="Muy Alta",'Mapa final'!$AJ$64="Menor"),CONCATENATE("R2C",'Mapa final'!$R$64),"")</f>
        <v/>
      </c>
      <c r="T20" s="39" t="str">
        <f>IF(AND('Mapa final'!$AH$65="Muy Alta",'Mapa final'!$AJ$65="Menor"),CONCATENATE("R2C",'Mapa final'!$R$65),"")</f>
        <v/>
      </c>
      <c r="U20" s="39" t="str">
        <f>IF(AND('Mapa final'!$AH$66="Muy Alta",'Mapa final'!$AJ$66="Menor"),CONCATENATE("R2C",'Mapa final'!$R$66),"")</f>
        <v/>
      </c>
      <c r="V20" s="40" t="str">
        <f>IF(AND('Mapa final'!$AH$67="Muy Alta",'Mapa final'!$AJ$67="Menor"),CONCATENATE("R2C",'Mapa final'!$R$67),"")</f>
        <v/>
      </c>
      <c r="W20" s="38" t="str">
        <f>IF(AND('Mapa final'!$AH$62="Muy Alta",'Mapa final'!$AJ$62="Moderado"),CONCATENATE("R2C",'Mapa final'!$R$62),"")</f>
        <v/>
      </c>
      <c r="X20" s="39" t="str">
        <f>IF(AND('Mapa final'!$AH$63="Muy Alta",'Mapa final'!$AJ$63="Moderado"),CONCATENATE("R2C",'Mapa final'!$R$63),"")</f>
        <v/>
      </c>
      <c r="Y20" s="39" t="str">
        <f>IF(AND('Mapa final'!$AH$64="Muy Alta",'Mapa final'!$AJ$64="Moderado"),CONCATENATE("R2C",'Mapa final'!$R$64),"")</f>
        <v/>
      </c>
      <c r="Z20" s="39" t="str">
        <f>IF(AND('Mapa final'!$AH$65="Muy Alta",'Mapa final'!$AJ$65="Moderado"),CONCATENATE("R2C",'Mapa final'!$R$65),"")</f>
        <v/>
      </c>
      <c r="AA20" s="39" t="str">
        <f>IF(AND('Mapa final'!$AH$66="Muy Alta",'Mapa final'!$AJ$66="Moderado"),CONCATENATE("R2C",'Mapa final'!$R$66),"")</f>
        <v/>
      </c>
      <c r="AB20" s="40" t="str">
        <f>IF(AND('Mapa final'!$AH$67="Muy Alta",'Mapa final'!$AJ$67="Moderado"),CONCATENATE("R2C",'Mapa final'!$R$67),"")</f>
        <v/>
      </c>
      <c r="AC20" s="38" t="str">
        <f>IF(AND('Mapa final'!$AH$62="Muy Alta",'Mapa final'!$AJ$62="Mayor"),CONCATENATE("R2C",'Mapa final'!$R$62),"")</f>
        <v/>
      </c>
      <c r="AD20" s="39" t="str">
        <f>IF(AND('Mapa final'!$AH$63="Muy Alta",'Mapa final'!$AJ$63="Mayor"),CONCATENATE("R2C",'Mapa final'!$R$63),"")</f>
        <v/>
      </c>
      <c r="AE20" s="39" t="str">
        <f>IF(AND('Mapa final'!$AH$64="Muy Alta",'Mapa final'!$AJ$64="Mayor"),CONCATENATE("R2C",'Mapa final'!$R$64),"")</f>
        <v/>
      </c>
      <c r="AF20" s="39" t="str">
        <f>IF(AND('Mapa final'!$AH$65="Muy Alta",'Mapa final'!$AJ$65="Mayor"),CONCATENATE("R2C",'Mapa final'!$R$65),"")</f>
        <v/>
      </c>
      <c r="AG20" s="39" t="str">
        <f>IF(AND('Mapa final'!$AH$66="Muy Alta",'Mapa final'!$AJ$66="Mayor"),CONCATENATE("R2C",'Mapa final'!$R$66),"")</f>
        <v/>
      </c>
      <c r="AH20" s="40" t="str">
        <f>IF(AND('Mapa final'!$AH$67="Muy Alta",'Mapa final'!$AJ$67="Mayor"),CONCATENATE("R2C",'Mapa final'!$R$67),"")</f>
        <v/>
      </c>
      <c r="AI20" s="41" t="str">
        <f>IF(AND('Mapa final'!$AH$62="Muy Alta",'Mapa final'!$AJ$62="Catastrófico"),CONCATENATE("R2C",'Mapa final'!$R$62),"")</f>
        <v/>
      </c>
      <c r="AJ20" s="42" t="str">
        <f>IF(AND('Mapa final'!$AH$63="Muy Alta",'Mapa final'!$AJ$63="Catastrófico"),CONCATENATE("R2C",'Mapa final'!$R$63),"")</f>
        <v/>
      </c>
      <c r="AK20" s="42" t="str">
        <f>IF(AND('Mapa final'!$AH$64="Muy Alta",'Mapa final'!$AJ$64="Catastrófico"),CONCATENATE("R2C",'Mapa final'!$R$64),"")</f>
        <v/>
      </c>
      <c r="AL20" s="42" t="str">
        <f>IF(AND('Mapa final'!$AH$65="Muy Alta",'Mapa final'!$AJ$65="Catastrófico"),CONCATENATE("R2C",'Mapa final'!$R$65),"")</f>
        <v/>
      </c>
      <c r="AM20" s="42" t="str">
        <f>IF(AND('Mapa final'!$AH$66="Muy Alta",'Mapa final'!$AJ$66="Catastrófico"),CONCATENATE("R2C",'Mapa final'!$R$66),"")</f>
        <v/>
      </c>
      <c r="AN20" s="43" t="str">
        <f>IF(AND('Mapa final'!$AH$67="Muy Alta",'Mapa final'!$AJ$67="Catastrófico"),CONCATENATE("R2C",'Mapa final'!$R$67),"")</f>
        <v/>
      </c>
      <c r="AO20" s="68"/>
      <c r="AP20" s="462"/>
      <c r="AQ20" s="463"/>
      <c r="AR20" s="463"/>
      <c r="AS20" s="463"/>
      <c r="AT20" s="463"/>
      <c r="AU20" s="464"/>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row>
    <row r="21" spans="2:77" ht="15.75" customHeight="1" thickBot="1">
      <c r="B21" s="68"/>
      <c r="C21" s="399"/>
      <c r="D21" s="399"/>
      <c r="E21" s="400"/>
      <c r="F21" s="445"/>
      <c r="G21" s="446"/>
      <c r="H21" s="446"/>
      <c r="I21" s="446"/>
      <c r="J21" s="446"/>
      <c r="K21" s="44" t="str">
        <f>IF(AND('Mapa final'!$AH$68="Muy Alta",'Mapa final'!$AJ$68="Leve"),CONCATENATE("R2C",'Mapa final'!$R$68),"")</f>
        <v/>
      </c>
      <c r="L21" s="45" t="str">
        <f>IF(AND('Mapa final'!$AH$69="Muy Alta",'Mapa final'!$AJ$69="Leve"),CONCATENATE("R2C",'Mapa final'!$R$69),"")</f>
        <v/>
      </c>
      <c r="M21" s="45" t="str">
        <f>IF(AND('Mapa final'!$AH$70="Muy Alta",'Mapa final'!$AJ$70="Leve"),CONCATENATE("R2C",'Mapa final'!$R$70),"")</f>
        <v/>
      </c>
      <c r="N21" s="45" t="str">
        <f>IF(AND('Mapa final'!$AH$71="Muy Alta",'Mapa final'!$AJ$71="Leve"),CONCATENATE("R2C",'Mapa final'!$R$71),"")</f>
        <v/>
      </c>
      <c r="O21" s="45" t="str">
        <f>IF(AND('Mapa final'!$AH$73="Muy Alta",'Mapa final'!$AJ$73="Leve"),CONCATENATE("R2C",'Mapa final'!$R$73),"")</f>
        <v/>
      </c>
      <c r="P21" s="46" t="str">
        <f>IF(AND('Mapa final'!$AH$74="Muy Alta",'Mapa final'!$AJ$74="Leve"),CONCATENATE("R2C",'Mapa final'!$R$74),"")</f>
        <v/>
      </c>
      <c r="Q21" s="39" t="str">
        <f>IF(AND('Mapa final'!$AH$68="Muy Alta",'Mapa final'!$AJ$68="Menor"),CONCATENATE("R2C",'Mapa final'!$R$68),"")</f>
        <v/>
      </c>
      <c r="R21" s="39" t="str">
        <f>IF(AND('Mapa final'!$AH$69="Muy Alta",'Mapa final'!$AJ$69="Menor"),CONCATENATE("R2C",'Mapa final'!$R$69),"")</f>
        <v/>
      </c>
      <c r="S21" s="39" t="str">
        <f>IF(AND('Mapa final'!$AH$70="Muy Alta",'Mapa final'!$AJ$70="Menor"),CONCATENATE("R2C",'Mapa final'!$R$70),"")</f>
        <v/>
      </c>
      <c r="T21" s="39" t="str">
        <f>IF(AND('Mapa final'!$AH$71="Muy Alta",'Mapa final'!$AJ$71="Menor"),CONCATENATE("R2C",'Mapa final'!$R$71),"")</f>
        <v/>
      </c>
      <c r="U21" s="39" t="str">
        <f>IF(AND('Mapa final'!$AH$73="Muy Alta",'Mapa final'!$AJ$73="Menor"),CONCATENATE("R2C",'Mapa final'!$R$73),"")</f>
        <v/>
      </c>
      <c r="V21" s="40" t="str">
        <f>IF(AND('Mapa final'!$AH$74="Muy Alta",'Mapa final'!$AJ$74="Menor"),CONCATENATE("R2C",'Mapa final'!$R$74),"")</f>
        <v/>
      </c>
      <c r="W21" s="44" t="str">
        <f>IF(AND('Mapa final'!$AH$68="Muy Alta",'Mapa final'!$AJ$68="Moderado"),CONCATENATE("R2C",'Mapa final'!$R$68),"")</f>
        <v/>
      </c>
      <c r="X21" s="45" t="str">
        <f>IF(AND('Mapa final'!$AH$69="Muy Alta",'Mapa final'!$AJ$69="Moderado"),CONCATENATE("R2C",'Mapa final'!$R$69),"")</f>
        <v/>
      </c>
      <c r="Y21" s="45" t="str">
        <f>IF(AND('Mapa final'!$AH$70="Muy Alta",'Mapa final'!$AJ$70="Moderado"),CONCATENATE("R2C",'Mapa final'!$R$70),"")</f>
        <v/>
      </c>
      <c r="Z21" s="45" t="str">
        <f>IF(AND('Mapa final'!$AH$71="Muy Alta",'Mapa final'!$AJ$71="Moderado"),CONCATENATE("R2C",'Mapa final'!$R$71),"")</f>
        <v/>
      </c>
      <c r="AA21" s="45" t="str">
        <f>IF(AND('Mapa final'!$AH$73="Muy Alta",'Mapa final'!$AJ$73="Moderado"),CONCATENATE("R2C",'Mapa final'!$R$73),"")</f>
        <v/>
      </c>
      <c r="AB21" s="46" t="str">
        <f>IF(AND('Mapa final'!$AH$74="Muy Alta",'Mapa final'!$AJ$74="Moderado"),CONCATENATE("R2C",'Mapa final'!$R$74),"")</f>
        <v/>
      </c>
      <c r="AC21" s="38" t="str">
        <f>IF(AND('Mapa final'!$AH$68="Muy Alta",'Mapa final'!$AJ$68="Mayor"),CONCATENATE("R2C",'Mapa final'!$R$68),"")</f>
        <v/>
      </c>
      <c r="AD21" s="39" t="str">
        <f>IF(AND('Mapa final'!$AH$69="Muy Alta",'Mapa final'!$AJ$69="Mayor"),CONCATENATE("R2C",'Mapa final'!$R$69),"")</f>
        <v/>
      </c>
      <c r="AE21" s="39" t="str">
        <f>IF(AND('Mapa final'!$AH$70="Muy Alta",'Mapa final'!$AJ$70="Mayor"),CONCATENATE("R2C",'Mapa final'!$R$70),"")</f>
        <v/>
      </c>
      <c r="AF21" s="39" t="str">
        <f>IF(AND('Mapa final'!$AH$71="Muy Alta",'Mapa final'!$AJ$71="Mayor"),CONCATENATE("R2C",'Mapa final'!$R$71),"")</f>
        <v/>
      </c>
      <c r="AG21" s="39" t="str">
        <f>IF(AND('Mapa final'!$AH$73="Muy Alta",'Mapa final'!$AJ$73="Mayor"),CONCATENATE("R2C",'Mapa final'!$R$73),"")</f>
        <v/>
      </c>
      <c r="AH21" s="40" t="str">
        <f>IF(AND('Mapa final'!$AH$74="Muy Alta",'Mapa final'!$AJ$74="Mayor"),CONCATENATE("R2C",'Mapa final'!$R$74),"")</f>
        <v/>
      </c>
      <c r="AI21" s="47" t="str">
        <f>IF(AND('Mapa final'!$AH$68="Muy Alta",'Mapa final'!$AJ$68="Catastrófico"),CONCATENATE("R2C",'Mapa final'!$R$68),"")</f>
        <v/>
      </c>
      <c r="AJ21" s="48" t="str">
        <f>IF(AND('Mapa final'!$AH$69="Muy Alta",'Mapa final'!$AJ$69="Catastrófico"),CONCATENATE("R2C",'Mapa final'!$R$69),"")</f>
        <v/>
      </c>
      <c r="AK21" s="48" t="str">
        <f>IF(AND('Mapa final'!$AH$70="Muy Alta",'Mapa final'!$AJ$70="Catastrófico"),CONCATENATE("R2C",'Mapa final'!$R$70),"")</f>
        <v/>
      </c>
      <c r="AL21" s="48" t="str">
        <f>IF(AND('Mapa final'!$AH$71="Muy Alta",'Mapa final'!$AJ$71="Catastrófico"),CONCATENATE("R2C",'Mapa final'!$R$71),"")</f>
        <v/>
      </c>
      <c r="AM21" s="48" t="str">
        <f>IF(AND('Mapa final'!$AH$73="Muy Alta",'Mapa final'!$AJ$73="Catastrófico"),CONCATENATE("R2C",'Mapa final'!$R$73),"")</f>
        <v/>
      </c>
      <c r="AN21" s="49" t="str">
        <f>IF(AND('Mapa final'!$AH$74="Muy Alta",'Mapa final'!$AJ$74="Catastrófico"),CONCATENATE("R2C",'Mapa final'!$R$74),"")</f>
        <v/>
      </c>
      <c r="AO21" s="68"/>
      <c r="AP21" s="465"/>
      <c r="AQ21" s="466"/>
      <c r="AR21" s="466"/>
      <c r="AS21" s="466"/>
      <c r="AT21" s="466"/>
      <c r="AU21" s="467"/>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row>
    <row r="22" spans="2:77" ht="15" customHeight="1">
      <c r="B22" s="68"/>
      <c r="C22" s="399"/>
      <c r="D22" s="399"/>
      <c r="E22" s="400"/>
      <c r="F22" s="439" t="s">
        <v>255</v>
      </c>
      <c r="G22" s="440"/>
      <c r="H22" s="440"/>
      <c r="I22" s="440"/>
      <c r="J22" s="440"/>
      <c r="K22" s="53"/>
      <c r="L22" s="54" t="e">
        <f>IF(AND('Mapa final'!#REF!="Alta",'Mapa final'!#REF!="Leve"),CONCATENATE("R2C",'Mapa final'!$R$15),"")</f>
        <v>#REF!</v>
      </c>
      <c r="M22" s="54" t="str">
        <f>IF(AND('Mapa final'!$AH$21="Alta",'Mapa final'!$AJ$21="Leve"),CONCATENATE("R2C",'Mapa final'!$R$21),"")</f>
        <v/>
      </c>
      <c r="N22" s="54" t="e">
        <f>IF(AND('Mapa final'!#REF!="Alta",'Mapa final'!#REF!="Leve"),CONCATENATE("R2C",'Mapa final'!#REF!),"")</f>
        <v>#REF!</v>
      </c>
      <c r="O22" s="54" t="e">
        <f>IF(AND('Mapa final'!#REF!="Alta",'Mapa final'!#REF!="Leve"),CONCATENATE("R2C",'Mapa final'!#REF!),"")</f>
        <v>#REF!</v>
      </c>
      <c r="P22" s="55" t="e">
        <f>IF(AND('Mapa final'!#REF!="Alta",'Mapa final'!#REF!="Leve"),CONCATENATE("R2C",'Mapa final'!#REF!),"")</f>
        <v>#REF!</v>
      </c>
      <c r="Q22" s="50"/>
      <c r="R22" s="51" t="e">
        <f>IF(AND('Mapa final'!#REF!="Alta",'Mapa final'!#REF!="Menore"),CONCATENATE("R2C",'Mapa final'!$R$15),"")</f>
        <v>#REF!</v>
      </c>
      <c r="S22" s="51" t="str">
        <f>IF(AND('Mapa final'!$AH$21="Alta",'Mapa final'!$AJ$21="Menor"),CONCATENATE("R2C",'Mapa final'!$R$21),"")</f>
        <v/>
      </c>
      <c r="T22" s="51" t="e">
        <f>IF(AND('Mapa final'!#REF!="Alta",'Mapa final'!#REF!="Menor"),CONCATENATE("R2C",'Mapa final'!#REF!),"")</f>
        <v>#REF!</v>
      </c>
      <c r="U22" s="51" t="e">
        <f>IF(AND('Mapa final'!#REF!="Alta",'Mapa final'!#REF!="Menor"),CONCATENATE("R2C",'Mapa final'!#REF!),"")</f>
        <v>#REF!</v>
      </c>
      <c r="V22" s="52" t="e">
        <f>IF(AND('Mapa final'!#REF!="Alta",'Mapa final'!#REF!="Menor"),CONCATENATE("R2C",'Mapa final'!#REF!),"")</f>
        <v>#REF!</v>
      </c>
      <c r="W22" s="32"/>
      <c r="X22" s="33" t="e">
        <f>IF(AND('Mapa final'!#REF!="Alta",'Mapa final'!#REF!="Moderado"),CONCATENATE("R2C",'Mapa final'!$R$15),"")</f>
        <v>#REF!</v>
      </c>
      <c r="Y22" s="33"/>
      <c r="Z22" s="33" t="e">
        <f>IF(AND('Mapa final'!#REF!="Alta",'Mapa final'!#REF!="Moderado"),CONCATENATE("R2C",'Mapa final'!#REF!),"")</f>
        <v>#REF!</v>
      </c>
      <c r="AA22" s="33" t="e">
        <f>IF(AND('Mapa final'!#REF!="Alta",'Mapa final'!#REF!="Moderado"),CONCATENATE("R2C",'Mapa final'!#REF!),"")</f>
        <v>#REF!</v>
      </c>
      <c r="AB22" s="34" t="e">
        <f>IF(AND('Mapa final'!#REF!="Alta",'Mapa final'!#REF!="Moderado"),CONCATENATE("R2C",'Mapa final'!#REF!),"")</f>
        <v>#REF!</v>
      </c>
      <c r="AC22" s="32"/>
      <c r="AD22" s="33" t="e">
        <f>IF(AND('Mapa final'!#REF!="Alta",'Mapa final'!#REF!="Mayor"),CONCATENATE("R2C",'Mapa final'!$R$15),"")</f>
        <v>#REF!</v>
      </c>
      <c r="AE22" s="33" t="str">
        <f>IF(AND('Mapa final'!$AH$21="Alta",'Mapa final'!$AJ$21="Mayor"),CONCATENATE("R2C",'Mapa final'!$R$21),"")</f>
        <v/>
      </c>
      <c r="AF22" s="33" t="e">
        <f>IF(AND('Mapa final'!#REF!="Alta",'Mapa final'!#REF!="Mayor"),CONCATENATE("R2C",'Mapa final'!#REF!),"")</f>
        <v>#REF!</v>
      </c>
      <c r="AG22" s="33" t="e">
        <f>IF(AND('Mapa final'!#REF!="Alta",'Mapa final'!#REF!="Mayor"),CONCATENATE("R2C",'Mapa final'!#REF!),"")</f>
        <v>#REF!</v>
      </c>
      <c r="AH22" s="34" t="e">
        <f>IF(AND('Mapa final'!#REF!="Alta",'Mapa final'!#REF!="Mayor"),CONCATENATE("R2C",'Mapa final'!#REF!),"")</f>
        <v>#REF!</v>
      </c>
      <c r="AI22" s="35"/>
      <c r="AJ22" s="36" t="e">
        <f>IF(AND('Mapa final'!#REF!="Alta",'Mapa final'!#REF!="Catastrófico"),CONCATENATE("R2C",'Mapa final'!$R$15),"")</f>
        <v>#REF!</v>
      </c>
      <c r="AK22" s="36" t="str">
        <f>IF(AND('Mapa final'!$AH$21="Alta",'Mapa final'!$AJ$21="Catastrófico"),CONCATENATE("R2C",'Mapa final'!$R$21),"")</f>
        <v/>
      </c>
      <c r="AL22" s="36" t="e">
        <f>IF(AND('Mapa final'!#REF!="Alta",'Mapa final'!#REF!="Catastrófico"),CONCATENATE("R2C",'Mapa final'!#REF!),"")</f>
        <v>#REF!</v>
      </c>
      <c r="AM22" s="36" t="e">
        <f>IF(AND('Mapa final'!#REF!="Alta",'Mapa final'!#REF!="Catastrófico"),CONCATENATE("R2C",'Mapa final'!#REF!),"")</f>
        <v>#REF!</v>
      </c>
      <c r="AN22" s="37" t="e">
        <f>IF(AND('Mapa final'!#REF!="Alta",'Mapa final'!#REF!="Catastrófico"),CONCATENATE("R2C",'Mapa final'!#REF!),"")</f>
        <v>#REF!</v>
      </c>
      <c r="AO22" s="68"/>
      <c r="AP22" s="449" t="s">
        <v>256</v>
      </c>
      <c r="AQ22" s="450"/>
      <c r="AR22" s="450"/>
      <c r="AS22" s="450"/>
      <c r="AT22" s="450"/>
      <c r="AU22" s="451"/>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row>
    <row r="23" spans="2:77" ht="15" customHeight="1">
      <c r="B23" s="68"/>
      <c r="C23" s="399"/>
      <c r="D23" s="399"/>
      <c r="E23" s="400"/>
      <c r="F23" s="458"/>
      <c r="G23" s="443"/>
      <c r="H23" s="443"/>
      <c r="I23" s="443"/>
      <c r="J23" s="443"/>
      <c r="K23" s="53" t="e">
        <f>IF(AND('Mapa final'!#REF!="Alta",'Mapa final'!#REF!="Leve"),CONCATENATE("R2C",'Mapa final'!#REF!),"")</f>
        <v>#REF!</v>
      </c>
      <c r="L23" s="54" t="e">
        <f>IF(AND('Mapa final'!#REF!="Alta",'Mapa final'!#REF!="Leve"),CONCATENATE("R2C",'Mapa final'!#REF!),"")</f>
        <v>#REF!</v>
      </c>
      <c r="M23" s="54" t="str">
        <f>IF(AND('Mapa final'!$AH$22="Alta",'Mapa final'!$AJ$22="Leve"),CONCATENATE("R2C",'Mapa final'!$R$22),"")</f>
        <v/>
      </c>
      <c r="N23" s="54" t="e">
        <f>IF(AND('Mapa final'!#REF!="Alta",'Mapa final'!#REF!="Leve"),CONCATENATE("R2C",'Mapa final'!#REF!),"")</f>
        <v>#REF!</v>
      </c>
      <c r="O23" s="54" t="str">
        <f>IF(AND('Mapa final'!$AH$24="Alta",'Mapa final'!$AJ$24="Leve"),CONCATENATE("R2C",'Mapa final'!$R$24),"")</f>
        <v/>
      </c>
      <c r="P23" s="55" t="str">
        <f>IF(AND('Mapa final'!$AH$25="Alta",'Mapa final'!$AJ$25="Leve"),CONCATENATE("R2C",'Mapa final'!$R$25),"")</f>
        <v/>
      </c>
      <c r="Q23" s="53" t="e">
        <f>IF(AND('Mapa final'!#REF!="Alta",'Mapa final'!#REF!="Menor"),CONCATENATE("R2C",'Mapa final'!#REF!),"")</f>
        <v>#REF!</v>
      </c>
      <c r="R23" s="54" t="e">
        <f>IF(AND('Mapa final'!#REF!="Alta",'Mapa final'!#REF!="Menor"),CONCATENATE("R2C",'Mapa final'!#REF!),"")</f>
        <v>#REF!</v>
      </c>
      <c r="S23" s="54" t="str">
        <f>IF(AND('Mapa final'!$AH$22="Alta",'Mapa final'!$AJ$22="Menor"),CONCATENATE("R2C",'Mapa final'!$R$22),"")</f>
        <v/>
      </c>
      <c r="T23" s="54" t="str">
        <f>IF(AND('Mapa final'!$AH$23="Alta",'Mapa final'!$AJ$23="Menor"),CONCATENATE("R2C",'Mapa final'!$R$23),"")</f>
        <v/>
      </c>
      <c r="U23" s="54" t="str">
        <f>IF(AND('Mapa final'!$AH$24="Alta",'Mapa final'!$AJ$24="Menor"),CONCATENATE("R2C",'Mapa final'!$R$24),"")</f>
        <v/>
      </c>
      <c r="V23" s="55" t="str">
        <f>IF(AND('Mapa final'!$AH$25="Alta",'Mapa final'!$AJ$25="Menor"),CONCATENATE("R2C",'Mapa final'!$R$25),"")</f>
        <v/>
      </c>
      <c r="W23" s="38" t="e">
        <f>IF(AND('Mapa final'!#REF!="Alta",'Mapa final'!#REF!="Moderado"),CONCATENATE("R2C",'Mapa final'!#REF!),"")</f>
        <v>#REF!</v>
      </c>
      <c r="X23" s="39" t="e">
        <f>IF(AND('Mapa final'!#REF!="Alta",'Mapa final'!#REF!="Moderado"),CONCATENATE("R2C",'Mapa final'!#REF!),"")</f>
        <v>#REF!</v>
      </c>
      <c r="Y23" s="39" t="str">
        <f>IF(AND('Mapa final'!$AH$22="Alta",'Mapa final'!$AJ$22="Moderado"),CONCATENATE("R2C",'Mapa final'!$R$22),"")</f>
        <v/>
      </c>
      <c r="Z23" s="39" t="str">
        <f>IF(AND('Mapa final'!$AH$23="Alta",'Mapa final'!$AJ$23="Moderado"),CONCATENATE("R2C",'Mapa final'!$R$23),"")</f>
        <v/>
      </c>
      <c r="AA23" s="39" t="str">
        <f>IF(AND('Mapa final'!$AH$24="Alta",'Mapa final'!$AJ$24="Moderado"),CONCATENATE("R2C",'Mapa final'!$R$24),"")</f>
        <v/>
      </c>
      <c r="AB23" s="40" t="str">
        <f>IF(AND('Mapa final'!$AH$25="Alta",'Mapa final'!$AJ$25="Moderado"),CONCATENATE("R2C",'Mapa final'!$R$25),"")</f>
        <v/>
      </c>
      <c r="AC23" s="38" t="e">
        <f>IF(AND('Mapa final'!#REF!="Alta",'Mapa final'!#REF!="Mayor"),CONCATENATE("R2C",'Mapa final'!#REF!),"")</f>
        <v>#REF!</v>
      </c>
      <c r="AD23" s="39" t="e">
        <f>IF(AND('Mapa final'!#REF!="Alta",'Mapa final'!#REF!="Mayor"),CONCATENATE("R2C",'Mapa final'!#REF!),"")</f>
        <v>#REF!</v>
      </c>
      <c r="AE23" s="39" t="str">
        <f>IF(AND('Mapa final'!$AH$22="Alta",'Mapa final'!$AJ$22="Mayor"),CONCATENATE("R2C",'Mapa final'!$R$22),"")</f>
        <v/>
      </c>
      <c r="AF23" s="39" t="str">
        <f>IF(AND('Mapa final'!$AH$23="Alta",'Mapa final'!$AJ$23="Mayor"),CONCATENATE("R2C",'Mapa final'!$R$23),"")</f>
        <v/>
      </c>
      <c r="AG23" s="39" t="str">
        <f>IF(AND('Mapa final'!$AH$24="Alta",'Mapa final'!$AJ$24="Mayor"),CONCATENATE("R2C",'Mapa final'!$R$24),"")</f>
        <v/>
      </c>
      <c r="AH23" s="40" t="str">
        <f>IF(AND('Mapa final'!$AH$25="Alta",'Mapa final'!$AJ$25="Mayor"),CONCATENATE("R2C",'Mapa final'!$R$25),"")</f>
        <v/>
      </c>
      <c r="AI23" s="41" t="e">
        <f>IF(AND('Mapa final'!#REF!="Alta",'Mapa final'!#REF!="Catastrófico"),CONCATENATE("R2C",'Mapa final'!#REF!),"")</f>
        <v>#REF!</v>
      </c>
      <c r="AJ23" s="42" t="e">
        <f>IF(AND('Mapa final'!#REF!="Alta",'Mapa final'!#REF!="Catastrófico"),CONCATENATE("R2C",'Mapa final'!#REF!),"")</f>
        <v>#REF!</v>
      </c>
      <c r="AK23" s="42" t="str">
        <f>IF(AND('Mapa final'!$AH$22="Alta",'Mapa final'!$AJ$22="Catastrófico"),CONCATENATE("R2C",'Mapa final'!$R$22),"")</f>
        <v/>
      </c>
      <c r="AL23" s="42" t="str">
        <f>IF(AND('Mapa final'!$AH$23="Alta",'Mapa final'!$AJ$23="Catastrófico"),CONCATENATE("R2C",'Mapa final'!$R$23),"")</f>
        <v/>
      </c>
      <c r="AM23" s="42" t="str">
        <f>IF(AND('Mapa final'!$AH$24="Alta",'Mapa final'!$AJ$24="Catastrófico"),CONCATENATE("R2C",'Mapa final'!$R$24),"")</f>
        <v/>
      </c>
      <c r="AN23" s="43" t="str">
        <f>IF(AND('Mapa final'!$AH$25="Alta",'Mapa final'!$AJ$25="Catastrófico"),CONCATENATE("R2C",'Mapa final'!$R$25),"")</f>
        <v/>
      </c>
      <c r="AO23" s="68"/>
      <c r="AP23" s="452"/>
      <c r="AQ23" s="453"/>
      <c r="AR23" s="453"/>
      <c r="AS23" s="453"/>
      <c r="AT23" s="453"/>
      <c r="AU23" s="454"/>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row>
    <row r="24" spans="2:77" ht="15" customHeight="1">
      <c r="B24" s="68"/>
      <c r="C24" s="399"/>
      <c r="D24" s="399"/>
      <c r="E24" s="400"/>
      <c r="F24" s="442"/>
      <c r="G24" s="443"/>
      <c r="H24" s="443"/>
      <c r="I24" s="443"/>
      <c r="J24" s="443"/>
      <c r="K24" s="53" t="str">
        <f>IF(AND('Mapa final'!$AH$26="Alta",'Mapa final'!$AJ$26="Leve"),CONCATENATE("R2C",'Mapa final'!$R$26),"")</f>
        <v/>
      </c>
      <c r="L24" s="54" t="str">
        <f>IF(AND('Mapa final'!$AH$27="Alta",'Mapa final'!$AJ$27="Leve"),CONCATENATE("R2C",'Mapa final'!$R$27),"")</f>
        <v/>
      </c>
      <c r="M24" s="54" t="str">
        <f>IF(AND('Mapa final'!$AH$28="Alta",'Mapa final'!$AJ$28="Leve"),CONCATENATE("R2C",'Mapa final'!$R$28),"")</f>
        <v/>
      </c>
      <c r="N24" s="54" t="e">
        <f>IF(AND('Mapa final'!#REF!="Alta",'Mapa final'!#REF!="Leve"),CONCATENATE("R2C",'Mapa final'!#REF!),"")</f>
        <v>#REF!</v>
      </c>
      <c r="O24" s="54" t="str">
        <f>IF(AND('Mapa final'!$AH$30="Alta",'Mapa final'!$AJ$30="Leve"),CONCATENATE("R2C",'Mapa final'!$R$30),"")</f>
        <v/>
      </c>
      <c r="P24" s="55" t="str">
        <f>IF(AND('Mapa final'!$AH$31="Alta",'Mapa final'!$AJ$31="Leve"),CONCATENATE("R2C",'Mapa final'!$R$31),"")</f>
        <v/>
      </c>
      <c r="Q24" s="53" t="str">
        <f>IF(AND('Mapa final'!$AH$26="Alta",'Mapa final'!$AJ$26="Menor"),CONCATENATE("R2C",'Mapa final'!$R$26),"")</f>
        <v/>
      </c>
      <c r="R24" s="54" t="str">
        <f>IF(AND('Mapa final'!$AH$27="Alta",'Mapa final'!$AJ$27="Menor"),CONCATENATE("R2C",'Mapa final'!$R$27),"")</f>
        <v/>
      </c>
      <c r="S24" s="54" t="str">
        <f>IF(AND('Mapa final'!$AH$28="Alta",'Mapa final'!$AJ$28="Menor"),CONCATENATE("R2C",'Mapa final'!$R$28),"")</f>
        <v/>
      </c>
      <c r="T24" s="54" t="str">
        <f>IF(AND('Mapa final'!$AH$29="Alta",'Mapa final'!$AJ$29="Menor"),CONCATENATE("R2C",'Mapa final'!$R$29),"")</f>
        <v/>
      </c>
      <c r="U24" s="54" t="str">
        <f>IF(AND('Mapa final'!$AH$30="Alta",'Mapa final'!$AJ$30="Menor"),CONCATENATE("R2C",'Mapa final'!$R$30),"")</f>
        <v/>
      </c>
      <c r="V24" s="55" t="str">
        <f>IF(AND('Mapa final'!$AH$31="Alta",'Mapa final'!$AJ$31="Menor"),CONCATENATE("R2C",'Mapa final'!$R$31),"")</f>
        <v/>
      </c>
      <c r="W24" s="38" t="str">
        <f>IF(AND('Mapa final'!$AH$26="Alta",'Mapa final'!$AJ$26="Moderado"),CONCATENATE("R2C",'Mapa final'!$R$26),"")</f>
        <v/>
      </c>
      <c r="X24" s="39" t="str">
        <f>IF(AND('Mapa final'!$AH$27="Alta",'Mapa final'!$AJ$27="Moderado"),CONCATENATE("R2C",'Mapa final'!$R$27),"")</f>
        <v/>
      </c>
      <c r="Y24" s="39" t="str">
        <f>IF(AND('Mapa final'!$AH$28="Alta",'Mapa final'!$AJ$28="Moderado"),CONCATENATE("R2C",'Mapa final'!$R$28),"")</f>
        <v/>
      </c>
      <c r="Z24" s="39" t="str">
        <f>IF(AND('Mapa final'!$AH$29="Alta",'Mapa final'!$AJ$29="Moderado"),CONCATENATE("R2C",'Mapa final'!$R$29),"")</f>
        <v/>
      </c>
      <c r="AA24" s="39" t="str">
        <f>IF(AND('Mapa final'!$AH$30="Alta",'Mapa final'!$AJ$30="Moderado"),CONCATENATE("R2C",'Mapa final'!$R$30),"")</f>
        <v/>
      </c>
      <c r="AB24" s="40" t="str">
        <f>IF(AND('Mapa final'!$AH$31="Alta",'Mapa final'!$AJ$31="Moderado"),CONCATENATE("R2C",'Mapa final'!$R$31),"")</f>
        <v/>
      </c>
      <c r="AC24" s="38" t="str">
        <f>IF(AND('Mapa final'!$AH$26="Alta",'Mapa final'!$AJ$26="Mayor"),CONCATENATE("R2C",'Mapa final'!$R$26),"")</f>
        <v/>
      </c>
      <c r="AD24" s="39" t="str">
        <f>IF(AND('Mapa final'!$AH$27="Alta",'Mapa final'!$AJ$27="Mayor"),CONCATENATE("R2C",'Mapa final'!$R$27),"")</f>
        <v/>
      </c>
      <c r="AE24" s="39" t="str">
        <f>IF(AND('Mapa final'!$AH$28="Alta",'Mapa final'!$AJ$28="Mayor"),CONCATENATE("R2C",'Mapa final'!$R$28),"")</f>
        <v/>
      </c>
      <c r="AF24" s="39" t="str">
        <f>IF(AND('Mapa final'!$AH$29="Alta",'Mapa final'!$AJ$29="Mayor"),CONCATENATE("R2C",'Mapa final'!$R$29),"")</f>
        <v/>
      </c>
      <c r="AG24" s="39" t="str">
        <f>IF(AND('Mapa final'!$AH$30="Alta",'Mapa final'!$AJ$30="Mayor"),CONCATENATE("R2C",'Mapa final'!$R$30),"")</f>
        <v/>
      </c>
      <c r="AH24" s="40" t="str">
        <f>IF(AND('Mapa final'!$AH$31="Alta",'Mapa final'!$AJ$31="Mayor"),CONCATENATE("R2C",'Mapa final'!$R$31),"")</f>
        <v/>
      </c>
      <c r="AI24" s="41" t="str">
        <f>IF(AND('Mapa final'!$AH$26="Alta",'Mapa final'!$AJ$26="Catastrófico"),CONCATENATE("R2C",'Mapa final'!$R$26),"")</f>
        <v/>
      </c>
      <c r="AJ24" s="42" t="str">
        <f>IF(AND('Mapa final'!$AH$27="Alta",'Mapa final'!$AJ$27="Catastrófico"),CONCATENATE("R2C",'Mapa final'!$R$27),"")</f>
        <v/>
      </c>
      <c r="AK24" s="42" t="str">
        <f>IF(AND('Mapa final'!$AH$28="Alta",'Mapa final'!$AJ$28="Catastrófico"),CONCATENATE("R2C",'Mapa final'!$R$28),"")</f>
        <v/>
      </c>
      <c r="AL24" s="42" t="str">
        <f>IF(AND('Mapa final'!$AH$29="Alta",'Mapa final'!$AJ$29="Catastrófico"),CONCATENATE("R2C",'Mapa final'!$R$29),"")</f>
        <v/>
      </c>
      <c r="AM24" s="42" t="str">
        <f>IF(AND('Mapa final'!$AH$30="Alta",'Mapa final'!$AJ$30="Catastrófico"),CONCATENATE("R2C",'Mapa final'!$R$30),"")</f>
        <v/>
      </c>
      <c r="AN24" s="43" t="str">
        <f>IF(AND('Mapa final'!$AH$31="Alta",'Mapa final'!$AJ$31="Catastrófico"),CONCATENATE("R2C",'Mapa final'!$R$31),"")</f>
        <v/>
      </c>
      <c r="AO24" s="68"/>
      <c r="AP24" s="452"/>
      <c r="AQ24" s="453"/>
      <c r="AR24" s="453"/>
      <c r="AS24" s="453"/>
      <c r="AT24" s="453"/>
      <c r="AU24" s="454"/>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row>
    <row r="25" spans="2:77" ht="15" customHeight="1">
      <c r="B25" s="68"/>
      <c r="C25" s="399"/>
      <c r="D25" s="399"/>
      <c r="E25" s="400"/>
      <c r="F25" s="442"/>
      <c r="G25" s="443"/>
      <c r="H25" s="443"/>
      <c r="I25" s="443"/>
      <c r="J25" s="443"/>
      <c r="K25" s="53" t="str">
        <f>IF(AND('Mapa final'!$AH$32="Alta",'Mapa final'!$AJ$32="Leve"),CONCATENATE("R2C",'Mapa final'!$R$32),"")</f>
        <v/>
      </c>
      <c r="L25" s="54" t="str">
        <f>IF(AND('Mapa final'!$AH$33="Alta",'Mapa final'!$AJ$33="Leve"),CONCATENATE("R2C",'Mapa final'!$R$33),"")</f>
        <v/>
      </c>
      <c r="M25" s="54" t="str">
        <f>IF(AND('Mapa final'!$AH$34="Alta",'Mapa final'!$AJ$34="Leve"),CONCATENATE("R2C",'Mapa final'!$R$34),"")</f>
        <v/>
      </c>
      <c r="N25" s="54" t="e">
        <f>IF(AND('Mapa final'!#REF!="Alta",'Mapa final'!#REF!="Leve"),CONCATENATE("R2C",'Mapa final'!#REF!),"")</f>
        <v>#REF!</v>
      </c>
      <c r="O25" s="54" t="str">
        <f>IF(AND('Mapa final'!$AH$36="Alta",'Mapa final'!$AJ$36="Leve"),CONCATENATE("R2C",'Mapa final'!$R$36),"")</f>
        <v/>
      </c>
      <c r="P25" s="55" t="str">
        <f>IF(AND('Mapa final'!$AH$37="Alta",'Mapa final'!$AJ$37="Leve"),CONCATENATE("R2C",'Mapa final'!$R$37),"")</f>
        <v/>
      </c>
      <c r="Q25" s="53" t="str">
        <f>IF(AND('Mapa final'!$AH$32="Alta",'Mapa final'!$AJ$32="Menor"),CONCATENATE("R2C",'Mapa final'!$R$32),"")</f>
        <v/>
      </c>
      <c r="R25" s="54" t="str">
        <f>IF(AND('Mapa final'!$AH$33="Alta",'Mapa final'!$AJ$33="Menor"),CONCATENATE("R2C",'Mapa final'!$R$33),"")</f>
        <v/>
      </c>
      <c r="S25" s="54" t="str">
        <f>IF(AND('Mapa final'!$AH$34="Alta",'Mapa final'!$AJ$34="Menor"),CONCATENATE("R2C",'Mapa final'!$R$34),"")</f>
        <v/>
      </c>
      <c r="T25" s="54" t="str">
        <f>IF(AND('Mapa final'!$AH$35="Alta",'Mapa final'!$AJ$35="Menor"),CONCATENATE("R2C",'Mapa final'!$R$35),"")</f>
        <v/>
      </c>
      <c r="U25" s="54" t="str">
        <f>IF(AND('Mapa final'!$AH$36="Alta",'Mapa final'!$AJ$36="LMenor"),CONCATENATE("R2C",'Mapa final'!$R$36),"")</f>
        <v/>
      </c>
      <c r="V25" s="55" t="str">
        <f>IF(AND('Mapa final'!$AH$37="Alta",'Mapa final'!$AJ$37="Menor"),CONCATENATE("R2C",'Mapa final'!$R$37),"")</f>
        <v/>
      </c>
      <c r="W25" s="38" t="str">
        <f>IF(AND('Mapa final'!$AH$32="Alta",'Mapa final'!$AJ$32="Moderado"),CONCATENATE("R2C",'Mapa final'!$R$32),"")</f>
        <v/>
      </c>
      <c r="X25" s="39" t="str">
        <f>IF(AND('Mapa final'!$AH$33="Alta",'Mapa final'!$AJ$33="Moderado"),CONCATENATE("R2C",'Mapa final'!$R$33),"")</f>
        <v/>
      </c>
      <c r="Y25" s="39" t="str">
        <f>IF(AND('Mapa final'!$AH$34="Alta",'Mapa final'!$AJ$34="Moderado"),CONCATENATE("R2C",'Mapa final'!$R$34),"")</f>
        <v/>
      </c>
      <c r="Z25" s="39" t="str">
        <f>IF(AND('Mapa final'!$AH$35="Alta",'Mapa final'!$AJ$35="Moderado"),CONCATENATE("R2C",'Mapa final'!$R$35),"")</f>
        <v/>
      </c>
      <c r="AA25" s="39" t="str">
        <f>IF(AND('Mapa final'!$AH$36="Alta",'Mapa final'!$AJ$36="Moderado"),CONCATENATE("R2C",'Mapa final'!$R$36),"")</f>
        <v/>
      </c>
      <c r="AB25" s="40" t="str">
        <f>IF(AND('Mapa final'!$AH$37="Alta",'Mapa final'!$AJ$37="Moderado"),CONCATENATE("R2C",'Mapa final'!$R$37),"")</f>
        <v/>
      </c>
      <c r="AC25" s="38" t="str">
        <f>IF(AND('Mapa final'!$AH$32="Alta",'Mapa final'!$AJ$32="Mayor"),CONCATENATE("R2C",'Mapa final'!$R$32),"")</f>
        <v/>
      </c>
      <c r="AD25" s="39" t="str">
        <f>IF(AND('Mapa final'!$AH$33="Alta",'Mapa final'!$AJ$33="Mayor"),CONCATENATE("R2C",'Mapa final'!$R$33),"")</f>
        <v/>
      </c>
      <c r="AE25" s="39" t="str">
        <f>IF(AND('Mapa final'!$AH$34="Alta",'Mapa final'!$AJ$34="Mayor"),CONCATENATE("R2C",'Mapa final'!$R$34),"")</f>
        <v/>
      </c>
      <c r="AF25" s="39" t="str">
        <f>IF(AND('Mapa final'!$AH$35="Alta",'Mapa final'!$AJ$35="Mayor"),CONCATENATE("R2C",'Mapa final'!$R$35),"")</f>
        <v/>
      </c>
      <c r="AG25" s="39" t="str">
        <f>IF(AND('Mapa final'!$AH$36="Alta",'Mapa final'!$AJ$36="Mayor"),CONCATENATE("R2C",'Mapa final'!$R$36),"")</f>
        <v/>
      </c>
      <c r="AH25" s="40" t="str">
        <f>IF(AND('Mapa final'!$AH$37="Alta",'Mapa final'!$AJ$37="Mayor"),CONCATENATE("R2C",'Mapa final'!$R$37),"")</f>
        <v/>
      </c>
      <c r="AI25" s="41" t="str">
        <f>IF(AND('Mapa final'!$AH$32="Alta",'Mapa final'!$AJ$32="Catastrófico"),CONCATENATE("R2C",'Mapa final'!$R$32),"")</f>
        <v/>
      </c>
      <c r="AJ25" s="42" t="str">
        <f>IF(AND('Mapa final'!$AH$33="Alta",'Mapa final'!$AJ$33="Catastrófico"),CONCATENATE("R2C",'Mapa final'!$R$33),"")</f>
        <v/>
      </c>
      <c r="AK25" s="42" t="str">
        <f>IF(AND('Mapa final'!$AH$34="Alta",'Mapa final'!$AJ$34="Catastrófico"),CONCATENATE("R2C",'Mapa final'!$R$34),"")</f>
        <v/>
      </c>
      <c r="AL25" s="42" t="str">
        <f>IF(AND('Mapa final'!$AH$35="Alta",'Mapa final'!$AJ$35="Catastrófico"),CONCATENATE("R2C",'Mapa final'!$R$35),"")</f>
        <v/>
      </c>
      <c r="AM25" s="42" t="str">
        <f>IF(AND('Mapa final'!$AH$36="Alta",'Mapa final'!$AJ$36="LCatastrófico"),CONCATENATE("R2C",'Mapa final'!$R$36),"")</f>
        <v/>
      </c>
      <c r="AN25" s="43" t="str">
        <f>IF(AND('Mapa final'!$AH$37="Alta",'Mapa final'!$AJ$37="Catastrófico"),CONCATENATE("R2C",'Mapa final'!$R$37),"")</f>
        <v/>
      </c>
      <c r="AO25" s="68"/>
      <c r="AP25" s="452"/>
      <c r="AQ25" s="453"/>
      <c r="AR25" s="453"/>
      <c r="AS25" s="453"/>
      <c r="AT25" s="453"/>
      <c r="AU25" s="454"/>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row>
    <row r="26" spans="2:77" ht="15" customHeight="1">
      <c r="B26" s="68"/>
      <c r="C26" s="399"/>
      <c r="D26" s="399"/>
      <c r="E26" s="400"/>
      <c r="F26" s="442"/>
      <c r="G26" s="443"/>
      <c r="H26" s="443"/>
      <c r="I26" s="443"/>
      <c r="J26" s="443"/>
      <c r="K26" s="53" t="str">
        <f>IF(AND('Mapa final'!$AH$38="Alta",'Mapa final'!$AJ$38="Leve"),CONCATENATE("R2C",'Mapa final'!$R$38),"")</f>
        <v/>
      </c>
      <c r="L26" s="54" t="str">
        <f>IF(AND('Mapa final'!$AH$39="Alta",'Mapa final'!$AJ$39="Leve"),CONCATENATE("R2C",'Mapa final'!$R$39),"")</f>
        <v/>
      </c>
      <c r="M26" s="54" t="str">
        <f>IF(AND('Mapa final'!$AH$40="Alta",'Mapa final'!$AJ$40="Leve"),CONCATENATE("R2C",'Mapa final'!$R$40),"")</f>
        <v/>
      </c>
      <c r="N26" s="54" t="e">
        <f>IF(AND('Mapa final'!#REF!="Alta",'Mapa final'!#REF!="Leve"),CONCATENATE("R2C",'Mapa final'!#REF!),"")</f>
        <v>#REF!</v>
      </c>
      <c r="O26" s="54" t="str">
        <f>IF(AND('Mapa final'!$AH$42="Alta",'Mapa final'!$AJ$42="Leve"),CONCATENATE("R2C",'Mapa final'!$R$42),"")</f>
        <v/>
      </c>
      <c r="P26" s="55" t="str">
        <f>IF(AND('Mapa final'!$AH$43="Alta",'Mapa final'!$AJ$43="Leve"),CONCATENATE("R2C",'Mapa final'!$R$43),"")</f>
        <v/>
      </c>
      <c r="Q26" s="53" t="str">
        <f>IF(AND('Mapa final'!$AH$38="Alta",'Mapa final'!$AJ$38="Menor"),CONCATENATE("R2C",'Mapa final'!$R$38),"")</f>
        <v/>
      </c>
      <c r="R26" s="54" t="str">
        <f>IF(AND('Mapa final'!$AH$39="Alta",'Mapa final'!$AJ$39="Menor"),CONCATENATE("R2C",'Mapa final'!$R$39),"")</f>
        <v/>
      </c>
      <c r="S26" s="54" t="str">
        <f>IF(AND('Mapa final'!$AH$40="Alta",'Mapa final'!$AJ$40="Menor"),CONCATENATE("R2C",'Mapa final'!$R$40),"")</f>
        <v/>
      </c>
      <c r="T26" s="54" t="str">
        <f>IF(AND('Mapa final'!$AH$41="Alta",'Mapa final'!$AJ$41="Menor"),CONCATENATE("R2C",'Mapa final'!$R$41),"")</f>
        <v/>
      </c>
      <c r="U26" s="54" t="str">
        <f>IF(AND('Mapa final'!$AH$42="Alta",'Mapa final'!$AJ$42="Menor"),CONCATENATE("R2C",'Mapa final'!$R$42),"")</f>
        <v/>
      </c>
      <c r="V26" s="55" t="str">
        <f>IF(AND('Mapa final'!$AH$43="Alta",'Mapa final'!$AJ$43="Menor"),CONCATENATE("R2C",'Mapa final'!$R$43),"")</f>
        <v/>
      </c>
      <c r="W26" s="38" t="str">
        <f>IF(AND('Mapa final'!$AH$38="Alta",'Mapa final'!$AJ$38="Moderado"),CONCATENATE("R2C",'Mapa final'!$R$38),"")</f>
        <v/>
      </c>
      <c r="X26" s="39" t="str">
        <f>IF(AND('Mapa final'!$AH$39="Alta",'Mapa final'!$AJ$39="Moderado"),CONCATENATE("R2C",'Mapa final'!$R$39),"")</f>
        <v/>
      </c>
      <c r="Y26" s="39" t="str">
        <f>IF(AND('Mapa final'!$AH$40="Alta",'Mapa final'!$AJ$40="Moderado"),CONCATENATE("R2C",'Mapa final'!$R$40),"")</f>
        <v/>
      </c>
      <c r="Z26" s="39" t="str">
        <f>IF(AND('Mapa final'!$AH$41="Alta",'Mapa final'!$AJ$41="Moderado"),CONCATENATE("R2C",'Mapa final'!$R$41),"")</f>
        <v/>
      </c>
      <c r="AA26" s="39" t="str">
        <f>IF(AND('Mapa final'!$AH$42="Alta",'Mapa final'!$AJ$42="Moderado"),CONCATENATE("R2C",'Mapa final'!$R$42),"")</f>
        <v/>
      </c>
      <c r="AB26" s="40" t="str">
        <f>IF(AND('Mapa final'!$AH$43="Alta",'Mapa final'!$AJ$43="Moderado"),CONCATENATE("R2C",'Mapa final'!$R$43),"")</f>
        <v/>
      </c>
      <c r="AC26" s="38" t="str">
        <f>IF(AND('Mapa final'!$AH$38="Alta",'Mapa final'!$AJ$38="Mayor"),CONCATENATE("R2C",'Mapa final'!$R$38),"")</f>
        <v/>
      </c>
      <c r="AD26" s="39" t="str">
        <f>IF(AND('Mapa final'!$AH$39="Alta",'Mapa final'!$AJ$39="Mayor"),CONCATENATE("R2C",'Mapa final'!$R$39),"")</f>
        <v/>
      </c>
      <c r="AE26" s="39" t="str">
        <f>IF(AND('Mapa final'!$AH$40="Alta",'Mapa final'!$AJ$40="Mayor"),CONCATENATE("R2C",'Mapa final'!$R$40),"")</f>
        <v/>
      </c>
      <c r="AF26" s="39" t="str">
        <f>IF(AND('Mapa final'!$AH$41="Alta",'Mapa final'!$AJ$41="Mayor"),CONCATENATE("R2C",'Mapa final'!$R$41),"")</f>
        <v/>
      </c>
      <c r="AG26" s="39" t="str">
        <f>IF(AND('Mapa final'!$AH$42="Alta",'Mapa final'!$AJ$42="Mayor"),CONCATENATE("R2C",'Mapa final'!$R$42),"")</f>
        <v/>
      </c>
      <c r="AH26" s="40" t="str">
        <f>IF(AND('Mapa final'!$AH$43="Alta",'Mapa final'!$AJ$43="Mayor"),CONCATENATE("R2C",'Mapa final'!$R$43),"")</f>
        <v/>
      </c>
      <c r="AI26" s="41" t="str">
        <f>IF(AND('Mapa final'!$AH$38="Alta",'Mapa final'!$AJ$38="Catastrófico"),CONCATENATE("R2C",'Mapa final'!$R$38),"")</f>
        <v/>
      </c>
      <c r="AJ26" s="42" t="str">
        <f>IF(AND('Mapa final'!$AH$39="Alta",'Mapa final'!$AJ$39="Catastrófico"),CONCATENATE("R2C",'Mapa final'!$R$39),"")</f>
        <v/>
      </c>
      <c r="AK26" s="42" t="str">
        <f>IF(AND('Mapa final'!$AH$40="Alta",'Mapa final'!$AJ$40="Catastrófico"),CONCATENATE("R2C",'Mapa final'!$R$40),"")</f>
        <v/>
      </c>
      <c r="AL26" s="42" t="str">
        <f>IF(AND('Mapa final'!$AH$41="Alta",'Mapa final'!$AJ$41="Catastrófico"),CONCATENATE("R2C",'Mapa final'!$R$41),"")</f>
        <v/>
      </c>
      <c r="AM26" s="42" t="str">
        <f>IF(AND('Mapa final'!$AH$42="Alta",'Mapa final'!$AJ$42="Catastrófico"),CONCATENATE("R2C",'Mapa final'!$R$42),"")</f>
        <v/>
      </c>
      <c r="AN26" s="43" t="str">
        <f>IF(AND('Mapa final'!$AH$43="Alta",'Mapa final'!$AJ$43="Catastrófico"),CONCATENATE("R2C",'Mapa final'!$R$43),"")</f>
        <v/>
      </c>
      <c r="AO26" s="68"/>
      <c r="AP26" s="452"/>
      <c r="AQ26" s="453"/>
      <c r="AR26" s="453"/>
      <c r="AS26" s="453"/>
      <c r="AT26" s="453"/>
      <c r="AU26" s="454"/>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row>
    <row r="27" spans="2:77" ht="15" customHeight="1">
      <c r="B27" s="68"/>
      <c r="C27" s="399"/>
      <c r="D27" s="399"/>
      <c r="E27" s="400"/>
      <c r="F27" s="442"/>
      <c r="G27" s="443"/>
      <c r="H27" s="443"/>
      <c r="I27" s="443"/>
      <c r="J27" s="443"/>
      <c r="K27" s="53" t="str">
        <f>IF(AND('Mapa final'!$AH$44="Alta",'Mapa final'!$AJ$44="Leve"),CONCATENATE("R2C",'Mapa final'!$R$44),"")</f>
        <v/>
      </c>
      <c r="L27" s="54" t="str">
        <f>IF(AND('Mapa final'!$AH$45="Alta",'Mapa final'!$AJ$45="Leve"),CONCATENATE("R2C",'Mapa final'!$R$45),"")</f>
        <v/>
      </c>
      <c r="M27" s="54" t="str">
        <f>IF(AND('Mapa final'!$AH$46="Alta",'Mapa final'!$AJ$46="Leve"),CONCATENATE("R2C",'Mapa final'!$R$46),"")</f>
        <v/>
      </c>
      <c r="N27" s="54" t="e">
        <f>IF(AND('Mapa final'!#REF!="Alta",'Mapa final'!#REF!="Leve"),CONCATENATE("R2C",'Mapa final'!#REF!),"")</f>
        <v>#REF!</v>
      </c>
      <c r="O27" s="54" t="str">
        <f>IF(AND('Mapa final'!$AH$48="Alta",'Mapa final'!$AJ$48="Leve"),CONCATENATE("R2C",'Mapa final'!$R$48),"")</f>
        <v/>
      </c>
      <c r="P27" s="55" t="str">
        <f>IF(AND('Mapa final'!$AH$59="Alta",'Mapa final'!$AJ$49="Leve"),CONCATENATE("R2C",'Mapa final'!$R$49),"")</f>
        <v/>
      </c>
      <c r="Q27" s="53" t="str">
        <f>IF(AND('Mapa final'!$AH$44="Alta",'Mapa final'!$AJ$44="Menor"),CONCATENATE("R2C",'Mapa final'!$R$44),"")</f>
        <v/>
      </c>
      <c r="R27" s="54" t="str">
        <f>IF(AND('Mapa final'!$AH$45="Alta",'Mapa final'!$AJ$45="Menor"),CONCATENATE("R2C",'Mapa final'!$R$45),"")</f>
        <v/>
      </c>
      <c r="S27" s="54" t="str">
        <f>IF(AND('Mapa final'!$AH$46="Alta",'Mapa final'!$AJ$46="Menor"),CONCATENATE("R2C",'Mapa final'!$R$46),"")</f>
        <v/>
      </c>
      <c r="T27" s="54" t="str">
        <f>IF(AND('Mapa final'!$AH$47="Alta",'Mapa final'!$AJ$47="Menor"),CONCATENATE("R2C",'Mapa final'!$R$47),"")</f>
        <v/>
      </c>
      <c r="U27" s="54" t="str">
        <f>IF(AND('Mapa final'!$AH$48="Alta",'Mapa final'!$AJ$48="Menor"),CONCATENATE("R2C",'Mapa final'!$R$48),"")</f>
        <v/>
      </c>
      <c r="V27" s="55" t="str">
        <f>IF(AND('Mapa final'!$AH$59="Alta",'Mapa final'!$AJ$49="Menor"),CONCATENATE("R2C",'Mapa final'!$R$49),"")</f>
        <v/>
      </c>
      <c r="W27" s="38" t="str">
        <f>IF(AND('Mapa final'!$AH$44="Alta",'Mapa final'!$AJ$44="Moderado"),CONCATENATE("R2C",'Mapa final'!$R$44),"")</f>
        <v/>
      </c>
      <c r="X27" s="39" t="str">
        <f>IF(AND('Mapa final'!$AH$45="Alta",'Mapa final'!$AJ$45="Moderado"),CONCATENATE("R2C",'Mapa final'!$R$45),"")</f>
        <v/>
      </c>
      <c r="Y27" s="39" t="str">
        <f>IF(AND('Mapa final'!$AH$46="Alta",'Mapa final'!$AJ$46="Moderado"),CONCATENATE("R2C",'Mapa final'!$R$46),"")</f>
        <v/>
      </c>
      <c r="Z27" s="39" t="str">
        <f>IF(AND('Mapa final'!$AH$47="Alta",'Mapa final'!$AJ$47="Moderado"),CONCATENATE("R2C",'Mapa final'!$R$47),"")</f>
        <v/>
      </c>
      <c r="AA27" s="39" t="str">
        <f>IF(AND('Mapa final'!$AH$48="Alta",'Mapa final'!$AJ$48="Moderado"),CONCATENATE("R2C",'Mapa final'!$R$48),"")</f>
        <v/>
      </c>
      <c r="AB27" s="40" t="str">
        <f>IF(AND('Mapa final'!$AH$59="Alta",'Mapa final'!$AJ$49="Moderado"),CONCATENATE("R2C",'Mapa final'!$R$49),"")</f>
        <v/>
      </c>
      <c r="AC27" s="38" t="str">
        <f>IF(AND('Mapa final'!$AH$44="Alta",'Mapa final'!$AJ$44="Mayor"),CONCATENATE("R2C",'Mapa final'!$R$44),"")</f>
        <v/>
      </c>
      <c r="AD27" s="39" t="str">
        <f>IF(AND('Mapa final'!$AH$45="Alta",'Mapa final'!$AJ$45="Mayor"),CONCATENATE("R2C",'Mapa final'!$R$45),"")</f>
        <v/>
      </c>
      <c r="AE27" s="39" t="str">
        <f>IF(AND('Mapa final'!$AH$46="Alta",'Mapa final'!$AJ$46="Mayor"),CONCATENATE("R2C",'Mapa final'!$R$46),"")</f>
        <v/>
      </c>
      <c r="AF27" s="39" t="str">
        <f>IF(AND('Mapa final'!$AH$47="Alta",'Mapa final'!$AJ$47="Mayor"),CONCATENATE("R2C",'Mapa final'!$R$47),"")</f>
        <v/>
      </c>
      <c r="AG27" s="39" t="str">
        <f>IF(AND('Mapa final'!$AH$48="Alta",'Mapa final'!$AJ$48="Mayor"),CONCATENATE("R2C",'Mapa final'!$R$48),"")</f>
        <v/>
      </c>
      <c r="AH27" s="40" t="str">
        <f>IF(AND('Mapa final'!$AH$59="Alta",'Mapa final'!$AJ$49="Mayor"),CONCATENATE("R2C",'Mapa final'!$R$49),"")</f>
        <v/>
      </c>
      <c r="AI27" s="41" t="str">
        <f>IF(AND('Mapa final'!$AH$44="Alta",'Mapa final'!$AJ$44="Catastrófico"),CONCATENATE("R2C",'Mapa final'!$R$44),"")</f>
        <v/>
      </c>
      <c r="AJ27" s="42" t="str">
        <f>IF(AND('Mapa final'!$AH$45="Alta",'Mapa final'!$AJ$45="Catastrófico"),CONCATENATE("R2C",'Mapa final'!$R$45),"")</f>
        <v/>
      </c>
      <c r="AK27" s="42" t="str">
        <f>IF(AND('Mapa final'!$AH$46="Alta",'Mapa final'!$AJ$46="Catastrófico"),CONCATENATE("R2C",'Mapa final'!$R$46),"")</f>
        <v/>
      </c>
      <c r="AL27" s="42" t="str">
        <f>IF(AND('Mapa final'!$AH$47="Alta",'Mapa final'!$AJ$47="Catastrófico"),CONCATENATE("R2C",'Mapa final'!$R$47),"")</f>
        <v/>
      </c>
      <c r="AM27" s="42" t="str">
        <f>IF(AND('Mapa final'!$AH$48="Alta",'Mapa final'!$AJ$48="Catastrófico"),CONCATENATE("R2C",'Mapa final'!$R$48),"")</f>
        <v/>
      </c>
      <c r="AN27" s="43" t="str">
        <f>IF(AND('Mapa final'!$AH$59="Alta",'Mapa final'!$AJ$49="Catastrófico"),CONCATENATE("R2C",'Mapa final'!$R$49),"")</f>
        <v/>
      </c>
      <c r="AO27" s="68"/>
      <c r="AP27" s="452"/>
      <c r="AQ27" s="453"/>
      <c r="AR27" s="453"/>
      <c r="AS27" s="453"/>
      <c r="AT27" s="453"/>
      <c r="AU27" s="454"/>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row>
    <row r="28" spans="2:77" ht="15" customHeight="1">
      <c r="B28" s="68"/>
      <c r="C28" s="399"/>
      <c r="D28" s="399"/>
      <c r="E28" s="400"/>
      <c r="F28" s="442"/>
      <c r="G28" s="443"/>
      <c r="H28" s="443"/>
      <c r="I28" s="443"/>
      <c r="J28" s="443"/>
      <c r="K28" s="53" t="str">
        <f>IF(AND('Mapa final'!$AH$50="Alta",'Mapa final'!$AJ$50="Leve"),CONCATENATE("R2C",'Mapa final'!$R$50),"")</f>
        <v/>
      </c>
      <c r="L28" s="54" t="str">
        <f>IF(AND('Mapa final'!$AH$51="Alta",'Mapa final'!$AJ$51="Leve"),CONCATENATE("R2C",'Mapa final'!$R$51),"")</f>
        <v/>
      </c>
      <c r="M28" s="54" t="str">
        <f>IF(AND('Mapa final'!$AH$52="Alta",'Mapa final'!$AJ$52="Leve"),CONCATENATE("R2C",'Mapa final'!$R$52),"")</f>
        <v/>
      </c>
      <c r="N28" s="54" t="e">
        <f>IF(AND('Mapa final'!#REF!="Alta",'Mapa final'!#REF!="Leve"),CONCATENATE("R2C",'Mapa final'!#REF!),"")</f>
        <v>#REF!</v>
      </c>
      <c r="O28" s="54" t="str">
        <f>IF(AND('Mapa final'!$AH$54="Alta",'Mapa final'!$AJ$54="Leve"),CONCATENATE("R2C",'Mapa final'!$R$54),"")</f>
        <v/>
      </c>
      <c r="P28" s="55" t="str">
        <f>IF(AND('Mapa final'!$AH$55="Alta",'Mapa final'!$AJ$55="Leve"),CONCATENATE("R2C",'Mapa final'!$R$55),"")</f>
        <v/>
      </c>
      <c r="Q28" s="53" t="str">
        <f>IF(AND('Mapa final'!$AH$50="Alta",'Mapa final'!$AJ$50="Menor"),CONCATENATE("R2C",'Mapa final'!$R$50),"")</f>
        <v/>
      </c>
      <c r="R28" s="54" t="str">
        <f>IF(AND('Mapa final'!$AH$51="Alta",'Mapa final'!$AJ$51="Menor"),CONCATENATE("R2C",'Mapa final'!$R$51),"")</f>
        <v/>
      </c>
      <c r="S28" s="54" t="str">
        <f>IF(AND('Mapa final'!$AH$52="Alta",'Mapa final'!$AJ$52="Menor"),CONCATENATE("R2C",'Mapa final'!$R$52),"")</f>
        <v/>
      </c>
      <c r="T28" s="54" t="str">
        <f>IF(AND('Mapa final'!$AH$53="Alta",'Mapa final'!$AJ$53="Menor"),CONCATENATE("R2C",'Mapa final'!$R$53),"")</f>
        <v/>
      </c>
      <c r="U28" s="54" t="str">
        <f>IF(AND('Mapa final'!$AH$54="Alta",'Mapa final'!$AJ$54="Menor"),CONCATENATE("R2C",'Mapa final'!$R$54),"")</f>
        <v/>
      </c>
      <c r="V28" s="55" t="str">
        <f>IF(AND('Mapa final'!$AH$55="Alta",'Mapa final'!$AJ$55="Menor"),CONCATENATE("R2C",'Mapa final'!$R$55),"")</f>
        <v/>
      </c>
      <c r="W28" s="38" t="str">
        <f>IF(AND('Mapa final'!$AH$50="Alta",'Mapa final'!$AJ$50="Moderado"),CONCATENATE("R2C",'Mapa final'!$R$50),"")</f>
        <v/>
      </c>
      <c r="X28" s="39" t="str">
        <f>IF(AND('Mapa final'!$AH$51="Alta",'Mapa final'!$AJ$51="Moderado"),CONCATENATE("R2C",'Mapa final'!$R$51),"")</f>
        <v/>
      </c>
      <c r="Y28" s="39" t="str">
        <f>IF(AND('Mapa final'!$AH$52="Alta",'Mapa final'!$AJ$52="Moderado"),CONCATENATE("R2C",'Mapa final'!$R$52),"")</f>
        <v/>
      </c>
      <c r="Z28" s="39" t="str">
        <f>IF(AND('Mapa final'!$AH$53="Alta",'Mapa final'!$AJ$53="Moderado"),CONCATENATE("R2C",'Mapa final'!$R$53),"")</f>
        <v/>
      </c>
      <c r="AA28" s="39" t="str">
        <f>IF(AND('Mapa final'!$AH$54="Alta",'Mapa final'!$AJ$54="Moderado"),CONCATENATE("R2C",'Mapa final'!$R$54),"")</f>
        <v/>
      </c>
      <c r="AB28" s="40" t="str">
        <f>IF(AND('Mapa final'!$AH$55="Alta",'Mapa final'!$AJ$55="Moderado"),CONCATENATE("R2C",'Mapa final'!$R$55),"")</f>
        <v/>
      </c>
      <c r="AC28" s="38" t="str">
        <f>IF(AND('Mapa final'!$AH$50="Alta",'Mapa final'!$AJ$50="Mayor"),CONCATENATE("R2C",'Mapa final'!$R$50),"")</f>
        <v/>
      </c>
      <c r="AD28" s="39" t="str">
        <f>IF(AND('Mapa final'!$AH$51="Alta",'Mapa final'!$AJ$51="Mayor"),CONCATENATE("R2C",'Mapa final'!$R$51),"")</f>
        <v/>
      </c>
      <c r="AE28" s="39" t="str">
        <f>IF(AND('Mapa final'!$AH$52="Alta",'Mapa final'!$AJ$52="Mayor"),CONCATENATE("R2C",'Mapa final'!$R$52),"")</f>
        <v/>
      </c>
      <c r="AF28" s="39" t="str">
        <f>IF(AND('Mapa final'!$AH$53="Alta",'Mapa final'!$AJ$53="Mayor"),CONCATENATE("R2C",'Mapa final'!$R$53),"")</f>
        <v/>
      </c>
      <c r="AG28" s="39" t="str">
        <f>IF(AND('Mapa final'!$AH$54="Alta",'Mapa final'!$AJ$54="Mayor"),CONCATENATE("R2C",'Mapa final'!$R$54),"")</f>
        <v/>
      </c>
      <c r="AH28" s="40" t="str">
        <f>IF(AND('Mapa final'!$AH$55="Alta",'Mapa final'!$AJ$55="Mayor"),CONCATENATE("R2C",'Mapa final'!$R$55),"")</f>
        <v/>
      </c>
      <c r="AI28" s="41" t="str">
        <f>IF(AND('Mapa final'!$AH$50="Alta",'Mapa final'!$AJ$50="Catastrófico"),CONCATENATE("R2C",'Mapa final'!$R$50),"")</f>
        <v/>
      </c>
      <c r="AJ28" s="42" t="str">
        <f>IF(AND('Mapa final'!$AH$51="Alta",'Mapa final'!$AJ$51="Catastrófico"),CONCATENATE("R2C",'Mapa final'!$R$51),"")</f>
        <v/>
      </c>
      <c r="AK28" s="42" t="str">
        <f>IF(AND('Mapa final'!$AH$52="Alta",'Mapa final'!$AJ$52="Catastrófico"),CONCATENATE("R2C",'Mapa final'!$R$52),"")</f>
        <v/>
      </c>
      <c r="AL28" s="42" t="str">
        <f>IF(AND('Mapa final'!$AH$53="Alta",'Mapa final'!$AJ$53="Catastrófico"),CONCATENATE("R2C",'Mapa final'!$R$53),"")</f>
        <v/>
      </c>
      <c r="AM28" s="42" t="str">
        <f>IF(AND('Mapa final'!$AH$54="Alta",'Mapa final'!$AJ$54="Catastrófico"),CONCATENATE("R2C",'Mapa final'!$R$54),"")</f>
        <v/>
      </c>
      <c r="AN28" s="43" t="str">
        <f>IF(AND('Mapa final'!$AH$55="Alta",'Mapa final'!$AJ$55="Catastrófico"),CONCATENATE("R2C",'Mapa final'!$R$55),"")</f>
        <v/>
      </c>
      <c r="AO28" s="68"/>
      <c r="AP28" s="452"/>
      <c r="AQ28" s="453"/>
      <c r="AR28" s="453"/>
      <c r="AS28" s="453"/>
      <c r="AT28" s="453"/>
      <c r="AU28" s="454"/>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row>
    <row r="29" spans="2:77" ht="15" customHeight="1">
      <c r="B29" s="68"/>
      <c r="C29" s="399"/>
      <c r="D29" s="399"/>
      <c r="E29" s="400"/>
      <c r="F29" s="442"/>
      <c r="G29" s="443"/>
      <c r="H29" s="443"/>
      <c r="I29" s="443"/>
      <c r="J29" s="443"/>
      <c r="K29" s="53" t="str">
        <f>IF(AND('Mapa final'!$AH$56="Alta",'Mapa final'!$AJ$56="Leve"),CONCATENATE("R2C",'Mapa final'!$R$56),"")</f>
        <v/>
      </c>
      <c r="L29" s="54" t="str">
        <f>IF(AND('Mapa final'!$AH$57="Alta",'Mapa final'!$AJ$57="Leve"),CONCATENATE("R2C",'Mapa final'!$R$57),"")</f>
        <v/>
      </c>
      <c r="M29" s="54" t="str">
        <f>IF(AND('Mapa final'!$AH$58="Alta",'Mapa final'!$AJ$58="Leve"),CONCATENATE("R2C",'Mapa final'!$R$58),"")</f>
        <v/>
      </c>
      <c r="N29" s="54" t="e">
        <f>IF(AND('Mapa final'!#REF!="Alta",'Mapa final'!#REF!="Leve"),CONCATENATE("R2C",'Mapa final'!#REF!),"")</f>
        <v>#REF!</v>
      </c>
      <c r="O29" s="54" t="str">
        <f>IF(AND('Mapa final'!$AH$60="Alta",'Mapa final'!$AJ$60="Leve"),CONCATENATE("R2C",'Mapa final'!$R$60),"")</f>
        <v/>
      </c>
      <c r="P29" s="55" t="str">
        <f>IF(AND('Mapa final'!$AH$61="Alta",'Mapa final'!$AJ$61="Leve"),CONCATENATE("R2C",'Mapa final'!$R$61),"")</f>
        <v/>
      </c>
      <c r="Q29" s="53" t="str">
        <f>IF(AND('Mapa final'!$AH$56="Alta",'Mapa final'!$AJ$56="Menor"),CONCATENATE("R2C",'Mapa final'!$R$56),"")</f>
        <v/>
      </c>
      <c r="R29" s="54" t="str">
        <f>IF(AND('Mapa final'!$AH$57="Alta",'Mapa final'!$AJ$57="Menor"),CONCATENATE("R2C",'Mapa final'!$R$57),"")</f>
        <v/>
      </c>
      <c r="S29" s="54" t="str">
        <f>IF(AND('Mapa final'!$AH$58="Alta",'Mapa final'!$AJ$58="Menor"),CONCATENATE("R2C",'Mapa final'!$R$58),"")</f>
        <v/>
      </c>
      <c r="T29" s="54" t="str">
        <f>IF(AND('Mapa final'!$AH$59="Alta",'Mapa final'!$AJ$59="Menor"),CONCATENATE("R2C",'Mapa final'!$R$59),"")</f>
        <v/>
      </c>
      <c r="U29" s="54" t="str">
        <f>IF(AND('Mapa final'!$AH$60="Alta",'Mapa final'!$AJ$60="Menor"),CONCATENATE("R2C",'Mapa final'!$R$60),"")</f>
        <v/>
      </c>
      <c r="V29" s="55" t="str">
        <f>IF(AND('Mapa final'!$AH$61="Alta",'Mapa final'!$AJ$61="Menor"),CONCATENATE("R2C",'Mapa final'!$R$61),"")</f>
        <v/>
      </c>
      <c r="W29" s="38" t="str">
        <f>IF(AND('Mapa final'!$AH$56="Alta",'Mapa final'!$AJ$56="Moderado"),CONCATENATE("R2C",'Mapa final'!$R$56),"")</f>
        <v/>
      </c>
      <c r="X29" s="39" t="str">
        <f>IF(AND('Mapa final'!$AH$57="Alta",'Mapa final'!$AJ$57="Moderado"),CONCATENATE("R2C",'Mapa final'!$R$57),"")</f>
        <v/>
      </c>
      <c r="Y29" s="39" t="str">
        <f>IF(AND('Mapa final'!$AH$58="Alta",'Mapa final'!$AJ$58="Moderado"),CONCATENATE("R2C",'Mapa final'!$R$58),"")</f>
        <v/>
      </c>
      <c r="Z29" s="39" t="str">
        <f>IF(AND('Mapa final'!$AH$59="Alta",'Mapa final'!$AJ$59="Moderado"),CONCATENATE("R2C",'Mapa final'!$R$59),"")</f>
        <v/>
      </c>
      <c r="AA29" s="39" t="str">
        <f>IF(AND('Mapa final'!$AH$60="Alta",'Mapa final'!$AJ$60="Moderado"),CONCATENATE("R2C",'Mapa final'!$R$60),"")</f>
        <v/>
      </c>
      <c r="AB29" s="40" t="str">
        <f>IF(AND('Mapa final'!$AH$61="Alta",'Mapa final'!$AJ$61="Moderado"),CONCATENATE("R2C",'Mapa final'!$R$61),"")</f>
        <v/>
      </c>
      <c r="AC29" s="38" t="str">
        <f>IF(AND('Mapa final'!$AH$56="Alta",'Mapa final'!$AJ$56="Mayor"),CONCATENATE("R2C",'Mapa final'!$R$56),"")</f>
        <v/>
      </c>
      <c r="AD29" s="39" t="str">
        <f>IF(AND('Mapa final'!$AH$57="Alta",'Mapa final'!$AJ$57="Mayor"),CONCATENATE("R2C",'Mapa final'!$R$57),"")</f>
        <v/>
      </c>
      <c r="AE29" s="39" t="str">
        <f>IF(AND('Mapa final'!$AH$58="Alta",'Mapa final'!$AJ$58="Mayor"),CONCATENATE("R2C",'Mapa final'!$R$58),"")</f>
        <v/>
      </c>
      <c r="AF29" s="39" t="str">
        <f>IF(AND('Mapa final'!$AH$59="Alta",'Mapa final'!$AJ$59="Mayor"),CONCATENATE("R2C",'Mapa final'!$R$59),"")</f>
        <v/>
      </c>
      <c r="AG29" s="39" t="str">
        <f>IF(AND('Mapa final'!$AH$60="Alta",'Mapa final'!$AJ$60="Mayor"),CONCATENATE("R2C",'Mapa final'!$R$60),"")</f>
        <v/>
      </c>
      <c r="AH29" s="40" t="str">
        <f>IF(AND('Mapa final'!$AH$61="Alta",'Mapa final'!$AJ$61="Mayor"),CONCATENATE("R2C",'Mapa final'!$R$61),"")</f>
        <v/>
      </c>
      <c r="AI29" s="41" t="str">
        <f>IF(AND('Mapa final'!$AH$56="Alta",'Mapa final'!$AJ$56="Catastrófico"),CONCATENATE("R2C",'Mapa final'!$R$56),"")</f>
        <v/>
      </c>
      <c r="AJ29" s="42" t="str">
        <f>IF(AND('Mapa final'!$AH$57="Alta",'Mapa final'!$AJ$57="Catastrófico"),CONCATENATE("R2C",'Mapa final'!$R$57),"")</f>
        <v/>
      </c>
      <c r="AK29" s="42" t="str">
        <f>IF(AND('Mapa final'!$AH$58="Alta",'Mapa final'!$AJ$58="Catastrófico"),CONCATENATE("R2C",'Mapa final'!$R$58),"")</f>
        <v/>
      </c>
      <c r="AL29" s="42" t="str">
        <f>IF(AND('Mapa final'!$AH$59="Alta",'Mapa final'!$AJ$59="Catastrófico"),CONCATENATE("R2C",'Mapa final'!$R$59),"")</f>
        <v/>
      </c>
      <c r="AM29" s="42" t="str">
        <f>IF(AND('Mapa final'!$AH$60="Alta",'Mapa final'!$AJ$60="Catastrófico"),CONCATENATE("R2C",'Mapa final'!$R$60),"")</f>
        <v/>
      </c>
      <c r="AN29" s="43" t="str">
        <f>IF(AND('Mapa final'!$AH$61="Alta",'Mapa final'!$AJ$61="Catastrófico"),CONCATENATE("R2C",'Mapa final'!$R$61),"")</f>
        <v/>
      </c>
      <c r="AO29" s="68"/>
      <c r="AP29" s="452"/>
      <c r="AQ29" s="453"/>
      <c r="AR29" s="453"/>
      <c r="AS29" s="453"/>
      <c r="AT29" s="453"/>
      <c r="AU29" s="454"/>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row>
    <row r="30" spans="2:77" ht="15" customHeight="1">
      <c r="B30" s="68"/>
      <c r="C30" s="399"/>
      <c r="D30" s="399"/>
      <c r="E30" s="400"/>
      <c r="F30" s="442"/>
      <c r="G30" s="443"/>
      <c r="H30" s="443"/>
      <c r="I30" s="443"/>
      <c r="J30" s="443"/>
      <c r="K30" s="53" t="str">
        <f>IF(AND('Mapa final'!$AH$62="Alta",'Mapa final'!$AJ$62="Leve"),CONCATENATE("R2C",'Mapa final'!$R$62),"")</f>
        <v/>
      </c>
      <c r="L30" s="54" t="str">
        <f>IF(AND('Mapa final'!$AH$63="Alta",'Mapa final'!$AJ$63="Leve"),CONCATENATE("R2C",'Mapa final'!$R$63),"")</f>
        <v/>
      </c>
      <c r="M30" s="54" t="str">
        <f>IF(AND('Mapa final'!$AH$64="Alta",'Mapa final'!$AJ$64="Leve"),CONCATENATE("R2C",'Mapa final'!$R$64),"")</f>
        <v/>
      </c>
      <c r="N30" s="54" t="e">
        <f>IF(AND('Mapa final'!#REF!="Alta",'Mapa final'!#REF!="Leve"),CONCATENATE("R2C",'Mapa final'!#REF!),"")</f>
        <v>#REF!</v>
      </c>
      <c r="O30" s="54" t="str">
        <f>IF(AND('Mapa final'!$AH$66="Alta",'Mapa final'!$AJ$66="Leve"),CONCATENATE("R2C",'Mapa final'!$R$66),"")</f>
        <v/>
      </c>
      <c r="P30" s="55" t="str">
        <f>IF(AND('Mapa final'!$AH$67="Alta",'Mapa final'!$AJ$67="Leve"),CONCATENATE("R2C",'Mapa final'!$R$67),"")</f>
        <v/>
      </c>
      <c r="Q30" s="53" t="str">
        <f>IF(AND('Mapa final'!$AH$62="Alta",'Mapa final'!$AJ$62="Menor"),CONCATENATE("R2C",'Mapa final'!$R$62),"")</f>
        <v/>
      </c>
      <c r="R30" s="54" t="str">
        <f>IF(AND('Mapa final'!$AH$63="Alta",'Mapa final'!$AJ$63="Menor"),CONCATENATE("R2C",'Mapa final'!$R$63),"")</f>
        <v/>
      </c>
      <c r="S30" s="54" t="str">
        <f>IF(AND('Mapa final'!$AH$64="Alta",'Mapa final'!$AJ$64="Menor"),CONCATENATE("R2C",'Mapa final'!$R$64),"")</f>
        <v/>
      </c>
      <c r="T30" s="54" t="str">
        <f>IF(AND('Mapa final'!$AH$65="Alta",'Mapa final'!$AJ$65="Menor"),CONCATENATE("R2C",'Mapa final'!$R$65),"")</f>
        <v/>
      </c>
      <c r="U30" s="54" t="str">
        <f>IF(AND('Mapa final'!$AH$66="Alta",'Mapa final'!$AJ$66="Menor"),CONCATENATE("R2C",'Mapa final'!$R$66),"")</f>
        <v/>
      </c>
      <c r="V30" s="55" t="str">
        <f>IF(AND('Mapa final'!$AH$67="Alta",'Mapa final'!$AJ$67="Menor"),CONCATENATE("R2C",'Mapa final'!$R$67),"")</f>
        <v/>
      </c>
      <c r="W30" s="38" t="str">
        <f>IF(AND('Mapa final'!$AH$62="Alta",'Mapa final'!$AJ$62="Moderado"),CONCATENATE("R2C",'Mapa final'!$R$62),"")</f>
        <v/>
      </c>
      <c r="X30" s="39" t="str">
        <f>IF(AND('Mapa final'!$AH$63="Alta",'Mapa final'!$AJ$63="Moderado"),CONCATENATE("R2C",'Mapa final'!$R$63),"")</f>
        <v/>
      </c>
      <c r="Y30" s="39" t="str">
        <f>IF(AND('Mapa final'!$AH$64="Alta",'Mapa final'!$AJ$64="Moderado"),CONCATENATE("R2C",'Mapa final'!$R$64),"")</f>
        <v/>
      </c>
      <c r="Z30" s="39" t="str">
        <f>IF(AND('Mapa final'!$AH$65="Alta",'Mapa final'!$AJ$65="Moderado"),CONCATENATE("R2C",'Mapa final'!$R$65),"")</f>
        <v/>
      </c>
      <c r="AA30" s="39" t="str">
        <f>IF(AND('Mapa final'!$AH$66="Alta",'Mapa final'!$AJ$66="Moderado"),CONCATENATE("R2C",'Mapa final'!$R$66),"")</f>
        <v/>
      </c>
      <c r="AB30" s="40" t="str">
        <f>IF(AND('Mapa final'!$AH$67="Alta",'Mapa final'!$AJ$67="Moderado"),CONCATENATE("R2C",'Mapa final'!$R$67),"")</f>
        <v/>
      </c>
      <c r="AC30" s="38" t="str">
        <f>IF(AND('Mapa final'!$AH$62="Alta",'Mapa final'!$AJ$62="Mayor"),CONCATENATE("R2C",'Mapa final'!$R$62),"")</f>
        <v/>
      </c>
      <c r="AD30" s="39" t="str">
        <f>IF(AND('Mapa final'!$AH$63="Alta",'Mapa final'!$AJ$63="Mayor"),CONCATENATE("R2C",'Mapa final'!$R$63),"")</f>
        <v/>
      </c>
      <c r="AE30" s="39" t="str">
        <f>IF(AND('Mapa final'!$AH$64="Alta",'Mapa final'!$AJ$64="Mayor"),CONCATENATE("R2C",'Mapa final'!$R$64),"")</f>
        <v/>
      </c>
      <c r="AF30" s="39" t="str">
        <f>IF(AND('Mapa final'!$AH$65="Alta",'Mapa final'!$AJ$65="Mayor"),CONCATENATE("R2C",'Mapa final'!$R$65),"")</f>
        <v/>
      </c>
      <c r="AG30" s="39" t="str">
        <f>IF(AND('Mapa final'!$AH$66="Alta",'Mapa final'!$AJ$66="Mayor"),CONCATENATE("R2C",'Mapa final'!$R$66),"")</f>
        <v/>
      </c>
      <c r="AH30" s="40" t="str">
        <f>IF(AND('Mapa final'!$AH$67="Alta",'Mapa final'!$AJ$67="Mayor"),CONCATENATE("R2C",'Mapa final'!$R$67),"")</f>
        <v/>
      </c>
      <c r="AI30" s="41" t="str">
        <f>IF(AND('Mapa final'!$AH$62="Alta",'Mapa final'!$AJ$62="Catastrófico"),CONCATENATE("R2C",'Mapa final'!$R$62),"")</f>
        <v/>
      </c>
      <c r="AJ30" s="42" t="str">
        <f>IF(AND('Mapa final'!$AH$63="Alta",'Mapa final'!$AJ$63="Catastrófico"),CONCATENATE("R2C",'Mapa final'!$R$63),"")</f>
        <v/>
      </c>
      <c r="AK30" s="42" t="str">
        <f>IF(AND('Mapa final'!$AH$64="Alta",'Mapa final'!$AJ$64="Catastrófico"),CONCATENATE("R2C",'Mapa final'!$R$64),"")</f>
        <v/>
      </c>
      <c r="AL30" s="42" t="str">
        <f>IF(AND('Mapa final'!$AH$65="Alta",'Mapa final'!$AJ$65="Catastrófico"),CONCATENATE("R2C",'Mapa final'!$R$65),"")</f>
        <v/>
      </c>
      <c r="AM30" s="42" t="str">
        <f>IF(AND('Mapa final'!$AH$66="Alta",'Mapa final'!$AJ$66="Catastrófico"),CONCATENATE("R2C",'Mapa final'!$R$66),"")</f>
        <v/>
      </c>
      <c r="AN30" s="43" t="str">
        <f>IF(AND('Mapa final'!$AH$67="Alta",'Mapa final'!$AJ$67="Catastrófico"),CONCATENATE("R2C",'Mapa final'!$R$67),"")</f>
        <v/>
      </c>
      <c r="AO30" s="68"/>
      <c r="AP30" s="452"/>
      <c r="AQ30" s="453"/>
      <c r="AR30" s="453"/>
      <c r="AS30" s="453"/>
      <c r="AT30" s="453"/>
      <c r="AU30" s="454"/>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row>
    <row r="31" spans="2:77" ht="15.75" customHeight="1" thickBot="1">
      <c r="B31" s="68"/>
      <c r="C31" s="399"/>
      <c r="D31" s="399"/>
      <c r="E31" s="400"/>
      <c r="F31" s="445"/>
      <c r="G31" s="446"/>
      <c r="H31" s="446"/>
      <c r="I31" s="446"/>
      <c r="J31" s="446"/>
      <c r="K31" s="56" t="str">
        <f>IF(AND('Mapa final'!$AH$68="Alta",'Mapa final'!$AJ$68="Leve"),CONCATENATE("R2C",'Mapa final'!$R$68),"")</f>
        <v/>
      </c>
      <c r="L31" s="57" t="str">
        <f>IF(AND('Mapa final'!$AH$69="Alta",'Mapa final'!$AJ$69="Leve"),CONCATENATE("R2C",'Mapa final'!$R$69),"")</f>
        <v/>
      </c>
      <c r="M31" s="57" t="str">
        <f>IF(AND('Mapa final'!$AH$70="Alta",'Mapa final'!$AJ$70="Leve"),CONCATENATE("R2C",'Mapa final'!$R$70),"")</f>
        <v/>
      </c>
      <c r="N31" s="54" t="e">
        <f>IF(AND('Mapa final'!#REF!="Alta",'Mapa final'!#REF!="Leve"),CONCATENATE("R2C",'Mapa final'!#REF!),"")</f>
        <v>#REF!</v>
      </c>
      <c r="O31" s="57" t="str">
        <f>IF(AND('Mapa final'!$AH$73="Alta",'Mapa final'!$AJ$73="Leve"),CONCATENATE("R2C",'Mapa final'!$R$73),"")</f>
        <v/>
      </c>
      <c r="P31" s="58" t="str">
        <f>IF(AND('Mapa final'!$AH$74="Alta",'Mapa final'!$AJ$74="Leve"),CONCATENATE("R2C",'Mapa final'!$R$74),"")</f>
        <v/>
      </c>
      <c r="Q31" s="56" t="str">
        <f>IF(AND('Mapa final'!$AH$68="Alta",'Mapa final'!$AJ$68="Menor"),CONCATENATE("R2C",'Mapa final'!$R$68),"")</f>
        <v/>
      </c>
      <c r="R31" s="57" t="str">
        <f>IF(AND('Mapa final'!$AH$69="Alta",'Mapa final'!$AJ$69="Menor"),CONCATENATE("R2C",'Mapa final'!$R$69),"")</f>
        <v/>
      </c>
      <c r="S31" s="57" t="str">
        <f>IF(AND('Mapa final'!$AH$70="Alta",'Mapa final'!$AJ$70="Menor"),CONCATENATE("R2C",'Mapa final'!$R$70),"")</f>
        <v/>
      </c>
      <c r="T31" s="57" t="str">
        <f>IF(AND('Mapa final'!$AH$71="Alta",'Mapa final'!$AJ$71="Menor"),CONCATENATE("R2C",'Mapa final'!$R$71),"")</f>
        <v/>
      </c>
      <c r="U31" s="57" t="str">
        <f>IF(AND('Mapa final'!$AH$73="Alta",'Mapa final'!$AJ$73="Menor"),CONCATENATE("R2C",'Mapa final'!$R$73),"")</f>
        <v/>
      </c>
      <c r="V31" s="58" t="str">
        <f>IF(AND('Mapa final'!$AH$74="Alta",'Mapa final'!$AJ$74="Menor"),CONCATENATE("R2C",'Mapa final'!$R$74),"")</f>
        <v/>
      </c>
      <c r="W31" s="44" t="str">
        <f>IF(AND('Mapa final'!$AH$68="Alta",'Mapa final'!$AJ$68="Moderado"),CONCATENATE("R2C",'Mapa final'!$R$68),"")</f>
        <v/>
      </c>
      <c r="X31" s="45" t="str">
        <f>IF(AND('Mapa final'!$AH$69="Alta",'Mapa final'!$AJ$69="Moderado"),CONCATENATE("R2C",'Mapa final'!$R$69),"")</f>
        <v/>
      </c>
      <c r="Y31" s="45" t="str">
        <f>IF(AND('Mapa final'!$AH$70="Alta",'Mapa final'!$AJ$70="Moderado"),CONCATENATE("R2C",'Mapa final'!$R$70),"")</f>
        <v/>
      </c>
      <c r="Z31" s="45" t="str">
        <f>IF(AND('Mapa final'!$AH$71="Alta",'Mapa final'!$AJ$71="Moderado"),CONCATENATE("R2C",'Mapa final'!$R$71),"")</f>
        <v/>
      </c>
      <c r="AA31" s="45" t="str">
        <f>IF(AND('Mapa final'!$AH$73="Alta",'Mapa final'!$AJ$73="Moderado"),CONCATENATE("R2C",'Mapa final'!$R$73),"")</f>
        <v/>
      </c>
      <c r="AB31" s="46" t="str">
        <f>IF(AND('Mapa final'!$AH$74="Alta",'Mapa final'!$AJ$74="Moderado"),CONCATENATE("R2C",'Mapa final'!$R$74),"")</f>
        <v/>
      </c>
      <c r="AC31" s="44" t="str">
        <f>IF(AND('Mapa final'!$AH$68="Alta",'Mapa final'!$AJ$68="Mayor"),CONCATENATE("R2C",'Mapa final'!$R$68),"")</f>
        <v/>
      </c>
      <c r="AD31" s="45" t="str">
        <f>IF(AND('Mapa final'!$AH$69="Alta",'Mapa final'!$AJ$69="Mayor"),CONCATENATE("R2C",'Mapa final'!$R$69),"")</f>
        <v/>
      </c>
      <c r="AE31" s="45" t="str">
        <f>IF(AND('Mapa final'!$AH$70="Alta",'Mapa final'!$AJ$70="Mayor"),CONCATENATE("R2C",'Mapa final'!$R$70),"")</f>
        <v/>
      </c>
      <c r="AF31" s="45" t="str">
        <f>IF(AND('Mapa final'!$AH$71="Alta",'Mapa final'!$AJ$71="Mayor"),CONCATENATE("R2C",'Mapa final'!$R$71),"")</f>
        <v/>
      </c>
      <c r="AG31" s="45" t="str">
        <f>IF(AND('Mapa final'!$AH$73="Alta",'Mapa final'!$AJ$73="Mayor"),CONCATENATE("R2C",'Mapa final'!$R$73),"")</f>
        <v/>
      </c>
      <c r="AH31" s="46" t="str">
        <f>IF(AND('Mapa final'!$AH$74="Alta",'Mapa final'!$AJ$74="Mayor"),CONCATENATE("R2C",'Mapa final'!$R$74),"")</f>
        <v/>
      </c>
      <c r="AI31" s="47" t="str">
        <f>IF(AND('Mapa final'!$AH$68="Alta",'Mapa final'!$AJ$68="Catastrófico"),CONCATENATE("R2C",'Mapa final'!$R$68),"")</f>
        <v/>
      </c>
      <c r="AJ31" s="48" t="str">
        <f>IF(AND('Mapa final'!$AH$69="Alta",'Mapa final'!$AJ$69="Catastrófico"),CONCATENATE("R2C",'Mapa final'!$R$69),"")</f>
        <v/>
      </c>
      <c r="AK31" s="48" t="str">
        <f>IF(AND('Mapa final'!$AH$70="Alta",'Mapa final'!$AJ$70="Catastrófico"),CONCATENATE("R2C",'Mapa final'!$R$70),"")</f>
        <v/>
      </c>
      <c r="AL31" s="48" t="str">
        <f>IF(AND('Mapa final'!$AH$71="Alta",'Mapa final'!$AJ$71="Catastrófico"),CONCATENATE("R2C",'Mapa final'!$R$71),"")</f>
        <v/>
      </c>
      <c r="AM31" s="48" t="str">
        <f>IF(AND('Mapa final'!$AH$73="Alta",'Mapa final'!$AJ$73="Catastrófico"),CONCATENATE("R2C",'Mapa final'!$R$73),"")</f>
        <v/>
      </c>
      <c r="AN31" s="49" t="str">
        <f>IF(AND('Mapa final'!$AH$74="Muy Alta",'Mapa final'!$AJ$74="Catastrófico"),CONCATENATE("R2C",'Mapa final'!$R$74),"")</f>
        <v/>
      </c>
      <c r="AO31" s="68"/>
      <c r="AP31" s="455"/>
      <c r="AQ31" s="456"/>
      <c r="AR31" s="456"/>
      <c r="AS31" s="456"/>
      <c r="AT31" s="456"/>
      <c r="AU31" s="457"/>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row>
    <row r="32" spans="2:77" ht="15" customHeight="1">
      <c r="B32" s="68"/>
      <c r="C32" s="399"/>
      <c r="D32" s="399"/>
      <c r="E32" s="400"/>
      <c r="F32" s="439" t="s">
        <v>257</v>
      </c>
      <c r="G32" s="440"/>
      <c r="H32" s="440"/>
      <c r="I32" s="440"/>
      <c r="J32" s="441"/>
      <c r="K32" s="50"/>
      <c r="L32" s="51" t="e">
        <f>IF(AND('Mapa final'!#REF!="Media",'Mapa final'!#REF!="Leve"),CONCATENATE("R2C",'Mapa final'!$R$15),"")</f>
        <v>#REF!</v>
      </c>
      <c r="M32" s="51" t="str">
        <f>IF(AND('Mapa final'!$AH$21="Media",'Mapa final'!$AJ$21="Leve"),CONCATENATE("R2C",'Mapa final'!$R$21),"")</f>
        <v/>
      </c>
      <c r="N32" s="54" t="e">
        <f>IF(AND('Mapa final'!#REF!="Alta",'Mapa final'!#REF!="Leve"),CONCATENATE("R2C",'Mapa final'!#REF!),"")</f>
        <v>#REF!</v>
      </c>
      <c r="O32" s="51" t="e">
        <f>IF(AND('Mapa final'!#REF!="Media",'Mapa final'!#REF!="Leve"),CONCATENATE("R2C",'Mapa final'!#REF!),"")</f>
        <v>#REF!</v>
      </c>
      <c r="P32" s="52" t="e">
        <f>IF(AND('Mapa final'!#REF!="Media",'Mapa final'!#REF!="Leve"),CONCATENATE("R2C",'Mapa final'!#REF!),"")</f>
        <v>#REF!</v>
      </c>
      <c r="Q32" s="50"/>
      <c r="R32" s="51" t="e">
        <f>IF(AND('Mapa final'!#REF!="Media",'Mapa final'!#REF!="Menore"),CONCATENATE("R2C",'Mapa final'!$R$15),"")</f>
        <v>#REF!</v>
      </c>
      <c r="S32" s="51" t="str">
        <f>IF(AND('Mapa final'!$AH$21="Media",'Mapa final'!$AJ$21="Menor"),CONCATENATE("R2C",'Mapa final'!$R$21),"")</f>
        <v/>
      </c>
      <c r="T32" s="51" t="e">
        <f>IF(AND('Mapa final'!#REF!="Media",'Mapa final'!#REF!="Menor"),CONCATENATE("R2C",'Mapa final'!#REF!),"")</f>
        <v>#REF!</v>
      </c>
      <c r="U32" s="51" t="e">
        <f>IF(AND('Mapa final'!#REF!="Media",'Mapa final'!#REF!="Menor"),CONCATENATE("R2C",'Mapa final'!#REF!),"")</f>
        <v>#REF!</v>
      </c>
      <c r="V32" s="52" t="e">
        <f>IF(AND('Mapa final'!#REF!="Media",'Mapa final'!#REF!="Menor"),CONCATENATE("R2C",'Mapa final'!#REF!),"")</f>
        <v>#REF!</v>
      </c>
      <c r="W32" s="50"/>
      <c r="X32" s="51" t="e">
        <f>IF(AND('Mapa final'!#REF!="Media",'Mapa final'!#REF!="Moderado"),CONCATENATE("R2C",'Mapa final'!$R$15),"")</f>
        <v>#REF!</v>
      </c>
      <c r="Y32" s="51"/>
      <c r="Z32" s="51" t="e">
        <f>IF(AND('Mapa final'!#REF!="Media",'Mapa final'!#REF!="Moderado"),CONCATENATE("R2C",'Mapa final'!#REF!),"")</f>
        <v>#REF!</v>
      </c>
      <c r="AA32" s="51" t="e">
        <f>IF(AND('Mapa final'!#REF!="Media",'Mapa final'!#REF!="Moderado"),CONCATENATE("R2C",'Mapa final'!#REF!),"")</f>
        <v>#REF!</v>
      </c>
      <c r="AB32" s="52" t="e">
        <f>IF(AND('Mapa final'!#REF!="Media",'Mapa final'!#REF!="Moderado"),CONCATENATE("R2C",'Mapa final'!#REF!),"")</f>
        <v>#REF!</v>
      </c>
      <c r="AC32" s="32"/>
      <c r="AD32" s="33" t="e">
        <f>IF(AND('Mapa final'!#REF!="Media",'Mapa final'!#REF!="Mayor"),CONCATENATE("R2C",'Mapa final'!$R$15),"")</f>
        <v>#REF!</v>
      </c>
      <c r="AE32" s="33" t="str">
        <f>IF(AND('Mapa final'!$AH$21="Media",'Mapa final'!$AJ$21="Mayor"),CONCATENATE("R2C",'Mapa final'!$R$21),"")</f>
        <v/>
      </c>
      <c r="AF32" s="33" t="e">
        <f>IF(AND('Mapa final'!#REF!="Media",'Mapa final'!#REF!="Mayor"),CONCATENATE("R2C",'Mapa final'!#REF!),"")</f>
        <v>#REF!</v>
      </c>
      <c r="AG32" s="33" t="e">
        <f>IF(AND('Mapa final'!#REF!="Media",'Mapa final'!#REF!="Mayor"),CONCATENATE("R2C",'Mapa final'!#REF!),"")</f>
        <v>#REF!</v>
      </c>
      <c r="AH32" s="34" t="e">
        <f>IF(AND('Mapa final'!#REF!="Media",'Mapa final'!#REF!="Mayor"),CONCATENATE("R2C",'Mapa final'!#REF!),"")</f>
        <v>#REF!</v>
      </c>
      <c r="AI32" s="35"/>
      <c r="AJ32" s="36" t="e">
        <f>IF(AND('Mapa final'!#REF!="Media",'Mapa final'!#REF!="Catastrófico"),CONCATENATE("R2C",'Mapa final'!$R$15),"")</f>
        <v>#REF!</v>
      </c>
      <c r="AK32" s="36" t="str">
        <f>IF(AND('Mapa final'!$AH$21="Media",'Mapa final'!$AJ$21="Catastrófico"),CONCATENATE("R2C",'Mapa final'!$R$21),"")</f>
        <v/>
      </c>
      <c r="AL32" s="36" t="e">
        <f>IF(AND('Mapa final'!#REF!="Media",'Mapa final'!#REF!="Catastrófico"),CONCATENATE("R2C",'Mapa final'!#REF!),"")</f>
        <v>#REF!</v>
      </c>
      <c r="AM32" s="36" t="e">
        <f>IF(AND('Mapa final'!#REF!="Media",'Mapa final'!#REF!="Catastrófico"),CONCATENATE("R2C",'Mapa final'!#REF!),"")</f>
        <v>#REF!</v>
      </c>
      <c r="AN32" s="37" t="e">
        <f>IF(AND('Mapa final'!#REF!="Media",'Mapa final'!#REF!="Catastrófico"),CONCATENATE("R2C",'Mapa final'!#REF!),"")</f>
        <v>#REF!</v>
      </c>
      <c r="AO32" s="68"/>
      <c r="AP32" s="480" t="s">
        <v>121</v>
      </c>
      <c r="AQ32" s="481"/>
      <c r="AR32" s="481"/>
      <c r="AS32" s="481"/>
      <c r="AT32" s="481"/>
      <c r="AU32" s="482"/>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row>
    <row r="33" spans="2:77" ht="15" customHeight="1">
      <c r="B33" s="68"/>
      <c r="C33" s="399"/>
      <c r="D33" s="399"/>
      <c r="E33" s="400"/>
      <c r="F33" s="458"/>
      <c r="G33" s="443"/>
      <c r="H33" s="443"/>
      <c r="I33" s="443"/>
      <c r="J33" s="444"/>
      <c r="K33" s="53" t="e">
        <f>IF(AND('Mapa final'!#REF!="Media",'Mapa final'!#REF!="Leve"),CONCATENATE("R2C",'Mapa final'!#REF!),"")</f>
        <v>#REF!</v>
      </c>
      <c r="L33" s="54" t="e">
        <f>IF(AND('Mapa final'!#REF!="Media",'Mapa final'!#REF!="Leve"),CONCATENATE("R2C",'Mapa final'!#REF!),"")</f>
        <v>#REF!</v>
      </c>
      <c r="M33" s="54" t="str">
        <f>IF(AND('Mapa final'!$AH$22="Media",'Mapa final'!$AJ$22="Leve"),CONCATENATE("R2C",'Mapa final'!$R$22),"")</f>
        <v/>
      </c>
      <c r="N33" s="54" t="e">
        <f>IF(AND('Mapa final'!#REF!="Alta",'Mapa final'!#REF!="Leve"),CONCATENATE("R2C",'Mapa final'!#REF!),"")</f>
        <v>#REF!</v>
      </c>
      <c r="O33" s="54" t="str">
        <f>IF(AND('Mapa final'!$AH$24="Media",'Mapa final'!$AJ$24="Leve"),CONCATENATE("R2C",'Mapa final'!$R$24),"")</f>
        <v/>
      </c>
      <c r="P33" s="55" t="str">
        <f>IF(AND('Mapa final'!$AH$25="Media",'Mapa final'!$AJ$25="Leve"),CONCATENATE("R2C",'Mapa final'!$R$25),"")</f>
        <v/>
      </c>
      <c r="Q33" s="53" t="e">
        <f>IF(AND('Mapa final'!#REF!="Media",'Mapa final'!#REF!="Menor"),CONCATENATE("R2C",'Mapa final'!#REF!),"")</f>
        <v>#REF!</v>
      </c>
      <c r="R33" s="54" t="e">
        <f>IF(AND('Mapa final'!#REF!="Media",'Mapa final'!#REF!="Menor"),CONCATENATE("R2C",'Mapa final'!#REF!),"")</f>
        <v>#REF!</v>
      </c>
      <c r="S33" s="54" t="str">
        <f>IF(AND('Mapa final'!$AH$22="Media",'Mapa final'!$AJ$22="Menor"),CONCATENATE("R2C",'Mapa final'!$R$22),"")</f>
        <v/>
      </c>
      <c r="T33" s="54" t="str">
        <f>IF(AND('Mapa final'!$AH$23="Media",'Mapa final'!$AJ$23="Menor"),CONCATENATE("R2C",'Mapa final'!$R$23),"")</f>
        <v/>
      </c>
      <c r="U33" s="54" t="str">
        <f>IF(AND('Mapa final'!$AH$24="Media",'Mapa final'!$AJ$24="Menor"),CONCATENATE("R2C",'Mapa final'!$R$24),"")</f>
        <v/>
      </c>
      <c r="V33" s="55" t="str">
        <f>IF(AND('Mapa final'!$AH$25="Media",'Mapa final'!$AJ$25="Menor"),CONCATENATE("R2C",'Mapa final'!$R$25),"")</f>
        <v/>
      </c>
      <c r="W33" s="53" t="e">
        <f>IF(AND('Mapa final'!#REF!="Media",'Mapa final'!#REF!="Moderado"),CONCATENATE("R2C",'Mapa final'!#REF!),"")</f>
        <v>#REF!</v>
      </c>
      <c r="X33" s="54" t="e">
        <f>IF(AND('Mapa final'!#REF!="Media",'Mapa final'!#REF!="Moderado"),CONCATENATE("R2C",'Mapa final'!#REF!),"")</f>
        <v>#REF!</v>
      </c>
      <c r="Y33" s="54" t="str">
        <f>IF(AND('Mapa final'!$AH$22="Media",'Mapa final'!$AJ$22="Moderado"),CONCATENATE("R2C",'Mapa final'!$R$22),"")</f>
        <v/>
      </c>
      <c r="Z33" s="54" t="str">
        <f>IF(AND('Mapa final'!$AH$23="Media",'Mapa final'!$AJ$23="Moderado"),CONCATENATE("R2C",'Mapa final'!$R$23),"")</f>
        <v/>
      </c>
      <c r="AA33" s="54" t="str">
        <f>IF(AND('Mapa final'!$AH$24="Media",'Mapa final'!$AJ$24="Moderado"),CONCATENATE("R2C",'Mapa final'!$R$24),"")</f>
        <v/>
      </c>
      <c r="AB33" s="55" t="str">
        <f>IF(AND('Mapa final'!$AH$25="Media",'Mapa final'!$AJ$25="Moderado"),CONCATENATE("R2C",'Mapa final'!$R$25),"")</f>
        <v/>
      </c>
      <c r="AC33" s="38" t="e">
        <f>IF(AND('Mapa final'!#REF!="Media",'Mapa final'!#REF!="Mayor"),CONCATENATE("R2C",'Mapa final'!#REF!),"")</f>
        <v>#REF!</v>
      </c>
      <c r="AD33" s="39" t="e">
        <f>IF(AND('Mapa final'!#REF!="Muy Alta",'Mapa final'!#REF!="Mayor"),CONCATENATE("R2C",'Mapa final'!#REF!),"")</f>
        <v>#REF!</v>
      </c>
      <c r="AE33" s="39" t="str">
        <f>IF(AND('Mapa final'!$AH$22="Media",'Mapa final'!$AJ$22="Mayor"),CONCATENATE("R2C",'Mapa final'!$R$22),"")</f>
        <v/>
      </c>
      <c r="AF33" s="39" t="str">
        <f>IF(AND('Mapa final'!$AH$23="Media",'Mapa final'!$AJ$23="Mayor"),CONCATENATE("R2C",'Mapa final'!$R$23),"")</f>
        <v/>
      </c>
      <c r="AG33" s="39" t="str">
        <f>IF(AND('Mapa final'!$AH$24="Media",'Mapa final'!$AJ$24="Mayor"),CONCATENATE("R2C",'Mapa final'!$R$24),"")</f>
        <v/>
      </c>
      <c r="AH33" s="40" t="str">
        <f>IF(AND('Mapa final'!$AH$25="Media",'Mapa final'!$AJ$25="Mayor"),CONCATENATE("R2C",'Mapa final'!$R$25),"")</f>
        <v/>
      </c>
      <c r="AI33" s="41" t="e">
        <f>IF(AND('Mapa final'!#REF!="Media",'Mapa final'!#REF!="Catastrófico"),CONCATENATE("R2C",'Mapa final'!#REF!),"")</f>
        <v>#REF!</v>
      </c>
      <c r="AJ33" s="42" t="e">
        <f>IF(AND('Mapa final'!#REF!="Media",'Mapa final'!#REF!="Catastrófico"),CONCATENATE("R2C",'Mapa final'!#REF!),"")</f>
        <v>#REF!</v>
      </c>
      <c r="AK33" s="42" t="str">
        <f>IF(AND('Mapa final'!$AH$22="Media",'Mapa final'!$AJ$22="Catastrófico"),CONCATENATE("R2C",'Mapa final'!$R$22),"")</f>
        <v/>
      </c>
      <c r="AL33" s="42" t="str">
        <f>IF(AND('Mapa final'!$AH$23="Media",'Mapa final'!$AJ$23="Catastrófico"),CONCATENATE("R2C",'Mapa final'!$R$23),"")</f>
        <v/>
      </c>
      <c r="AM33" s="42" t="str">
        <f>IF(AND('Mapa final'!$AH$24="Media",'Mapa final'!$AJ$24="Catastrófico"),CONCATENATE("R2C",'Mapa final'!$R$24),"")</f>
        <v/>
      </c>
      <c r="AN33" s="43" t="str">
        <f>IF(AND('Mapa final'!$AH$25="Media",'Mapa final'!$AJ$25="Catastrófico"),CONCATENATE("R2C",'Mapa final'!$R$25),"")</f>
        <v/>
      </c>
      <c r="AO33" s="68"/>
      <c r="AP33" s="483"/>
      <c r="AQ33" s="484"/>
      <c r="AR33" s="484"/>
      <c r="AS33" s="484"/>
      <c r="AT33" s="484"/>
      <c r="AU33" s="485"/>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row>
    <row r="34" spans="2:77" ht="15" customHeight="1">
      <c r="B34" s="68"/>
      <c r="C34" s="399"/>
      <c r="D34" s="399"/>
      <c r="E34" s="400"/>
      <c r="F34" s="442"/>
      <c r="G34" s="443"/>
      <c r="H34" s="443"/>
      <c r="I34" s="443"/>
      <c r="J34" s="444"/>
      <c r="K34" s="53" t="str">
        <f>IF(AND('Mapa final'!$AH$26="Media",'Mapa final'!$AJ$26="Leve"),CONCATENATE("R2C",'Mapa final'!$R$26),"")</f>
        <v/>
      </c>
      <c r="L34" s="54" t="str">
        <f>IF(AND('Mapa final'!$AH$27="Media",'Mapa final'!$AJ$27="Leve"),CONCATENATE("R2C",'Mapa final'!$R$27),"")</f>
        <v/>
      </c>
      <c r="M34" s="54" t="str">
        <f>IF(AND('Mapa final'!$AH$28="Media",'Mapa final'!$AJ$28="Leve"),CONCATENATE("R2C",'Mapa final'!$R$28),"")</f>
        <v/>
      </c>
      <c r="N34" s="54" t="e">
        <f>IF(AND('Mapa final'!#REF!="Alta",'Mapa final'!#REF!="Leve"),CONCATENATE("R2C",'Mapa final'!#REF!),"")</f>
        <v>#REF!</v>
      </c>
      <c r="O34" s="54" t="str">
        <f>IF(AND('Mapa final'!$AH$30="Media",'Mapa final'!$AJ$30="Leve"),CONCATENATE("R2C",'Mapa final'!$R$30),"")</f>
        <v/>
      </c>
      <c r="P34" s="55" t="str">
        <f>IF(AND('Mapa final'!$AH$31="Media",'Mapa final'!$AJ$31="Leve"),CONCATENATE("R2C",'Mapa final'!$R$31),"")</f>
        <v/>
      </c>
      <c r="Q34" s="53" t="str">
        <f>IF(AND('Mapa final'!$AH$26="Media",'Mapa final'!$AJ$26="Menor"),CONCATENATE("R2C",'Mapa final'!$R$26),"")</f>
        <v/>
      </c>
      <c r="R34" s="54" t="str">
        <f>IF(AND('Mapa final'!$AH$27="Media",'Mapa final'!$AJ$27="Menor"),CONCATENATE("R2C",'Mapa final'!$R$27),"")</f>
        <v/>
      </c>
      <c r="S34" s="54" t="str">
        <f>IF(AND('Mapa final'!$AH$28="Media",'Mapa final'!$AJ$28="Menor"),CONCATENATE("R2C",'Mapa final'!$R$28),"")</f>
        <v/>
      </c>
      <c r="T34" s="54" t="str">
        <f>IF(AND('Mapa final'!$AH$29="Media",'Mapa final'!$AJ$29="Menor"),CONCATENATE("R2C",'Mapa final'!$R$29),"")</f>
        <v/>
      </c>
      <c r="U34" s="54" t="str">
        <f>IF(AND('Mapa final'!$AH$30="Media",'Mapa final'!$AJ$30="Menor"),CONCATENATE("R2C",'Mapa final'!$R$30),"")</f>
        <v/>
      </c>
      <c r="V34" s="55" t="str">
        <f>IF(AND('Mapa final'!$AH$31="Media",'Mapa final'!$AJ$31="Menor"),CONCATENATE("R2C",'Mapa final'!$R$31),"")</f>
        <v/>
      </c>
      <c r="W34" s="53" t="str">
        <f>IF(AND('Mapa final'!$AH$26="Media",'Mapa final'!$AJ$26="Moderado"),CONCATENATE("R2C",'Mapa final'!$R$26),"")</f>
        <v/>
      </c>
      <c r="X34" s="54" t="str">
        <f>IF(AND('Mapa final'!$AH$27="Media",'Mapa final'!$AJ$27="Moderado"),CONCATENATE("R2C",'Mapa final'!$R$27),"")</f>
        <v/>
      </c>
      <c r="Y34" s="54" t="str">
        <f>IF(AND('Mapa final'!$AH$28="Media",'Mapa final'!$AJ$28="Moderado"),CONCATENATE("R2C",'Mapa final'!$R$28),"")</f>
        <v/>
      </c>
      <c r="Z34" s="54" t="str">
        <f>IF(AND('Mapa final'!$AH$29="Media",'Mapa final'!$AJ$29="Moderado"),CONCATENATE("R2C",'Mapa final'!$R$29),"")</f>
        <v/>
      </c>
      <c r="AA34" s="54" t="str">
        <f>IF(AND('Mapa final'!$AH$30="Media",'Mapa final'!$AJ$30="Moderado"),CONCATENATE("R2C",'Mapa final'!$R$30),"")</f>
        <v/>
      </c>
      <c r="AB34" s="55" t="str">
        <f>IF(AND('Mapa final'!$AH$31="Media",'Mapa final'!$AJ$31="Moderado"),CONCATENATE("R2C",'Mapa final'!$R$31),"")</f>
        <v/>
      </c>
      <c r="AC34" s="38" t="str">
        <f>IF(AND('Mapa final'!$AH$26="Media",'Mapa final'!$AJ$26="Mayor"),CONCATENATE("R2C",'Mapa final'!$R$26),"")</f>
        <v/>
      </c>
      <c r="AD34" s="39" t="str">
        <f>IF(AND('Mapa final'!$AH$27="Media",'Mapa final'!$AJ$27="Mayor"),CONCATENATE("R2C",'Mapa final'!$R$27),"")</f>
        <v/>
      </c>
      <c r="AE34" s="39" t="str">
        <f>IF(AND('Mapa final'!$AH$28="Media",'Mapa final'!$AJ$28="Mayor"),CONCATENATE("R2C",'Mapa final'!$R$28),"")</f>
        <v/>
      </c>
      <c r="AF34" s="39" t="str">
        <f>IF(AND('Mapa final'!$AH$29="Media",'Mapa final'!$AJ$29="Mayor"),CONCATENATE("R2C",'Mapa final'!$R$29),"")</f>
        <v/>
      </c>
      <c r="AG34" s="39" t="str">
        <f>IF(AND('Mapa final'!$AH$30="Media",'Mapa final'!$AJ$30="Mayor"),CONCATENATE("R2C",'Mapa final'!$R$30),"")</f>
        <v/>
      </c>
      <c r="AH34" s="40" t="str">
        <f>IF(AND('Mapa final'!$AH$31="Media",'Mapa final'!$AJ$31="Mayor"),CONCATENATE("R2C",'Mapa final'!$R$31),"")</f>
        <v/>
      </c>
      <c r="AI34" s="41" t="str">
        <f>IF(AND('Mapa final'!$AH$26="Media",'Mapa final'!$AJ$26="Catastrófico"),CONCATENATE("R2C",'Mapa final'!$R$26),"")</f>
        <v/>
      </c>
      <c r="AJ34" s="42" t="str">
        <f>IF(AND('Mapa final'!$AH$27="Media",'Mapa final'!$AJ$27="Catastrófico"),CONCATENATE("R2C",'Mapa final'!$R$27),"")</f>
        <v/>
      </c>
      <c r="AK34" s="42" t="str">
        <f>IF(AND('Mapa final'!$AH$28="Media",'Mapa final'!$AJ$28="Catastrófico"),CONCATENATE("R2C",'Mapa final'!$R$28),"")</f>
        <v/>
      </c>
      <c r="AL34" s="42" t="str">
        <f>IF(AND('Mapa final'!$AH$29="Media",'Mapa final'!$AJ$29="Catastrófico"),CONCATENATE("R2C",'Mapa final'!$R$29),"")</f>
        <v/>
      </c>
      <c r="AM34" s="42" t="str">
        <f>IF(AND('Mapa final'!$AH$30="Media",'Mapa final'!$AJ$30="Catastrófico"),CONCATENATE("R2C",'Mapa final'!$R$30),"")</f>
        <v/>
      </c>
      <c r="AN34" s="43" t="str">
        <f>IF(AND('Mapa final'!$AH$31="Media",'Mapa final'!$AJ$31="Catastrófico"),CONCATENATE("R2C",'Mapa final'!$R$31),"")</f>
        <v/>
      </c>
      <c r="AO34" s="68"/>
      <c r="AP34" s="483"/>
      <c r="AQ34" s="484"/>
      <c r="AR34" s="484"/>
      <c r="AS34" s="484"/>
      <c r="AT34" s="484"/>
      <c r="AU34" s="485"/>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row>
    <row r="35" spans="2:77" ht="15" customHeight="1">
      <c r="B35" s="68"/>
      <c r="C35" s="399"/>
      <c r="D35" s="399"/>
      <c r="E35" s="400"/>
      <c r="F35" s="442"/>
      <c r="G35" s="443"/>
      <c r="H35" s="443"/>
      <c r="I35" s="443"/>
      <c r="J35" s="444"/>
      <c r="K35" s="53" t="str">
        <f>IF(AND('Mapa final'!$AH$32="Media",'Mapa final'!$AJ$32="Leve"),CONCATENATE("R2C",'Mapa final'!$R$32),"")</f>
        <v/>
      </c>
      <c r="L35" s="54" t="str">
        <f>IF(AND('Mapa final'!$AH$33="Media",'Mapa final'!$AJ$33="Leve"),CONCATENATE("R2C",'Mapa final'!$R$33),"")</f>
        <v/>
      </c>
      <c r="M35" s="54" t="str">
        <f>IF(AND('Mapa final'!$AH$34="Media",'Mapa final'!$AJ$34="Leve"),CONCATENATE("R2C",'Mapa final'!$R$34),"")</f>
        <v/>
      </c>
      <c r="N35" s="54" t="e">
        <f>IF(AND('Mapa final'!#REF!="Alta",'Mapa final'!#REF!="Leve"),CONCATENATE("R2C",'Mapa final'!#REF!),"")</f>
        <v>#REF!</v>
      </c>
      <c r="O35" s="54" t="str">
        <f>IF(AND('Mapa final'!$AH$36="Media",'Mapa final'!$AJ$36="Leve"),CONCATENATE("R2C",'Mapa final'!$R$36),"")</f>
        <v/>
      </c>
      <c r="P35" s="55" t="str">
        <f>IF(AND('Mapa final'!$AH$37="Media",'Mapa final'!$AJ$37="Leve"),CONCATENATE("R2C",'Mapa final'!$R$37),"")</f>
        <v/>
      </c>
      <c r="Q35" s="53" t="str">
        <f>IF(AND('Mapa final'!$AH$32="Media",'Mapa final'!$AJ$32="Menor"),CONCATENATE("R2C",'Mapa final'!$R$32),"")</f>
        <v/>
      </c>
      <c r="R35" s="54" t="str">
        <f>IF(AND('Mapa final'!$AH$33="Media",'Mapa final'!$AJ$33="Menor"),CONCATENATE("R2C",'Mapa final'!$R$33),"")</f>
        <v/>
      </c>
      <c r="S35" s="54" t="str">
        <f>IF(AND('Mapa final'!$AH$34="Media",'Mapa final'!$AJ$34="Menor"),CONCATENATE("R2C",'Mapa final'!$R$34),"")</f>
        <v/>
      </c>
      <c r="T35" s="54" t="str">
        <f>IF(AND('Mapa final'!$AH$35="Media",'Mapa final'!$AJ$35="Menor"),CONCATENATE("R2C",'Mapa final'!$R$35),"")</f>
        <v/>
      </c>
      <c r="U35" s="54" t="str">
        <f>IF(AND('Mapa final'!$AH$36="Media",'Mapa final'!$AJ$36="LMenor"),CONCATENATE("R2C",'Mapa final'!$R$36),"")</f>
        <v/>
      </c>
      <c r="V35" s="55" t="str">
        <f>IF(AND('Mapa final'!$AH$37="Media",'Mapa final'!$AJ$37="Menor"),CONCATENATE("R2C",'Mapa final'!$R$37),"")</f>
        <v/>
      </c>
      <c r="W35" s="53" t="str">
        <f>IF(AND('Mapa final'!$AH$32="Media",'Mapa final'!$AJ$32="Moderado"),CONCATENATE("R2C",'Mapa final'!$R$32),"")</f>
        <v/>
      </c>
      <c r="X35" s="54" t="str">
        <f>IF(AND('Mapa final'!$AH$33="Media",'Mapa final'!$AJ$33="Moderado"),CONCATENATE("R2C",'Mapa final'!$R$33),"")</f>
        <v/>
      </c>
      <c r="Y35" s="54" t="str">
        <f>IF(AND('Mapa final'!$AH$34="Media",'Mapa final'!$AJ$34="Moderado"),CONCATENATE("R2C",'Mapa final'!$R$34),"")</f>
        <v/>
      </c>
      <c r="Z35" s="54" t="str">
        <f>IF(AND('Mapa final'!$AH$35="Media",'Mapa final'!$AJ$35="Moderado"),CONCATENATE("R2C",'Mapa final'!$R$35),"")</f>
        <v/>
      </c>
      <c r="AA35" s="54" t="str">
        <f>IF(AND('Mapa final'!$AH$36="Media",'Mapa final'!$AJ$36="Moderado"),CONCATENATE("R2C",'Mapa final'!$R$36),"")</f>
        <v/>
      </c>
      <c r="AB35" s="55" t="str">
        <f>IF(AND('Mapa final'!$AH$37="Media",'Mapa final'!$AJ$37="Moderado"),CONCATENATE("R2C",'Mapa final'!$R$37),"")</f>
        <v/>
      </c>
      <c r="AC35" s="38" t="str">
        <f>IF(AND('Mapa final'!$AH$32="Media",'Mapa final'!$AJ$32="Mayor"),CONCATENATE("R2C",'Mapa final'!$R$32),"")</f>
        <v/>
      </c>
      <c r="AD35" s="39" t="str">
        <f>IF(AND('Mapa final'!$AH$33="Media",'Mapa final'!$AJ$33="Mayor"),CONCATENATE("R2C",'Mapa final'!$R$33),"")</f>
        <v/>
      </c>
      <c r="AE35" s="39" t="str">
        <f>IF(AND('Mapa final'!$AH$34="Media",'Mapa final'!$AJ$34="Mayor"),CONCATENATE("R2C",'Mapa final'!$R$34),"")</f>
        <v/>
      </c>
      <c r="AF35" s="39" t="str">
        <f>IF(AND('Mapa final'!$AH$35="Media",'Mapa final'!$AJ$35="Mayor"),CONCATENATE("R2C",'Mapa final'!$R$35),"")</f>
        <v/>
      </c>
      <c r="AG35" s="39" t="str">
        <f>IF(AND('Mapa final'!$AH$36="Media",'Mapa final'!$AJ$36="Mayor"),CONCATENATE("R2C",'Mapa final'!$R$36),"")</f>
        <v/>
      </c>
      <c r="AH35" s="40" t="str">
        <f>IF(AND('Mapa final'!$AH$37="Media",'Mapa final'!$AJ$37="Mayor"),CONCATENATE("R2C",'Mapa final'!$R$37),"")</f>
        <v/>
      </c>
      <c r="AI35" s="41" t="str">
        <f>IF(AND('Mapa final'!$AH$32="Media",'Mapa final'!$AJ$32="Catastrófico"),CONCATENATE("R2C",'Mapa final'!$R$32),"")</f>
        <v/>
      </c>
      <c r="AJ35" s="42" t="str">
        <f>IF(AND('Mapa final'!$AH$33="Media",'Mapa final'!$AJ$33="Catastrófico"),CONCATENATE("R2C",'Mapa final'!$R$33),"")</f>
        <v/>
      </c>
      <c r="AK35" s="42" t="str">
        <f>IF(AND('Mapa final'!$AH$34="Media",'Mapa final'!$AJ$34="Catastrófico"),CONCATENATE("R2C",'Mapa final'!$R$34),"")</f>
        <v/>
      </c>
      <c r="AL35" s="42" t="str">
        <f>IF(AND('Mapa final'!$AH$35="Media",'Mapa final'!$AJ$35="Catastrófico"),CONCATENATE("R2C",'Mapa final'!$R$35),"")</f>
        <v/>
      </c>
      <c r="AM35" s="42" t="str">
        <f>IF(AND('Mapa final'!$AH$36="Media",'Mapa final'!$AJ$36="LCatastrófico"),CONCATENATE("R2C",'Mapa final'!$R$36),"")</f>
        <v/>
      </c>
      <c r="AN35" s="43" t="str">
        <f>IF(AND('Mapa final'!$AH$37="Media",'Mapa final'!$AJ$37="Catastrófico"),CONCATENATE("R2C",'Mapa final'!$R$37),"")</f>
        <v/>
      </c>
      <c r="AO35" s="68"/>
      <c r="AP35" s="483"/>
      <c r="AQ35" s="484"/>
      <c r="AR35" s="484"/>
      <c r="AS35" s="484"/>
      <c r="AT35" s="484"/>
      <c r="AU35" s="485"/>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row>
    <row r="36" spans="2:77" ht="15" customHeight="1">
      <c r="B36" s="68"/>
      <c r="C36" s="399"/>
      <c r="D36" s="399"/>
      <c r="E36" s="400"/>
      <c r="F36" s="442"/>
      <c r="G36" s="443"/>
      <c r="H36" s="443"/>
      <c r="I36" s="443"/>
      <c r="J36" s="444"/>
      <c r="K36" s="53" t="str">
        <f>IF(AND('Mapa final'!$AH$38="Media",'Mapa final'!$AJ$38="Leve"),CONCATENATE("R2C",'Mapa final'!$R$38),"")</f>
        <v/>
      </c>
      <c r="L36" s="54" t="str">
        <f>IF(AND('Mapa final'!$AH$39="Media",'Mapa final'!$AJ$39="Leve"),CONCATENATE("R2C",'Mapa final'!$R$39),"")</f>
        <v/>
      </c>
      <c r="M36" s="54" t="str">
        <f>IF(AND('Mapa final'!$AH$40="Media",'Mapa final'!$AJ$40="Leve"),CONCATENATE("R2C",'Mapa final'!$R$40),"")</f>
        <v/>
      </c>
      <c r="N36" s="54" t="e">
        <f>IF(AND('Mapa final'!#REF!="Alta",'Mapa final'!#REF!="Leve"),CONCATENATE("R2C",'Mapa final'!#REF!),"")</f>
        <v>#REF!</v>
      </c>
      <c r="O36" s="54" t="str">
        <f>IF(AND('Mapa final'!$AH$42="Media",'Mapa final'!$AJ$42="Leve"),CONCATENATE("R2C",'Mapa final'!$R$42),"")</f>
        <v/>
      </c>
      <c r="P36" s="55" t="str">
        <f>IF(AND('Mapa final'!$AH$43="Media",'Mapa final'!$AJ$43="Leve"),CONCATENATE("R2C",'Mapa final'!$R$43),"")</f>
        <v/>
      </c>
      <c r="Q36" s="53" t="str">
        <f>IF(AND('Mapa final'!$AH$38="Media",'Mapa final'!$AJ$38="Menor"),CONCATENATE("R2C",'Mapa final'!$R$38),"")</f>
        <v/>
      </c>
      <c r="R36" s="54" t="str">
        <f>IF(AND('Mapa final'!$AH$39="Media",'Mapa final'!$AJ$39="Menor"),CONCATENATE("R2C",'Mapa final'!$R$39),"")</f>
        <v/>
      </c>
      <c r="S36" s="54" t="str">
        <f>IF(AND('Mapa final'!$AH$40="Media",'Mapa final'!$AJ$40="Menor"),CONCATENATE("R2C",'Mapa final'!$R$40),"")</f>
        <v/>
      </c>
      <c r="T36" s="54" t="str">
        <f>IF(AND('Mapa final'!$AH$41="Media",'Mapa final'!$AJ$41="Menor"),CONCATENATE("R2C",'Mapa final'!$R$41),"")</f>
        <v/>
      </c>
      <c r="U36" s="54" t="str">
        <f>IF(AND('Mapa final'!$AH$42="Media",'Mapa final'!$AJ$42="Menor"),CONCATENATE("R2C",'Mapa final'!$R$42),"")</f>
        <v/>
      </c>
      <c r="V36" s="55" t="str">
        <f>IF(AND('Mapa final'!$AH$43="Media",'Mapa final'!$AJ$43="Menor"),CONCATENATE("R2C",'Mapa final'!$R$43),"")</f>
        <v/>
      </c>
      <c r="W36" s="53" t="str">
        <f>IF(AND('Mapa final'!$AH$38="Media",'Mapa final'!$AJ$38="Moderado"),CONCATENATE("R2C",'Mapa final'!$R$38),"")</f>
        <v/>
      </c>
      <c r="X36" s="54" t="str">
        <f>IF(AND('Mapa final'!$AH$39="Media",'Mapa final'!$AJ$39="Moderado"),CONCATENATE("R2C",'Mapa final'!$R$39),"")</f>
        <v/>
      </c>
      <c r="Y36" s="54" t="str">
        <f>IF(AND('Mapa final'!$AH$40="Media",'Mapa final'!$AJ$40="Moderado"),CONCATENATE("R2C",'Mapa final'!$R$40),"")</f>
        <v/>
      </c>
      <c r="Z36" s="54" t="str">
        <f>IF(AND('Mapa final'!$AH$41="Media",'Mapa final'!$AJ$41="Moderado"),CONCATENATE("R2C",'Mapa final'!$R$41),"")</f>
        <v/>
      </c>
      <c r="AA36" s="54" t="str">
        <f>IF(AND('Mapa final'!$AH$42="Media",'Mapa final'!$AJ$42="Moderado"),CONCATENATE("R2C",'Mapa final'!$R$42),"")</f>
        <v/>
      </c>
      <c r="AB36" s="55" t="str">
        <f>IF(AND('Mapa final'!$AH$43="Media",'Mapa final'!$AJ$43="Moderado"),CONCATENATE("R2C",'Mapa final'!$R$43),"")</f>
        <v/>
      </c>
      <c r="AC36" s="38" t="str">
        <f>IF(AND('Mapa final'!$AH$38="Media",'Mapa final'!$AJ$38="Mayor"),CONCATENATE("R2C",'Mapa final'!$R$38),"")</f>
        <v/>
      </c>
      <c r="AD36" s="39" t="str">
        <f>IF(AND('Mapa final'!$AH$39="Media",'Mapa final'!$AJ$39="Mayor"),CONCATENATE("R2C",'Mapa final'!$R$39),"")</f>
        <v/>
      </c>
      <c r="AE36" s="39" t="str">
        <f>IF(AND('Mapa final'!$AH$40="Media",'Mapa final'!$AJ$40="Mayor"),CONCATENATE("R2C",'Mapa final'!$R$40),"")</f>
        <v/>
      </c>
      <c r="AF36" s="39" t="str">
        <f>IF(AND('Mapa final'!$AH$41="Media",'Mapa final'!$AJ$41="Mayor"),CONCATENATE("R2C",'Mapa final'!$R$41),"")</f>
        <v/>
      </c>
      <c r="AG36" s="39" t="str">
        <f>IF(AND('Mapa final'!$AH$42="Media",'Mapa final'!$AJ$42="Mayor"),CONCATENATE("R2C",'Mapa final'!$R$42),"")</f>
        <v/>
      </c>
      <c r="AH36" s="40" t="str">
        <f>IF(AND('Mapa final'!$AH$43="Media",'Mapa final'!$AJ$43="Mayor"),CONCATENATE("R2C",'Mapa final'!$R$43),"")</f>
        <v/>
      </c>
      <c r="AI36" s="41" t="str">
        <f>IF(AND('Mapa final'!$AH$38="Media",'Mapa final'!$AJ$38="Catastrófico"),CONCATENATE("R2C",'Mapa final'!$R$38),"")</f>
        <v/>
      </c>
      <c r="AJ36" s="42" t="str">
        <f>IF(AND('Mapa final'!$AH$39="Media",'Mapa final'!$AJ$39="Catastrófico"),CONCATENATE("R2C",'Mapa final'!$R$39),"")</f>
        <v/>
      </c>
      <c r="AK36" s="42" t="str">
        <f>IF(AND('Mapa final'!$AH$40="Media",'Mapa final'!$AJ$40="Catastrófico"),CONCATENATE("R2C",'Mapa final'!$R$40),"")</f>
        <v/>
      </c>
      <c r="AL36" s="42" t="str">
        <f>IF(AND('Mapa final'!$AH$41="Media",'Mapa final'!$AJ$41="Catastrófico"),CONCATENATE("R2C",'Mapa final'!$R$41),"")</f>
        <v/>
      </c>
      <c r="AM36" s="42" t="str">
        <f>IF(AND('Mapa final'!$AH$42="Media",'Mapa final'!$AJ$42="Catastrófico"),CONCATENATE("R2C",'Mapa final'!$R$42),"")</f>
        <v/>
      </c>
      <c r="AN36" s="43" t="str">
        <f>IF(AND('Mapa final'!$AH$43="Media",'Mapa final'!$AJ$43="Catastrófico"),CONCATENATE("R2C",'Mapa final'!$R$43),"")</f>
        <v/>
      </c>
      <c r="AO36" s="68"/>
      <c r="AP36" s="483"/>
      <c r="AQ36" s="484"/>
      <c r="AR36" s="484"/>
      <c r="AS36" s="484"/>
      <c r="AT36" s="484"/>
      <c r="AU36" s="485"/>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row>
    <row r="37" spans="2:77" ht="15" customHeight="1">
      <c r="B37" s="68"/>
      <c r="C37" s="399"/>
      <c r="D37" s="399"/>
      <c r="E37" s="400"/>
      <c r="F37" s="442"/>
      <c r="G37" s="443"/>
      <c r="H37" s="443"/>
      <c r="I37" s="443"/>
      <c r="J37" s="444"/>
      <c r="K37" s="53" t="str">
        <f>IF(AND('Mapa final'!$AH$44="Media",'Mapa final'!$AJ$44="Leve"),CONCATENATE("R2C",'Mapa final'!$R$44),"")</f>
        <v/>
      </c>
      <c r="L37" s="54" t="str">
        <f>IF(AND('Mapa final'!$AH$45="Media",'Mapa final'!$AJ$45="Leve"),CONCATENATE("R2C",'Mapa final'!$R$45),"")</f>
        <v/>
      </c>
      <c r="M37" s="54" t="str">
        <f>IF(AND('Mapa final'!$AH$46="Media",'Mapa final'!$AJ$46="Leve"),CONCATENATE("R2C",'Mapa final'!$R$46),"")</f>
        <v/>
      </c>
      <c r="N37" s="54" t="e">
        <f>IF(AND('Mapa final'!#REF!="Alta",'Mapa final'!#REF!="Leve"),CONCATENATE("R2C",'Mapa final'!#REF!),"")</f>
        <v>#REF!</v>
      </c>
      <c r="O37" s="54" t="str">
        <f>IF(AND('Mapa final'!$AH$48="Media",'Mapa final'!$AJ$48="Leve"),CONCATENATE("R2C",'Mapa final'!$R$48),"")</f>
        <v/>
      </c>
      <c r="P37" s="55" t="str">
        <f>IF(AND('Mapa final'!$AH$59="Media",'Mapa final'!$AJ$49="Leve"),CONCATENATE("R2C",'Mapa final'!$R$49),"")</f>
        <v/>
      </c>
      <c r="Q37" s="53" t="str">
        <f>IF(AND('Mapa final'!$AH$44="Media",'Mapa final'!$AJ$44="Menor"),CONCATENATE("R2C",'Mapa final'!$R$44),"")</f>
        <v/>
      </c>
      <c r="R37" s="54" t="str">
        <f>IF(AND('Mapa final'!$AH$45="Media",'Mapa final'!$AJ$45="Menor"),CONCATENATE("R2C",'Mapa final'!$R$45),"")</f>
        <v/>
      </c>
      <c r="S37" s="54" t="str">
        <f>IF(AND('Mapa final'!$AH$46="Media",'Mapa final'!$AJ$46="Menor"),CONCATENATE("R2C",'Mapa final'!$R$46),"")</f>
        <v/>
      </c>
      <c r="T37" s="54" t="str">
        <f>IF(AND('Mapa final'!$AH$47="Media",'Mapa final'!$AJ$47="Menor"),CONCATENATE("R2C",'Mapa final'!$R$47),"")</f>
        <v/>
      </c>
      <c r="U37" s="54" t="str">
        <f>IF(AND('Mapa final'!$AH$48="Media",'Mapa final'!$AJ$48="Menor"),CONCATENATE("R2C",'Mapa final'!$R$48),"")</f>
        <v/>
      </c>
      <c r="V37" s="55" t="str">
        <f>IF(AND('Mapa final'!$AH$59="Media",'Mapa final'!$AJ$49="Menor"),CONCATENATE("R2C",'Mapa final'!$R$49),"")</f>
        <v/>
      </c>
      <c r="W37" s="53" t="str">
        <f>IF(AND('Mapa final'!$AH$44="Media",'Mapa final'!$AJ$44="Moderado"),CONCATENATE("R2C",'Mapa final'!$R$44),"")</f>
        <v/>
      </c>
      <c r="X37" s="54" t="str">
        <f>IF(AND('Mapa final'!$AH$45="Media",'Mapa final'!$AJ$45="Moderado"),CONCATENATE("R2C",'Mapa final'!$R$45),"")</f>
        <v/>
      </c>
      <c r="Y37" s="54" t="str">
        <f>IF(AND('Mapa final'!$AH$46="Media",'Mapa final'!$AJ$46="Moderado"),CONCATENATE("R2C",'Mapa final'!$R$46),"")</f>
        <v/>
      </c>
      <c r="Z37" s="54" t="str">
        <f>IF(AND('Mapa final'!$AH$47="Media",'Mapa final'!$AJ$47="Moderado"),CONCATENATE("R2C",'Mapa final'!$R$47),"")</f>
        <v/>
      </c>
      <c r="AA37" s="54" t="str">
        <f>IF(AND('Mapa final'!$AH$48="Media",'Mapa final'!$AJ$48="Moderado"),CONCATENATE("R2C",'Mapa final'!$R$48),"")</f>
        <v/>
      </c>
      <c r="AB37" s="55" t="str">
        <f>IF(AND('Mapa final'!$AH$59="Media",'Mapa final'!$AJ$49="Moderado"),CONCATENATE("R2C",'Mapa final'!$R$49),"")</f>
        <v/>
      </c>
      <c r="AC37" s="38" t="str">
        <f>IF(AND('Mapa final'!$AH$44="Media",'Mapa final'!$AJ$44="Mayor"),CONCATENATE("R2C",'Mapa final'!$R$44),"")</f>
        <v/>
      </c>
      <c r="AD37" s="39" t="str">
        <f>IF(AND('Mapa final'!$AH$45="Media",'Mapa final'!$AJ$45="Mayor"),CONCATENATE("R2C",'Mapa final'!$R$45),"")</f>
        <v/>
      </c>
      <c r="AE37" s="39" t="str">
        <f>IF(AND('Mapa final'!$AH$46="Media",'Mapa final'!$AJ$46="Mayor"),CONCATENATE("R2C",'Mapa final'!$R$46),"")</f>
        <v/>
      </c>
      <c r="AF37" s="39" t="str">
        <f>IF(AND('Mapa final'!$AH$47="Media",'Mapa final'!$AJ$47="Mayor"),CONCATENATE("R2C",'Mapa final'!$R$47),"")</f>
        <v/>
      </c>
      <c r="AG37" s="39" t="str">
        <f>IF(AND('Mapa final'!$AH$48="Media",'Mapa final'!$AJ$48="Mayor"),CONCATENATE("R2C",'Mapa final'!$R$48),"")</f>
        <v/>
      </c>
      <c r="AH37" s="40" t="str">
        <f>IF(AND('Mapa final'!$AH$59="Media",'Mapa final'!$AJ$49="Mayor"),CONCATENATE("R2C",'Mapa final'!$R$49),"")</f>
        <v/>
      </c>
      <c r="AI37" s="41" t="str">
        <f>IF(AND('Mapa final'!$AH$44="Media",'Mapa final'!$AJ$44="Catastrófico"),CONCATENATE("R2C",'Mapa final'!$R$44),"")</f>
        <v/>
      </c>
      <c r="AJ37" s="42" t="str">
        <f>IF(AND('Mapa final'!$AH$45="Media",'Mapa final'!$AJ$45="Catastrófico"),CONCATENATE("R2C",'Mapa final'!$R$45),"")</f>
        <v/>
      </c>
      <c r="AK37" s="42" t="str">
        <f>IF(AND('Mapa final'!$AH$46="Media",'Mapa final'!$AJ$46="Catastrófico"),CONCATENATE("R2C",'Mapa final'!$R$46),"")</f>
        <v/>
      </c>
      <c r="AL37" s="42" t="str">
        <f>IF(AND('Mapa final'!$AH$47="Media",'Mapa final'!$AJ$47="Catastrófico"),CONCATENATE("R2C",'Mapa final'!$R$47),"")</f>
        <v/>
      </c>
      <c r="AM37" s="42" t="str">
        <f>IF(AND('Mapa final'!$AH$48="Media",'Mapa final'!$AJ$48="Catastrófico"),CONCATENATE("R2C",'Mapa final'!$R$48),"")</f>
        <v/>
      </c>
      <c r="AN37" s="43" t="str">
        <f>IF(AND('Mapa final'!$AH$59="Media",'Mapa final'!$AJ$49="Catastrófico"),CONCATENATE("R2C",'Mapa final'!$R$49),"")</f>
        <v/>
      </c>
      <c r="AO37" s="68"/>
      <c r="AP37" s="483"/>
      <c r="AQ37" s="484"/>
      <c r="AR37" s="484"/>
      <c r="AS37" s="484"/>
      <c r="AT37" s="484"/>
      <c r="AU37" s="485"/>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row>
    <row r="38" spans="2:77" ht="15" customHeight="1">
      <c r="B38" s="68"/>
      <c r="C38" s="399"/>
      <c r="D38" s="399"/>
      <c r="E38" s="400"/>
      <c r="F38" s="442"/>
      <c r="G38" s="443"/>
      <c r="H38" s="443"/>
      <c r="I38" s="443"/>
      <c r="J38" s="444"/>
      <c r="K38" s="53" t="str">
        <f>IF(AND('Mapa final'!$AH$50="Media",'Mapa final'!$AJ$50="Leve"),CONCATENATE("R2C",'Mapa final'!$R$50),"")</f>
        <v/>
      </c>
      <c r="L38" s="54" t="str">
        <f>IF(AND('Mapa final'!$AH$51="Media",'Mapa final'!$AJ$51="Leve"),CONCATENATE("R2C",'Mapa final'!$R$51),"")</f>
        <v/>
      </c>
      <c r="M38" s="54" t="str">
        <f>IF(AND('Mapa final'!$AH$52="Media",'Mapa final'!$AJ$52="Leve"),CONCATENATE("R2C",'Mapa final'!$R$52),"")</f>
        <v/>
      </c>
      <c r="N38" s="54" t="e">
        <f>IF(AND('Mapa final'!#REF!="Alta",'Mapa final'!#REF!="Leve"),CONCATENATE("R2C",'Mapa final'!#REF!),"")</f>
        <v>#REF!</v>
      </c>
      <c r="O38" s="54" t="str">
        <f>IF(AND('Mapa final'!$AH$54="Media",'Mapa final'!$AJ$54="Leve"),CONCATENATE("R2C",'Mapa final'!$R$54),"")</f>
        <v/>
      </c>
      <c r="P38" s="55" t="str">
        <f>IF(AND('Mapa final'!$AH$55="Media",'Mapa final'!$AJ$55="Leve"),CONCATENATE("R2C",'Mapa final'!$R$55),"")</f>
        <v/>
      </c>
      <c r="Q38" s="53" t="str">
        <f>IF(AND('Mapa final'!$AH$50="Media",'Mapa final'!$AJ$50="Menor"),CONCATENATE("R2C",'Mapa final'!$R$50),"")</f>
        <v/>
      </c>
      <c r="R38" s="54" t="str">
        <f>IF(AND('Mapa final'!$AH$51="Media",'Mapa final'!$AJ$51="Menor"),CONCATENATE("R2C",'Mapa final'!$R$51),"")</f>
        <v/>
      </c>
      <c r="S38" s="54" t="str">
        <f>IF(AND('Mapa final'!$AH$52="Media",'Mapa final'!$AJ$52="Menor"),CONCATENATE("R2C",'Mapa final'!$R$52),"")</f>
        <v/>
      </c>
      <c r="T38" s="54" t="str">
        <f>IF(AND('Mapa final'!$AH$53="Media",'Mapa final'!$AJ$53="Menor"),CONCATENATE("R2C",'Mapa final'!$R$53),"")</f>
        <v/>
      </c>
      <c r="U38" s="54" t="str">
        <f>IF(AND('Mapa final'!$AH$54="Media",'Mapa final'!$AJ$54="Menor"),CONCATENATE("R2C",'Mapa final'!$R$54),"")</f>
        <v/>
      </c>
      <c r="V38" s="55" t="str">
        <f>IF(AND('Mapa final'!$AH$55="Media",'Mapa final'!$AJ$55="Menor"),CONCATENATE("R2C",'Mapa final'!$R$55),"")</f>
        <v/>
      </c>
      <c r="W38" s="53" t="str">
        <f>IF(AND('Mapa final'!$AH$50="Media",'Mapa final'!$AJ$50="Moderado"),CONCATENATE("R2C",'Mapa final'!$R$50),"")</f>
        <v/>
      </c>
      <c r="X38" s="54" t="str">
        <f>IF(AND('Mapa final'!$AH$51="Media",'Mapa final'!$AJ$51="Moderado"),CONCATENATE("R2C",'Mapa final'!$R$51),"")</f>
        <v/>
      </c>
      <c r="Y38" s="54" t="str">
        <f>IF(AND('Mapa final'!$AH$52="Media",'Mapa final'!$AJ$52="Moderado"),CONCATENATE("R2C",'Mapa final'!$R$52),"")</f>
        <v/>
      </c>
      <c r="Z38" s="54" t="str">
        <f>IF(AND('Mapa final'!$AH$53="Media",'Mapa final'!$AJ$53="Moderado"),CONCATENATE("R2C",'Mapa final'!$R$53),"")</f>
        <v/>
      </c>
      <c r="AA38" s="54" t="str">
        <f>IF(AND('Mapa final'!$AH$54="Media",'Mapa final'!$AJ$54="Moderado"),CONCATENATE("R2C",'Mapa final'!$R$54),"")</f>
        <v/>
      </c>
      <c r="AB38" s="55" t="str">
        <f>IF(AND('Mapa final'!$AH$55="Media",'Mapa final'!$AJ$55="Moderado"),CONCATENATE("R2C",'Mapa final'!$R$55),"")</f>
        <v/>
      </c>
      <c r="AC38" s="38" t="str">
        <f>IF(AND('Mapa final'!$AH$50="Media",'Mapa final'!$AJ$50="Mayor"),CONCATENATE("R2C",'Mapa final'!$R$50),"")</f>
        <v/>
      </c>
      <c r="AD38" s="39" t="str">
        <f>IF(AND('Mapa final'!$AH$51="Media",'Mapa final'!$AJ$51="Mayor"),CONCATENATE("R2C",'Mapa final'!$R$51),"")</f>
        <v/>
      </c>
      <c r="AE38" s="39" t="str">
        <f>IF(AND('Mapa final'!$AH$52="Media",'Mapa final'!$AJ$52="Mayor"),CONCATENATE("R2C",'Mapa final'!$R$52),"")</f>
        <v/>
      </c>
      <c r="AF38" s="39" t="str">
        <f>IF(AND('Mapa final'!$AH$53="Media",'Mapa final'!$AJ$53="Mayor"),CONCATENATE("R2C",'Mapa final'!$R$53),"")</f>
        <v/>
      </c>
      <c r="AG38" s="39" t="str">
        <f>IF(AND('Mapa final'!$AH$54="Media",'Mapa final'!$AJ$54="Mayor"),CONCATENATE("R2C",'Mapa final'!$R$54),"")</f>
        <v/>
      </c>
      <c r="AH38" s="40" t="str">
        <f>IF(AND('Mapa final'!$AH$55="Media",'Mapa final'!$AJ$55="Mayor"),CONCATENATE("R2C",'Mapa final'!$R$55),"")</f>
        <v/>
      </c>
      <c r="AI38" s="41" t="str">
        <f>IF(AND('Mapa final'!$AH$50="Media",'Mapa final'!$AJ$50="Catastrófico"),CONCATENATE("R2C",'Mapa final'!$R$50),"")</f>
        <v/>
      </c>
      <c r="AJ38" s="42" t="str">
        <f>IF(AND('Mapa final'!$AH$51="Media",'Mapa final'!$AJ$51="Catastrófico"),CONCATENATE("R2C",'Mapa final'!$R$51),"")</f>
        <v/>
      </c>
      <c r="AK38" s="42" t="str">
        <f>IF(AND('Mapa final'!$AH$52="Media",'Mapa final'!$AJ$52="Catastrófico"),CONCATENATE("R2C",'Mapa final'!$R$52),"")</f>
        <v/>
      </c>
      <c r="AL38" s="42" t="str">
        <f>IF(AND('Mapa final'!$AH$53="Media",'Mapa final'!$AJ$53="Catastrófico"),CONCATENATE("R2C",'Mapa final'!$R$53),"")</f>
        <v/>
      </c>
      <c r="AM38" s="42" t="str">
        <f>IF(AND('Mapa final'!$AH$54="Media",'Mapa final'!$AJ$54="Catastrófico"),CONCATENATE("R2C",'Mapa final'!$R$54),"")</f>
        <v/>
      </c>
      <c r="AN38" s="43" t="str">
        <f>IF(AND('Mapa final'!$AH$55="Media",'Mapa final'!$AJ$55="Catastrófico"),CONCATENATE("R2C",'Mapa final'!$R$55),"")</f>
        <v/>
      </c>
      <c r="AO38" s="68"/>
      <c r="AP38" s="483"/>
      <c r="AQ38" s="484"/>
      <c r="AR38" s="484"/>
      <c r="AS38" s="484"/>
      <c r="AT38" s="484"/>
      <c r="AU38" s="485"/>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row>
    <row r="39" spans="2:77" ht="15" customHeight="1">
      <c r="B39" s="68"/>
      <c r="C39" s="399"/>
      <c r="D39" s="399"/>
      <c r="E39" s="400"/>
      <c r="F39" s="442"/>
      <c r="G39" s="443"/>
      <c r="H39" s="443"/>
      <c r="I39" s="443"/>
      <c r="J39" s="444"/>
      <c r="K39" s="53" t="str">
        <f>IF(AND('Mapa final'!$AH$56="Media",'Mapa final'!$AJ$56="Leve"),CONCATENATE("R2C",'Mapa final'!$R$56),"")</f>
        <v/>
      </c>
      <c r="L39" s="54" t="str">
        <f>IF(AND('Mapa final'!$AH$57="Media",'Mapa final'!$AJ$57="Leve"),CONCATENATE("R2C",'Mapa final'!$R$57),"")</f>
        <v/>
      </c>
      <c r="M39" s="54" t="str">
        <f>IF(AND('Mapa final'!$AH$58="Media",'Mapa final'!$AJ$58="Leve"),CONCATENATE("R2C",'Mapa final'!$R$58),"")</f>
        <v/>
      </c>
      <c r="N39" s="54" t="e">
        <f>IF(AND('Mapa final'!#REF!="Alta",'Mapa final'!#REF!="Leve"),CONCATENATE("R2C",'Mapa final'!#REF!),"")</f>
        <v>#REF!</v>
      </c>
      <c r="O39" s="54" t="str">
        <f>IF(AND('Mapa final'!$AH$60="Media",'Mapa final'!$AJ$60="Leve"),CONCATENATE("R2C",'Mapa final'!$R$60),"")</f>
        <v/>
      </c>
      <c r="P39" s="55" t="str">
        <f>IF(AND('Mapa final'!$AH$61="Media",'Mapa final'!$AJ$61="Leve"),CONCATENATE("R2C",'Mapa final'!$R$61),"")</f>
        <v/>
      </c>
      <c r="Q39" s="53" t="str">
        <f>IF(AND('Mapa final'!$AH$56="Media",'Mapa final'!$AJ$56="Menor"),CONCATENATE("R2C",'Mapa final'!$R$56),"")</f>
        <v/>
      </c>
      <c r="R39" s="54" t="str">
        <f>IF(AND('Mapa final'!$AH$57="Media",'Mapa final'!$AJ$57="Menor"),CONCATENATE("R2C",'Mapa final'!$R$57),"")</f>
        <v/>
      </c>
      <c r="S39" s="54" t="str">
        <f>IF(AND('Mapa final'!$AH$58="Media",'Mapa final'!$AJ$58="Menor"),CONCATENATE("R2C",'Mapa final'!$R$58),"")</f>
        <v/>
      </c>
      <c r="T39" s="54" t="str">
        <f>IF(AND('Mapa final'!$AH$59="Media",'Mapa final'!$AJ$59="Menor"),CONCATENATE("R2C",'Mapa final'!$R$59),"")</f>
        <v/>
      </c>
      <c r="U39" s="54" t="str">
        <f>IF(AND('Mapa final'!$AH$60="Media",'Mapa final'!$AJ$60="Menor"),CONCATENATE("R2C",'Mapa final'!$R$60),"")</f>
        <v/>
      </c>
      <c r="V39" s="55" t="str">
        <f>IF(AND('Mapa final'!$AH$61="Media",'Mapa final'!$AJ$61="Menor"),CONCATENATE("R2C",'Mapa final'!$R$61),"")</f>
        <v/>
      </c>
      <c r="W39" s="53" t="str">
        <f>IF(AND('Mapa final'!$AH$56="Media",'Mapa final'!$AJ$56="Moderado"),CONCATENATE("R2C",'Mapa final'!$R$56),"")</f>
        <v/>
      </c>
      <c r="X39" s="54" t="str">
        <f>IF(AND('Mapa final'!$AH$57="Media",'Mapa final'!$AJ$57="Moderado"),CONCATENATE("R2C",'Mapa final'!$R$57),"")</f>
        <v/>
      </c>
      <c r="Y39" s="54" t="str">
        <f>IF(AND('Mapa final'!$AH$58="Media",'Mapa final'!$AJ$58="Moderado"),CONCATENATE("R2C",'Mapa final'!$R$58),"")</f>
        <v/>
      </c>
      <c r="Z39" s="54" t="str">
        <f>IF(AND('Mapa final'!$AH$59="Media",'Mapa final'!$AJ$59="Moderado"),CONCATENATE("R2C",'Mapa final'!$R$59),"")</f>
        <v/>
      </c>
      <c r="AA39" s="54" t="str">
        <f>IF(AND('Mapa final'!$AH$60="Media",'Mapa final'!$AJ$60="Moderado"),CONCATENATE("R2C",'Mapa final'!$R$60),"")</f>
        <v/>
      </c>
      <c r="AB39" s="55" t="str">
        <f>IF(AND('Mapa final'!$AH$61="Media",'Mapa final'!$AJ$61="Moderado"),CONCATENATE("R2C",'Mapa final'!$R$61),"")</f>
        <v/>
      </c>
      <c r="AC39" s="38" t="str">
        <f>IF(AND('Mapa final'!$AH$56="Media",'Mapa final'!$AJ$56="Mayor"),CONCATENATE("R2C",'Mapa final'!$R$56),"")</f>
        <v/>
      </c>
      <c r="AD39" s="39" t="str">
        <f>IF(AND('Mapa final'!$AH$57="Media",'Mapa final'!$AJ$57="Mayor"),CONCATENATE("R2C",'Mapa final'!$R$57),"")</f>
        <v/>
      </c>
      <c r="AE39" s="39" t="str">
        <f>IF(AND('Mapa final'!$AH$58="Media",'Mapa final'!$AJ$58="Mayor"),CONCATENATE("R2C",'Mapa final'!$R$58),"")</f>
        <v/>
      </c>
      <c r="AF39" s="39" t="str">
        <f>IF(AND('Mapa final'!$AH$59="Media",'Mapa final'!$AJ$59="Mayor"),CONCATENATE("R2C",'Mapa final'!$R$59),"")</f>
        <v/>
      </c>
      <c r="AG39" s="39" t="str">
        <f>IF(AND('Mapa final'!$AH$60="Media",'Mapa final'!$AJ$60="Mayor"),CONCATENATE("R2C",'Mapa final'!$R$60),"")</f>
        <v/>
      </c>
      <c r="AH39" s="40" t="str">
        <f>IF(AND('Mapa final'!$AH$61="Media",'Mapa final'!$AJ$61="Mayor"),CONCATENATE("R2C",'Mapa final'!$R$61),"")</f>
        <v/>
      </c>
      <c r="AI39" s="41" t="str">
        <f>IF(AND('Mapa final'!$AH$56="Media",'Mapa final'!$AJ$56="Catastrófico"),CONCATENATE("R2C",'Mapa final'!$R$56),"")</f>
        <v/>
      </c>
      <c r="AJ39" s="42" t="str">
        <f>IF(AND('Mapa final'!$AH$57="Media",'Mapa final'!$AJ$57="Catastrófico"),CONCATENATE("R2C",'Mapa final'!$R$57),"")</f>
        <v/>
      </c>
      <c r="AK39" s="42" t="str">
        <f>IF(AND('Mapa final'!$AH$58="Media",'Mapa final'!$AJ$58="Catastrófico"),CONCATENATE("R2C",'Mapa final'!$R$58),"")</f>
        <v/>
      </c>
      <c r="AL39" s="42" t="str">
        <f>IF(AND('Mapa final'!$AH$59="Media",'Mapa final'!$AJ$59="Catastrófico"),CONCATENATE("R2C",'Mapa final'!$R$59),"")</f>
        <v/>
      </c>
      <c r="AM39" s="42" t="str">
        <f>IF(AND('Mapa final'!$AH$60="Media",'Mapa final'!$AJ$60="Catastrófico"),CONCATENATE("R2C",'Mapa final'!$R$60),"")</f>
        <v/>
      </c>
      <c r="AN39" s="43" t="str">
        <f>IF(AND('Mapa final'!$AH$61="Media",'Mapa final'!$AJ$61="Catastrófico"),CONCATENATE("R2C",'Mapa final'!$R$61),"")</f>
        <v/>
      </c>
      <c r="AO39" s="68"/>
      <c r="AP39" s="483"/>
      <c r="AQ39" s="484"/>
      <c r="AR39" s="484"/>
      <c r="AS39" s="484"/>
      <c r="AT39" s="484"/>
      <c r="AU39" s="485"/>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row>
    <row r="40" spans="2:77" ht="15" customHeight="1">
      <c r="B40" s="68"/>
      <c r="C40" s="399"/>
      <c r="D40" s="399"/>
      <c r="E40" s="400"/>
      <c r="F40" s="442"/>
      <c r="G40" s="443"/>
      <c r="H40" s="443"/>
      <c r="I40" s="443"/>
      <c r="J40" s="444"/>
      <c r="K40" s="53" t="str">
        <f>IF(AND('Mapa final'!$AH$62="Media",'Mapa final'!$AJ$62="Leve"),CONCATENATE("R2C",'Mapa final'!$R$62),"")</f>
        <v/>
      </c>
      <c r="L40" s="54" t="str">
        <f>IF(AND('Mapa final'!$AH$63="Media",'Mapa final'!$AJ$63="Leve"),CONCATENATE("R2C",'Mapa final'!$R$63),"")</f>
        <v/>
      </c>
      <c r="M40" s="54" t="str">
        <f>IF(AND('Mapa final'!$AH$64="Media",'Mapa final'!$AJ$64="Leve"),CONCATENATE("R2C",'Mapa final'!$R$64),"")</f>
        <v/>
      </c>
      <c r="N40" s="54" t="e">
        <f>IF(AND('Mapa final'!#REF!="Alta",'Mapa final'!#REF!="Leve"),CONCATENATE("R2C",'Mapa final'!#REF!),"")</f>
        <v>#REF!</v>
      </c>
      <c r="O40" s="54" t="str">
        <f>IF(AND('Mapa final'!$AH$66="Media",'Mapa final'!$AJ$66="Leve"),CONCATENATE("R2C",'Mapa final'!$R$66),"")</f>
        <v/>
      </c>
      <c r="P40" s="55" t="str">
        <f>IF(AND('Mapa final'!$AH$67="Media",'Mapa final'!$AJ$67="Leve"),CONCATENATE("R2C",'Mapa final'!$R$67),"")</f>
        <v/>
      </c>
      <c r="Q40" s="53" t="str">
        <f>IF(AND('Mapa final'!$AH$62="Media",'Mapa final'!$AJ$62="Menor"),CONCATENATE("R2C",'Mapa final'!$R$62),"")</f>
        <v/>
      </c>
      <c r="R40" s="54" t="str">
        <f>IF(AND('Mapa final'!$AH$63="Media",'Mapa final'!$AJ$63="Menor"),CONCATENATE("R2C",'Mapa final'!$R$63),"")</f>
        <v/>
      </c>
      <c r="S40" s="54" t="str">
        <f>IF(AND('Mapa final'!$AH$64="Media",'Mapa final'!$AJ$64="Menor"),CONCATENATE("R2C",'Mapa final'!$R$64),"")</f>
        <v/>
      </c>
      <c r="T40" s="54" t="str">
        <f>IF(AND('Mapa final'!$AH$65="Media",'Mapa final'!$AJ$65="Menor"),CONCATENATE("R2C",'Mapa final'!$R$65),"")</f>
        <v/>
      </c>
      <c r="U40" s="54" t="str">
        <f>IF(AND('Mapa final'!$AH$66="Media",'Mapa final'!$AJ$66="Menor"),CONCATENATE("R2C",'Mapa final'!$R$66),"")</f>
        <v/>
      </c>
      <c r="V40" s="55" t="str">
        <f>IF(AND('Mapa final'!$AH$67="Media",'Mapa final'!$AJ$67="Menor"),CONCATENATE("R2C",'Mapa final'!$R$67),"")</f>
        <v/>
      </c>
      <c r="W40" s="53" t="str">
        <f>IF(AND('Mapa final'!$AH$62="Media",'Mapa final'!$AJ$62="Moderado"),CONCATENATE("R2C",'Mapa final'!$R$62),"")</f>
        <v/>
      </c>
      <c r="X40" s="54" t="str">
        <f>IF(AND('Mapa final'!$AH$63="Media",'Mapa final'!$AJ$63="Moderado"),CONCATENATE("R2C",'Mapa final'!$R$63),"")</f>
        <v/>
      </c>
      <c r="Y40" s="54" t="str">
        <f>IF(AND('Mapa final'!$AH$64="Media",'Mapa final'!$AJ$64="Moderado"),CONCATENATE("R2C",'Mapa final'!$R$64),"")</f>
        <v/>
      </c>
      <c r="Z40" s="54" t="str">
        <f>IF(AND('Mapa final'!$AH$65="Media",'Mapa final'!$AJ$65="Moderado"),CONCATENATE("R2C",'Mapa final'!$R$65),"")</f>
        <v/>
      </c>
      <c r="AA40" s="54" t="str">
        <f>IF(AND('Mapa final'!$AH$66="Media",'Mapa final'!$AJ$66="Moderado"),CONCATENATE("R2C",'Mapa final'!$R$66),"")</f>
        <v/>
      </c>
      <c r="AB40" s="55" t="str">
        <f>IF(AND('Mapa final'!$AH$67="Media",'Mapa final'!$AJ$67="Moderado"),CONCATENATE("R2C",'Mapa final'!$R$67),"")</f>
        <v/>
      </c>
      <c r="AC40" s="38" t="str">
        <f>IF(AND('Mapa final'!$AH$62="Media",'Mapa final'!$AJ$62="Mayor"),CONCATENATE("R2C",'Mapa final'!$R$62),"")</f>
        <v/>
      </c>
      <c r="AD40" s="39" t="str">
        <f>IF(AND('Mapa final'!$AH$63="Media",'Mapa final'!$AJ$63="Mayor"),CONCATENATE("R2C",'Mapa final'!$R$63),"")</f>
        <v/>
      </c>
      <c r="AE40" s="39" t="str">
        <f>IF(AND('Mapa final'!$AH$64="Media",'Mapa final'!$AJ$64="Mayor"),CONCATENATE("R2C",'Mapa final'!$R$64),"")</f>
        <v/>
      </c>
      <c r="AF40" s="39" t="str">
        <f>IF(AND('Mapa final'!$AH$65="Media",'Mapa final'!$AJ$65="Mayor"),CONCATENATE("R2C",'Mapa final'!$R$65),"")</f>
        <v/>
      </c>
      <c r="AG40" s="39" t="str">
        <f>IF(AND('Mapa final'!$AH$66="Media",'Mapa final'!$AJ$66="Mayor"),CONCATENATE("R2C",'Mapa final'!$R$66),"")</f>
        <v/>
      </c>
      <c r="AH40" s="40" t="str">
        <f>IF(AND('Mapa final'!$AH$67="Media",'Mapa final'!$AJ$67="Mayor"),CONCATENATE("R2C",'Mapa final'!$R$67),"")</f>
        <v/>
      </c>
      <c r="AI40" s="41" t="str">
        <f>IF(AND('Mapa final'!$AH$62="Media",'Mapa final'!$AJ$62="Catastrófico"),CONCATENATE("R2C",'Mapa final'!$R$62),"")</f>
        <v/>
      </c>
      <c r="AJ40" s="42" t="str">
        <f>IF(AND('Mapa final'!$AH$63="Media",'Mapa final'!$AJ$63="Catastrófico"),CONCATENATE("R2C",'Mapa final'!$R$63),"")</f>
        <v/>
      </c>
      <c r="AK40" s="42" t="str">
        <f>IF(AND('Mapa final'!$AH$64="Media",'Mapa final'!$AJ$64="Catastrófico"),CONCATENATE("R2C",'Mapa final'!$R$64),"")</f>
        <v/>
      </c>
      <c r="AL40" s="42" t="str">
        <f>IF(AND('Mapa final'!$AH$65="Media",'Mapa final'!$AJ$65="Catastrófico"),CONCATENATE("R2C",'Mapa final'!$R$65),"")</f>
        <v/>
      </c>
      <c r="AM40" s="42" t="str">
        <f>IF(AND('Mapa final'!$AH$66="Media",'Mapa final'!$AJ$66="Catastrófico"),CONCATENATE("R2C",'Mapa final'!$R$66),"")</f>
        <v/>
      </c>
      <c r="AN40" s="43" t="str">
        <f>IF(AND('Mapa final'!$AH$67="Media",'Mapa final'!$AJ$67="Catastrófico"),CONCATENATE("R2C",'Mapa final'!$R$67),"")</f>
        <v/>
      </c>
      <c r="AO40" s="68"/>
      <c r="AP40" s="483"/>
      <c r="AQ40" s="484"/>
      <c r="AR40" s="484"/>
      <c r="AS40" s="484"/>
      <c r="AT40" s="484"/>
      <c r="AU40" s="485"/>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row>
    <row r="41" spans="2:77" ht="15.75" customHeight="1" thickBot="1">
      <c r="B41" s="68"/>
      <c r="C41" s="399"/>
      <c r="D41" s="399"/>
      <c r="E41" s="400"/>
      <c r="F41" s="445"/>
      <c r="G41" s="446"/>
      <c r="H41" s="446"/>
      <c r="I41" s="446"/>
      <c r="J41" s="447"/>
      <c r="K41" s="53" t="str">
        <f>IF(AND('Mapa final'!$AH$68="Media",'Mapa final'!$AJ$68="Leve"),CONCATENATE("R2C",'Mapa final'!$R$68),"")</f>
        <v/>
      </c>
      <c r="L41" s="54" t="str">
        <f>IF(AND('Mapa final'!$AH$69="Media",'Mapa final'!$AJ$69="Leve"),CONCATENATE("R2C",'Mapa final'!$R$69),"")</f>
        <v/>
      </c>
      <c r="M41" s="54" t="str">
        <f>IF(AND('Mapa final'!$AH$70="Media",'Mapa final'!$AJ$70="Leve"),CONCATENATE("R2C",'Mapa final'!$R$70),"")</f>
        <v/>
      </c>
      <c r="N41" s="54" t="e">
        <f>IF(AND('Mapa final'!#REF!="Alta",'Mapa final'!#REF!="Leve"),CONCATENATE("R2C",'Mapa final'!#REF!),"")</f>
        <v>#REF!</v>
      </c>
      <c r="O41" s="54" t="str">
        <f>IF(AND('Mapa final'!$AH$73="Media",'Mapa final'!$AJ$73="Leve"),CONCATENATE("R2C",'Mapa final'!$R$73),"")</f>
        <v/>
      </c>
      <c r="P41" s="55" t="str">
        <f>IF(AND('Mapa final'!$AH$74="Media",'Mapa final'!$AJ$74="Leve"),CONCATENATE("R2C",'Mapa final'!$R$74),"")</f>
        <v/>
      </c>
      <c r="Q41" s="53" t="str">
        <f>IF(AND('Mapa final'!$AH$68="Media",'Mapa final'!$AJ$68="Menor"),CONCATENATE("R2C",'Mapa final'!$R$68),"")</f>
        <v/>
      </c>
      <c r="R41" s="54" t="str">
        <f>IF(AND('Mapa final'!$AH$69="Media",'Mapa final'!$AJ$69="Menor"),CONCATENATE("R2C",'Mapa final'!$R$69),"")</f>
        <v/>
      </c>
      <c r="S41" s="54" t="str">
        <f>IF(AND('Mapa final'!$AH$70="Media",'Mapa final'!$AJ$70="Menor"),CONCATENATE("R2C",'Mapa final'!$R$70),"")</f>
        <v/>
      </c>
      <c r="T41" s="54" t="str">
        <f>IF(AND('Mapa final'!$AH$71="Media",'Mapa final'!$AJ$71="Menor"),CONCATENATE("R2C",'Mapa final'!$R$71),"")</f>
        <v/>
      </c>
      <c r="U41" s="54" t="str">
        <f>IF(AND('Mapa final'!$AH$73="Media",'Mapa final'!$AJ$73="Menor"),CONCATENATE("R2C",'Mapa final'!$R$73),"")</f>
        <v/>
      </c>
      <c r="V41" s="55" t="str">
        <f>IF(AND('Mapa final'!$AH$74="Media",'Mapa final'!$AJ$74="Menor"),CONCATENATE("R2C",'Mapa final'!$R$74),"")</f>
        <v/>
      </c>
      <c r="W41" s="53" t="str">
        <f>IF(AND('Mapa final'!$AH$68="Media",'Mapa final'!$AJ$68="Moderado"),CONCATENATE("R2C",'Mapa final'!$R$68),"")</f>
        <v/>
      </c>
      <c r="X41" s="54" t="str">
        <f>IF(AND('Mapa final'!$AH$69="Media",'Mapa final'!$AJ$69="Moderado"),CONCATENATE("R2C",'Mapa final'!$R$69),"")</f>
        <v/>
      </c>
      <c r="Y41" s="54" t="str">
        <f>IF(AND('Mapa final'!$AH$70="Media",'Mapa final'!$AJ$70="Moderado"),CONCATENATE("R2C",'Mapa final'!$R$70),"")</f>
        <v/>
      </c>
      <c r="Z41" s="54" t="str">
        <f>IF(AND('Mapa final'!$AH$71="Media",'Mapa final'!$AJ$71="Moderado"),CONCATENATE("R2C",'Mapa final'!$R$71),"")</f>
        <v/>
      </c>
      <c r="AA41" s="54" t="str">
        <f>IF(AND('Mapa final'!$AH$73="Media",'Mapa final'!$AJ$73="Moderado"),CONCATENATE("R2C",'Mapa final'!$R$73),"")</f>
        <v/>
      </c>
      <c r="AB41" s="55" t="str">
        <f>IF(AND('Mapa final'!$AH$74="Media",'Mapa final'!$AJ$74="Moderado"),CONCATENATE("R2C",'Mapa final'!$R$74),"")</f>
        <v/>
      </c>
      <c r="AC41" s="44" t="str">
        <f>IF(AND('Mapa final'!$AH$68="Media",'Mapa final'!$AJ$68="Mayor"),CONCATENATE("R2C",'Mapa final'!$R$68),"")</f>
        <v/>
      </c>
      <c r="AD41" s="45" t="str">
        <f>IF(AND('Mapa final'!$AH$69="Media",'Mapa final'!$AJ$69="Mayor"),CONCATENATE("R2C",'Mapa final'!$R$69),"")</f>
        <v/>
      </c>
      <c r="AE41" s="45" t="str">
        <f>IF(AND('Mapa final'!$AH$70="Media",'Mapa final'!$AJ$70="Mayor"),CONCATENATE("R2C",'Mapa final'!$R$70),"")</f>
        <v/>
      </c>
      <c r="AF41" s="45" t="str">
        <f>IF(AND('Mapa final'!$AH$71="Media",'Mapa final'!$AJ$71="Mayor"),CONCATENATE("R2C",'Mapa final'!$R$71),"")</f>
        <v/>
      </c>
      <c r="AG41" s="45" t="str">
        <f>IF(AND('Mapa final'!$AH$73="Media",'Mapa final'!$AJ$73="Mayor"),CONCATENATE("R2C",'Mapa final'!$R$73),"")</f>
        <v/>
      </c>
      <c r="AH41" s="46" t="str">
        <f>IF(AND('Mapa final'!$AH$74="Media",'Mapa final'!$AJ$74="Mayor"),CONCATENATE("R2C",'Mapa final'!$R$74),"")</f>
        <v/>
      </c>
      <c r="AI41" s="47" t="str">
        <f>IF(AND('Mapa final'!$AH$68="Media",'Mapa final'!$AJ$68="Catastrófico"),CONCATENATE("R2C",'Mapa final'!$R$68),"")</f>
        <v/>
      </c>
      <c r="AJ41" s="48" t="str">
        <f>IF(AND('Mapa final'!$AH$69="Media",'Mapa final'!$AJ$69="Catastrófico"),CONCATENATE("R2C",'Mapa final'!$R$69),"")</f>
        <v/>
      </c>
      <c r="AK41" s="48" t="str">
        <f>IF(AND('Mapa final'!$AH$70="Media",'Mapa final'!$AJ$70="Catastrófico"),CONCATENATE("R2C",'Mapa final'!$R$70),"")</f>
        <v/>
      </c>
      <c r="AL41" s="48" t="str">
        <f>IF(AND('Mapa final'!$AH$71="Media",'Mapa final'!$AJ$71="Catastrófico"),CONCATENATE("R2C",'Mapa final'!$R$71),"")</f>
        <v/>
      </c>
      <c r="AM41" s="48" t="str">
        <f>IF(AND('Mapa final'!$AH$73="Media",'Mapa final'!$AJ$73="Catastrófico"),CONCATENATE("R2C",'Mapa final'!$R$73),"")</f>
        <v/>
      </c>
      <c r="AN41" s="49" t="str">
        <f>IF(AND('Mapa final'!$AH$74="Muy Alta",'Mapa final'!$AJ$74="Catastrófico"),CONCATENATE("R2C",'Mapa final'!$R$74),"")</f>
        <v/>
      </c>
      <c r="AO41" s="68"/>
      <c r="AP41" s="486"/>
      <c r="AQ41" s="487"/>
      <c r="AR41" s="487"/>
      <c r="AS41" s="487"/>
      <c r="AT41" s="487"/>
      <c r="AU41" s="48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row>
    <row r="42" spans="2:77" ht="15" customHeight="1">
      <c r="B42" s="68"/>
      <c r="C42" s="399"/>
      <c r="D42" s="399"/>
      <c r="E42" s="400"/>
      <c r="F42" s="439" t="s">
        <v>258</v>
      </c>
      <c r="G42" s="440"/>
      <c r="H42" s="440"/>
      <c r="I42" s="440"/>
      <c r="J42" s="440"/>
      <c r="K42" s="59"/>
      <c r="L42" s="60" t="e">
        <f>IF(AND('Mapa final'!#REF!="Baja",'Mapa final'!#REF!="Leve"),CONCATENATE("R2C",'Mapa final'!$R$15),"")</f>
        <v>#REF!</v>
      </c>
      <c r="M42" s="60" t="str">
        <f>IF(AND('Mapa final'!$AH$21="Baja",'Mapa final'!$AJ$21="Leve"),CONCATENATE("R2C",'Mapa final'!$R$21),"")</f>
        <v/>
      </c>
      <c r="N42" s="54" t="e">
        <f>IF(AND('Mapa final'!#REF!="Alta",'Mapa final'!#REF!="Leve"),CONCATENATE("R2C",'Mapa final'!#REF!),"")</f>
        <v>#REF!</v>
      </c>
      <c r="O42" s="60" t="e">
        <f>IF(AND('Mapa final'!#REF!="Baja",'Mapa final'!#REF!="Leve"),CONCATENATE("R2C",'Mapa final'!#REF!),"")</f>
        <v>#REF!</v>
      </c>
      <c r="P42" s="61" t="e">
        <f>IF(AND('Mapa final'!#REF!="Baja",'Mapa final'!#REF!="Leve"),CONCATENATE("R2C",'Mapa final'!#REF!),"")</f>
        <v>#REF!</v>
      </c>
      <c r="Q42" s="50"/>
      <c r="R42" s="51" t="e">
        <f>IF(AND('Mapa final'!#REF!="Baja",'Mapa final'!#REF!="Menore"),CONCATENATE("R2C",'Mapa final'!$R$15),"")</f>
        <v>#REF!</v>
      </c>
      <c r="S42" s="51" t="str">
        <f>IF(AND('Mapa final'!$AH$21="Baja",'Mapa final'!$AJ$21="Menor"),CONCATENATE("R2C",'Mapa final'!$R$21),"")</f>
        <v/>
      </c>
      <c r="T42" s="51" t="e">
        <f>IF(AND('Mapa final'!#REF!="Baja",'Mapa final'!#REF!="Menor"),CONCATENATE("R2C",'Mapa final'!#REF!),"")</f>
        <v>#REF!</v>
      </c>
      <c r="U42" s="51" t="e">
        <f>IF(AND('Mapa final'!#REF!="Baja",'Mapa final'!#REF!="Menor"),CONCATENATE("R2C",'Mapa final'!#REF!),"")</f>
        <v>#REF!</v>
      </c>
      <c r="V42" s="52" t="e">
        <f>IF(AND('Mapa final'!#REF!="Baja",'Mapa final'!#REF!="Menor"),CONCATENATE("R2C",'Mapa final'!#REF!),"")</f>
        <v>#REF!</v>
      </c>
      <c r="W42" s="50"/>
      <c r="X42" s="51" t="e">
        <f>IF(AND('Mapa final'!#REF!="Baja",'Mapa final'!#REF!="Moderado"),CONCATENATE("R2C",'Mapa final'!$R$15),"")</f>
        <v>#REF!</v>
      </c>
      <c r="Y42" s="51"/>
      <c r="Z42" s="51" t="e">
        <f>IF(AND('Mapa final'!#REF!="Baja",'Mapa final'!#REF!="Moderado"),CONCATENATE("R2C",'Mapa final'!#REF!),"")</f>
        <v>#REF!</v>
      </c>
      <c r="AA42" s="51" t="e">
        <f>IF(AND('Mapa final'!#REF!="Baja",'Mapa final'!#REF!="Moderado"),CONCATENATE("R2C",'Mapa final'!#REF!),"")</f>
        <v>#REF!</v>
      </c>
      <c r="AB42" s="52" t="e">
        <f>IF(AND('Mapa final'!#REF!="Baja",'Mapa final'!#REF!="Moderado"),CONCATENATE("R2C",'Mapa final'!#REF!),"")</f>
        <v>#REF!</v>
      </c>
      <c r="AC42" s="32"/>
      <c r="AD42" s="33" t="e">
        <f>IF(AND('Mapa final'!#REF!="Baja",'Mapa final'!#REF!="Mayor"),CONCATENATE("R2C",'Mapa final'!$R$15),"")</f>
        <v>#REF!</v>
      </c>
      <c r="AE42" s="33" t="str">
        <f>IF(AND('Mapa final'!$AH$21="Baja",'Mapa final'!$AJ$21="Mayor"),CONCATENATE("R2C",'Mapa final'!$R$21),"")</f>
        <v/>
      </c>
      <c r="AF42" s="33" t="e">
        <f>IF(AND('Mapa final'!#REF!="Baja",'Mapa final'!#REF!="Mayor"),CONCATENATE("R2C",'Mapa final'!#REF!),"")</f>
        <v>#REF!</v>
      </c>
      <c r="AG42" s="33" t="e">
        <f>IF(AND('Mapa final'!#REF!="Baja",'Mapa final'!#REF!="Mayor"),CONCATENATE("R2C",'Mapa final'!#REF!),"")</f>
        <v>#REF!</v>
      </c>
      <c r="AH42" s="34" t="e">
        <f>IF(AND('Mapa final'!#REF!="Baja",'Mapa final'!#REF!="Mayor"),CONCATENATE("R2C",'Mapa final'!#REF!),"")</f>
        <v>#REF!</v>
      </c>
      <c r="AI42" s="35"/>
      <c r="AJ42" s="36" t="e">
        <f>IF(AND('Mapa final'!#REF!="Baja",'Mapa final'!#REF!="Catastrófico"),CONCATENATE("R2C",'Mapa final'!$R$15),"")</f>
        <v>#REF!</v>
      </c>
      <c r="AK42" s="36" t="str">
        <f>IF(AND('Mapa final'!$AH$21="Baja",'Mapa final'!$AJ$21="Catastrófico"),CONCATENATE("R2C",'Mapa final'!$R$21),"")</f>
        <v/>
      </c>
      <c r="AL42" s="36" t="e">
        <f>IF(AND('Mapa final'!#REF!="Baja",'Mapa final'!#REF!="Catastrófico"),CONCATENATE("R2C",'Mapa final'!#REF!),"")</f>
        <v>#REF!</v>
      </c>
      <c r="AM42" s="36" t="e">
        <f>IF(AND('Mapa final'!#REF!="Baja",'Mapa final'!#REF!="Catastrófico"),CONCATENATE("R2C",'Mapa final'!#REF!),"")</f>
        <v>#REF!</v>
      </c>
      <c r="AN42" s="37" t="e">
        <f>IF(AND('Mapa final'!#REF!="Baja",'Mapa final'!#REF!="Catastrófico"),CONCATENATE("R2C",'Mapa final'!#REF!),"")</f>
        <v>#REF!</v>
      </c>
      <c r="AO42" s="68"/>
      <c r="AP42" s="471" t="s">
        <v>259</v>
      </c>
      <c r="AQ42" s="472"/>
      <c r="AR42" s="472"/>
      <c r="AS42" s="472"/>
      <c r="AT42" s="472"/>
      <c r="AU42" s="473"/>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row>
    <row r="43" spans="2:77" ht="15" customHeight="1">
      <c r="B43" s="68"/>
      <c r="C43" s="399"/>
      <c r="D43" s="399"/>
      <c r="E43" s="400"/>
      <c r="F43" s="458"/>
      <c r="G43" s="443"/>
      <c r="H43" s="443"/>
      <c r="I43" s="443"/>
      <c r="J43" s="443"/>
      <c r="K43" s="62" t="e">
        <f>IF(AND('Mapa final'!#REF!="Baja",'Mapa final'!#REF!="Leve"),CONCATENATE("R2C",'Mapa final'!#REF!),"")</f>
        <v>#REF!</v>
      </c>
      <c r="L43" s="63" t="e">
        <f>IF(AND('Mapa final'!#REF!="Baja",'Mapa final'!#REF!="Leve"),CONCATENATE("R2C",'Mapa final'!#REF!),"")</f>
        <v>#REF!</v>
      </c>
      <c r="M43" s="63" t="str">
        <f>IF(AND('Mapa final'!$AH$22="Baja",'Mapa final'!$AJ$22="Leve"),CONCATENATE("R2C",'Mapa final'!$R$22),"")</f>
        <v/>
      </c>
      <c r="N43" s="54" t="e">
        <f>IF(AND('Mapa final'!#REF!="Alta",'Mapa final'!#REF!="Leve"),CONCATENATE("R2C",'Mapa final'!#REF!),"")</f>
        <v>#REF!</v>
      </c>
      <c r="O43" s="63" t="str">
        <f>IF(AND('Mapa final'!$AH$24="Baja",'Mapa final'!$AJ$24="Leve"),CONCATENATE("R2C",'Mapa final'!$R$24),"")</f>
        <v/>
      </c>
      <c r="P43" s="64" t="str">
        <f>IF(AND('Mapa final'!$AH$25="Baja",'Mapa final'!$AJ$25="Leve"),CONCATENATE("R2C",'Mapa final'!$R$25),"")</f>
        <v/>
      </c>
      <c r="Q43" s="53" t="e">
        <f>IF(AND('Mapa final'!#REF!="Baja",'Mapa final'!#REF!="Menor"),CONCATENATE("R2C",'Mapa final'!#REF!),"")</f>
        <v>#REF!</v>
      </c>
      <c r="R43" s="54" t="e">
        <f>IF(AND('Mapa final'!#REF!="Baja",'Mapa final'!#REF!="Menor"),CONCATENATE("R2C",'Mapa final'!#REF!),"")</f>
        <v>#REF!</v>
      </c>
      <c r="S43" s="54" t="str">
        <f>IF(AND('Mapa final'!$AH$22="Baja",'Mapa final'!$AJ$22="Menor"),CONCATENATE("R2C",'Mapa final'!$R$22),"")</f>
        <v/>
      </c>
      <c r="T43" s="54" t="str">
        <f>IF(AND('Mapa final'!$AH$23="Baja",'Mapa final'!$AJ$23="Menor"),CONCATENATE("R2C",'Mapa final'!$R$23),"")</f>
        <v/>
      </c>
      <c r="U43" s="54" t="str">
        <f>IF(AND('Mapa final'!$AH$24="Baja",'Mapa final'!$AJ$24="Menor"),CONCATENATE("R2C",'Mapa final'!$R$24),"")</f>
        <v/>
      </c>
      <c r="V43" s="55" t="str">
        <f>IF(AND('Mapa final'!$AH$25="Baja",'Mapa final'!$AJ$25="Menor"),CONCATENATE("R2C",'Mapa final'!$R$25),"")</f>
        <v/>
      </c>
      <c r="W43" s="53" t="e">
        <f>IF(AND('Mapa final'!#REF!="Baja",'Mapa final'!#REF!="Moderado"),CONCATENATE("R2C",'Mapa final'!#REF!),"")</f>
        <v>#REF!</v>
      </c>
      <c r="X43" s="54" t="e">
        <f>IF(AND('Mapa final'!#REF!="Baja",'Mapa final'!#REF!="Moderado"),CONCATENATE("R2C",'Mapa final'!#REF!),"")</f>
        <v>#REF!</v>
      </c>
      <c r="Y43" s="54" t="str">
        <f>IF(AND('Mapa final'!$AH$22="Baja",'Mapa final'!$AJ$22="Moderado"),CONCATENATE("R2C",'Mapa final'!$R$22),"")</f>
        <v/>
      </c>
      <c r="Z43" s="54" t="str">
        <f>IF(AND('Mapa final'!$AH$23="Baja",'Mapa final'!$AJ$23="Moderado"),CONCATENATE("R2C",'Mapa final'!$R$23),"")</f>
        <v/>
      </c>
      <c r="AA43" s="54" t="str">
        <f>IF(AND('Mapa final'!$AH$24="Baja",'Mapa final'!$AJ$24="Moderado"),CONCATENATE("R2C",'Mapa final'!$R$24),"")</f>
        <v/>
      </c>
      <c r="AB43" s="55" t="str">
        <f>IF(AND('Mapa final'!$AH$25="Baja",'Mapa final'!$AJ$25="Moderado"),CONCATENATE("R2C",'Mapa final'!$R$25),"")</f>
        <v/>
      </c>
      <c r="AC43" s="38" t="e">
        <f>IF(AND('Mapa final'!#REF!="Baja",'Mapa final'!#REF!="Mayor"),CONCATENATE("R2C",'Mapa final'!#REF!),"")</f>
        <v>#REF!</v>
      </c>
      <c r="AD43" s="39" t="e">
        <f>IF(AND('Mapa final'!#REF!="Baja",'Mapa final'!#REF!="Mayor"),CONCATENATE("R2C",'Mapa final'!#REF!),"")</f>
        <v>#REF!</v>
      </c>
      <c r="AE43" s="39" t="str">
        <f>IF(AND('Mapa final'!$AH$22="Baja",'Mapa final'!$AJ$22="Mayor"),CONCATENATE("R2C",'Mapa final'!$R$22),"")</f>
        <v/>
      </c>
      <c r="AF43" s="39" t="str">
        <f>IF(AND('Mapa final'!$AH$23="Baja",'Mapa final'!$AJ$23="Mayor"),CONCATENATE("R2C",'Mapa final'!$R$23),"")</f>
        <v/>
      </c>
      <c r="AG43" s="39" t="str">
        <f>IF(AND('Mapa final'!$AH$24="Baja",'Mapa final'!$AJ$24="Mayor"),CONCATENATE("R2C",'Mapa final'!$R$24),"")</f>
        <v/>
      </c>
      <c r="AH43" s="40" t="str">
        <f>IF(AND('Mapa final'!$AH$25="Baja",'Mapa final'!$AJ$25="Mayor"),CONCATENATE("R2C",'Mapa final'!$R$25),"")</f>
        <v/>
      </c>
      <c r="AI43" s="41" t="e">
        <f>IF(AND('Mapa final'!#REF!="Baja",'Mapa final'!#REF!="Catastrófico"),CONCATENATE("R2C",'Mapa final'!#REF!),"")</f>
        <v>#REF!</v>
      </c>
      <c r="AJ43" s="42" t="e">
        <f>IF(AND('Mapa final'!#REF!="Baja",'Mapa final'!#REF!="Catastrófico"),CONCATENATE("R2C",'Mapa final'!#REF!),"")</f>
        <v>#REF!</v>
      </c>
      <c r="AK43" s="42" t="str">
        <f>IF(AND('Mapa final'!$AH$22="Baja",'Mapa final'!$AJ$22="Catastrófico"),CONCATENATE("R2C",'Mapa final'!$R$22),"")</f>
        <v/>
      </c>
      <c r="AL43" s="42" t="str">
        <f>IF(AND('Mapa final'!$AH$23="Baja",'Mapa final'!$AJ$23="Catastrófico"),CONCATENATE("R2C",'Mapa final'!$R$23),"")</f>
        <v/>
      </c>
      <c r="AM43" s="42" t="str">
        <f>IF(AND('Mapa final'!$AH$24="Baja",'Mapa final'!$AJ$24="Catastrófico"),CONCATENATE("R2C",'Mapa final'!$R$24),"")</f>
        <v/>
      </c>
      <c r="AN43" s="43" t="str">
        <f>IF(AND('Mapa final'!$AH$25="Baja",'Mapa final'!$AJ$25="Catastrófico"),CONCATENATE("R2C",'Mapa final'!$R$25),"")</f>
        <v/>
      </c>
      <c r="AO43" s="68"/>
      <c r="AP43" s="474"/>
      <c r="AQ43" s="475"/>
      <c r="AR43" s="475"/>
      <c r="AS43" s="475"/>
      <c r="AT43" s="475"/>
      <c r="AU43" s="476"/>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row>
    <row r="44" spans="2:77" ht="15" customHeight="1">
      <c r="B44" s="68"/>
      <c r="C44" s="399"/>
      <c r="D44" s="399"/>
      <c r="E44" s="400"/>
      <c r="F44" s="442"/>
      <c r="G44" s="443"/>
      <c r="H44" s="443"/>
      <c r="I44" s="443"/>
      <c r="J44" s="443"/>
      <c r="K44" s="62" t="str">
        <f>IF(AND('Mapa final'!$AH$26="Baja",'Mapa final'!$AJ$26="Leve"),CONCATENATE("R2C",'Mapa final'!$R$26),"")</f>
        <v/>
      </c>
      <c r="L44" s="63" t="str">
        <f>IF(AND('Mapa final'!$AH$27="Baja",'Mapa final'!$AJ$27="Leve"),CONCATENATE("R2C",'Mapa final'!$R$27),"")</f>
        <v/>
      </c>
      <c r="M44" s="63" t="str">
        <f>IF(AND('Mapa final'!$AH$28="Baja",'Mapa final'!$AJ$28="Leve"),CONCATENATE("R2C",'Mapa final'!$R$28),"")</f>
        <v/>
      </c>
      <c r="N44" s="54" t="e">
        <f>IF(AND('Mapa final'!#REF!="Alta",'Mapa final'!#REF!="Leve"),CONCATENATE("R2C",'Mapa final'!#REF!),"")</f>
        <v>#REF!</v>
      </c>
      <c r="O44" s="63" t="str">
        <f>IF(AND('Mapa final'!$AH$30="Baja",'Mapa final'!$AJ$30="Leve"),CONCATENATE("R2C",'Mapa final'!$R$30),"")</f>
        <v/>
      </c>
      <c r="P44" s="64" t="str">
        <f>IF(AND('Mapa final'!$AH$31="Baja",'Mapa final'!$AJ$31="Leve"),CONCATENATE("R2C",'Mapa final'!$R$31),"")</f>
        <v/>
      </c>
      <c r="Q44" s="53" t="str">
        <f>IF(AND('Mapa final'!$AH$26="Baja",'Mapa final'!$AJ$26="Menor"),CONCATENATE("R2C",'Mapa final'!$R$26),"")</f>
        <v/>
      </c>
      <c r="R44" s="54" t="str">
        <f>IF(AND('Mapa final'!$AH$27="Baja",'Mapa final'!$AJ$27="Menor"),CONCATENATE("R2C",'Mapa final'!$R$27),"")</f>
        <v/>
      </c>
      <c r="S44" s="54" t="str">
        <f>IF(AND('Mapa final'!$AH$28="Baja",'Mapa final'!$AJ$28="Menor"),CONCATENATE("R2C",'Mapa final'!$R$28),"")</f>
        <v/>
      </c>
      <c r="T44" s="54" t="str">
        <f>IF(AND('Mapa final'!$AH$29="Baja",'Mapa final'!$AJ$29="Menor"),CONCATENATE("R2C",'Mapa final'!$R$29),"")</f>
        <v/>
      </c>
      <c r="U44" s="54" t="str">
        <f>IF(AND('Mapa final'!$AH$30="Baja",'Mapa final'!$AJ$30="Menor"),CONCATENATE("R2C",'Mapa final'!$R$30),"")</f>
        <v/>
      </c>
      <c r="V44" s="55" t="str">
        <f>IF(AND('Mapa final'!$AH$31="Baja",'Mapa final'!$AJ$31="Menor"),CONCATENATE("R2C",'Mapa final'!$R$31),"")</f>
        <v/>
      </c>
      <c r="W44" s="53" t="str">
        <f>IF(AND('Mapa final'!$AH$26="Baja",'Mapa final'!$AJ$26="Moderado"),CONCATENATE("R2C",'Mapa final'!$R$26),"")</f>
        <v/>
      </c>
      <c r="X44" s="54" t="str">
        <f>IF(AND('Mapa final'!$AH$27="Baja",'Mapa final'!$AJ$27="Moderado"),CONCATENATE("R2C",'Mapa final'!$R$27),"")</f>
        <v/>
      </c>
      <c r="Y44" s="54" t="str">
        <f>IF(AND('Mapa final'!$AH$28="Baja",'Mapa final'!$AJ$28="Moderado"),CONCATENATE("R2C",'Mapa final'!$R$28),"")</f>
        <v/>
      </c>
      <c r="Z44" s="54" t="str">
        <f>IF(AND('Mapa final'!$AH$29="Baja",'Mapa final'!$AJ$29="Moderado"),CONCATENATE("R2C",'Mapa final'!$R$29),"")</f>
        <v/>
      </c>
      <c r="AA44" s="54" t="str">
        <f>IF(AND('Mapa final'!$AH$30="Baja",'Mapa final'!$AJ$30="Moderado"),CONCATENATE("R2C",'Mapa final'!$R$30),"")</f>
        <v/>
      </c>
      <c r="AB44" s="55" t="str">
        <f>IF(AND('Mapa final'!$AH$31="Baja",'Mapa final'!$AJ$31="Moderado"),CONCATENATE("R2C",'Mapa final'!$R$31),"")</f>
        <v/>
      </c>
      <c r="AC44" s="38" t="str">
        <f>IF(AND('Mapa final'!$AH$26="Baja",'Mapa final'!$AJ$26="Mayor"),CONCATENATE("R2C",'Mapa final'!$R$26),"")</f>
        <v/>
      </c>
      <c r="AD44" s="39" t="str">
        <f>IF(AND('Mapa final'!$AH$27="Baja",'Mapa final'!$AJ$27="Mayor"),CONCATENATE("R2C",'Mapa final'!$R$27),"")</f>
        <v/>
      </c>
      <c r="AE44" s="39" t="str">
        <f>IF(AND('Mapa final'!$AH$28="Baja",'Mapa final'!$AJ$28="Mayor"),CONCATENATE("R2C",'Mapa final'!$R$28),"")</f>
        <v/>
      </c>
      <c r="AF44" s="39" t="str">
        <f>IF(AND('Mapa final'!$AH$29="Baja",'Mapa final'!$AJ$29="Mayor"),CONCATENATE("R2C",'Mapa final'!$R$29),"")</f>
        <v/>
      </c>
      <c r="AG44" s="39" t="str">
        <f>IF(AND('Mapa final'!$AH$30="Baja",'Mapa final'!$AJ$30="Mayor"),CONCATENATE("R2C",'Mapa final'!$R$30),"")</f>
        <v/>
      </c>
      <c r="AH44" s="40" t="str">
        <f>IF(AND('Mapa final'!$AH$31="Baja",'Mapa final'!$AJ$31="Mayor"),CONCATENATE("R2C",'Mapa final'!$R$31),"")</f>
        <v/>
      </c>
      <c r="AI44" s="41" t="str">
        <f>IF(AND('Mapa final'!$AH$26="Baja",'Mapa final'!$AJ$26="Catastrófico"),CONCATENATE("R2C",'Mapa final'!$R$26),"")</f>
        <v/>
      </c>
      <c r="AJ44" s="42" t="str">
        <f>IF(AND('Mapa final'!$AH$27="Baja",'Mapa final'!$AJ$27="Catastrófico"),CONCATENATE("R2C",'Mapa final'!$R$27),"")</f>
        <v/>
      </c>
      <c r="AK44" s="42" t="str">
        <f>IF(AND('Mapa final'!$AH$28="Baja",'Mapa final'!$AJ$28="Catastrófico"),CONCATENATE("R2C",'Mapa final'!$R$28),"")</f>
        <v/>
      </c>
      <c r="AL44" s="42" t="str">
        <f>IF(AND('Mapa final'!$AH$29="Baja",'Mapa final'!$AJ$29="Catastrófico"),CONCATENATE("R2C",'Mapa final'!$R$29),"")</f>
        <v/>
      </c>
      <c r="AM44" s="42" t="str">
        <f>IF(AND('Mapa final'!$AH$30="Baja",'Mapa final'!$AJ$30="Catastrófico"),CONCATENATE("R2C",'Mapa final'!$R$30),"")</f>
        <v/>
      </c>
      <c r="AN44" s="43" t="str">
        <f>IF(AND('Mapa final'!$AH$31="Baja",'Mapa final'!$AJ$31="Catastrófico"),CONCATENATE("R2C",'Mapa final'!$R$31),"")</f>
        <v/>
      </c>
      <c r="AO44" s="68"/>
      <c r="AP44" s="474"/>
      <c r="AQ44" s="475"/>
      <c r="AR44" s="475"/>
      <c r="AS44" s="475"/>
      <c r="AT44" s="475"/>
      <c r="AU44" s="476"/>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row>
    <row r="45" spans="2:77" ht="15" customHeight="1">
      <c r="B45" s="68"/>
      <c r="C45" s="399"/>
      <c r="D45" s="399"/>
      <c r="E45" s="400"/>
      <c r="F45" s="442"/>
      <c r="G45" s="443"/>
      <c r="H45" s="443"/>
      <c r="I45" s="443"/>
      <c r="J45" s="443"/>
      <c r="K45" s="62" t="str">
        <f>IF(AND('Mapa final'!$AH$32="Baja",'Mapa final'!$AJ$32="Leve"),CONCATENATE("R2C",'Mapa final'!$R$32),"")</f>
        <v/>
      </c>
      <c r="L45" s="63" t="str">
        <f>IF(AND('Mapa final'!$AH$33="Baja",'Mapa final'!$AJ$33="Leve"),CONCATENATE("R2C",'Mapa final'!$R$33),"")</f>
        <v/>
      </c>
      <c r="M45" s="63" t="str">
        <f>IF(AND('Mapa final'!$AH$34="Baja",'Mapa final'!$AJ$34="Leve"),CONCATENATE("R2C",'Mapa final'!$R$34),"")</f>
        <v/>
      </c>
      <c r="N45" s="54" t="e">
        <f>IF(AND('Mapa final'!#REF!="Alta",'Mapa final'!#REF!="Leve"),CONCATENATE("R2C",'Mapa final'!#REF!),"")</f>
        <v>#REF!</v>
      </c>
      <c r="O45" s="63" t="str">
        <f>IF(AND('Mapa final'!$AH$36="Baja",'Mapa final'!$AJ$36="Leve"),CONCATENATE("R2C",'Mapa final'!$R$36),"")</f>
        <v/>
      </c>
      <c r="P45" s="64" t="str">
        <f>IF(AND('Mapa final'!$AH$37="Baja",'Mapa final'!$AJ$37="Leve"),CONCATENATE("R2C",'Mapa final'!$R$37),"")</f>
        <v/>
      </c>
      <c r="Q45" s="53" t="str">
        <f>IF(AND('Mapa final'!$AH$32="Baja",'Mapa final'!$AJ$32="Menor"),CONCATENATE("R2C",'Mapa final'!$R$32),"")</f>
        <v/>
      </c>
      <c r="R45" s="54" t="str">
        <f>IF(AND('Mapa final'!$AH$33="Baja",'Mapa final'!$AJ$33="Menor"),CONCATENATE("R2C",'Mapa final'!$R$33),"")</f>
        <v/>
      </c>
      <c r="S45" s="54" t="str">
        <f>IF(AND('Mapa final'!$AH$34="Baja",'Mapa final'!$AJ$34="Menor"),CONCATENATE("R2C",'Mapa final'!$R$34),"")</f>
        <v/>
      </c>
      <c r="T45" s="54" t="str">
        <f>IF(AND('Mapa final'!$AH$35="Baja",'Mapa final'!$AJ$35="Menor"),CONCATENATE("R2C",'Mapa final'!$R$35),"")</f>
        <v/>
      </c>
      <c r="U45" s="54" t="str">
        <f>IF(AND('Mapa final'!$AH$36="Baja",'Mapa final'!$AJ$36="LMenor"),CONCATENATE("R2C",'Mapa final'!$R$36),"")</f>
        <v/>
      </c>
      <c r="V45" s="55" t="str">
        <f>IF(AND('Mapa final'!$AH$37="Baja",'Mapa final'!$AJ$37="Menor"),CONCATENATE("R2C",'Mapa final'!$R$37),"")</f>
        <v/>
      </c>
      <c r="W45" s="53" t="str">
        <f>IF(AND('Mapa final'!$AH$32="Baja",'Mapa final'!$AJ$32="Moderado"),CONCATENATE("R2C",'Mapa final'!$R$32),"")</f>
        <v/>
      </c>
      <c r="X45" s="54" t="str">
        <f>IF(AND('Mapa final'!$AH$33="Baja",'Mapa final'!$AJ$33="Moderado"),CONCATENATE("R2C",'Mapa final'!$R$33),"")</f>
        <v/>
      </c>
      <c r="Y45" s="54" t="str">
        <f>IF(AND('Mapa final'!$AH$34="Baja",'Mapa final'!$AJ$34="Moderado"),CONCATENATE("R2C",'Mapa final'!$R$34),"")</f>
        <v/>
      </c>
      <c r="Z45" s="54" t="str">
        <f>IF(AND('Mapa final'!$AH$35="Baja",'Mapa final'!$AJ$35="Moderado"),CONCATENATE("R2C",'Mapa final'!$R$35),"")</f>
        <v/>
      </c>
      <c r="AA45" s="54" t="str">
        <f>IF(AND('Mapa final'!$AH$36="Baja",'Mapa final'!$AJ$36="Moderado"),CONCATENATE("R2C",'Mapa final'!$R$36),"")</f>
        <v/>
      </c>
      <c r="AB45" s="55" t="str">
        <f>IF(AND('Mapa final'!$AH$37="Baja",'Mapa final'!$AJ$37="Moderado"),CONCATENATE("R2C",'Mapa final'!$R$37),"")</f>
        <v/>
      </c>
      <c r="AC45" s="38" t="str">
        <f>IF(AND('Mapa final'!$AH$32="Baja",'Mapa final'!$AJ$32="Mayor"),CONCATENATE("R2C",'Mapa final'!$R$32),"")</f>
        <v/>
      </c>
      <c r="AD45" s="39" t="str">
        <f>IF(AND('Mapa final'!$AH$33="Baja",'Mapa final'!$AJ$33="Mayor"),CONCATENATE("R2C",'Mapa final'!$R$33),"")</f>
        <v/>
      </c>
      <c r="AE45" s="39" t="str">
        <f>IF(AND('Mapa final'!$AH$34="Baja",'Mapa final'!$AJ$34="Mayor"),CONCATENATE("R2C",'Mapa final'!$R$34),"")</f>
        <v/>
      </c>
      <c r="AF45" s="39" t="str">
        <f>IF(AND('Mapa final'!$AH$35="Baja",'Mapa final'!$AJ$35="Mayor"),CONCATENATE("R2C",'Mapa final'!$R$35),"")</f>
        <v/>
      </c>
      <c r="AG45" s="39" t="str">
        <f>IF(AND('Mapa final'!$AH$36="Baja",'Mapa final'!$AJ$36="Mayor"),CONCATENATE("R2C",'Mapa final'!$R$36),"")</f>
        <v/>
      </c>
      <c r="AH45" s="40" t="str">
        <f>IF(AND('Mapa final'!$AH$37="Baja",'Mapa final'!$AJ$37="Mayor"),CONCATENATE("R2C",'Mapa final'!$R$37),"")</f>
        <v/>
      </c>
      <c r="AI45" s="41" t="str">
        <f>IF(AND('Mapa final'!$AH$32="Baja",'Mapa final'!$AJ$32="Catastrófico"),CONCATENATE("R2C",'Mapa final'!$R$32),"")</f>
        <v/>
      </c>
      <c r="AJ45" s="42" t="str">
        <f>IF(AND('Mapa final'!$AH$33="Baja",'Mapa final'!$AJ$33="Catastrófico"),CONCATENATE("R2C",'Mapa final'!$R$33),"")</f>
        <v/>
      </c>
      <c r="AK45" s="42" t="str">
        <f>IF(AND('Mapa final'!$AH$34="Baja",'Mapa final'!$AJ$34="Catastrófico"),CONCATENATE("R2C",'Mapa final'!$R$34),"")</f>
        <v/>
      </c>
      <c r="AL45" s="42" t="str">
        <f>IF(AND('Mapa final'!$AH$35="Baja",'Mapa final'!$AJ$35="Catastrófico"),CONCATENATE("R2C",'Mapa final'!$R$35),"")</f>
        <v/>
      </c>
      <c r="AM45" s="42" t="str">
        <f>IF(AND('Mapa final'!$AH$36="Baja",'Mapa final'!$AJ$36="LCatastrófico"),CONCATENATE("R2C",'Mapa final'!$R$36),"")</f>
        <v/>
      </c>
      <c r="AN45" s="43" t="str">
        <f>IF(AND('Mapa final'!$AH$37="Baja",'Mapa final'!$AJ$37="Catastrófico"),CONCATENATE("R2C",'Mapa final'!$R$37),"")</f>
        <v/>
      </c>
      <c r="AO45" s="68"/>
      <c r="AP45" s="474"/>
      <c r="AQ45" s="475"/>
      <c r="AR45" s="475"/>
      <c r="AS45" s="475"/>
      <c r="AT45" s="475"/>
      <c r="AU45" s="476"/>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row>
    <row r="46" spans="2:77" ht="15" customHeight="1">
      <c r="B46" s="68"/>
      <c r="C46" s="399"/>
      <c r="D46" s="399"/>
      <c r="E46" s="400"/>
      <c r="F46" s="442"/>
      <c r="G46" s="443"/>
      <c r="H46" s="443"/>
      <c r="I46" s="443"/>
      <c r="J46" s="443"/>
      <c r="K46" s="62" t="str">
        <f>IF(AND('Mapa final'!$AH$38="Baja",'Mapa final'!$AJ$38="Leve"),CONCATENATE("R2C",'Mapa final'!$R$38),"")</f>
        <v/>
      </c>
      <c r="L46" s="63" t="str">
        <f>IF(AND('Mapa final'!$AH$39="Baja",'Mapa final'!$AJ$39="Leve"),CONCATENATE("R2C",'Mapa final'!$R$39),"")</f>
        <v/>
      </c>
      <c r="M46" s="63" t="str">
        <f>IF(AND('Mapa final'!$AH$40="Baja",'Mapa final'!$AJ$40="Leve"),CONCATENATE("R2C",'Mapa final'!$R$40),"")</f>
        <v/>
      </c>
      <c r="N46" s="54" t="e">
        <f>IF(AND('Mapa final'!#REF!="Alta",'Mapa final'!#REF!="Leve"),CONCATENATE("R2C",'Mapa final'!#REF!),"")</f>
        <v>#REF!</v>
      </c>
      <c r="O46" s="63" t="str">
        <f>IF(AND('Mapa final'!$AH$42="Baja",'Mapa final'!$AJ$42="Leve"),CONCATENATE("R2C",'Mapa final'!$R$42),"")</f>
        <v/>
      </c>
      <c r="P46" s="64" t="str">
        <f>IF(AND('Mapa final'!$AH$43="Baja",'Mapa final'!$AJ$43="Leve"),CONCATENATE("R2C",'Mapa final'!$R$43),"")</f>
        <v/>
      </c>
      <c r="Q46" s="53" t="str">
        <f>IF(AND('Mapa final'!$AH$38="Baja",'Mapa final'!$AJ$38="Menor"),CONCATENATE("R2C",'Mapa final'!$R$38),"")</f>
        <v/>
      </c>
      <c r="R46" s="54" t="str">
        <f>IF(AND('Mapa final'!$AH$39="Baja",'Mapa final'!$AJ$39="Menor"),CONCATENATE("R2C",'Mapa final'!$R$39),"")</f>
        <v/>
      </c>
      <c r="S46" s="54" t="str">
        <f>IF(AND('Mapa final'!$AH$40="Baja",'Mapa final'!$AJ$40="Menor"),CONCATENATE("R2C",'Mapa final'!$R$40),"")</f>
        <v/>
      </c>
      <c r="T46" s="54" t="str">
        <f>IF(AND('Mapa final'!$AH$41="Baja",'Mapa final'!$AJ$41="Menor"),CONCATENATE("R2C",'Mapa final'!$R$41),"")</f>
        <v/>
      </c>
      <c r="U46" s="54" t="str">
        <f>IF(AND('Mapa final'!$AH$42="Baja",'Mapa final'!$AJ$42="Menor"),CONCATENATE("R2C",'Mapa final'!$R$42),"")</f>
        <v/>
      </c>
      <c r="V46" s="55" t="str">
        <f>IF(AND('Mapa final'!$AH$43="Baja",'Mapa final'!$AJ$43="Menor"),CONCATENATE("R2C",'Mapa final'!$R$43),"")</f>
        <v/>
      </c>
      <c r="W46" s="53" t="str">
        <f>IF(AND('Mapa final'!$AH$38="Baja",'Mapa final'!$AJ$38="Moderado"),CONCATENATE("R2C",'Mapa final'!$R$38),"")</f>
        <v/>
      </c>
      <c r="X46" s="54" t="str">
        <f>IF(AND('Mapa final'!$AH$39="Baja",'Mapa final'!$AJ$39="Moderado"),CONCATENATE("R2C",'Mapa final'!$R$39),"")</f>
        <v/>
      </c>
      <c r="Y46" s="54" t="str">
        <f>IF(AND('Mapa final'!$AH$40="Baja",'Mapa final'!$AJ$40="Moderado"),CONCATENATE("R2C",'Mapa final'!$R$40),"")</f>
        <v/>
      </c>
      <c r="Z46" s="54" t="str">
        <f>IF(AND('Mapa final'!$AH$41="Baja",'Mapa final'!$AJ$41="Moderado"),CONCATENATE("R2C",'Mapa final'!$R$41),"")</f>
        <v/>
      </c>
      <c r="AA46" s="54" t="str">
        <f>IF(AND('Mapa final'!$AH$42="Baja",'Mapa final'!$AJ$42="Moderado"),CONCATENATE("R2C",'Mapa final'!$R$42),"")</f>
        <v/>
      </c>
      <c r="AB46" s="55" t="str">
        <f>IF(AND('Mapa final'!$AH$43="Baja",'Mapa final'!$AJ$43="Moderado"),CONCATENATE("R2C",'Mapa final'!$R$43),"")</f>
        <v/>
      </c>
      <c r="AC46" s="38" t="str">
        <f>IF(AND('Mapa final'!$AH$38="Baja",'Mapa final'!$AJ$38="Mayor"),CONCATENATE("R2C",'Mapa final'!$R$38),"")</f>
        <v/>
      </c>
      <c r="AD46" s="39" t="str">
        <f>IF(AND('Mapa final'!$AH$39="Baja",'Mapa final'!$AJ$39="Mayor"),CONCATENATE("R2C",'Mapa final'!$R$39),"")</f>
        <v/>
      </c>
      <c r="AE46" s="39" t="str">
        <f>IF(AND('Mapa final'!$AH$40="Baja",'Mapa final'!$AJ$40="Mayor"),CONCATENATE("R2C",'Mapa final'!$R$40),"")</f>
        <v/>
      </c>
      <c r="AF46" s="39" t="str">
        <f>IF(AND('Mapa final'!$AH$41="Baja",'Mapa final'!$AJ$41="Mayor"),CONCATENATE("R2C",'Mapa final'!$R$41),"")</f>
        <v/>
      </c>
      <c r="AG46" s="39" t="str">
        <f>IF(AND('Mapa final'!$AH$42="Baja",'Mapa final'!$AJ$42="Mayor"),CONCATENATE("R2C",'Mapa final'!$R$42),"")</f>
        <v/>
      </c>
      <c r="AH46" s="40" t="str">
        <f>IF(AND('Mapa final'!$AH$43="Baja",'Mapa final'!$AJ$43="Mayor"),CONCATENATE("R2C",'Mapa final'!$R$43),"")</f>
        <v/>
      </c>
      <c r="AI46" s="41" t="str">
        <f>IF(AND('Mapa final'!$AH$38="Baja",'Mapa final'!$AJ$38="Catastrófico"),CONCATENATE("R2C",'Mapa final'!$R$38),"")</f>
        <v/>
      </c>
      <c r="AJ46" s="42" t="str">
        <f>IF(AND('Mapa final'!$AH$39="Baja",'Mapa final'!$AJ$39="Catastrófico"),CONCATENATE("R2C",'Mapa final'!$R$39),"")</f>
        <v/>
      </c>
      <c r="AK46" s="42" t="str">
        <f>IF(AND('Mapa final'!$AH$40="Baja",'Mapa final'!$AJ$40="Catastrófico"),CONCATENATE("R2C",'Mapa final'!$R$40),"")</f>
        <v/>
      </c>
      <c r="AL46" s="42" t="str">
        <f>IF(AND('Mapa final'!$AH$41="Baja",'Mapa final'!$AJ$41="Catastrófico"),CONCATENATE("R2C",'Mapa final'!$R$41),"")</f>
        <v/>
      </c>
      <c r="AM46" s="42" t="str">
        <f>IF(AND('Mapa final'!$AH$42="Baja",'Mapa final'!$AJ$42="Catastrófico"),CONCATENATE("R2C",'Mapa final'!$R$42),"")</f>
        <v/>
      </c>
      <c r="AN46" s="43" t="str">
        <f>IF(AND('Mapa final'!$AH$43="Baja",'Mapa final'!$AJ$43="Catastrófico"),CONCATENATE("R2C",'Mapa final'!$R$43),"")</f>
        <v/>
      </c>
      <c r="AO46" s="68"/>
      <c r="AP46" s="474"/>
      <c r="AQ46" s="475"/>
      <c r="AR46" s="475"/>
      <c r="AS46" s="475"/>
      <c r="AT46" s="475"/>
      <c r="AU46" s="476"/>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row>
    <row r="47" spans="2:77" ht="15" customHeight="1">
      <c r="B47" s="68"/>
      <c r="C47" s="399"/>
      <c r="D47" s="399"/>
      <c r="E47" s="400"/>
      <c r="F47" s="442"/>
      <c r="G47" s="443"/>
      <c r="H47" s="443"/>
      <c r="I47" s="443"/>
      <c r="J47" s="443"/>
      <c r="K47" s="62" t="str">
        <f>IF(AND('Mapa final'!$AH$44="Baja",'Mapa final'!$AJ$44="Leve"),CONCATENATE("R2C",'Mapa final'!$R$44),"")</f>
        <v/>
      </c>
      <c r="L47" s="63" t="str">
        <f>IF(AND('Mapa final'!$AH$45="Baja",'Mapa final'!$AJ$45="Leve"),CONCATENATE("R2C",'Mapa final'!$R$45),"")</f>
        <v/>
      </c>
      <c r="M47" s="63" t="str">
        <f>IF(AND('Mapa final'!$AH$46="Baja",'Mapa final'!$AJ$46="Leve"),CONCATENATE("R2C",'Mapa final'!$R$46),"")</f>
        <v/>
      </c>
      <c r="N47" s="54" t="e">
        <f>IF(AND('Mapa final'!#REF!="Alta",'Mapa final'!#REF!="Leve"),CONCATENATE("R2C",'Mapa final'!#REF!),"")</f>
        <v>#REF!</v>
      </c>
      <c r="O47" s="63" t="str">
        <f>IF(AND('Mapa final'!$AH$48="Baja",'Mapa final'!$AJ$48="Leve"),CONCATENATE("R2C",'Mapa final'!$R$48),"")</f>
        <v/>
      </c>
      <c r="P47" s="64" t="str">
        <f>IF(AND('Mapa final'!$AH$59="Baja",'Mapa final'!$AJ$49="Leve"),CONCATENATE("R2C",'Mapa final'!$R$49),"")</f>
        <v/>
      </c>
      <c r="Q47" s="53" t="str">
        <f>IF(AND('Mapa final'!$AH$44="Baja",'Mapa final'!$AJ$44="Menor"),CONCATENATE("R2C",'Mapa final'!$R$44),"")</f>
        <v/>
      </c>
      <c r="R47" s="54" t="str">
        <f>IF(AND('Mapa final'!$AH$45="Baja",'Mapa final'!$AJ$45="Menor"),CONCATENATE("R2C",'Mapa final'!$R$45),"")</f>
        <v/>
      </c>
      <c r="S47" s="54" t="str">
        <f>IF(AND('Mapa final'!$AH$46="Baja",'Mapa final'!$AJ$46="Menor"),CONCATENATE("R2C",'Mapa final'!$R$46),"")</f>
        <v/>
      </c>
      <c r="T47" s="54" t="str">
        <f>IF(AND('Mapa final'!$AH$47="Baja",'Mapa final'!$AJ$47="Menor"),CONCATENATE("R2C",'Mapa final'!$R$47),"")</f>
        <v/>
      </c>
      <c r="U47" s="54" t="str">
        <f>IF(AND('Mapa final'!$AH$48="Baja",'Mapa final'!$AJ$48="Menor"),CONCATENATE("R2C",'Mapa final'!$R$48),"")</f>
        <v/>
      </c>
      <c r="V47" s="55" t="str">
        <f>IF(AND('Mapa final'!$AH$59="Baja",'Mapa final'!$AJ$49="Menor"),CONCATENATE("R2C",'Mapa final'!$R$49),"")</f>
        <v/>
      </c>
      <c r="W47" s="53" t="str">
        <f>IF(AND('Mapa final'!$AH$44="Baja",'Mapa final'!$AJ$44="Moderado"),CONCATENATE("R2C",'Mapa final'!$R$44),"")</f>
        <v/>
      </c>
      <c r="X47" s="54" t="str">
        <f>IF(AND('Mapa final'!$AH$45="Baja",'Mapa final'!$AJ$45="Moderado"),CONCATENATE("R2C",'Mapa final'!$R$45),"")</f>
        <v/>
      </c>
      <c r="Y47" s="54" t="str">
        <f>IF(AND('Mapa final'!$AH$46="Baja",'Mapa final'!$AJ$46="Moderado"),CONCATENATE("R2C",'Mapa final'!$R$46),"")</f>
        <v/>
      </c>
      <c r="Z47" s="54" t="str">
        <f>IF(AND('Mapa final'!$AH$47="Baja",'Mapa final'!$AJ$47="Moderado"),CONCATENATE("R2C",'Mapa final'!$R$47),"")</f>
        <v/>
      </c>
      <c r="AA47" s="54" t="str">
        <f>IF(AND('Mapa final'!$AH$48="Baja",'Mapa final'!$AJ$48="Moderado"),CONCATENATE("R2C",'Mapa final'!$R$48),"")</f>
        <v/>
      </c>
      <c r="AB47" s="55" t="str">
        <f>IF(AND('Mapa final'!$AH$59="Baja",'Mapa final'!$AJ$49="Moderado"),CONCATENATE("R2C",'Mapa final'!$R$49),"")</f>
        <v/>
      </c>
      <c r="AC47" s="38" t="str">
        <f>IF(AND('Mapa final'!$AH$44="Baja",'Mapa final'!$AJ$44="Mayor"),CONCATENATE("R2C",'Mapa final'!$R$44),"")</f>
        <v/>
      </c>
      <c r="AD47" s="39" t="str">
        <f>IF(AND('Mapa final'!$AH$45="Baja",'Mapa final'!$AJ$45="Mayor"),CONCATENATE("R2C",'Mapa final'!$R$45),"")</f>
        <v/>
      </c>
      <c r="AE47" s="39" t="str">
        <f>IF(AND('Mapa final'!$AH$46="Baja",'Mapa final'!$AJ$46="Mayor"),CONCATENATE("R2C",'Mapa final'!$R$46),"")</f>
        <v/>
      </c>
      <c r="AF47" s="39" t="str">
        <f>IF(AND('Mapa final'!$AH$47="Baja",'Mapa final'!$AJ$47="Mayor"),CONCATENATE("R2C",'Mapa final'!$R$47),"")</f>
        <v/>
      </c>
      <c r="AG47" s="39" t="str">
        <f>IF(AND('Mapa final'!$AH$48="Baja",'Mapa final'!$AJ$48="Mayor"),CONCATENATE("R2C",'Mapa final'!$R$48),"")</f>
        <v/>
      </c>
      <c r="AH47" s="40" t="str">
        <f>IF(AND('Mapa final'!$AH$59="Baja",'Mapa final'!$AJ$49="Mayor"),CONCATENATE("R2C",'Mapa final'!$R$49),"")</f>
        <v/>
      </c>
      <c r="AI47" s="41" t="str">
        <f>IF(AND('Mapa final'!$AH$44="Baja",'Mapa final'!$AJ$44="Catastrófico"),CONCATENATE("R2C",'Mapa final'!$R$44),"")</f>
        <v/>
      </c>
      <c r="AJ47" s="42" t="str">
        <f>IF(AND('Mapa final'!$AH$45="Baja",'Mapa final'!$AJ$45="Catastrófico"),CONCATENATE("R2C",'Mapa final'!$R$45),"")</f>
        <v/>
      </c>
      <c r="AK47" s="42" t="str">
        <f>IF(AND('Mapa final'!$AH$46="Baja",'Mapa final'!$AJ$46="Catastrófico"),CONCATENATE("R2C",'Mapa final'!$R$46),"")</f>
        <v/>
      </c>
      <c r="AL47" s="42" t="str">
        <f>IF(AND('Mapa final'!$AH$47="Baja",'Mapa final'!$AJ$47="Catastrófico"),CONCATENATE("R2C",'Mapa final'!$R$47),"")</f>
        <v/>
      </c>
      <c r="AM47" s="42" t="str">
        <f>IF(AND('Mapa final'!$AH$48="Baja",'Mapa final'!$AJ$48="Catastrófico"),CONCATENATE("R2C",'Mapa final'!$R$48),"")</f>
        <v/>
      </c>
      <c r="AN47" s="43" t="str">
        <f>IF(AND('Mapa final'!$AH$59="Baja",'Mapa final'!$AJ$49="Catastrófico"),CONCATENATE("R2C",'Mapa final'!$R$49),"")</f>
        <v/>
      </c>
      <c r="AO47" s="68"/>
      <c r="AP47" s="474"/>
      <c r="AQ47" s="475"/>
      <c r="AR47" s="475"/>
      <c r="AS47" s="475"/>
      <c r="AT47" s="475"/>
      <c r="AU47" s="476"/>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row>
    <row r="48" spans="2:77" ht="15" customHeight="1">
      <c r="B48" s="68"/>
      <c r="C48" s="399"/>
      <c r="D48" s="399"/>
      <c r="E48" s="400"/>
      <c r="F48" s="442"/>
      <c r="G48" s="443"/>
      <c r="H48" s="443"/>
      <c r="I48" s="443"/>
      <c r="J48" s="443"/>
      <c r="K48" s="62" t="str">
        <f>IF(AND('Mapa final'!$AH$50="Baja",'Mapa final'!$AJ$50="Leve"),CONCATENATE("R2C",'Mapa final'!$R$50),"")</f>
        <v/>
      </c>
      <c r="L48" s="63" t="str">
        <f>IF(AND('Mapa final'!$AH$51="Baja",'Mapa final'!$AJ$51="Leve"),CONCATENATE("R2C",'Mapa final'!$R$51),"")</f>
        <v/>
      </c>
      <c r="M48" s="63" t="str">
        <f>IF(AND('Mapa final'!$AH$52="Baja",'Mapa final'!$AJ$52="Leve"),CONCATENATE("R2C",'Mapa final'!$R$52),"")</f>
        <v/>
      </c>
      <c r="N48" s="54" t="e">
        <f>IF(AND('Mapa final'!#REF!="Alta",'Mapa final'!#REF!="Leve"),CONCATENATE("R2C",'Mapa final'!#REF!),"")</f>
        <v>#REF!</v>
      </c>
      <c r="O48" s="63" t="str">
        <f>IF(AND('Mapa final'!$AH$54="Baja",'Mapa final'!$AJ$54="Leve"),CONCATENATE("R2C",'Mapa final'!$R$54),"")</f>
        <v/>
      </c>
      <c r="P48" s="64" t="str">
        <f>IF(AND('Mapa final'!$AH$55="Baja",'Mapa final'!$AJ$55="Leve"),CONCATENATE("R2C",'Mapa final'!$R$55),"")</f>
        <v/>
      </c>
      <c r="Q48" s="53" t="str">
        <f>IF(AND('Mapa final'!$AH$50="Baja",'Mapa final'!$AJ$50="Menor"),CONCATENATE("R2C",'Mapa final'!$R$50),"")</f>
        <v/>
      </c>
      <c r="R48" s="54" t="str">
        <f>IF(AND('Mapa final'!$AH$51="Baja",'Mapa final'!$AJ$51="Menor"),CONCATENATE("R2C",'Mapa final'!$R$51),"")</f>
        <v/>
      </c>
      <c r="S48" s="54" t="str">
        <f>IF(AND('Mapa final'!$AH$52="Baja",'Mapa final'!$AJ$52="Menor"),CONCATENATE("R2C",'Mapa final'!$R$52),"")</f>
        <v/>
      </c>
      <c r="T48" s="54" t="str">
        <f>IF(AND('Mapa final'!$AH$53="Baja",'Mapa final'!$AJ$53="Menor"),CONCATENATE("R2C",'Mapa final'!$R$53),"")</f>
        <v/>
      </c>
      <c r="U48" s="54" t="str">
        <f>IF(AND('Mapa final'!$AH$54="Baja",'Mapa final'!$AJ$54="Menor"),CONCATENATE("R2C",'Mapa final'!$R$54),"")</f>
        <v/>
      </c>
      <c r="V48" s="55" t="str">
        <f>IF(AND('Mapa final'!$AH$55="Baja",'Mapa final'!$AJ$55="Menor"),CONCATENATE("R2C",'Mapa final'!$R$55),"")</f>
        <v/>
      </c>
      <c r="W48" s="53" t="str">
        <f>IF(AND('Mapa final'!$AH$50="Baja",'Mapa final'!$AJ$50="Moderado"),CONCATENATE("R2C",'Mapa final'!$R$50),"")</f>
        <v/>
      </c>
      <c r="X48" s="54" t="str">
        <f>IF(AND('Mapa final'!$AH$51="Baja",'Mapa final'!$AJ$51="Moderado"),CONCATENATE("R2C",'Mapa final'!$R$51),"")</f>
        <v/>
      </c>
      <c r="Y48" s="54" t="str">
        <f>IF(AND('Mapa final'!$AH$52="Baja",'Mapa final'!$AJ$52="Moderado"),CONCATENATE("R2C",'Mapa final'!$R$52),"")</f>
        <v/>
      </c>
      <c r="Z48" s="54" t="str">
        <f>IF(AND('Mapa final'!$AH$53="Baja",'Mapa final'!$AJ$53="Moderado"),CONCATENATE("R2C",'Mapa final'!$R$53),"")</f>
        <v/>
      </c>
      <c r="AA48" s="54" t="str">
        <f>IF(AND('Mapa final'!$AH$54="Baja",'Mapa final'!$AJ$54="Moderado"),CONCATENATE("R2C",'Mapa final'!$R$54),"")</f>
        <v/>
      </c>
      <c r="AB48" s="55" t="str">
        <f>IF(AND('Mapa final'!$AH$55="Baja",'Mapa final'!$AJ$55="Moderado"),CONCATENATE("R2C",'Mapa final'!$R$55),"")</f>
        <v/>
      </c>
      <c r="AC48" s="38" t="str">
        <f>IF(AND('Mapa final'!$AH$50="Baja",'Mapa final'!$AJ$50="Mayor"),CONCATENATE("R2C",'Mapa final'!$R$50),"")</f>
        <v/>
      </c>
      <c r="AD48" s="39" t="str">
        <f>IF(AND('Mapa final'!$AH$51="Baja",'Mapa final'!$AJ$51="Mayor"),CONCATENATE("R2C",'Mapa final'!$R$51),"")</f>
        <v/>
      </c>
      <c r="AE48" s="39" t="str">
        <f>IF(AND('Mapa final'!$AH$52="Baja",'Mapa final'!$AJ$52="Mayor"),CONCATENATE("R2C",'Mapa final'!$R$52),"")</f>
        <v/>
      </c>
      <c r="AF48" s="39" t="str">
        <f>IF(AND('Mapa final'!$AH$53="Baja",'Mapa final'!$AJ$53="Mayor"),CONCATENATE("R2C",'Mapa final'!$R$53),"")</f>
        <v/>
      </c>
      <c r="AG48" s="39" t="str">
        <f>IF(AND('Mapa final'!$AH$54="Baja",'Mapa final'!$AJ$54="Mayor"),CONCATENATE("R2C",'Mapa final'!$R$54),"")</f>
        <v/>
      </c>
      <c r="AH48" s="40" t="str">
        <f>IF(AND('Mapa final'!$AH$55="Baja",'Mapa final'!$AJ$55="Mayor"),CONCATENATE("R2C",'Mapa final'!$R$55),"")</f>
        <v/>
      </c>
      <c r="AI48" s="41" t="str">
        <f>IF(AND('Mapa final'!$AH$50="Baja",'Mapa final'!$AJ$50="Catastrófico"),CONCATENATE("R2C",'Mapa final'!$R$50),"")</f>
        <v/>
      </c>
      <c r="AJ48" s="42" t="str">
        <f>IF(AND('Mapa final'!$AH$51="Baja",'Mapa final'!$AJ$51="Catastrófico"),CONCATENATE("R2C",'Mapa final'!$R$51),"")</f>
        <v/>
      </c>
      <c r="AK48" s="42" t="str">
        <f>IF(AND('Mapa final'!$AH$52="Baja",'Mapa final'!$AJ$52="Catastrófico"),CONCATENATE("R2C",'Mapa final'!$R$52),"")</f>
        <v/>
      </c>
      <c r="AL48" s="42" t="str">
        <f>IF(AND('Mapa final'!$AH$53="Baja",'Mapa final'!$AJ$53="Catastrófico"),CONCATENATE("R2C",'Mapa final'!$R$53),"")</f>
        <v/>
      </c>
      <c r="AM48" s="42" t="str">
        <f>IF(AND('Mapa final'!$AH$54="Baja",'Mapa final'!$AJ$54="Catastrófico"),CONCATENATE("R2C",'Mapa final'!$R$54),"")</f>
        <v/>
      </c>
      <c r="AN48" s="43" t="str">
        <f>IF(AND('Mapa final'!$AH$55="Baja",'Mapa final'!$AJ$55="Catastrófico"),CONCATENATE("R2C",'Mapa final'!$R$55),"")</f>
        <v/>
      </c>
      <c r="AO48" s="68"/>
      <c r="AP48" s="474"/>
      <c r="AQ48" s="475"/>
      <c r="AR48" s="475"/>
      <c r="AS48" s="475"/>
      <c r="AT48" s="475"/>
      <c r="AU48" s="476"/>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row>
    <row r="49" spans="2:81" ht="15" customHeight="1">
      <c r="B49" s="68"/>
      <c r="C49" s="399"/>
      <c r="D49" s="399"/>
      <c r="E49" s="400"/>
      <c r="F49" s="442"/>
      <c r="G49" s="443"/>
      <c r="H49" s="443"/>
      <c r="I49" s="443"/>
      <c r="J49" s="443"/>
      <c r="K49" s="62" t="str">
        <f>IF(AND('Mapa final'!$AH$56="Baja",'Mapa final'!$AJ$56="Leve"),CONCATENATE("R2C",'Mapa final'!$R$56),"")</f>
        <v/>
      </c>
      <c r="L49" s="63" t="str">
        <f>IF(AND('Mapa final'!$AH$57="Baja",'Mapa final'!$AJ$57="Leve"),CONCATENATE("R2C",'Mapa final'!$R$57),"")</f>
        <v/>
      </c>
      <c r="M49" s="63" t="str">
        <f>IF(AND('Mapa final'!$AH$58="Baja",'Mapa final'!$AJ$58="Leve"),CONCATENATE("R2C",'Mapa final'!$R$58),"")</f>
        <v/>
      </c>
      <c r="N49" s="54" t="e">
        <f>IF(AND('Mapa final'!#REF!="Alta",'Mapa final'!#REF!="Leve"),CONCATENATE("R2C",'Mapa final'!#REF!),"")</f>
        <v>#REF!</v>
      </c>
      <c r="O49" s="63" t="str">
        <f>IF(AND('Mapa final'!$AH$60="Baja",'Mapa final'!$AJ$60="Leve"),CONCATENATE("R2C",'Mapa final'!$R$60),"")</f>
        <v/>
      </c>
      <c r="P49" s="64" t="str">
        <f>IF(AND('Mapa final'!$AH$61="Baja",'Mapa final'!$AJ$61="Leve"),CONCATENATE("R2C",'Mapa final'!$R$61),"")</f>
        <v/>
      </c>
      <c r="Q49" s="53" t="str">
        <f>IF(AND('Mapa final'!$AH$56="Baja",'Mapa final'!$AJ$56="Menor"),CONCATENATE("R2C",'Mapa final'!$R$56),"")</f>
        <v/>
      </c>
      <c r="R49" s="54" t="str">
        <f>IF(AND('Mapa final'!$AH$57="Baja",'Mapa final'!$AJ$57="Menor"),CONCATENATE("R2C",'Mapa final'!$R$57),"")</f>
        <v/>
      </c>
      <c r="S49" s="54" t="str">
        <f>IF(AND('Mapa final'!$AH$58="Baja",'Mapa final'!$AJ$58="Menor"),CONCATENATE("R2C",'Mapa final'!$R$58),"")</f>
        <v/>
      </c>
      <c r="T49" s="54" t="str">
        <f>IF(AND('Mapa final'!$AH$59="Baja",'Mapa final'!$AJ$59="Menor"),CONCATENATE("R2C",'Mapa final'!$R$59),"")</f>
        <v/>
      </c>
      <c r="U49" s="54" t="str">
        <f>IF(AND('Mapa final'!$AH$60="Baja",'Mapa final'!$AJ$60="Menor"),CONCATENATE("R2C",'Mapa final'!$R$60),"")</f>
        <v/>
      </c>
      <c r="V49" s="55" t="str">
        <f>IF(AND('Mapa final'!$AH$61="Baja",'Mapa final'!$AJ$61="Menor"),CONCATENATE("R2C",'Mapa final'!$R$61),"")</f>
        <v/>
      </c>
      <c r="W49" s="53" t="str">
        <f>IF(AND('Mapa final'!$AH$56="Baja",'Mapa final'!$AJ$56="Moderado"),CONCATENATE("R2C",'Mapa final'!$R$56),"")</f>
        <v/>
      </c>
      <c r="X49" s="54" t="str">
        <f>IF(AND('Mapa final'!$AH$57="Baja",'Mapa final'!$AJ$57="Moderado"),CONCATENATE("R2C",'Mapa final'!$R$57),"")</f>
        <v/>
      </c>
      <c r="Y49" s="54" t="str">
        <f>IF(AND('Mapa final'!$AH$58="Baja",'Mapa final'!$AJ$58="Moderado"),CONCATENATE("R2C",'Mapa final'!$R$58),"")</f>
        <v/>
      </c>
      <c r="Z49" s="54" t="str">
        <f>IF(AND('Mapa final'!$AH$59="Baja",'Mapa final'!$AJ$59="Moderado"),CONCATENATE("R2C",'Mapa final'!$R$59),"")</f>
        <v/>
      </c>
      <c r="AA49" s="54" t="str">
        <f>IF(AND('Mapa final'!$AH$60="Baja",'Mapa final'!$AJ$60="Moderado"),CONCATENATE("R2C",'Mapa final'!$R$60),"")</f>
        <v/>
      </c>
      <c r="AB49" s="55" t="str">
        <f>IF(AND('Mapa final'!$AH$61="Baja",'Mapa final'!$AJ$61="Moderado"),CONCATENATE("R2C",'Mapa final'!$R$61),"")</f>
        <v/>
      </c>
      <c r="AC49" s="38" t="str">
        <f>IF(AND('Mapa final'!$AH$56="Baja",'Mapa final'!$AJ$56="Mayor"),CONCATENATE("R2C",'Mapa final'!$R$56),"")</f>
        <v/>
      </c>
      <c r="AD49" s="39" t="str">
        <f>IF(AND('Mapa final'!$AH$57="Baja",'Mapa final'!$AJ$57="Mayor"),CONCATENATE("R2C",'Mapa final'!$R$57),"")</f>
        <v/>
      </c>
      <c r="AE49" s="39" t="str">
        <f>IF(AND('Mapa final'!$AH$58="Baja",'Mapa final'!$AJ$58="Mayor"),CONCATENATE("R2C",'Mapa final'!$R$58),"")</f>
        <v/>
      </c>
      <c r="AF49" s="39" t="str">
        <f>IF(AND('Mapa final'!$AH$59="Baja",'Mapa final'!$AJ$59="Mayor"),CONCATENATE("R2C",'Mapa final'!$R$59),"")</f>
        <v/>
      </c>
      <c r="AG49" s="39" t="str">
        <f>IF(AND('Mapa final'!$AH$60="Baja",'Mapa final'!$AJ$60="Mayor"),CONCATENATE("R2C",'Mapa final'!$R$60),"")</f>
        <v/>
      </c>
      <c r="AH49" s="40" t="str">
        <f>IF(AND('Mapa final'!$AH$61="Baja",'Mapa final'!$AJ$61="Mayor"),CONCATENATE("R2C",'Mapa final'!$R$61),"")</f>
        <v/>
      </c>
      <c r="AI49" s="41" t="str">
        <f>IF(AND('Mapa final'!$AH$56="Baja",'Mapa final'!$AJ$56="Catastrófico"),CONCATENATE("R2C",'Mapa final'!$R$56),"")</f>
        <v/>
      </c>
      <c r="AJ49" s="42" t="str">
        <f>IF(AND('Mapa final'!$AH$57="Baja",'Mapa final'!$AJ$57="Catastrófico"),CONCATENATE("R2C",'Mapa final'!$R$57),"")</f>
        <v/>
      </c>
      <c r="AK49" s="42" t="str">
        <f>IF(AND('Mapa final'!$AH$58="Baja",'Mapa final'!$AJ$58="Catastrófico"),CONCATENATE("R2C",'Mapa final'!$R$58),"")</f>
        <v/>
      </c>
      <c r="AL49" s="42" t="str">
        <f>IF(AND('Mapa final'!$AH$59="Baja",'Mapa final'!$AJ$59="Catastrófico"),CONCATENATE("R2C",'Mapa final'!$R$59),"")</f>
        <v/>
      </c>
      <c r="AM49" s="42" t="str">
        <f>IF(AND('Mapa final'!$AH$60="Baja",'Mapa final'!$AJ$60="Catastrófico"),CONCATENATE("R2C",'Mapa final'!$R$60),"")</f>
        <v/>
      </c>
      <c r="AN49" s="43" t="str">
        <f>IF(AND('Mapa final'!$AH$61="Baja",'Mapa final'!$AJ$61="Catastrófico"),CONCATENATE("R2C",'Mapa final'!$R$61),"")</f>
        <v/>
      </c>
      <c r="AO49" s="68"/>
      <c r="AP49" s="474"/>
      <c r="AQ49" s="475"/>
      <c r="AR49" s="475"/>
      <c r="AS49" s="475"/>
      <c r="AT49" s="475"/>
      <c r="AU49" s="476"/>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row>
    <row r="50" spans="2:81" ht="15" customHeight="1">
      <c r="B50" s="68"/>
      <c r="C50" s="399"/>
      <c r="D50" s="399"/>
      <c r="E50" s="400"/>
      <c r="F50" s="442"/>
      <c r="G50" s="443"/>
      <c r="H50" s="443"/>
      <c r="I50" s="443"/>
      <c r="J50" s="443"/>
      <c r="K50" s="62" t="str">
        <f>IF(AND('Mapa final'!$AH$62="Baja",'Mapa final'!$AJ$62="Leve"),CONCATENATE("R2C",'Mapa final'!$R$62),"")</f>
        <v/>
      </c>
      <c r="L50" s="63" t="str">
        <f>IF(AND('Mapa final'!$AH$63="Baja",'Mapa final'!$AJ$63="Leve"),CONCATENATE("R2C",'Mapa final'!$R$63),"")</f>
        <v/>
      </c>
      <c r="M50" s="63" t="str">
        <f>IF(AND('Mapa final'!$AH$64="Baja",'Mapa final'!$AJ$64="Leve"),CONCATENATE("R2C",'Mapa final'!$R$64),"")</f>
        <v/>
      </c>
      <c r="N50" s="54" t="e">
        <f>IF(AND('Mapa final'!#REF!="Alta",'Mapa final'!#REF!="Leve"),CONCATENATE("R2C",'Mapa final'!#REF!),"")</f>
        <v>#REF!</v>
      </c>
      <c r="O50" s="63" t="str">
        <f>IF(AND('Mapa final'!$AH$66="Baja",'Mapa final'!$AJ$66="Leve"),CONCATENATE("R2C",'Mapa final'!$R$66),"")</f>
        <v/>
      </c>
      <c r="P50" s="64" t="str">
        <f>IF(AND('Mapa final'!$AH$67="Baja",'Mapa final'!$AJ$67="Leve"),CONCATENATE("R2C",'Mapa final'!$R$67),"")</f>
        <v/>
      </c>
      <c r="Q50" s="53" t="str">
        <f>IF(AND('Mapa final'!$AH$62="Baja",'Mapa final'!$AJ$62="Menor"),CONCATENATE("R2C",'Mapa final'!$R$62),"")</f>
        <v/>
      </c>
      <c r="R50" s="54" t="str">
        <f>IF(AND('Mapa final'!$AH$63="Baja",'Mapa final'!$AJ$63="Menor"),CONCATENATE("R2C",'Mapa final'!$R$63),"")</f>
        <v/>
      </c>
      <c r="S50" s="54" t="str">
        <f>IF(AND('Mapa final'!$AH$64="Baja",'Mapa final'!$AJ$64="Menor"),CONCATENATE("R2C",'Mapa final'!$R$64),"")</f>
        <v/>
      </c>
      <c r="T50" s="54" t="str">
        <f>IF(AND('Mapa final'!$AH$65="Baja",'Mapa final'!$AJ$65="Menor"),CONCATENATE("R2C",'Mapa final'!$R$65),"")</f>
        <v/>
      </c>
      <c r="U50" s="54" t="str">
        <f>IF(AND('Mapa final'!$AH$66="Baja",'Mapa final'!$AJ$66="Menor"),CONCATENATE("R2C",'Mapa final'!$R$66),"")</f>
        <v/>
      </c>
      <c r="V50" s="55" t="str">
        <f>IF(AND('Mapa final'!$AH$67="Baja",'Mapa final'!$AJ$67="Menor"),CONCATENATE("R2C",'Mapa final'!$R$67),"")</f>
        <v/>
      </c>
      <c r="W50" s="53" t="str">
        <f>IF(AND('Mapa final'!$AH$62="Baja",'Mapa final'!$AJ$62="Moderado"),CONCATENATE("R2C",'Mapa final'!$R$62),"")</f>
        <v/>
      </c>
      <c r="X50" s="54" t="str">
        <f>IF(AND('Mapa final'!$AH$63="Baja",'Mapa final'!$AJ$63="Moderado"),CONCATENATE("R2C",'Mapa final'!$R$63),"")</f>
        <v/>
      </c>
      <c r="Y50" s="54" t="str">
        <f>IF(AND('Mapa final'!$AH$64="Baja",'Mapa final'!$AJ$64="Moderado"),CONCATENATE("R2C",'Mapa final'!$R$64),"")</f>
        <v/>
      </c>
      <c r="Z50" s="54" t="str">
        <f>IF(AND('Mapa final'!$AH$65="Baja",'Mapa final'!$AJ$65="Moderado"),CONCATENATE("R2C",'Mapa final'!$R$65),"")</f>
        <v/>
      </c>
      <c r="AA50" s="54" t="str">
        <f>IF(AND('Mapa final'!$AH$66="Baja",'Mapa final'!$AJ$66="Moderado"),CONCATENATE("R2C",'Mapa final'!$R$66),"")</f>
        <v/>
      </c>
      <c r="AB50" s="55" t="str">
        <f>IF(AND('Mapa final'!$AH$67="Baja",'Mapa final'!$AJ$67="Moderado"),CONCATENATE("R2C",'Mapa final'!$R$67),"")</f>
        <v/>
      </c>
      <c r="AC50" s="38" t="str">
        <f>IF(AND('Mapa final'!$AH$62="Baja",'Mapa final'!$AJ$62="Mayor"),CONCATENATE("R2C",'Mapa final'!$R$62),"")</f>
        <v/>
      </c>
      <c r="AD50" s="39" t="str">
        <f>IF(AND('Mapa final'!$AH$63="Baja",'Mapa final'!$AJ$63="Mayor"),CONCATENATE("R2C",'Mapa final'!$R$63),"")</f>
        <v/>
      </c>
      <c r="AE50" s="39" t="str">
        <f>IF(AND('Mapa final'!$AH$64="Baja",'Mapa final'!$AJ$64="Mayor"),CONCATENATE("R2C",'Mapa final'!$R$64),"")</f>
        <v/>
      </c>
      <c r="AF50" s="39" t="str">
        <f>IF(AND('Mapa final'!$AH$65="Baja",'Mapa final'!$AJ$65="Mayor"),CONCATENATE("R2C",'Mapa final'!$R$65),"")</f>
        <v/>
      </c>
      <c r="AG50" s="39" t="str">
        <f>IF(AND('Mapa final'!$AH$66="Baja",'Mapa final'!$AJ$66="Mayor"),CONCATENATE("R2C",'Mapa final'!$R$66),"")</f>
        <v/>
      </c>
      <c r="AH50" s="40" t="str">
        <f>IF(AND('Mapa final'!$AH$67="Baja",'Mapa final'!$AJ$67="Mayor"),CONCATENATE("R2C",'Mapa final'!$R$67),"")</f>
        <v/>
      </c>
      <c r="AI50" s="41" t="str">
        <f>IF(AND('Mapa final'!$AH$62="Baja",'Mapa final'!$AJ$62="Catastrófico"),CONCATENATE("R2C",'Mapa final'!$R$62),"")</f>
        <v/>
      </c>
      <c r="AJ50" s="42" t="str">
        <f>IF(AND('Mapa final'!$AH$63="Baja",'Mapa final'!$AJ$63="Catastrófico"),CONCATENATE("R2C",'Mapa final'!$R$63),"")</f>
        <v/>
      </c>
      <c r="AK50" s="42" t="str">
        <f>IF(AND('Mapa final'!$AH$64="Baja",'Mapa final'!$AJ$64="Catastrófico"),CONCATENATE("R2C",'Mapa final'!$R$64),"")</f>
        <v/>
      </c>
      <c r="AL50" s="42" t="str">
        <f>IF(AND('Mapa final'!$AH$65="Baja",'Mapa final'!$AJ$65="Catastrófico"),CONCATENATE("R2C",'Mapa final'!$R$65),"")</f>
        <v/>
      </c>
      <c r="AM50" s="42" t="str">
        <f>IF(AND('Mapa final'!$AH$66="Baja",'Mapa final'!$AJ$66="Catastrófico"),CONCATENATE("R2C",'Mapa final'!$R$66),"")</f>
        <v/>
      </c>
      <c r="AN50" s="43" t="str">
        <f>IF(AND('Mapa final'!$AH$67="Baja",'Mapa final'!$AJ$67="Catastrófico"),CONCATENATE("R2C",'Mapa final'!$R$67),"")</f>
        <v/>
      </c>
      <c r="AO50" s="68"/>
      <c r="AP50" s="474"/>
      <c r="AQ50" s="475"/>
      <c r="AR50" s="475"/>
      <c r="AS50" s="475"/>
      <c r="AT50" s="475"/>
      <c r="AU50" s="476"/>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row>
    <row r="51" spans="2:81" ht="15.75" customHeight="1" thickBot="1">
      <c r="B51" s="68"/>
      <c r="C51" s="399"/>
      <c r="D51" s="399"/>
      <c r="E51" s="400"/>
      <c r="F51" s="445"/>
      <c r="G51" s="446"/>
      <c r="H51" s="446"/>
      <c r="I51" s="446"/>
      <c r="J51" s="446"/>
      <c r="K51" s="65" t="str">
        <f>IF(AND('Mapa final'!$AH$68="Baja",'Mapa final'!$AJ$68="Leve"),CONCATENATE("R2C",'Mapa final'!$R$68),"")</f>
        <v/>
      </c>
      <c r="L51" s="66" t="str">
        <f>IF(AND('Mapa final'!$AH$69="Baja",'Mapa final'!$AJ$69="Leve"),CONCATENATE("R2C",'Mapa final'!$R$69),"")</f>
        <v/>
      </c>
      <c r="M51" s="66" t="str">
        <f>IF(AND('Mapa final'!$AH$70="Baja",'Mapa final'!$AJ$70="Leve"),CONCATENATE("R2C",'Mapa final'!$R$70),"")</f>
        <v/>
      </c>
      <c r="N51" s="54" t="e">
        <f>IF(AND('Mapa final'!#REF!="Alta",'Mapa final'!#REF!="Leve"),CONCATENATE("R2C",'Mapa final'!#REF!),"")</f>
        <v>#REF!</v>
      </c>
      <c r="O51" s="66" t="str">
        <f>IF(AND('Mapa final'!$AH$73="Baja",'Mapa final'!$AJ$73="Leve"),CONCATENATE("R2C",'Mapa final'!$R$73),"")</f>
        <v/>
      </c>
      <c r="P51" s="67" t="str">
        <f>IF(AND('Mapa final'!$AH$74="Baja",'Mapa final'!$AJ$74="Leve"),CONCATENATE("R2C",'Mapa final'!$R$74),"")</f>
        <v/>
      </c>
      <c r="Q51" s="53" t="str">
        <f>IF(AND('Mapa final'!$AH$68="Baja",'Mapa final'!$AJ$68="Menor"),CONCATENATE("R2C",'Mapa final'!$R$68),"")</f>
        <v/>
      </c>
      <c r="R51" s="54" t="str">
        <f>IF(AND('Mapa final'!$AH$69="Baja",'Mapa final'!$AJ$69="Menor"),CONCATENATE("R2C",'Mapa final'!$R$69),"")</f>
        <v/>
      </c>
      <c r="S51" s="54" t="str">
        <f>IF(AND('Mapa final'!$AH$70="Baja",'Mapa final'!$AJ$70="Menor"),CONCATENATE("R2C",'Mapa final'!$R$70),"")</f>
        <v/>
      </c>
      <c r="T51" s="54" t="str">
        <f>IF(AND('Mapa final'!$AH$71="Baja",'Mapa final'!$AJ$71="Menor"),CONCATENATE("R2C",'Mapa final'!$R$71),"")</f>
        <v/>
      </c>
      <c r="U51" s="54" t="str">
        <f>IF(AND('Mapa final'!$AH$73="Baja",'Mapa final'!$AJ$73="Menor"),CONCATENATE("R2C",'Mapa final'!$R$73),"")</f>
        <v/>
      </c>
      <c r="V51" s="55" t="str">
        <f>IF(AND('Mapa final'!$AH$74="Baja",'Mapa final'!$AJ$74="Menor"),CONCATENATE("R2C",'Mapa final'!$R$74),"")</f>
        <v/>
      </c>
      <c r="W51" s="56" t="str">
        <f>IF(AND('Mapa final'!$AH$68="Baja",'Mapa final'!$AJ$68="Moderado"),CONCATENATE("R2C",'Mapa final'!$R$68),"")</f>
        <v/>
      </c>
      <c r="X51" s="57" t="str">
        <f>IF(AND('Mapa final'!$AH$69="Baja",'Mapa final'!$AJ$69="Moderado"),CONCATENATE("R2C",'Mapa final'!$R$69),"")</f>
        <v/>
      </c>
      <c r="Y51" s="57" t="str">
        <f>IF(AND('Mapa final'!$AH$70="Baja",'Mapa final'!$AJ$70="Moderado"),CONCATENATE("R2C",'Mapa final'!$R$70),"")</f>
        <v/>
      </c>
      <c r="Z51" s="57" t="str">
        <f>IF(AND('Mapa final'!$AH$71="Baja",'Mapa final'!$AJ$71="Moderado"),CONCATENATE("R2C",'Mapa final'!$R$71),"")</f>
        <v/>
      </c>
      <c r="AA51" s="57" t="str">
        <f>IF(AND('Mapa final'!$AH$73="Baja",'Mapa final'!$AJ$73="Moderado"),CONCATENATE("R2C",'Mapa final'!$R$73),"")</f>
        <v/>
      </c>
      <c r="AB51" s="58" t="str">
        <f>IF(AND('Mapa final'!$AH$74="Baja",'Mapa final'!$AJ$74="Moderado"),CONCATENATE("R2C",'Mapa final'!$R$74),"")</f>
        <v/>
      </c>
      <c r="AC51" s="44" t="str">
        <f>IF(AND('Mapa final'!$AH$68="Baja",'Mapa final'!$AJ$68="Mayor"),CONCATENATE("R2C",'Mapa final'!$R$68),"")</f>
        <v/>
      </c>
      <c r="AD51" s="45" t="str">
        <f>IF(AND('Mapa final'!$AH$69="Baja",'Mapa final'!$AJ$69="Mayor"),CONCATENATE("R2C",'Mapa final'!$R$69),"")</f>
        <v/>
      </c>
      <c r="AE51" s="45" t="str">
        <f>IF(AND('Mapa final'!$AH$70="Baja",'Mapa final'!$AJ$70="Mayor"),CONCATENATE("R2C",'Mapa final'!$R$70),"")</f>
        <v/>
      </c>
      <c r="AF51" s="45" t="str">
        <f>IF(AND('Mapa final'!$AH$71="Baja",'Mapa final'!$AJ$71="Mayor"),CONCATENATE("R2C",'Mapa final'!$R$71),"")</f>
        <v/>
      </c>
      <c r="AG51" s="45" t="str">
        <f>IF(AND('Mapa final'!$AH$73="Baja",'Mapa final'!$AJ$73="Mayor"),CONCATENATE("R2C",'Mapa final'!$R$73),"")</f>
        <v/>
      </c>
      <c r="AH51" s="46" t="str">
        <f>IF(AND('Mapa final'!$AH$74="Baja",'Mapa final'!$AJ$74="Mayor"),CONCATENATE("R2C",'Mapa final'!$R$74),"")</f>
        <v/>
      </c>
      <c r="AI51" s="47" t="str">
        <f>IF(AND('Mapa final'!$AH$68="Baja",'Mapa final'!$AJ$68="Catastrófico"),CONCATENATE("R2C",'Mapa final'!$R$68),"")</f>
        <v/>
      </c>
      <c r="AJ51" s="48" t="str">
        <f>IF(AND('Mapa final'!$AH$69="Baja",'Mapa final'!$AJ$69="Catastrófico"),CONCATENATE("R2C",'Mapa final'!$R$69),"")</f>
        <v/>
      </c>
      <c r="AK51" s="48" t="str">
        <f>IF(AND('Mapa final'!$AH$70="Baja",'Mapa final'!$AJ$70="Catastrófico"),CONCATENATE("R2C",'Mapa final'!$R$70),"")</f>
        <v/>
      </c>
      <c r="AL51" s="48" t="str">
        <f>IF(AND('Mapa final'!$AH$71="Baja",'Mapa final'!$AJ$71="Catastrófico"),CONCATENATE("R2C",'Mapa final'!$R$71),"")</f>
        <v/>
      </c>
      <c r="AM51" s="48" t="str">
        <f>IF(AND('Mapa final'!$AH$73="Baja",'Mapa final'!$AJ$73="Catastrófico"),CONCATENATE("R2C",'Mapa final'!$R$73),"")</f>
        <v/>
      </c>
      <c r="AN51" s="49" t="str">
        <f>IF(AND('Mapa final'!$AH$74="Baja",'Mapa final'!$AJ$74="Catastrófico"),CONCATENATE("R2C",'Mapa final'!$R$74),"")</f>
        <v/>
      </c>
      <c r="AO51" s="68"/>
      <c r="AP51" s="477"/>
      <c r="AQ51" s="478"/>
      <c r="AR51" s="478"/>
      <c r="AS51" s="478"/>
      <c r="AT51" s="478"/>
      <c r="AU51" s="479"/>
    </row>
    <row r="52" spans="2:81" ht="41.25" customHeight="1">
      <c r="B52" s="68"/>
      <c r="C52" s="399"/>
      <c r="D52" s="399"/>
      <c r="E52" s="400"/>
      <c r="F52" s="439" t="s">
        <v>260</v>
      </c>
      <c r="G52" s="440"/>
      <c r="H52" s="440"/>
      <c r="I52" s="440"/>
      <c r="J52" s="441"/>
      <c r="K52" s="59"/>
      <c r="L52" s="60" t="e">
        <f>IF(AND('Mapa final'!#REF!="Muy Baja",'Mapa final'!#REF!="Leve"),CONCATENATE("R2C",'Mapa final'!$R$15),"")</f>
        <v>#REF!</v>
      </c>
      <c r="M52" s="60" t="str">
        <f>IF(AND('Mapa final'!$AH$21="Muy Baja",'Mapa final'!$AJ$21="Leve"),CONCATENATE("R2C",'Mapa final'!$R$21),"")</f>
        <v/>
      </c>
      <c r="N52" s="54" t="e">
        <f>IF(AND('Mapa final'!#REF!="Alta",'Mapa final'!#REF!="Leve"),CONCATENATE("R2C",'Mapa final'!#REF!),"")</f>
        <v>#REF!</v>
      </c>
      <c r="O52" s="60" t="e">
        <f>IF(AND('Mapa final'!#REF!="Muy Baja",'Mapa final'!#REF!="Leve"),CONCATENATE("R2C",'Mapa final'!#REF!),"")</f>
        <v>#REF!</v>
      </c>
      <c r="P52" s="61" t="e">
        <f>IF(AND('Mapa final'!#REF!="Muy Baja",'Mapa final'!#REF!="Leve"),CONCATENATE("R2C",'Mapa final'!#REF!),"")</f>
        <v>#REF!</v>
      </c>
      <c r="Q52" s="59"/>
      <c r="R52" s="60" t="e">
        <f>IF(AND('Mapa final'!#REF!="Muy Baja",'Mapa final'!#REF!="Menore"),CONCATENATE("R2C",'Mapa final'!$R$15),"")</f>
        <v>#REF!</v>
      </c>
      <c r="S52" s="60" t="str">
        <f>IF(AND('Mapa final'!$AH$21="Muy Baja",'Mapa final'!$AJ$21="Menor"),CONCATENATE("R2C",'Mapa final'!$R$21),"")</f>
        <v/>
      </c>
      <c r="T52" s="60" t="e">
        <f>IF(AND('Mapa final'!#REF!="Muy Baja",'Mapa final'!#REF!="Menor"),CONCATENATE("R2C",'Mapa final'!#REF!),"")</f>
        <v>#REF!</v>
      </c>
      <c r="U52" s="60" t="e">
        <f>IF(AND('Mapa final'!#REF!="Muy Baja",'Mapa final'!#REF!="Menor"),CONCATENATE("R2C",'Mapa final'!#REF!),"")</f>
        <v>#REF!</v>
      </c>
      <c r="V52" s="61" t="e">
        <f>IF(AND('Mapa final'!#REF!="Muy Baja",'Mapa final'!#REF!="Menor"),CONCATENATE("R2C",'Mapa final'!#REF!),"")</f>
        <v>#REF!</v>
      </c>
      <c r="W52" s="50"/>
      <c r="X52" s="190" t="e">
        <f>IF(AND('Mapa final'!#REF!="Muy Baja",'Mapa final'!#REF!="Moderado"),CONCATENATE("R2C",'Mapa final'!$D$15),"")</f>
        <v>#REF!</v>
      </c>
      <c r="Y52" s="51"/>
      <c r="Z52" s="51" t="e">
        <f>IF(AND('Mapa final'!#REF!="Muy Baja",'Mapa final'!#REF!="Moderado"),CONCATENATE("R2C",'Mapa final'!#REF!),"")</f>
        <v>#REF!</v>
      </c>
      <c r="AA52" s="51" t="e">
        <f>IF(AND('Mapa final'!#REF!="Muy Baja",'Mapa final'!#REF!="Moderado"),CONCATENATE("R2C",'Mapa final'!#REF!),"")</f>
        <v>#REF!</v>
      </c>
      <c r="AB52" s="52" t="e">
        <f>IF(AND('Mapa final'!#REF!="Muy Baja",'Mapa final'!#REF!="Moderado"),CONCATENATE("R2C",'Mapa final'!#REF!),"")</f>
        <v>#REF!</v>
      </c>
      <c r="AC52" s="32"/>
      <c r="AD52" s="33" t="e">
        <f>IF(AND('Mapa final'!#REF!="Muy Baja",'Mapa final'!#REF!="Mayor"),CONCATENATE("R2C",'Mapa final'!$R$15),"")</f>
        <v>#REF!</v>
      </c>
      <c r="AE52" s="189" t="str">
        <f>IF(AND('Mapa final'!$AH$21="Muy Baja",'Mapa final'!$AJ$21="Mayor"),CONCATENATE("R2C",'Mapa final'!$D$21),"")</f>
        <v/>
      </c>
      <c r="AF52" s="33" t="e">
        <f>IF(AND('Mapa final'!#REF!="Muy Baja",'Mapa final'!#REF!="Mayor"),CONCATENATE("R2C",'Mapa final'!#REF!),"")</f>
        <v>#REF!</v>
      </c>
      <c r="AG52" s="33" t="e">
        <f>IF(AND('Mapa final'!#REF!="Muy Baja",'Mapa final'!#REF!="Mayor"),CONCATENATE("R2C",'Mapa final'!#REF!),"")</f>
        <v>#REF!</v>
      </c>
      <c r="AH52" s="34" t="e">
        <f>IF(AND('Mapa final'!#REF!="Muy Baja",'Mapa final'!#REF!="Mayor"),CONCATENATE("R2C",'Mapa final'!#REF!),"")</f>
        <v>#REF!</v>
      </c>
      <c r="AI52" s="35"/>
      <c r="AJ52" s="36" t="e">
        <f>IF(AND('Mapa final'!#REF!="Muy Baja",'Mapa final'!#REF!="Catastrófico"),CONCATENATE("R2C",'Mapa final'!$D$15),"")</f>
        <v>#REF!</v>
      </c>
      <c r="AK52" s="36" t="str">
        <f>IF(AND('Mapa final'!$AH$21="Muy Baja",'Mapa final'!$AJ$21="Catastrófico"),CONCATENATE("R2C",'Mapa final'!$R$21),"")</f>
        <v/>
      </c>
      <c r="AL52" s="36" t="e">
        <f>IF(AND('Mapa final'!#REF!="Muy Baja",'Mapa final'!#REF!="Catastrófico"),CONCATENATE("R2C",'Mapa final'!#REF!),"")</f>
        <v>#REF!</v>
      </c>
      <c r="AM52" s="36" t="e">
        <f>IF(AND('Mapa final'!#REF!="Muy Baja",'Mapa final'!#REF!="Catastrófico"),CONCATENATE("R2C",'Mapa final'!#REF!),"")</f>
        <v>#REF!</v>
      </c>
      <c r="AN52" s="37" t="e">
        <f>IF(AND('Mapa final'!#REF!="Muy Baja",'Mapa final'!#REF!="Catastrófico"),CONCATENATE("R2C",'Mapa final'!#REF!),"")</f>
        <v>#REF!</v>
      </c>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206"/>
      <c r="BM52" s="206"/>
      <c r="BN52" s="206"/>
      <c r="BO52" s="206"/>
      <c r="BP52" s="206"/>
      <c r="BQ52" s="206"/>
      <c r="BR52" s="68"/>
      <c r="BS52" s="68"/>
      <c r="BT52" s="68"/>
      <c r="BU52" s="68"/>
      <c r="BV52" s="68"/>
      <c r="BW52" s="68"/>
      <c r="BX52" s="68"/>
      <c r="BY52" s="68"/>
      <c r="BZ52" s="68"/>
      <c r="CA52" s="68"/>
      <c r="CB52" s="68"/>
      <c r="CC52" s="68"/>
    </row>
    <row r="53" spans="2:81" ht="82" customHeight="1">
      <c r="B53" s="68"/>
      <c r="C53" s="399"/>
      <c r="D53" s="399"/>
      <c r="E53" s="400"/>
      <c r="F53" s="458"/>
      <c r="G53" s="443"/>
      <c r="H53" s="443"/>
      <c r="I53" s="443"/>
      <c r="J53" s="444"/>
      <c r="K53" s="62" t="e">
        <f>IF(AND('Mapa final'!#REF!="Muy Baja",'Mapa final'!#REF!="Leve"),CONCATENATE("R2C",'Mapa final'!#REF!),"")</f>
        <v>#REF!</v>
      </c>
      <c r="L53" s="63" t="e">
        <f>IF(AND('Mapa final'!#REF!="Muy Baja",'Mapa final'!#REF!="Leve"),CONCATENATE("R2C",'Mapa final'!#REF!),"")</f>
        <v>#REF!</v>
      </c>
      <c r="M53" s="63" t="str">
        <f>IF(AND('Mapa final'!$AH$22="Muy Baja",'Mapa final'!$AJ$22="Leve"),CONCATENATE("R2C",'Mapa final'!$R$22),"")</f>
        <v/>
      </c>
      <c r="N53" s="54" t="e">
        <f>IF(AND('Mapa final'!#REF!="Alta",'Mapa final'!#REF!="Leve"),CONCATENATE("R2C",'Mapa final'!#REF!),"")</f>
        <v>#REF!</v>
      </c>
      <c r="O53" s="63" t="str">
        <f>IF(AND('Mapa final'!$AH$24="Muy Baja",'Mapa final'!$AJ$24="Leve"),CONCATENATE("R2C",'Mapa final'!$R$24),"")</f>
        <v/>
      </c>
      <c r="P53" s="64" t="str">
        <f>IF(AND('Mapa final'!$AH$25="Muy Baja",'Mapa final'!$AJ$25="Leve"),CONCATENATE("R2C",'Mapa final'!$R$25),"")</f>
        <v/>
      </c>
      <c r="Q53" s="62" t="e">
        <f>IF(AND('Mapa final'!#REF!="Muy Baja",'Mapa final'!#REF!="Menor"),CONCATENATE("R2C",'Mapa final'!#REF!),"")</f>
        <v>#REF!</v>
      </c>
      <c r="R53" s="63" t="e">
        <f>IF(AND('Mapa final'!#REF!="Muy Baja",'Mapa final'!#REF!="Menor"),CONCATENATE("R2C",'Mapa final'!#REF!),"")</f>
        <v>#REF!</v>
      </c>
      <c r="S53" s="63" t="str">
        <f>IF(AND('Mapa final'!$AH$22="Muy Baja",'Mapa final'!$AJ$22="Menor"),CONCATENATE("R2C",'Mapa final'!$R$22),"")</f>
        <v/>
      </c>
      <c r="T53" s="63" t="str">
        <f>IF(AND('Mapa final'!$AH$23="Muy Baja",'Mapa final'!$AJ$23="Menor"),CONCATENATE("R2C",'Mapa final'!$R$23),"")</f>
        <v/>
      </c>
      <c r="U53" s="63" t="str">
        <f>IF(AND('Mapa final'!$AH$24="Muy Baja",'Mapa final'!$AJ$24="Menor"),CONCATENATE("R2C",'Mapa final'!$R$24),"")</f>
        <v/>
      </c>
      <c r="V53" s="64" t="str">
        <f>IF(AND('Mapa final'!$AH$25="Muy Baja",'Mapa final'!$AJ$25="Menor"),CONCATENATE("R2C",'Mapa final'!$R$25),"")</f>
        <v/>
      </c>
      <c r="W53" s="53" t="e">
        <f>IF(AND('Mapa final'!#REF!="Muy Baja",'Mapa final'!#REF!="Moderado"),CONCATENATE("R2C",'Mapa final'!#REF!),"")</f>
        <v>#REF!</v>
      </c>
      <c r="X53" s="54" t="e">
        <f>IF(AND('Mapa final'!#REF!="Muy Baja",'Mapa final'!#REF!="Moderado"),CONCATENATE("R2C",'Mapa final'!#REF!),"")</f>
        <v>#REF!</v>
      </c>
      <c r="Y53" s="54" t="str">
        <f>IF(AND('Mapa final'!$AH$22="Muy Baja",'Mapa final'!$AJ$22="Moderado"),CONCATENATE("R2C",'Mapa final'!$R$22),"")</f>
        <v/>
      </c>
      <c r="Z53" s="54" t="str">
        <f>IF(AND('Mapa final'!$AH$23="Muy Baja",'Mapa final'!$AJ$23="Moderado"),CONCATENATE("R2C",'Mapa final'!$R$23),"")</f>
        <v/>
      </c>
      <c r="AA53" s="54" t="str">
        <f>IF(AND('Mapa final'!$AH$24="Muy Baja",'Mapa final'!$AJ$24="Moderado"),CONCATENATE("R2C",'Mapa final'!$R$24),"")</f>
        <v/>
      </c>
      <c r="AB53" s="55" t="str">
        <f>IF(AND('Mapa final'!$AH$25="Muy Baja",'Mapa final'!$AJ$25="Moderado"),CONCATENATE("R2C",'Mapa final'!$R$25),"")</f>
        <v/>
      </c>
      <c r="AC53" s="38" t="e">
        <f>IF(AND('Mapa final'!#REF!="Muy Baja",'Mapa final'!#REF!="Mayor"),CONCATENATE("R2C",'Mapa final'!#REF!),"")</f>
        <v>#REF!</v>
      </c>
      <c r="AD53" s="39" t="e">
        <f>IF(AND('Mapa final'!#REF!="Muy Baja",'Mapa final'!#REF!="Mayor"),CONCATENATE("R2C",'Mapa final'!#REF!),"")</f>
        <v>#REF!</v>
      </c>
      <c r="AE53" s="39" t="str">
        <f>IF(AND('Mapa final'!$AH$22="Muy Baja",'Mapa final'!$AJ$22="Mayor"),CONCATENATE("R2C",'Mapa final'!$R$22),"")</f>
        <v/>
      </c>
      <c r="AF53" s="39" t="str">
        <f>IF(AND('Mapa final'!$AH$23="Muy Baja",'Mapa final'!$AJ$23="Mayor"),CONCATENATE("R2C",'Mapa final'!$R$23),"")</f>
        <v/>
      </c>
      <c r="AG53" s="39" t="str">
        <f>IF(AND('Mapa final'!$AH$24="Muy Baja",'Mapa final'!$AJ$24="Mayor"),CONCATENATE("R2C",'Mapa final'!$R$24),"")</f>
        <v/>
      </c>
      <c r="AH53" s="40" t="str">
        <f>IF(AND('Mapa final'!$AH$25="Muy Baja",'Mapa final'!$AJ$25="Mayor"),CONCATENATE("R2C",'Mapa final'!$R$25),"")</f>
        <v/>
      </c>
      <c r="AI53" s="41" t="e">
        <f>IF(AND('Mapa final'!#REF!="Muy Baja",'Mapa final'!#REF!="Catastrófico"),CONCATENATE("R2C",'Mapa final'!#REF!),"")</f>
        <v>#REF!</v>
      </c>
      <c r="AJ53" s="42" t="e">
        <f>IF(AND('Mapa final'!#REF!="Muy Baja",'Mapa final'!#REF!="Catastrófico"),CONCATENATE("R2C",'Mapa final'!#REF!),"")</f>
        <v>#REF!</v>
      </c>
      <c r="AK53" s="42" t="str">
        <f>IF(AND('Mapa final'!$AH$22="Muy Baja",'Mapa final'!$AJ$22="Catastrófico"),CONCATENATE("R2C",'Mapa final'!$R$22),"")</f>
        <v/>
      </c>
      <c r="AL53" s="42" t="str">
        <f>IF(AND('Mapa final'!$AH$23="Muy Baja",'Mapa final'!$AJ$23="Catastrófico"),CONCATENATE("R2C",'Mapa final'!$R$23),"")</f>
        <v/>
      </c>
      <c r="AM53" s="42" t="str">
        <f>IF(AND('Mapa final'!$AH$24="Muy Baja",'Mapa final'!$AJ$24="Catastrófico"),CONCATENATE("R2C",'Mapa final'!$R$24),"")</f>
        <v/>
      </c>
      <c r="AN53" s="43" t="str">
        <f>IF(AND('Mapa final'!$AH$25="Muy Baja",'Mapa final'!$AJ$25="Catastrófico"),CONCATENATE("R2C",'Mapa final'!$R$25),"")</f>
        <v/>
      </c>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207"/>
      <c r="BM53" s="207"/>
      <c r="BN53" s="207"/>
      <c r="BO53" s="207"/>
      <c r="BP53" s="207"/>
      <c r="BQ53" s="207"/>
      <c r="BR53" s="68"/>
      <c r="BS53" s="68"/>
      <c r="BT53" s="68"/>
      <c r="BU53" s="68"/>
      <c r="BV53" s="68"/>
      <c r="BW53" s="68"/>
      <c r="BX53" s="68"/>
      <c r="BY53" s="68"/>
      <c r="BZ53" s="68"/>
      <c r="CA53" s="68"/>
      <c r="CB53" s="68"/>
      <c r="CC53" s="68"/>
    </row>
    <row r="54" spans="2:81" ht="82" customHeight="1">
      <c r="B54" s="68"/>
      <c r="C54" s="399"/>
      <c r="D54" s="399"/>
      <c r="E54" s="400"/>
      <c r="F54" s="458"/>
      <c r="G54" s="443"/>
      <c r="H54" s="443"/>
      <c r="I54" s="443"/>
      <c r="J54" s="444"/>
      <c r="K54" s="62" t="str">
        <f>IF(AND('Mapa final'!$AH$26="Muy Baja",'Mapa final'!$AJ$26="Leve"),CONCATENATE("R2C",'Mapa final'!$R$26),"")</f>
        <v/>
      </c>
      <c r="L54" s="63" t="str">
        <f>IF(AND('Mapa final'!$AH$27="Muy Baja",'Mapa final'!$AJ$27="Leve"),CONCATENATE("R2C",'Mapa final'!$R$27),"")</f>
        <v/>
      </c>
      <c r="M54" s="63" t="str">
        <f>IF(AND('Mapa final'!$AH$28="Muy Baja",'Mapa final'!$AJ$28="Leve"),CONCATENATE("R2C",'Mapa final'!$R$28),"")</f>
        <v/>
      </c>
      <c r="N54" s="54" t="e">
        <f>IF(AND('Mapa final'!#REF!="Alta",'Mapa final'!#REF!="Leve"),CONCATENATE("R2C",'Mapa final'!#REF!),"")</f>
        <v>#REF!</v>
      </c>
      <c r="O54" s="63" t="str">
        <f>IF(AND('Mapa final'!$AH$30="Muy Baja",'Mapa final'!$AJ$30="Leve"),CONCATENATE("R2C",'Mapa final'!$R$30),"")</f>
        <v/>
      </c>
      <c r="P54" s="64" t="str">
        <f>IF(AND('Mapa final'!$AH$31="Muy Baja",'Mapa final'!$AJ$31="Leve"),CONCATENATE("R2C",'Mapa final'!$R$31),"")</f>
        <v/>
      </c>
      <c r="Q54" s="62" t="str">
        <f>IF(AND('Mapa final'!$AH$26="Muy Baja",'Mapa final'!$AJ$26="Menor"),CONCATENATE("R2C",'Mapa final'!$R$26),"")</f>
        <v/>
      </c>
      <c r="R54" s="63" t="str">
        <f>IF(AND('Mapa final'!$AH$27="Muy Baja",'Mapa final'!$AJ$27="Menor"),CONCATENATE("R2C",'Mapa final'!$R$27),"")</f>
        <v/>
      </c>
      <c r="S54" s="63" t="str">
        <f>IF(AND('Mapa final'!$AH$28="Muy Baja",'Mapa final'!$AJ$28="Menor"),CONCATENATE("R2C",'Mapa final'!$R$28),"")</f>
        <v/>
      </c>
      <c r="T54" s="63" t="str">
        <f>IF(AND('Mapa final'!$AH$29="Muy Baja",'Mapa final'!$AJ$29="Menor"),CONCATENATE("R2C",'Mapa final'!$R$29),"")</f>
        <v/>
      </c>
      <c r="U54" s="63" t="str">
        <f>IF(AND('Mapa final'!$AH$30="Muy Baja",'Mapa final'!$AJ$30="Menor"),CONCATENATE("R2C",'Mapa final'!$R$30),"")</f>
        <v/>
      </c>
      <c r="V54" s="64" t="str">
        <f>IF(AND('Mapa final'!$AH$31="Muy Baja",'Mapa final'!$AJ$31="Menor"),CONCATENATE("R2C",'Mapa final'!$R$31),"")</f>
        <v/>
      </c>
      <c r="W54" s="53" t="str">
        <f>IF(AND('Mapa final'!$AH$26="Muy Baja",'Mapa final'!$AJ$26="Moderado"),CONCATENATE("R2C",'Mapa final'!$R$26),"")</f>
        <v/>
      </c>
      <c r="X54" s="54" t="str">
        <f>IF(AND('Mapa final'!$AH$27="Muy Baja",'Mapa final'!$AJ$27="Moderado"),CONCATENATE("R2C",'Mapa final'!$R$27),"")</f>
        <v/>
      </c>
      <c r="Y54" s="54" t="str">
        <f>IF(AND('Mapa final'!$AH$28="Muy Baja",'Mapa final'!$AJ$28="Moderado"),CONCATENATE("R2C",'Mapa final'!$R$28),"")</f>
        <v/>
      </c>
      <c r="Z54" s="54" t="str">
        <f>IF(AND('Mapa final'!$AH$29="Muy Baja",'Mapa final'!$AJ$29="Moderado"),CONCATENATE("R2C",'Mapa final'!$R$29),"")</f>
        <v/>
      </c>
      <c r="AA54" s="54" t="str">
        <f>IF(AND('Mapa final'!$AH$30="Muy Baja",'Mapa final'!$AJ$30="Moderado"),CONCATENATE("R2C",'Mapa final'!$R$30),"")</f>
        <v/>
      </c>
      <c r="AB54" s="55" t="str">
        <f>IF(AND('Mapa final'!$AH$31="Muy Baja",'Mapa final'!$AJ$31="Moderado"),CONCATENATE("R2C",'Mapa final'!$R$31),"")</f>
        <v/>
      </c>
      <c r="AC54" s="38" t="str">
        <f>IF(AND('Mapa final'!$AH$26="Muy Baja",'Mapa final'!$AJ$26="Mayor"),CONCATENATE("R2C",'Mapa final'!$R$26),"")</f>
        <v/>
      </c>
      <c r="AD54" s="39" t="str">
        <f>IF(AND('Mapa final'!$AH$27="Muy Baja",'Mapa final'!$AJ$27="Mayor"),CONCATENATE("R2C",'Mapa final'!$R$27),"")</f>
        <v/>
      </c>
      <c r="AE54" s="39" t="str">
        <f>IF(AND('Mapa final'!$AH$28="Muy Baja",'Mapa final'!$AJ$28="Mayor"),CONCATENATE("R2C",'Mapa final'!$R$28),"")</f>
        <v/>
      </c>
      <c r="AF54" s="39" t="str">
        <f>IF(AND('Mapa final'!$AH$29="Muy Baja",'Mapa final'!$AJ$29="Mayor"),CONCATENATE("R2C",'Mapa final'!$R$29),"")</f>
        <v/>
      </c>
      <c r="AG54" s="39" t="str">
        <f>IF(AND('Mapa final'!$AH$30="Muy Baja",'Mapa final'!$AJ$30="Mayor"),CONCATENATE("R2C",'Mapa final'!$R$30),"")</f>
        <v/>
      </c>
      <c r="AH54" s="40" t="str">
        <f>IF(AND('Mapa final'!$AH$31="Muy Baja",'Mapa final'!$AJ$31="Mayor"),CONCATENATE("R2C",'Mapa final'!$R$31),"")</f>
        <v/>
      </c>
      <c r="AI54" s="41" t="str">
        <f>IF(AND('Mapa final'!$AH$26="Muy Baja",'Mapa final'!$AJ$26="Catastrófico"),CONCATENATE("R2C",'Mapa final'!$R$26),"")</f>
        <v/>
      </c>
      <c r="AJ54" s="42" t="str">
        <f>IF(AND('Mapa final'!$AH$27="Muy Baja",'Mapa final'!$AJ$27="Catastrófico"),CONCATENATE("R2C",'Mapa final'!$R$27),"")</f>
        <v/>
      </c>
      <c r="AK54" s="42" t="str">
        <f>IF(AND('Mapa final'!$AH$28="Muy Baja",'Mapa final'!$AJ$28="Catastrófico"),CONCATENATE("R2C",'Mapa final'!$R$28),"")</f>
        <v/>
      </c>
      <c r="AL54" s="42" t="str">
        <f>IF(AND('Mapa final'!$AH$29="Muy Baja",'Mapa final'!$AJ$29="Catastrófico"),CONCATENATE("R2C",'Mapa final'!$R$29),"")</f>
        <v/>
      </c>
      <c r="AM54" s="42" t="str">
        <f>IF(AND('Mapa final'!$AH$30="Muy Baja",'Mapa final'!$AJ$30="Catastrófico"),CONCATENATE("R2C",'Mapa final'!$R$30),"")</f>
        <v/>
      </c>
      <c r="AN54" s="43" t="str">
        <f>IF(AND('Mapa final'!$AH$31="Muy Baja",'Mapa final'!$AJ$31="Catastrófico"),CONCATENATE("R2C",'Mapa final'!$R$31),"")</f>
        <v/>
      </c>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207"/>
      <c r="BM54" s="207"/>
      <c r="BN54" s="207"/>
      <c r="BO54" s="207"/>
      <c r="BP54" s="207"/>
      <c r="BQ54" s="207"/>
      <c r="BR54" s="68"/>
      <c r="BS54" s="68"/>
      <c r="BT54" s="68"/>
      <c r="BU54" s="68"/>
      <c r="BV54" s="68"/>
      <c r="BW54" s="68"/>
      <c r="BX54" s="68"/>
      <c r="BY54" s="68"/>
      <c r="BZ54" s="68"/>
      <c r="CA54" s="68"/>
      <c r="CB54" s="68"/>
      <c r="CC54" s="68"/>
    </row>
    <row r="55" spans="2:81" ht="82" customHeight="1">
      <c r="B55" s="68"/>
      <c r="C55" s="399"/>
      <c r="D55" s="399"/>
      <c r="E55" s="400"/>
      <c r="F55" s="442"/>
      <c r="G55" s="443"/>
      <c r="H55" s="443"/>
      <c r="I55" s="443"/>
      <c r="J55" s="444"/>
      <c r="K55" s="62" t="str">
        <f>IF(AND('Mapa final'!$AH$32="Muy Baja",'Mapa final'!$AJ$32="Leve"),CONCATENATE("R2C",'Mapa final'!$R$32),"")</f>
        <v/>
      </c>
      <c r="L55" s="63" t="str">
        <f>IF(AND('Mapa final'!$AH$33="Muy Baja",'Mapa final'!$AJ$33="Leve"),CONCATENATE("R2C",'Mapa final'!$R$33),"")</f>
        <v/>
      </c>
      <c r="M55" s="63" t="str">
        <f>IF(AND('Mapa final'!$AH$34="Muy Baja",'Mapa final'!$AJ$34="Leve"),CONCATENATE("R2C",'Mapa final'!$R$34),"")</f>
        <v/>
      </c>
      <c r="N55" s="54" t="e">
        <f>IF(AND('Mapa final'!#REF!="Alta",'Mapa final'!#REF!="Leve"),CONCATENATE("R2C",'Mapa final'!#REF!),"")</f>
        <v>#REF!</v>
      </c>
      <c r="O55" s="63" t="str">
        <f>IF(AND('Mapa final'!$AH$36="Muy Baja",'Mapa final'!$AJ$36="Leve"),CONCATENATE("R2C",'Mapa final'!$R$36),"")</f>
        <v/>
      </c>
      <c r="P55" s="64" t="str">
        <f>IF(AND('Mapa final'!$AH$37="Muy Baja",'Mapa final'!$AJ$37="Leve"),CONCATENATE("R2C",'Mapa final'!$R$37),"")</f>
        <v/>
      </c>
      <c r="Q55" s="62" t="str">
        <f>IF(AND('Mapa final'!$AH$32="Muy Baja",'Mapa final'!$AJ$32="Menor"),CONCATENATE("R2C",'Mapa final'!$R$32),"")</f>
        <v/>
      </c>
      <c r="R55" s="63" t="str">
        <f>IF(AND('Mapa final'!$AH$33="Muy Baja",'Mapa final'!$AJ$33="Menor"),CONCATENATE("R2C",'Mapa final'!$R$33),"")</f>
        <v/>
      </c>
      <c r="S55" s="63" t="str">
        <f>IF(AND('Mapa final'!$AH$34="Muy Baja",'Mapa final'!$AJ$34="Menor"),CONCATENATE("R2C",'Mapa final'!$R$34),"")</f>
        <v/>
      </c>
      <c r="T55" s="63" t="str">
        <f>IF(AND('Mapa final'!$AH$35="Muy Baja",'Mapa final'!$AJ$35="Menor"),CONCATENATE("R2C",'Mapa final'!$R$35),"")</f>
        <v/>
      </c>
      <c r="U55" s="63" t="str">
        <f>IF(AND('Mapa final'!$AH$36="Muy Baja",'Mapa final'!$AJ$36="LMenor"),CONCATENATE("R2C",'Mapa final'!$R$36),"")</f>
        <v/>
      </c>
      <c r="V55" s="64" t="str">
        <f>IF(AND('Mapa final'!$AH$37="Muy Baja",'Mapa final'!$AJ$37="Menor"),CONCATENATE("R2C",'Mapa final'!$R$37),"")</f>
        <v/>
      </c>
      <c r="W55" s="53" t="str">
        <f>IF(AND('Mapa final'!$AH$32="Muy Baja",'Mapa final'!$AJ$32="Moderado"),CONCATENATE("R2C",'Mapa final'!$R$32),"")</f>
        <v/>
      </c>
      <c r="X55" s="54" t="str">
        <f>IF(AND('Mapa final'!$AH$33="Muy Baja",'Mapa final'!$AJ$33="Moderado"),CONCATENATE("R2C",'Mapa final'!$R$33),"")</f>
        <v/>
      </c>
      <c r="Y55" s="54" t="str">
        <f>IF(AND('Mapa final'!$AH$34="Muy Baja",'Mapa final'!$AJ$34="Moderado"),CONCATENATE("R2C",'Mapa final'!$R$34),"")</f>
        <v/>
      </c>
      <c r="Z55" s="54" t="str">
        <f>IF(AND('Mapa final'!$AH$35="Muy Baja",'Mapa final'!$AJ$35="Moderado"),CONCATENATE("R2C",'Mapa final'!$R$35),"")</f>
        <v/>
      </c>
      <c r="AA55" s="54" t="str">
        <f>IF(AND('Mapa final'!$AH$36="Muy Baja",'Mapa final'!$AJ$36="Moderado"),CONCATENATE("R2C",'Mapa final'!$R$36),"")</f>
        <v/>
      </c>
      <c r="AB55" s="55" t="str">
        <f>IF(AND('Mapa final'!$AH$37="Muy Baja",'Mapa final'!$AJ$37="Moderado"),CONCATENATE("R2C",'Mapa final'!$R$37),"")</f>
        <v/>
      </c>
      <c r="AC55" s="38" t="str">
        <f>IF(AND('Mapa final'!$AH$32="Muy Baja",'Mapa final'!$AJ$32="Mayor"),CONCATENATE("R2C",'Mapa final'!$R$32),"")</f>
        <v/>
      </c>
      <c r="AD55" s="39" t="str">
        <f>IF(AND('Mapa final'!$AH$33="Muy Baja",'Mapa final'!$AJ$33="Mayor"),CONCATENATE("R2C",'Mapa final'!$R$33),"")</f>
        <v/>
      </c>
      <c r="AE55" s="39" t="str">
        <f>IF(AND('Mapa final'!$AH$34="Muy Baja",'Mapa final'!$AJ$34="Mayor"),CONCATENATE("R2C",'Mapa final'!$R$34),"")</f>
        <v/>
      </c>
      <c r="AF55" s="39" t="str">
        <f>IF(AND('Mapa final'!$AH$35="Muy Baja",'Mapa final'!$AJ$35="Mayor"),CONCATENATE("R2C",'Mapa final'!$R$35),"")</f>
        <v/>
      </c>
      <c r="AG55" s="39" t="str">
        <f>IF(AND('Mapa final'!$AH$36="Muy Baja",'Mapa final'!$AJ$36="Mayor"),CONCATENATE("R2C",'Mapa final'!$R$36),"")</f>
        <v/>
      </c>
      <c r="AH55" s="40" t="str">
        <f>IF(AND('Mapa final'!$AH$37="Muy Baja",'Mapa final'!$AJ$37="Mayor"),CONCATENATE("R2C",'Mapa final'!$R$37),"")</f>
        <v/>
      </c>
      <c r="AI55" s="41" t="str">
        <f>IF(AND('Mapa final'!$AH$32="Muy Baja",'Mapa final'!$AJ$32="Catastrófico"),CONCATENATE("R2C",'Mapa final'!$R$32),"")</f>
        <v/>
      </c>
      <c r="AJ55" s="42" t="str">
        <f>IF(AND('Mapa final'!$AH$33="Muy Baja",'Mapa final'!$AJ$33="Catastrófico"),CONCATENATE("R2C",'Mapa final'!$R$33),"")</f>
        <v/>
      </c>
      <c r="AK55" s="42" t="str">
        <f>IF(AND('Mapa final'!$AH$34="Muy Baja",'Mapa final'!$AJ$34="Catastrófico"),CONCATENATE("R2C",'Mapa final'!$R$34),"")</f>
        <v/>
      </c>
      <c r="AL55" s="42" t="str">
        <f>IF(AND('Mapa final'!$AH$35="Muy Baja",'Mapa final'!$AJ$35="Catastrófico"),CONCATENATE("R2C",'Mapa final'!$R$35),"")</f>
        <v/>
      </c>
      <c r="AM55" s="42" t="str">
        <f>IF(AND('Mapa final'!$AH$36="Muy Baja",'Mapa final'!$AJ$36="LCatastrófico"),CONCATENATE("R2C",'Mapa final'!$R$36),"")</f>
        <v/>
      </c>
      <c r="AN55" s="43" t="str">
        <f>IF(AND('Mapa final'!$AH$37="Muy Baja",'Mapa final'!$AJ$37="Catastrófico"),CONCATENATE("R2C",'Mapa final'!$R$37),"")</f>
        <v/>
      </c>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207"/>
      <c r="BM55" s="207"/>
      <c r="BN55" s="207"/>
      <c r="BO55" s="207"/>
      <c r="BP55" s="207"/>
      <c r="BQ55" s="207"/>
      <c r="BR55" s="68"/>
      <c r="BS55" s="68"/>
      <c r="BT55" s="68"/>
      <c r="BU55" s="68"/>
      <c r="BV55" s="68"/>
      <c r="BW55" s="68"/>
      <c r="BX55" s="68"/>
      <c r="BY55" s="68"/>
      <c r="BZ55" s="68"/>
      <c r="CA55" s="68"/>
      <c r="CB55" s="68"/>
      <c r="CC55" s="68"/>
    </row>
    <row r="56" spans="2:81" ht="82" customHeight="1">
      <c r="B56" s="68"/>
      <c r="C56" s="399"/>
      <c r="D56" s="399"/>
      <c r="E56" s="400"/>
      <c r="F56" s="442"/>
      <c r="G56" s="443"/>
      <c r="H56" s="443"/>
      <c r="I56" s="443"/>
      <c r="J56" s="444"/>
      <c r="K56" s="62" t="str">
        <f>IF(AND('Mapa final'!$AH$38="Muy Baja",'Mapa final'!$AJ$38="Leve"),CONCATENATE("R2C",'Mapa final'!$R$38),"")</f>
        <v/>
      </c>
      <c r="L56" s="63" t="str">
        <f>IF(AND('Mapa final'!$AH$39="Muy Baja",'Mapa final'!$AJ$39="Leve"),CONCATENATE("R2C",'Mapa final'!$R$39),"")</f>
        <v/>
      </c>
      <c r="M56" s="63" t="str">
        <f>IF(AND('Mapa final'!$AH$40="Muy Baja",'Mapa final'!$AJ$40="Leve"),CONCATENATE("R2C",'Mapa final'!$R$40),"")</f>
        <v/>
      </c>
      <c r="N56" s="54" t="e">
        <f>IF(AND('Mapa final'!#REF!="Alta",'Mapa final'!#REF!="Leve"),CONCATENATE("R2C",'Mapa final'!#REF!),"")</f>
        <v>#REF!</v>
      </c>
      <c r="O56" s="63" t="str">
        <f>IF(AND('Mapa final'!$AH$42="Muy Baja",'Mapa final'!$AJ$42="Leve"),CONCATENATE("R2C",'Mapa final'!$R$42),"")</f>
        <v/>
      </c>
      <c r="P56" s="64" t="str">
        <f>IF(AND('Mapa final'!$AH$43="Muy Baja",'Mapa final'!$AJ$43="Leve"),CONCATENATE("R2C",'Mapa final'!$R$43),"")</f>
        <v/>
      </c>
      <c r="Q56" s="62" t="str">
        <f>IF(AND('Mapa final'!$AH$38="Muy Baja",'Mapa final'!$AJ$38="Menor"),CONCATENATE("R2C",'Mapa final'!$R$38),"")</f>
        <v/>
      </c>
      <c r="R56" s="63" t="str">
        <f>IF(AND('Mapa final'!$AH$39="Muy Baja",'Mapa final'!$AJ$39="Menor"),CONCATENATE("R2C",'Mapa final'!$R$39),"")</f>
        <v/>
      </c>
      <c r="S56" s="63" t="str">
        <f>IF(AND('Mapa final'!$AH$40="Muy Baja",'Mapa final'!$AJ$40="Menor"),CONCATENATE("R2C",'Mapa final'!$R$40),"")</f>
        <v/>
      </c>
      <c r="T56" s="63" t="str">
        <f>IF(AND('Mapa final'!$AH$41="Muy Baja",'Mapa final'!$AJ$41="Menor"),CONCATENATE("R2C",'Mapa final'!$R$41),"")</f>
        <v/>
      </c>
      <c r="U56" s="63" t="str">
        <f>IF(AND('Mapa final'!$AH$42="Muy Baja",'Mapa final'!$AJ$42="Menor"),CONCATENATE("R2C",'Mapa final'!$R$42),"")</f>
        <v/>
      </c>
      <c r="V56" s="64" t="str">
        <f>IF(AND('Mapa final'!$AH$43="Muy Baja",'Mapa final'!$AJ$43="Menor"),CONCATENATE("R2C",'Mapa final'!$R$43),"")</f>
        <v/>
      </c>
      <c r="W56" s="53" t="str">
        <f>IF(AND('Mapa final'!$AH$38="Muy Baja",'Mapa final'!$AJ$38="Moderado"),CONCATENATE("R2C",'Mapa final'!$R$38),"")</f>
        <v/>
      </c>
      <c r="X56" s="54" t="str">
        <f>IF(AND('Mapa final'!$AH$39="Muy Baja",'Mapa final'!$AJ$39="Moderado"),CONCATENATE("R2C",'Mapa final'!$R$39),"")</f>
        <v/>
      </c>
      <c r="Y56" s="54" t="str">
        <f>IF(AND('Mapa final'!$AH$40="Muy Baja",'Mapa final'!$AJ$40="Moderado"),CONCATENATE("R2C",'Mapa final'!$R$40),"")</f>
        <v/>
      </c>
      <c r="Z56" s="54" t="str">
        <f>IF(AND('Mapa final'!$AH$41="Muy Baja",'Mapa final'!$AJ$41="Moderado"),CONCATENATE("R2C",'Mapa final'!$R$41),"")</f>
        <v/>
      </c>
      <c r="AA56" s="54" t="str">
        <f>IF(AND('Mapa final'!$AH$42="Muy Baja",'Mapa final'!$AJ$42="Moderado"),CONCATENATE("R2C",'Mapa final'!$R$42),"")</f>
        <v/>
      </c>
      <c r="AB56" s="55" t="str">
        <f>IF(AND('Mapa final'!$AH$43="Muy Baja",'Mapa final'!$AJ$43="Moderado"),CONCATENATE("R2C",'Mapa final'!$R$43),"")</f>
        <v/>
      </c>
      <c r="AC56" s="38" t="str">
        <f>IF(AND('Mapa final'!$AH$38="Muy Baja",'Mapa final'!$AJ$38="Mayor"),CONCATENATE("R2C",'Mapa final'!$R$38),"")</f>
        <v/>
      </c>
      <c r="AD56" s="39" t="str">
        <f>IF(AND('Mapa final'!$AH$39="Muy Baja",'Mapa final'!$AJ$39="Mayor"),CONCATENATE("R2C",'Mapa final'!$R$39),"")</f>
        <v/>
      </c>
      <c r="AE56" s="39" t="str">
        <f>IF(AND('Mapa final'!$AH$40="Muy Baja",'Mapa final'!$AJ$40="Mayor"),CONCATENATE("R2C",'Mapa final'!$R$40),"")</f>
        <v/>
      </c>
      <c r="AF56" s="39" t="str">
        <f>IF(AND('Mapa final'!$AH$41="Muy Baja",'Mapa final'!$AJ$41="Mayor"),CONCATENATE("R2C",'Mapa final'!$R$41),"")</f>
        <v/>
      </c>
      <c r="AG56" s="39" t="str">
        <f>IF(AND('Mapa final'!$AH$42="Muy Baja",'Mapa final'!$AJ$42="Mayor"),CONCATENATE("R2C",'Mapa final'!$R$42),"")</f>
        <v/>
      </c>
      <c r="AH56" s="40" t="str">
        <f>IF(AND('Mapa final'!$AH$43="Muy Baja",'Mapa final'!$AJ$43="Mayor"),CONCATENATE("R2C",'Mapa final'!$R$43),"")</f>
        <v/>
      </c>
      <c r="AI56" s="41" t="str">
        <f>IF(AND('Mapa final'!$AH$38="Muy Baja",'Mapa final'!$AJ$38="Catastrófico"),CONCATENATE("R2C",'Mapa final'!$R$38),"")</f>
        <v/>
      </c>
      <c r="AJ56" s="42" t="str">
        <f>IF(AND('Mapa final'!$AH$39="Muy Baja",'Mapa final'!$AJ$39="Catastrófico"),CONCATENATE("R2C",'Mapa final'!$R$39),"")</f>
        <v/>
      </c>
      <c r="AK56" s="42" t="str">
        <f>IF(AND('Mapa final'!$AH$40="Muy Baja",'Mapa final'!$AJ$40="Catastrófico"),CONCATENATE("R2C",'Mapa final'!$R$40),"")</f>
        <v/>
      </c>
      <c r="AL56" s="42" t="str">
        <f>IF(AND('Mapa final'!$AH$41="Muy Baja",'Mapa final'!$AJ$41="Catastrófico"),CONCATENATE("R2C",'Mapa final'!$R$41),"")</f>
        <v/>
      </c>
      <c r="AM56" s="42" t="str">
        <f>IF(AND('Mapa final'!$AH$42="Muy Baja",'Mapa final'!$AJ$42="Catastrófico"),CONCATENATE("R2C",'Mapa final'!$R$42),"")</f>
        <v/>
      </c>
      <c r="AN56" s="43" t="str">
        <f>IF(AND('Mapa final'!$AH$43="Muy Baja",'Mapa final'!$AJ$43="Catastrófico"),CONCATENATE("R2C",'Mapa final'!$R$43),"")</f>
        <v/>
      </c>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207"/>
      <c r="BM56" s="207"/>
      <c r="BN56" s="207"/>
      <c r="BO56" s="207"/>
      <c r="BP56" s="207"/>
      <c r="BQ56" s="207"/>
      <c r="BR56" s="68"/>
      <c r="BS56" s="68"/>
      <c r="BT56" s="68"/>
      <c r="BU56" s="68"/>
      <c r="BV56" s="68"/>
      <c r="BW56" s="68"/>
      <c r="BX56" s="68"/>
      <c r="BY56" s="68"/>
      <c r="BZ56" s="68"/>
      <c r="CA56" s="68"/>
      <c r="CB56" s="68"/>
      <c r="CC56" s="68"/>
    </row>
    <row r="57" spans="2:81" ht="82" customHeight="1">
      <c r="B57" s="68"/>
      <c r="C57" s="399"/>
      <c r="D57" s="399"/>
      <c r="E57" s="400"/>
      <c r="F57" s="442"/>
      <c r="G57" s="443"/>
      <c r="H57" s="443"/>
      <c r="I57" s="443"/>
      <c r="J57" s="444"/>
      <c r="K57" s="62" t="str">
        <f>IF(AND('Mapa final'!$AH$44="Muy Baja",'Mapa final'!$AJ$44="Leve"),CONCATENATE("R2C",'Mapa final'!$R$44),"")</f>
        <v/>
      </c>
      <c r="L57" s="63" t="str">
        <f>IF(AND('Mapa final'!$AH$45="Muy Baja",'Mapa final'!$AJ$45="Leve"),CONCATENATE("R2C",'Mapa final'!$R$45),"")</f>
        <v/>
      </c>
      <c r="M57" s="63" t="str">
        <f>IF(AND('Mapa final'!$AH$46="Muy Baja",'Mapa final'!$AJ$46="Leve"),CONCATENATE("R2C",'Mapa final'!$R$46),"")</f>
        <v/>
      </c>
      <c r="N57" s="54" t="e">
        <f>IF(AND('Mapa final'!#REF!="Alta",'Mapa final'!#REF!="Leve"),CONCATENATE("R2C",'Mapa final'!#REF!),"")</f>
        <v>#REF!</v>
      </c>
      <c r="O57" s="63" t="str">
        <f>IF(AND('Mapa final'!$AH$48="Muy Baja",'Mapa final'!$AJ$48="Leve"),CONCATENATE("R2C",'Mapa final'!$R$48),"")</f>
        <v/>
      </c>
      <c r="P57" s="64" t="str">
        <f>IF(AND('Mapa final'!$AH$59="Muy Baja",'Mapa final'!$AJ$49="Leve"),CONCATENATE("R2C",'Mapa final'!$R$49),"")</f>
        <v/>
      </c>
      <c r="Q57" s="62" t="str">
        <f>IF(AND('Mapa final'!$AH$44="Muy Baja",'Mapa final'!$AJ$44="Menor"),CONCATENATE("R2C",'Mapa final'!$R$44),"")</f>
        <v/>
      </c>
      <c r="R57" s="63" t="str">
        <f>IF(AND('Mapa final'!$AH$45="Muy Baja",'Mapa final'!$AJ$45="Menor"),CONCATENATE("R2C",'Mapa final'!$R$45),"")</f>
        <v/>
      </c>
      <c r="S57" s="63" t="str">
        <f>IF(AND('Mapa final'!$AH$46="Muy Baja",'Mapa final'!$AJ$46="Menor"),CONCATENATE("R2C",'Mapa final'!$R$46),"")</f>
        <v/>
      </c>
      <c r="T57" s="63" t="str">
        <f>IF(AND('Mapa final'!$AH$47="Muy Baja",'Mapa final'!$AJ$47="Menor"),CONCATENATE("R2C",'Mapa final'!$R$47),"")</f>
        <v/>
      </c>
      <c r="U57" s="63" t="str">
        <f>IF(AND('Mapa final'!$AH$48="Muy Baja",'Mapa final'!$AJ$48="Menor"),CONCATENATE("R2C",'Mapa final'!$R$48),"")</f>
        <v/>
      </c>
      <c r="V57" s="64" t="str">
        <f>IF(AND('Mapa final'!$AH$59="Muy Baja",'Mapa final'!$AJ$49="Menor"),CONCATENATE("R2C",'Mapa final'!$R$49),"")</f>
        <v/>
      </c>
      <c r="W57" s="53" t="str">
        <f>IF(AND('Mapa final'!$AH$44="Muy Baja",'Mapa final'!$AJ$44="Moderado"),CONCATENATE("R2C",'Mapa final'!$R$44),"")</f>
        <v/>
      </c>
      <c r="X57" s="54" t="str">
        <f>IF(AND('Mapa final'!$AH$45="Muy Baja",'Mapa final'!$AJ$45="Moderado"),CONCATENATE("R2C",'Mapa final'!$R$45),"")</f>
        <v/>
      </c>
      <c r="Y57" s="54" t="str">
        <f>IF(AND('Mapa final'!$AH$46="Muy Baja",'Mapa final'!$AJ$46="Moderado"),CONCATENATE("R2C",'Mapa final'!$R$46),"")</f>
        <v/>
      </c>
      <c r="Z57" s="54" t="str">
        <f>IF(AND('Mapa final'!$AH$47="Muy Baja",'Mapa final'!$AJ$47="Moderado"),CONCATENATE("R2C",'Mapa final'!$R$47),"")</f>
        <v/>
      </c>
      <c r="AA57" s="54" t="str">
        <f>IF(AND('Mapa final'!$AH$48="Muy Baja",'Mapa final'!$AJ$48="Moderado"),CONCATENATE("R2C",'Mapa final'!$R$48),"")</f>
        <v/>
      </c>
      <c r="AB57" s="55" t="str">
        <f>IF(AND('Mapa final'!$AH$59="Muy Baja",'Mapa final'!$AJ$49="Moderado"),CONCATENATE("R2C",'Mapa final'!$R$49),"")</f>
        <v/>
      </c>
      <c r="AC57" s="38" t="str">
        <f>IF(AND('Mapa final'!$AH$44="Muy Baja",'Mapa final'!$AJ$44="Mayor"),CONCATENATE("R2C",'Mapa final'!$R$44),"")</f>
        <v/>
      </c>
      <c r="AD57" s="39" t="str">
        <f>IF(AND('Mapa final'!$AH$45="Muy Baja",'Mapa final'!$AJ$45="Mayor"),CONCATENATE("R2C",'Mapa final'!$R$45),"")</f>
        <v/>
      </c>
      <c r="AE57" s="39" t="str">
        <f>IF(AND('Mapa final'!$AH$46="Muy Baja",'Mapa final'!$AJ$46="Mayor"),CONCATENATE("R2C",'Mapa final'!$R$46),"")</f>
        <v/>
      </c>
      <c r="AF57" s="39" t="str">
        <f>IF(AND('Mapa final'!$AH$47="Muy Baja",'Mapa final'!$AJ$47="Mayor"),CONCATENATE("R2C",'Mapa final'!$R$47),"")</f>
        <v/>
      </c>
      <c r="AG57" s="39" t="str">
        <f>IF(AND('Mapa final'!$AH$48="Muy Baja",'Mapa final'!$AJ$48="Mayor"),CONCATENATE("R2C",'Mapa final'!$R$48),"")</f>
        <v/>
      </c>
      <c r="AH57" s="40" t="str">
        <f>IF(AND('Mapa final'!$AH$59="Muy Baja",'Mapa final'!$AJ$49="Mayor"),CONCATENATE("R2C",'Mapa final'!$R$49),"")</f>
        <v/>
      </c>
      <c r="AI57" s="41" t="str">
        <f>IF(AND('Mapa final'!$AH$44="Muy Baja",'Mapa final'!$AJ$44="Catastrófico"),CONCATENATE("R2C",'Mapa final'!$R$44),"")</f>
        <v/>
      </c>
      <c r="AJ57" s="42" t="str">
        <f>IF(AND('Mapa final'!$AH$45="Muy Baja",'Mapa final'!$AJ$45="Catastrófico"),CONCATENATE("R2C",'Mapa final'!$R$45),"")</f>
        <v/>
      </c>
      <c r="AK57" s="42" t="str">
        <f>IF(AND('Mapa final'!$AH$46="Muy Baja",'Mapa final'!$AJ$46="Catastrófico"),CONCATENATE("R2C",'Mapa final'!$R$46),"")</f>
        <v/>
      </c>
      <c r="AL57" s="42" t="str">
        <f>IF(AND('Mapa final'!$AH$47="Muy Baja",'Mapa final'!$AJ$47="Catastrófico"),CONCATENATE("R2C",'Mapa final'!$R$47),"")</f>
        <v/>
      </c>
      <c r="AM57" s="42" t="str">
        <f>IF(AND('Mapa final'!$AH$48="Muy Baja",'Mapa final'!$AJ$48="Catastrófico"),CONCATENATE("R2C",'Mapa final'!$R$48),"")</f>
        <v/>
      </c>
      <c r="AN57" s="43" t="str">
        <f>IF(AND('Mapa final'!$AH$59="Muy Baja",'Mapa final'!$AJ$49="Catastrófico"),CONCATENATE("R2C",'Mapa final'!$R$49),"")</f>
        <v/>
      </c>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207"/>
      <c r="BM57" s="207"/>
      <c r="BN57" s="207"/>
      <c r="BO57" s="207"/>
      <c r="BP57" s="207"/>
      <c r="BQ57" s="207"/>
      <c r="BR57" s="68"/>
      <c r="BS57" s="68"/>
      <c r="BT57" s="68"/>
      <c r="BU57" s="68"/>
      <c r="BV57" s="68"/>
      <c r="BW57" s="68"/>
      <c r="BX57" s="68"/>
      <c r="BY57" s="68"/>
      <c r="BZ57" s="68"/>
      <c r="CA57" s="68"/>
      <c r="CB57" s="68"/>
      <c r="CC57" s="68"/>
    </row>
    <row r="58" spans="2:81" ht="57" customHeight="1">
      <c r="B58" s="68"/>
      <c r="C58" s="399"/>
      <c r="D58" s="399"/>
      <c r="E58" s="400"/>
      <c r="F58" s="442"/>
      <c r="G58" s="443"/>
      <c r="H58" s="443"/>
      <c r="I58" s="443"/>
      <c r="J58" s="444"/>
      <c r="K58" s="62" t="str">
        <f>IF(AND('Mapa final'!$AH$50="Muy Baja",'Mapa final'!$AJ$50="Leve"),CONCATENATE("R2C",'Mapa final'!$R$50),"")</f>
        <v/>
      </c>
      <c r="L58" s="63" t="str">
        <f>IF(AND('Mapa final'!$AH$51="Muy Baja",'Mapa final'!$AJ$51="Leve"),CONCATENATE("R2C",'Mapa final'!$R$51),"")</f>
        <v/>
      </c>
      <c r="M58" s="63" t="str">
        <f>IF(AND('Mapa final'!$AH$52="Muy Baja",'Mapa final'!$AJ$52="Leve"),CONCATENATE("R2C",'Mapa final'!$R$52),"")</f>
        <v/>
      </c>
      <c r="N58" s="54" t="e">
        <f>IF(AND('Mapa final'!#REF!="Alta",'Mapa final'!#REF!="Leve"),CONCATENATE("R2C",'Mapa final'!#REF!),"")</f>
        <v>#REF!</v>
      </c>
      <c r="O58" s="63" t="str">
        <f>IF(AND('Mapa final'!$AH$54="Muy Baja",'Mapa final'!$AJ$54="Leve"),CONCATENATE("R2C",'Mapa final'!$R$54),"")</f>
        <v/>
      </c>
      <c r="P58" s="64" t="str">
        <f>IF(AND('Mapa final'!$AH$55="Muy Baja",'Mapa final'!$AJ$55="Leve"),CONCATENATE("R2C",'Mapa final'!$R$55),"")</f>
        <v/>
      </c>
      <c r="Q58" s="62" t="str">
        <f>IF(AND('Mapa final'!$AH$50="Muy Baja",'Mapa final'!$AJ$50="Menor"),CONCATENATE("R2C",'Mapa final'!$R$50),"")</f>
        <v/>
      </c>
      <c r="R58" s="63" t="str">
        <f>IF(AND('Mapa final'!$AH$51="Muy Baja",'Mapa final'!$AJ$51="Menor"),CONCATENATE("R2C",'Mapa final'!$R$51),"")</f>
        <v/>
      </c>
      <c r="S58" s="63" t="str">
        <f>IF(AND('Mapa final'!$AH$52="Muy Baja",'Mapa final'!$AJ$52="Menor"),CONCATENATE("R2C",'Mapa final'!$R$52),"")</f>
        <v/>
      </c>
      <c r="T58" s="63" t="str">
        <f>IF(AND('Mapa final'!$AH$53="Muy Baja",'Mapa final'!$AJ$53="Menor"),CONCATENATE("R2C",'Mapa final'!$R$53),"")</f>
        <v/>
      </c>
      <c r="U58" s="63" t="str">
        <f>IF(AND('Mapa final'!$AH$54="Muy Baja",'Mapa final'!$AJ$54="Menor"),CONCATENATE("R2C",'Mapa final'!$R$54),"")</f>
        <v/>
      </c>
      <c r="V58" s="64" t="str">
        <f>IF(AND('Mapa final'!$AH$55="Muy Baja",'Mapa final'!$AJ$55="Menor"),CONCATENATE("R2C",'Mapa final'!$R$55),"")</f>
        <v/>
      </c>
      <c r="W58" s="53" t="str">
        <f>IF(AND('Mapa final'!$AH$50="Muy Baja",'Mapa final'!$AJ$50="Moderado"),CONCATENATE("R2C",'Mapa final'!$R$50),"")</f>
        <v/>
      </c>
      <c r="X58" s="54" t="str">
        <f>IF(AND('Mapa final'!$AH$51="Muy Baja",'Mapa final'!$AJ$51="Moderado"),CONCATENATE("R2C",'Mapa final'!$R$51),"")</f>
        <v/>
      </c>
      <c r="Y58" s="54" t="str">
        <f>IF(AND('Mapa final'!$AH$52="Muy Baja",'Mapa final'!$AJ$52="Moderado"),CONCATENATE("R2C",'Mapa final'!$R$52),"")</f>
        <v/>
      </c>
      <c r="Z58" s="54" t="str">
        <f>IF(AND('Mapa final'!$AH$53="Muy Baja",'Mapa final'!$AJ$53="Moderado"),CONCATENATE("R2C",'Mapa final'!$R$53),"")</f>
        <v/>
      </c>
      <c r="AA58" s="54" t="str">
        <f>IF(AND('Mapa final'!$AH$54="Muy Baja",'Mapa final'!$AJ$54="Moderado"),CONCATENATE("R2C",'Mapa final'!$R$54),"")</f>
        <v/>
      </c>
      <c r="AB58" s="55" t="str">
        <f>IF(AND('Mapa final'!$AH$55="Muy Baja",'Mapa final'!$AJ$55="Moderado"),CONCATENATE("R2C",'Mapa final'!$R$55),"")</f>
        <v/>
      </c>
      <c r="AC58" s="38" t="str">
        <f>IF(AND('Mapa final'!$AH$50="Muy Baja",'Mapa final'!$AJ$50="Mayor"),CONCATENATE("R2C",'Mapa final'!$R$50),"")</f>
        <v/>
      </c>
      <c r="AD58" s="39" t="str">
        <f>IF(AND('Mapa final'!$AH$51="Muy Baja",'Mapa final'!$AJ$51="Mayor"),CONCATENATE("R2C",'Mapa final'!$R$51),"")</f>
        <v/>
      </c>
      <c r="AE58" s="39" t="str">
        <f>IF(AND('Mapa final'!$AH$52="Muy Baja",'Mapa final'!$AJ$52="Mayor"),CONCATENATE("R2C",'Mapa final'!$R$52),"")</f>
        <v/>
      </c>
      <c r="AF58" s="39" t="str">
        <f>IF(AND('Mapa final'!$AH$53="Muy Baja",'Mapa final'!$AJ$53="Mayor"),CONCATENATE("R2C",'Mapa final'!$R$53),"")</f>
        <v/>
      </c>
      <c r="AG58" s="39" t="str">
        <f>IF(AND('Mapa final'!$AH$54="Muy Baja",'Mapa final'!$AJ$54="Mayor"),CONCATENATE("R2C",'Mapa final'!$R$54),"")</f>
        <v/>
      </c>
      <c r="AH58" s="40" t="str">
        <f>IF(AND('Mapa final'!$AH$55="Muy Baja",'Mapa final'!$AJ$55="Mayor"),CONCATENATE("R2C",'Mapa final'!$R$55),"")</f>
        <v/>
      </c>
      <c r="AI58" s="41" t="str">
        <f>IF(AND('Mapa final'!$AH$50="Muy Baja",'Mapa final'!$AJ$50="Catastrófico"),CONCATENATE("R2C",'Mapa final'!$R$50),"")</f>
        <v/>
      </c>
      <c r="AJ58" s="42" t="str">
        <f>IF(AND('Mapa final'!$AH$51="Muy Baja",'Mapa final'!$AJ$51="Catastrófico"),CONCATENATE("R2C",'Mapa final'!$R$51),"")</f>
        <v/>
      </c>
      <c r="AK58" s="42" t="str">
        <f>IF(AND('Mapa final'!$AH$52="Muy Baja",'Mapa final'!$AJ$52="Catastrófico"),CONCATENATE("R2C",'Mapa final'!$R$52),"")</f>
        <v/>
      </c>
      <c r="AL58" s="42" t="str">
        <f>IF(AND('Mapa final'!$AH$53="Muy Baja",'Mapa final'!$AJ$53="Catastrófico"),CONCATENATE("R2C",'Mapa final'!$R$53),"")</f>
        <v/>
      </c>
      <c r="AM58" s="42" t="str">
        <f>IF(AND('Mapa final'!$AH$54="Muy Baja",'Mapa final'!$AJ$54="Catastrófico"),CONCATENATE("R2C",'Mapa final'!$R$54),"")</f>
        <v/>
      </c>
      <c r="AN58" s="43" t="str">
        <f>IF(AND('Mapa final'!$AH$55="Muy Baja",'Mapa final'!$AJ$55="Catastrófico"),CONCATENATE("R2C",'Mapa final'!$R$55),"")</f>
        <v/>
      </c>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207"/>
      <c r="BM58" s="207"/>
      <c r="BN58" s="207"/>
      <c r="BO58" s="207"/>
      <c r="BP58" s="207"/>
      <c r="BQ58" s="207"/>
      <c r="BR58" s="68"/>
      <c r="BS58" s="68"/>
      <c r="BT58" s="68"/>
      <c r="BU58" s="68"/>
      <c r="BV58" s="68"/>
      <c r="BW58" s="68"/>
      <c r="BX58" s="68"/>
      <c r="BY58" s="68"/>
      <c r="BZ58" s="68"/>
      <c r="CA58" s="68"/>
      <c r="CB58" s="68"/>
      <c r="CC58" s="68"/>
    </row>
    <row r="59" spans="2:81" ht="15" customHeight="1">
      <c r="B59" s="68"/>
      <c r="C59" s="399"/>
      <c r="D59" s="399"/>
      <c r="E59" s="400"/>
      <c r="F59" s="442"/>
      <c r="G59" s="443"/>
      <c r="H59" s="443"/>
      <c r="I59" s="443"/>
      <c r="J59" s="444"/>
      <c r="K59" s="62" t="str">
        <f>IF(AND('Mapa final'!$AH$56="Muy Baja",'Mapa final'!$AJ$56="Leve"),CONCATENATE("R2C",'Mapa final'!$R$56),"")</f>
        <v/>
      </c>
      <c r="L59" s="63" t="str">
        <f>IF(AND('Mapa final'!$AH$57="Muy Baja",'Mapa final'!$AJ$57="Leve"),CONCATENATE("R2C",'Mapa final'!$R$57),"")</f>
        <v/>
      </c>
      <c r="M59" s="63" t="str">
        <f>IF(AND('Mapa final'!$AH$58="Muy Baja",'Mapa final'!$AJ$58="Leve"),CONCATENATE("R2C",'Mapa final'!$R$58),"")</f>
        <v/>
      </c>
      <c r="N59" s="54" t="e">
        <f>IF(AND('Mapa final'!#REF!="Alta",'Mapa final'!#REF!="Leve"),CONCATENATE("R2C",'Mapa final'!#REF!),"")</f>
        <v>#REF!</v>
      </c>
      <c r="O59" s="63" t="str">
        <f>IF(AND('Mapa final'!$AH$60="Muy Baja",'Mapa final'!$AJ$60="Leve"),CONCATENATE("R2C",'Mapa final'!$R$60),"")</f>
        <v/>
      </c>
      <c r="P59" s="64" t="str">
        <f>IF(AND('Mapa final'!$AH$61="Muy Baja",'Mapa final'!$AJ$61="Leve"),CONCATENATE("R2C",'Mapa final'!$R$61),"")</f>
        <v/>
      </c>
      <c r="Q59" s="62" t="str">
        <f>IF(AND('Mapa final'!$AH$56="Muy Baja",'Mapa final'!$AJ$56="Menor"),CONCATENATE("R2C",'Mapa final'!$R$56),"")</f>
        <v/>
      </c>
      <c r="R59" s="63" t="str">
        <f>IF(AND('Mapa final'!$AH$57="Muy Baja",'Mapa final'!$AJ$57="Menor"),CONCATENATE("R2C",'Mapa final'!$R$57),"")</f>
        <v/>
      </c>
      <c r="S59" s="63" t="str">
        <f>IF(AND('Mapa final'!$AH$58="Muy Baja",'Mapa final'!$AJ$58="Menor"),CONCATENATE("R2C",'Mapa final'!$R$58),"")</f>
        <v/>
      </c>
      <c r="T59" s="63" t="str">
        <f>IF(AND('Mapa final'!$AH$59="Muy Baja",'Mapa final'!$AJ$59="Menor"),CONCATENATE("R2C",'Mapa final'!$R$59),"")</f>
        <v/>
      </c>
      <c r="U59" s="63" t="str">
        <f>IF(AND('Mapa final'!$AH$60="Muy Baja",'Mapa final'!$AJ$60="Menor"),CONCATENATE("R2C",'Mapa final'!$R$60),"")</f>
        <v/>
      </c>
      <c r="V59" s="64" t="str">
        <f>IF(AND('Mapa final'!$AH$61="Muy Baja",'Mapa final'!$AJ$61="Menor"),CONCATENATE("R2C",'Mapa final'!$R$61),"")</f>
        <v/>
      </c>
      <c r="W59" s="53" t="str">
        <f>IF(AND('Mapa final'!$AH$56="Muy Baja",'Mapa final'!$AJ$56="Moderado"),CONCATENATE("R2C",'Mapa final'!$R$56),"")</f>
        <v/>
      </c>
      <c r="X59" s="54" t="str">
        <f>IF(AND('Mapa final'!$AH$57="Muy Baja",'Mapa final'!$AJ$57="Moderado"),CONCATENATE("R2C",'Mapa final'!$R$57),"")</f>
        <v/>
      </c>
      <c r="Y59" s="54" t="str">
        <f>IF(AND('Mapa final'!$AH$58="Muy Baja",'Mapa final'!$AJ$58="Moderado"),CONCATENATE("R2C",'Mapa final'!$R$58),"")</f>
        <v/>
      </c>
      <c r="Z59" s="54" t="str">
        <f>IF(AND('Mapa final'!$AH$59="Muy Baja",'Mapa final'!$AJ$59="Moderado"),CONCATENATE("R2C",'Mapa final'!$R$59),"")</f>
        <v/>
      </c>
      <c r="AA59" s="54" t="str">
        <f>IF(AND('Mapa final'!$AH$60="Muy Baja",'Mapa final'!$AJ$60="Moderado"),CONCATENATE("R2C",'Mapa final'!$R$60),"")</f>
        <v/>
      </c>
      <c r="AB59" s="55" t="str">
        <f>IF(AND('Mapa final'!$AH$61="Muy Baja",'Mapa final'!$AJ$61="Moderado"),CONCATENATE("R2C",'Mapa final'!$R$61),"")</f>
        <v/>
      </c>
      <c r="AC59" s="38" t="str">
        <f>IF(AND('Mapa final'!$AH$56="Muy Baja",'Mapa final'!$AJ$56="Mayor"),CONCATENATE("R2C",'Mapa final'!$R$56),"")</f>
        <v/>
      </c>
      <c r="AD59" s="39" t="str">
        <f>IF(AND('Mapa final'!$AH$57="Muy Baja",'Mapa final'!$AJ$57="Mayor"),CONCATENATE("R2C",'Mapa final'!$R$57),"")</f>
        <v/>
      </c>
      <c r="AE59" s="39" t="str">
        <f>IF(AND('Mapa final'!$AH$58="Muy Baja",'Mapa final'!$AJ$58="Mayor"),CONCATENATE("R2C",'Mapa final'!$R$58),"")</f>
        <v/>
      </c>
      <c r="AF59" s="39" t="str">
        <f>IF(AND('Mapa final'!$AH$59="Muy Baja",'Mapa final'!$AJ$59="Mayor"),CONCATENATE("R2C",'Mapa final'!$R$59),"")</f>
        <v/>
      </c>
      <c r="AG59" s="39" t="str">
        <f>IF(AND('Mapa final'!$AH$60="Muy Baja",'Mapa final'!$AJ$60="Mayor"),CONCATENATE("R2C",'Mapa final'!$R$60),"")</f>
        <v/>
      </c>
      <c r="AH59" s="40" t="str">
        <f>IF(AND('Mapa final'!$AH$61="Muy Baja",'Mapa final'!$AJ$61="Mayor"),CONCATENATE("R2C",'Mapa final'!$R$61),"")</f>
        <v/>
      </c>
      <c r="AI59" s="41" t="str">
        <f>IF(AND('Mapa final'!$AH$56="Muy Baja",'Mapa final'!$AJ$56="Catastrófico"),CONCATENATE("R2C",'Mapa final'!$R$56),"")</f>
        <v/>
      </c>
      <c r="AJ59" s="42" t="str">
        <f>IF(AND('Mapa final'!$AH$57="Muy Baja",'Mapa final'!$AJ$57="Catastrófico"),CONCATENATE("R2C",'Mapa final'!$R$57),"")</f>
        <v/>
      </c>
      <c r="AK59" s="42" t="str">
        <f>IF(AND('Mapa final'!$AH$58="Muy Baja",'Mapa final'!$AJ$58="Catastrófico"),CONCATENATE("R2C",'Mapa final'!$R$58),"")</f>
        <v/>
      </c>
      <c r="AL59" s="42" t="str">
        <f>IF(AND('Mapa final'!$AH$59="Muy Baja",'Mapa final'!$AJ$59="Catastrófico"),CONCATENATE("R2C",'Mapa final'!$R$59),"")</f>
        <v/>
      </c>
      <c r="AM59" s="42" t="str">
        <f>IF(AND('Mapa final'!$AH$60="Muy Baja",'Mapa final'!$AJ$60="Catastrófico"),CONCATENATE("R2C",'Mapa final'!$R$60),"")</f>
        <v/>
      </c>
      <c r="AN59" s="43" t="str">
        <f>IF(AND('Mapa final'!$AH$61="Muy Baja",'Mapa final'!$AJ$61="Catastrófico"),CONCATENATE("R2C",'Mapa final'!$R$61),"")</f>
        <v/>
      </c>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row>
    <row r="60" spans="2:81" ht="15" customHeight="1">
      <c r="B60" s="68"/>
      <c r="C60" s="399"/>
      <c r="D60" s="399"/>
      <c r="E60" s="400"/>
      <c r="F60" s="442"/>
      <c r="G60" s="443"/>
      <c r="H60" s="443"/>
      <c r="I60" s="443"/>
      <c r="J60" s="444"/>
      <c r="K60" s="62" t="str">
        <f>IF(AND('Mapa final'!$AH$62="Muy Baja",'Mapa final'!$AJ$62="Leve"),CONCATENATE("R2C",'Mapa final'!$R$62),"")</f>
        <v/>
      </c>
      <c r="L60" s="63" t="str">
        <f>IF(AND('Mapa final'!$AH$63="Muy Baja",'Mapa final'!$AJ$63="Leve"),CONCATENATE("R2C",'Mapa final'!$R$63),"")</f>
        <v/>
      </c>
      <c r="M60" s="63" t="str">
        <f>IF(AND('Mapa final'!$AH$64="Muy Baja",'Mapa final'!$AJ$64="Leve"),CONCATENATE("R2C",'Mapa final'!$R$64),"")</f>
        <v/>
      </c>
      <c r="N60" s="54" t="e">
        <f>IF(AND('Mapa final'!#REF!="Alta",'Mapa final'!#REF!="Leve"),CONCATENATE("R2C",'Mapa final'!#REF!),"")</f>
        <v>#REF!</v>
      </c>
      <c r="O60" s="63" t="str">
        <f>IF(AND('Mapa final'!$AH$66="Muy Baja",'Mapa final'!$AJ$66="Leve"),CONCATENATE("R2C",'Mapa final'!$R$66),"")</f>
        <v/>
      </c>
      <c r="P60" s="64" t="str">
        <f>IF(AND('Mapa final'!$AH$67="Muy Baja",'Mapa final'!$AJ$67="Leve"),CONCATENATE("R2C",'Mapa final'!$R$67),"")</f>
        <v/>
      </c>
      <c r="Q60" s="62" t="str">
        <f>IF(AND('Mapa final'!$AH$62="Muy Baja",'Mapa final'!$AJ$62="Menor"),CONCATENATE("R2C",'Mapa final'!$R$62),"")</f>
        <v/>
      </c>
      <c r="R60" s="63" t="str">
        <f>IF(AND('Mapa final'!$AH$63="Muy Baja",'Mapa final'!$AJ$63="Menor"),CONCATENATE("R2C",'Mapa final'!$R$63),"")</f>
        <v/>
      </c>
      <c r="S60" s="63" t="str">
        <f>IF(AND('Mapa final'!$AH$64="Muy Baja",'Mapa final'!$AJ$64="Menor"),CONCATENATE("R2C",'Mapa final'!$R$64),"")</f>
        <v/>
      </c>
      <c r="T60" s="63" t="str">
        <f>IF(AND('Mapa final'!$AH$65="Muy Baja",'Mapa final'!$AJ$65="Menor"),CONCATENATE("R2C",'Mapa final'!$R$65),"")</f>
        <v/>
      </c>
      <c r="U60" s="63" t="str">
        <f>IF(AND('Mapa final'!$AH$66="Muy Baja",'Mapa final'!$AJ$66="Menor"),CONCATENATE("R2C",'Mapa final'!$R$66),"")</f>
        <v/>
      </c>
      <c r="V60" s="64" t="str">
        <f>IF(AND('Mapa final'!$AH$67="Muy Baja",'Mapa final'!$AJ$67="Menor"),CONCATENATE("R2C",'Mapa final'!$R$67),"")</f>
        <v/>
      </c>
      <c r="W60" s="53" t="str">
        <f>IF(AND('Mapa final'!$AH$62="Muy Baja",'Mapa final'!$AJ$62="Moderado"),CONCATENATE("R2C",'Mapa final'!$R$62),"")</f>
        <v/>
      </c>
      <c r="X60" s="54" t="str">
        <f>IF(AND('Mapa final'!$AH$63="Muy Baja",'Mapa final'!$AJ$63="Moderado"),CONCATENATE("R2C",'Mapa final'!$R$63),"")</f>
        <v/>
      </c>
      <c r="Y60" s="54" t="str">
        <f>IF(AND('Mapa final'!$AH$64="Muy Baja",'Mapa final'!$AJ$64="Moderado"),CONCATENATE("R2C",'Mapa final'!$R$64),"")</f>
        <v/>
      </c>
      <c r="Z60" s="54" t="str">
        <f>IF(AND('Mapa final'!$AH$65="Muy Baja",'Mapa final'!$AJ$65="Moderado"),CONCATENATE("R2C",'Mapa final'!$R$65),"")</f>
        <v/>
      </c>
      <c r="AA60" s="54" t="str">
        <f>IF(AND('Mapa final'!$AH$66="Muy Baja",'Mapa final'!$AJ$66="Moderado"),CONCATENATE("R2C",'Mapa final'!$R$66),"")</f>
        <v/>
      </c>
      <c r="AB60" s="55" t="str">
        <f>IF(AND('Mapa final'!$AH$67="Muy Baja",'Mapa final'!$AJ$67="Moderado"),CONCATENATE("R2C",'Mapa final'!$R$67),"")</f>
        <v/>
      </c>
      <c r="AC60" s="38" t="str">
        <f>IF(AND('Mapa final'!$AH$62="Muy Baja",'Mapa final'!$AJ$62="Mayor"),CONCATENATE("R2C",'Mapa final'!$R$62),"")</f>
        <v/>
      </c>
      <c r="AD60" s="39" t="str">
        <f>IF(AND('Mapa final'!$AH$63="Muy Baja",'Mapa final'!$AJ$63="Mayor"),CONCATENATE("R2C",'Mapa final'!$R$63),"")</f>
        <v/>
      </c>
      <c r="AE60" s="39" t="str">
        <f>IF(AND('Mapa final'!$AH$64="Muy Baja",'Mapa final'!$AJ$64="Mayor"),CONCATENATE("R2C",'Mapa final'!$R$64),"")</f>
        <v/>
      </c>
      <c r="AF60" s="39" t="str">
        <f>IF(AND('Mapa final'!$AH$65="Muy Baja",'Mapa final'!$AJ$65="Mayor"),CONCATENATE("R2C",'Mapa final'!$R$65),"")</f>
        <v/>
      </c>
      <c r="AG60" s="39" t="str">
        <f>IF(AND('Mapa final'!$AH$66="Muy Baja",'Mapa final'!$AJ$66="Mayor"),CONCATENATE("R2C",'Mapa final'!$R$66),"")</f>
        <v/>
      </c>
      <c r="AH60" s="40" t="str">
        <f>IF(AND('Mapa final'!$AH$67="Muy Baja",'Mapa final'!$AJ$67="Mayor"),CONCATENATE("R2C",'Mapa final'!$R$67),"")</f>
        <v/>
      </c>
      <c r="AI60" s="41" t="str">
        <f>IF(AND('Mapa final'!$AH$62="Muy Baja",'Mapa final'!$AJ$62="Catastrófico"),CONCATENATE("R2C",'Mapa final'!$R$62),"")</f>
        <v/>
      </c>
      <c r="AJ60" s="42" t="str">
        <f>IF(AND('Mapa final'!$AH$63="Muy Baja",'Mapa final'!$AJ$63="Catastrófico"),CONCATENATE("R2C",'Mapa final'!$R$63),"")</f>
        <v/>
      </c>
      <c r="AK60" s="42" t="str">
        <f>IF(AND('Mapa final'!$AH$64="Muy Baja",'Mapa final'!$AJ$64="Catastrófico"),CONCATENATE("R2C",'Mapa final'!$R$64),"")</f>
        <v/>
      </c>
      <c r="AL60" s="42" t="str">
        <f>IF(AND('Mapa final'!$AH$65="Muy Baja",'Mapa final'!$AJ$65="Catastrófico"),CONCATENATE("R2C",'Mapa final'!$R$65),"")</f>
        <v/>
      </c>
      <c r="AM60" s="42" t="str">
        <f>IF(AND('Mapa final'!$AH$66="Muy Baja",'Mapa final'!$AJ$66="Catastrófico"),CONCATENATE("R2C",'Mapa final'!$R$66),"")</f>
        <v/>
      </c>
      <c r="AN60" s="43" t="str">
        <f>IF(AND('Mapa final'!$AH$67="Muy Baja",'Mapa final'!$AJ$67="Catastrófico"),CONCATENATE("R2C",'Mapa final'!$R$67),"")</f>
        <v/>
      </c>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row>
    <row r="61" spans="2:81" ht="15.75" customHeight="1" thickBot="1">
      <c r="B61" s="68"/>
      <c r="C61" s="399"/>
      <c r="D61" s="399"/>
      <c r="E61" s="400"/>
      <c r="F61" s="445"/>
      <c r="G61" s="446"/>
      <c r="H61" s="446"/>
      <c r="I61" s="446"/>
      <c r="J61" s="447"/>
      <c r="K61" s="65" t="str">
        <f>IF(AND('Mapa final'!$AH$68="Muy Baja",'Mapa final'!$AJ$68="Leve"),CONCATENATE("R2C",'Mapa final'!$R$68),"")</f>
        <v/>
      </c>
      <c r="L61" s="66" t="str">
        <f>IF(AND('Mapa final'!$AH$69="Muy Baja",'Mapa final'!$AJ$69="Leve"),CONCATENATE("R2C",'Mapa final'!$R$69),"")</f>
        <v/>
      </c>
      <c r="M61" s="66" t="str">
        <f>IF(AND('Mapa final'!$AH$70="Muy Baja",'Mapa final'!$AJ$70="Leve"),CONCATENATE("R2C",'Mapa final'!$R$70),"")</f>
        <v/>
      </c>
      <c r="N61" s="54" t="e">
        <f>IF(AND('Mapa final'!#REF!="Alta",'Mapa final'!#REF!="Leve"),CONCATENATE("R2C",'Mapa final'!#REF!),"")</f>
        <v>#REF!</v>
      </c>
      <c r="O61" s="66" t="str">
        <f>IF(AND('Mapa final'!$AH$73="Muy Baja",'Mapa final'!$AJ$73="Leve"),CONCATENATE("R2C",'Mapa final'!$R$73),"")</f>
        <v/>
      </c>
      <c r="P61" s="67" t="str">
        <f>IF(AND('Mapa final'!$AH$74="Muy Baja",'Mapa final'!$AJ$74="Leve"),CONCATENATE("R2C",'Mapa final'!$R$74),"")</f>
        <v/>
      </c>
      <c r="Q61" s="65" t="str">
        <f>IF(AND('Mapa final'!$AH$68="Muy Baja",'Mapa final'!$AJ$68="Menor"),CONCATENATE("R2C",'Mapa final'!$R$68),"")</f>
        <v/>
      </c>
      <c r="R61" s="66" t="str">
        <f>IF(AND('Mapa final'!$AH$69="Muy Baja",'Mapa final'!$AJ$69="Menor"),CONCATENATE("R2C",'Mapa final'!$R$69),"")</f>
        <v/>
      </c>
      <c r="S61" s="66" t="str">
        <f>IF(AND('Mapa final'!$AH$70="Muy Baja",'Mapa final'!$AJ$70="Menor"),CONCATENATE("R2C",'Mapa final'!$R$70),"")</f>
        <v/>
      </c>
      <c r="T61" s="66" t="str">
        <f>IF(AND('Mapa final'!$AH$71="Muy Baja",'Mapa final'!$AJ$71="Menor"),CONCATENATE("R2C",'Mapa final'!$R$71),"")</f>
        <v/>
      </c>
      <c r="U61" s="66" t="str">
        <f>IF(AND('Mapa final'!$AH$73="Muy Baja",'Mapa final'!$AJ$73="Menor"),CONCATENATE("R2C",'Mapa final'!$R$73),"")</f>
        <v/>
      </c>
      <c r="V61" s="67" t="str">
        <f>IF(AND('Mapa final'!$AH$74="Muy Baja",'Mapa final'!$AJ$74="Menor"),CONCATENATE("R2C",'Mapa final'!$R$74),"")</f>
        <v/>
      </c>
      <c r="W61" s="56" t="str">
        <f>IF(AND('Mapa final'!$AH$68="Muy Baja",'Mapa final'!$AJ$68="Moderado"),CONCATENATE("R2C",'Mapa final'!$R$68),"")</f>
        <v/>
      </c>
      <c r="X61" s="57" t="str">
        <f>IF(AND('Mapa final'!$AH$69="Muy Baja",'Mapa final'!$AJ$69="Moderado"),CONCATENATE("R2C",'Mapa final'!$R$69),"")</f>
        <v/>
      </c>
      <c r="Y61" s="57" t="str">
        <f>IF(AND('Mapa final'!$AH$70="Muy Baja",'Mapa final'!$AJ$70="Moderado"),CONCATENATE("R2C",'Mapa final'!$R$70),"")</f>
        <v/>
      </c>
      <c r="Z61" s="57" t="str">
        <f>IF(AND('Mapa final'!$AH$71="Muy Baja",'Mapa final'!$AJ$71="Moderado"),CONCATENATE("R2C",'Mapa final'!$R$71),"")</f>
        <v/>
      </c>
      <c r="AA61" s="57" t="str">
        <f>IF(AND('Mapa final'!$AH$73="Muy Baja",'Mapa final'!$AJ$73="Moderado"),CONCATENATE("R2C",'Mapa final'!$R$73),"")</f>
        <v/>
      </c>
      <c r="AB61" s="58" t="str">
        <f>IF(AND('Mapa final'!$AH$74="Muy Baja",'Mapa final'!$AJ$74="Moderado"),CONCATENATE("R2C",'Mapa final'!$R$74),"")</f>
        <v/>
      </c>
      <c r="AC61" s="44" t="str">
        <f>IF(AND('Mapa final'!$AH$68="Muy Baja",'Mapa final'!$AJ$68="Mayor"),CONCATENATE("R2C",'Mapa final'!$R$68),"")</f>
        <v/>
      </c>
      <c r="AD61" s="45" t="str">
        <f>IF(AND('Mapa final'!$AH$69="Muy Baja",'Mapa final'!$AJ$69="Mayor"),CONCATENATE("R2C",'Mapa final'!$R$69),"")</f>
        <v/>
      </c>
      <c r="AE61" s="45" t="str">
        <f>IF(AND('Mapa final'!$AH$70="Muy Baja",'Mapa final'!$AJ$70="Mayor"),CONCATENATE("R2C",'Mapa final'!$R$70),"")</f>
        <v/>
      </c>
      <c r="AF61" s="45" t="str">
        <f>IF(AND('Mapa final'!$AH$71="Muy Baja",'Mapa final'!$AJ$71="Mayor"),CONCATENATE("R2C",'Mapa final'!$R$71),"")</f>
        <v/>
      </c>
      <c r="AG61" s="45" t="str">
        <f>IF(AND('Mapa final'!$AH$73="Muy Baja",'Mapa final'!$AJ$73="Mayor"),CONCATENATE("R2C",'Mapa final'!$R$73),"")</f>
        <v/>
      </c>
      <c r="AH61" s="46" t="str">
        <f>IF(AND('Mapa final'!$AH$74="Muy Baja",'Mapa final'!$AJ$74="Mayor"),CONCATENATE("R2C",'Mapa final'!$R$74),"")</f>
        <v/>
      </c>
      <c r="AI61" s="47" t="str">
        <f>IF(AND('Mapa final'!$AH$68="Muy Baja",'Mapa final'!$AJ$68="Catastrófico"),CONCATENATE("R2C",'Mapa final'!$R$68),"")</f>
        <v/>
      </c>
      <c r="AJ61" s="48" t="str">
        <f>IF(AND('Mapa final'!$AH$69="Muy Baja",'Mapa final'!$AJ$69="Catastrófico"),CONCATENATE("R2C",'Mapa final'!$R$69),"")</f>
        <v/>
      </c>
      <c r="AK61" s="48" t="str">
        <f>IF(AND('Mapa final'!$AH$70="Muy Baja",'Mapa final'!$AJ$70="Catastrófico"),CONCATENATE("R2C",'Mapa final'!$R$70),"")</f>
        <v/>
      </c>
      <c r="AL61" s="48" t="str">
        <f>IF(AND('Mapa final'!$AH$71="Muy Baja",'Mapa final'!$AJ$71="Catastrófico"),CONCATENATE("R2C",'Mapa final'!$R$71),"")</f>
        <v/>
      </c>
      <c r="AM61" s="48" t="str">
        <f>IF(AND('Mapa final'!$AH$73="Muy Baja",'Mapa final'!$AJ$73="Catastrófico"),CONCATENATE("R2C",'Mapa final'!$R$73),"")</f>
        <v/>
      </c>
      <c r="AN61" s="49" t="str">
        <f>IF(AND('Mapa final'!$AH$74="Muy Baja",'Mapa final'!$AJ$74="Catastrófico"),CONCATENATE("R2C",'Mapa final'!$R$74),"")</f>
        <v/>
      </c>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row>
    <row r="62" spans="2:81">
      <c r="B62" s="68"/>
      <c r="C62" s="68"/>
      <c r="D62" s="68"/>
      <c r="E62" s="68"/>
      <c r="F62" s="68"/>
      <c r="G62" s="68"/>
      <c r="H62" s="68"/>
      <c r="I62" s="68"/>
      <c r="J62" s="68"/>
      <c r="K62" s="439" t="s">
        <v>261</v>
      </c>
      <c r="L62" s="440"/>
      <c r="M62" s="440"/>
      <c r="N62" s="440"/>
      <c r="O62" s="440"/>
      <c r="P62" s="441"/>
      <c r="Q62" s="439" t="s">
        <v>262</v>
      </c>
      <c r="R62" s="440"/>
      <c r="S62" s="440"/>
      <c r="T62" s="440"/>
      <c r="U62" s="440"/>
      <c r="V62" s="441"/>
      <c r="W62" s="439" t="s">
        <v>263</v>
      </c>
      <c r="X62" s="440"/>
      <c r="Y62" s="440"/>
      <c r="Z62" s="440"/>
      <c r="AA62" s="440"/>
      <c r="AB62" s="441"/>
      <c r="AC62" s="439" t="s">
        <v>264</v>
      </c>
      <c r="AD62" s="448"/>
      <c r="AE62" s="440"/>
      <c r="AF62" s="440"/>
      <c r="AG62" s="440"/>
      <c r="AH62" s="441"/>
      <c r="AI62" s="439" t="s">
        <v>265</v>
      </c>
      <c r="AJ62" s="440"/>
      <c r="AK62" s="440"/>
      <c r="AL62" s="440"/>
      <c r="AM62" s="440"/>
      <c r="AN62" s="441"/>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row>
    <row r="63" spans="2:81">
      <c r="B63" s="68"/>
      <c r="C63" s="68"/>
      <c r="D63" s="68"/>
      <c r="E63" s="68"/>
      <c r="F63" s="68"/>
      <c r="G63" s="68"/>
      <c r="H63" s="68"/>
      <c r="I63" s="68"/>
      <c r="J63" s="68"/>
      <c r="K63" s="442"/>
      <c r="L63" s="443"/>
      <c r="M63" s="443"/>
      <c r="N63" s="443"/>
      <c r="O63" s="443"/>
      <c r="P63" s="444"/>
      <c r="Q63" s="442"/>
      <c r="R63" s="443"/>
      <c r="S63" s="443"/>
      <c r="T63" s="443"/>
      <c r="U63" s="443"/>
      <c r="V63" s="444"/>
      <c r="W63" s="442"/>
      <c r="X63" s="443"/>
      <c r="Y63" s="443"/>
      <c r="Z63" s="443"/>
      <c r="AA63" s="443"/>
      <c r="AB63" s="444"/>
      <c r="AC63" s="442"/>
      <c r="AD63" s="443"/>
      <c r="AE63" s="443"/>
      <c r="AF63" s="443"/>
      <c r="AG63" s="443"/>
      <c r="AH63" s="444"/>
      <c r="AI63" s="442"/>
      <c r="AJ63" s="443"/>
      <c r="AK63" s="443"/>
      <c r="AL63" s="443"/>
      <c r="AM63" s="443"/>
      <c r="AN63" s="444"/>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row>
    <row r="64" spans="2:81">
      <c r="B64" s="68"/>
      <c r="C64" s="68"/>
      <c r="D64" s="68"/>
      <c r="E64" s="68"/>
      <c r="F64" s="68"/>
      <c r="G64" s="68"/>
      <c r="H64" s="68"/>
      <c r="I64" s="68"/>
      <c r="J64" s="68"/>
      <c r="K64" s="442"/>
      <c r="L64" s="443"/>
      <c r="M64" s="443"/>
      <c r="N64" s="443"/>
      <c r="O64" s="443"/>
      <c r="P64" s="444"/>
      <c r="Q64" s="442"/>
      <c r="R64" s="443"/>
      <c r="S64" s="443"/>
      <c r="T64" s="443"/>
      <c r="U64" s="443"/>
      <c r="V64" s="444"/>
      <c r="W64" s="442"/>
      <c r="X64" s="443"/>
      <c r="Y64" s="443"/>
      <c r="Z64" s="443"/>
      <c r="AA64" s="443"/>
      <c r="AB64" s="444"/>
      <c r="AC64" s="442"/>
      <c r="AD64" s="443"/>
      <c r="AE64" s="443"/>
      <c r="AF64" s="443"/>
      <c r="AG64" s="443"/>
      <c r="AH64" s="444"/>
      <c r="AI64" s="442"/>
      <c r="AJ64" s="443"/>
      <c r="AK64" s="443"/>
      <c r="AL64" s="443"/>
      <c r="AM64" s="443"/>
      <c r="AN64" s="444"/>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row>
    <row r="65" spans="2:81">
      <c r="B65" s="68"/>
      <c r="C65" s="68"/>
      <c r="D65" s="68"/>
      <c r="E65" s="68"/>
      <c r="F65" s="68"/>
      <c r="G65" s="68"/>
      <c r="H65" s="68"/>
      <c r="I65" s="68"/>
      <c r="J65" s="68"/>
      <c r="K65" s="442"/>
      <c r="L65" s="443"/>
      <c r="M65" s="443"/>
      <c r="N65" s="443"/>
      <c r="O65" s="443"/>
      <c r="P65" s="444"/>
      <c r="Q65" s="442"/>
      <c r="R65" s="443"/>
      <c r="S65" s="443"/>
      <c r="T65" s="443"/>
      <c r="U65" s="443"/>
      <c r="V65" s="444"/>
      <c r="W65" s="442"/>
      <c r="X65" s="443"/>
      <c r="Y65" s="443"/>
      <c r="Z65" s="443"/>
      <c r="AA65" s="443"/>
      <c r="AB65" s="444"/>
      <c r="AC65" s="442"/>
      <c r="AD65" s="443"/>
      <c r="AE65" s="443"/>
      <c r="AF65" s="443"/>
      <c r="AG65" s="443"/>
      <c r="AH65" s="444"/>
      <c r="AI65" s="442"/>
      <c r="AJ65" s="443"/>
      <c r="AK65" s="443"/>
      <c r="AL65" s="443"/>
      <c r="AM65" s="443"/>
      <c r="AN65" s="444"/>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row>
    <row r="66" spans="2:81">
      <c r="B66" s="68"/>
      <c r="C66" s="68"/>
      <c r="D66" s="68"/>
      <c r="E66" s="68"/>
      <c r="F66" s="68"/>
      <c r="G66" s="68"/>
      <c r="H66" s="68"/>
      <c r="I66" s="68"/>
      <c r="J66" s="68"/>
      <c r="K66" s="442"/>
      <c r="L66" s="443"/>
      <c r="M66" s="443"/>
      <c r="N66" s="443"/>
      <c r="O66" s="443"/>
      <c r="P66" s="444"/>
      <c r="Q66" s="442"/>
      <c r="R66" s="443"/>
      <c r="S66" s="443"/>
      <c r="T66" s="443"/>
      <c r="U66" s="443"/>
      <c r="V66" s="444"/>
      <c r="W66" s="442"/>
      <c r="X66" s="443"/>
      <c r="Y66" s="443"/>
      <c r="Z66" s="443"/>
      <c r="AA66" s="443"/>
      <c r="AB66" s="444"/>
      <c r="AC66" s="442"/>
      <c r="AD66" s="443"/>
      <c r="AE66" s="443"/>
      <c r="AF66" s="443"/>
      <c r="AG66" s="443"/>
      <c r="AH66" s="444"/>
      <c r="AI66" s="442"/>
      <c r="AJ66" s="443"/>
      <c r="AK66" s="443"/>
      <c r="AL66" s="443"/>
      <c r="AM66" s="443"/>
      <c r="AN66" s="444"/>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row>
    <row r="67" spans="2:81" ht="16" thickBot="1">
      <c r="B67" s="68"/>
      <c r="C67" s="68"/>
      <c r="D67" s="68"/>
      <c r="E67" s="68"/>
      <c r="F67" s="68"/>
      <c r="G67" s="68"/>
      <c r="H67" s="68"/>
      <c r="I67" s="68"/>
      <c r="J67" s="68"/>
      <c r="K67" s="445"/>
      <c r="L67" s="446"/>
      <c r="M67" s="446"/>
      <c r="N67" s="446"/>
      <c r="O67" s="446"/>
      <c r="P67" s="447"/>
      <c r="Q67" s="445"/>
      <c r="R67" s="446"/>
      <c r="S67" s="446"/>
      <c r="T67" s="446"/>
      <c r="U67" s="446"/>
      <c r="V67" s="447"/>
      <c r="W67" s="445"/>
      <c r="X67" s="446"/>
      <c r="Y67" s="446"/>
      <c r="Z67" s="446"/>
      <c r="AA67" s="446"/>
      <c r="AB67" s="447"/>
      <c r="AC67" s="445"/>
      <c r="AD67" s="446"/>
      <c r="AE67" s="446"/>
      <c r="AF67" s="446"/>
      <c r="AG67" s="446"/>
      <c r="AH67" s="447"/>
      <c r="AI67" s="445"/>
      <c r="AJ67" s="446"/>
      <c r="AK67" s="446"/>
      <c r="AL67" s="446"/>
      <c r="AM67" s="446"/>
      <c r="AN67" s="447"/>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row>
    <row r="68" spans="2:81">
      <c r="B68" s="68"/>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row>
    <row r="69" spans="2:81" ht="15" customHeight="1">
      <c r="B69" s="68"/>
      <c r="C69" s="72"/>
      <c r="D69" s="72"/>
      <c r="E69" s="72"/>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68"/>
      <c r="AW69" s="68"/>
      <c r="AX69" s="68"/>
      <c r="AY69" s="68"/>
      <c r="AZ69" s="68"/>
      <c r="BA69" s="68"/>
      <c r="BB69" s="68"/>
      <c r="BC69" s="68"/>
      <c r="BD69" s="68"/>
      <c r="BE69" s="68"/>
      <c r="BF69" s="68"/>
      <c r="BG69" s="68"/>
      <c r="BH69" s="68"/>
      <c r="BI69" s="68"/>
    </row>
    <row r="70" spans="2:81" ht="15" customHeight="1">
      <c r="B70" s="68"/>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68"/>
      <c r="AW70" s="68"/>
      <c r="AX70" s="68"/>
      <c r="AY70" s="68"/>
      <c r="AZ70" s="68"/>
      <c r="BA70" s="68"/>
      <c r="BB70" s="68"/>
      <c r="BC70" s="68"/>
      <c r="BD70" s="68"/>
      <c r="BE70" s="68"/>
      <c r="BF70" s="68"/>
      <c r="BG70" s="68"/>
      <c r="BH70" s="68"/>
      <c r="BI70" s="68"/>
    </row>
    <row r="71" spans="2:81">
      <c r="B71" s="68"/>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row>
    <row r="72" spans="2:81">
      <c r="B72" s="68"/>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row>
    <row r="73" spans="2:81">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row>
    <row r="74" spans="2:81">
      <c r="B74" s="68"/>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row>
    <row r="75" spans="2:81">
      <c r="B75" s="68"/>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row>
    <row r="76" spans="2:81">
      <c r="B76" s="68"/>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row>
    <row r="77" spans="2:81">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row>
    <row r="78" spans="2:81">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row>
    <row r="79" spans="2:81">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row>
    <row r="80" spans="2:81">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row>
    <row r="81" spans="2:61">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row>
    <row r="82" spans="2:61">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row>
    <row r="83" spans="2:61">
      <c r="B83" s="68"/>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row>
    <row r="84" spans="2:61">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row>
    <row r="85" spans="2:61">
      <c r="B85" s="68"/>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row>
    <row r="86" spans="2:61">
      <c r="B86" s="68"/>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row>
    <row r="87" spans="2:61">
      <c r="B87" s="68"/>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row>
    <row r="88" spans="2:61">
      <c r="B88" s="68"/>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row>
    <row r="89" spans="2:61">
      <c r="B89" s="68"/>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row>
    <row r="90" spans="2:61">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row>
    <row r="91" spans="2:61">
      <c r="B91" s="68"/>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row>
    <row r="92" spans="2:61">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row>
    <row r="93" spans="2:61">
      <c r="B93" s="68"/>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row>
    <row r="94" spans="2:61">
      <c r="B94" s="68"/>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row>
    <row r="95" spans="2:61">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row>
    <row r="96" spans="2:61">
      <c r="B96" s="68"/>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row>
    <row r="97" spans="2:61">
      <c r="B97" s="68"/>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row>
    <row r="98" spans="2:61">
      <c r="B98" s="68"/>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row>
    <row r="99" spans="2:61">
      <c r="B99" s="68"/>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row>
    <row r="100" spans="2:61">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row>
    <row r="101" spans="2:61">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row>
    <row r="102" spans="2:61">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row>
    <row r="103" spans="2:61">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row>
    <row r="104" spans="2:61">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row>
    <row r="105" spans="2:61">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row>
    <row r="106" spans="2:61">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row>
    <row r="107" spans="2:61">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row>
    <row r="108" spans="2:61">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row>
    <row r="109" spans="2:61">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row>
    <row r="110" spans="2:61">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row>
    <row r="111" spans="2:61">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row>
    <row r="112" spans="2:61">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row>
    <row r="113" spans="2:61">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row>
    <row r="114" spans="2:61">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row>
    <row r="115" spans="2:61">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row>
    <row r="116" spans="2:61">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row>
    <row r="117" spans="2:61">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row>
    <row r="118" spans="2:61">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row>
    <row r="119" spans="2:61">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row>
    <row r="120" spans="2:61">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row>
    <row r="121" spans="2:61">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row>
    <row r="122" spans="2:61">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row>
    <row r="123" spans="2:61">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row>
    <row r="124" spans="2:61">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row>
    <row r="125" spans="2:61">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row>
    <row r="126" spans="2:61">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row>
    <row r="127" spans="2:61">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row>
    <row r="128" spans="2:61">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row>
    <row r="129" spans="2:61">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row>
    <row r="130" spans="2:61">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row>
    <row r="131" spans="2:61">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row>
    <row r="132" spans="2:61">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row>
    <row r="133" spans="2:61">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row>
    <row r="134" spans="2:61">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row>
    <row r="135" spans="2:61">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row>
    <row r="136" spans="2:61">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row>
    <row r="137" spans="2:61">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row>
    <row r="138" spans="2:61">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row>
    <row r="139" spans="2:61">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row>
    <row r="140" spans="2:61">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row>
    <row r="141" spans="2:61">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row>
    <row r="142" spans="2:61">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row>
    <row r="143" spans="2:61">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c r="BH143" s="68"/>
      <c r="BI143" s="68"/>
    </row>
    <row r="144" spans="2:61">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68"/>
      <c r="AO144" s="68"/>
      <c r="AP144" s="68"/>
      <c r="AQ144" s="68"/>
      <c r="AR144" s="68"/>
      <c r="AS144" s="68"/>
      <c r="AT144" s="68"/>
      <c r="AU144" s="68"/>
      <c r="AV144" s="68"/>
      <c r="AW144" s="68"/>
      <c r="AX144" s="68"/>
      <c r="AY144" s="68"/>
      <c r="AZ144" s="68"/>
      <c r="BA144" s="68"/>
      <c r="BB144" s="68"/>
      <c r="BC144" s="68"/>
      <c r="BD144" s="68"/>
      <c r="BE144" s="68"/>
      <c r="BF144" s="68"/>
      <c r="BG144" s="68"/>
      <c r="BH144" s="68"/>
      <c r="BI144" s="68"/>
    </row>
    <row r="145" spans="2:61">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c r="BH145" s="68"/>
      <c r="BI145" s="68"/>
    </row>
    <row r="146" spans="2:61">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row>
    <row r="147" spans="2:61">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row>
    <row r="148" spans="2:61">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row>
    <row r="149" spans="2:61">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row>
    <row r="150" spans="2:61">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row>
    <row r="151" spans="2:61">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row>
    <row r="152" spans="2:61">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row>
    <row r="153" spans="2:61">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row>
    <row r="154" spans="2:61">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row>
    <row r="155" spans="2:61">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row>
    <row r="156" spans="2:61">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row>
    <row r="157" spans="2:61">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row>
    <row r="158" spans="2:61">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row>
    <row r="159" spans="2:61">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row>
    <row r="160" spans="2:61">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row>
    <row r="161" spans="2:61">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row>
    <row r="162" spans="2:61">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row>
    <row r="163" spans="2:61">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row>
    <row r="164" spans="2:61">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row>
    <row r="165" spans="2:61">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row>
    <row r="166" spans="2:61">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row>
    <row r="167" spans="2:61">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row>
    <row r="168" spans="2:61">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row>
    <row r="169" spans="2:61">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row>
    <row r="170" spans="2:61">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row>
    <row r="171" spans="2:61">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row>
    <row r="172" spans="2:61">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row>
    <row r="173" spans="2:61">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row>
    <row r="174" spans="2:61">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row>
    <row r="175" spans="2:61">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row>
    <row r="176" spans="2:61">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row>
    <row r="177" spans="2:61">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row>
    <row r="178" spans="2:61">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row>
    <row r="179" spans="2:61">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row>
    <row r="180" spans="2:61">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row>
    <row r="181" spans="2:61">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row>
    <row r="182" spans="2:61">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row>
    <row r="183" spans="2:61">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row>
    <row r="184" spans="2:61">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row>
    <row r="185" spans="2:61">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row>
    <row r="186" spans="2:61">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row>
    <row r="187" spans="2:61">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row>
    <row r="188" spans="2:61">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row>
    <row r="189" spans="2:61">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row>
    <row r="190" spans="2:61">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row>
    <row r="191" spans="2:61">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row>
    <row r="192" spans="2:61">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row>
    <row r="193" spans="2:61">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row>
    <row r="194" spans="2:61">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row>
    <row r="195" spans="2:61">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row>
    <row r="196" spans="2:61">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row>
    <row r="197" spans="2:61">
      <c r="B197" s="68"/>
      <c r="K197" s="68"/>
      <c r="L197" s="68"/>
      <c r="M197" s="68"/>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row>
    <row r="198" spans="2:61">
      <c r="B198" s="68"/>
      <c r="K198" s="68"/>
      <c r="L198" s="68"/>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row>
    <row r="199" spans="2:61">
      <c r="B199" s="68"/>
      <c r="K199" s="68"/>
      <c r="L199" s="68"/>
      <c r="M199" s="68"/>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row>
    <row r="200" spans="2:61">
      <c r="B200" s="68"/>
      <c r="K200" s="68"/>
      <c r="L200" s="68"/>
      <c r="M200" s="68"/>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row>
    <row r="201" spans="2:61">
      <c r="B201" s="68"/>
      <c r="K201" s="68"/>
      <c r="L201" s="68"/>
      <c r="M201" s="68"/>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row>
    <row r="202" spans="2:61">
      <c r="B202" s="68"/>
      <c r="K202" s="68"/>
      <c r="L202" s="68"/>
      <c r="M202" s="68"/>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row>
    <row r="203" spans="2:61">
      <c r="B203" s="68"/>
      <c r="K203" s="68"/>
      <c r="L203" s="68"/>
      <c r="M203" s="68"/>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row>
    <row r="204" spans="2:61">
      <c r="B204" s="68"/>
      <c r="K204" s="68"/>
      <c r="L204" s="68"/>
      <c r="M204" s="68"/>
      <c r="N204" s="68"/>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row>
    <row r="205" spans="2:61">
      <c r="B205" s="68"/>
      <c r="K205" s="68"/>
      <c r="L205" s="68"/>
      <c r="M205" s="68"/>
      <c r="N205" s="68"/>
      <c r="O205" s="68"/>
      <c r="P205" s="68"/>
      <c r="Q205" s="68"/>
      <c r="R205" s="68"/>
      <c r="S205" s="68"/>
      <c r="T205" s="68"/>
      <c r="U205" s="68"/>
      <c r="V205" s="68"/>
      <c r="W205" s="68"/>
      <c r="X205" s="68"/>
      <c r="Y205" s="68"/>
      <c r="Z205" s="68"/>
      <c r="AA205" s="68"/>
      <c r="AB205" s="68"/>
      <c r="AC205" s="68"/>
      <c r="AD205" s="68"/>
      <c r="AE205" s="68"/>
      <c r="AF205" s="68"/>
      <c r="AG205" s="68"/>
      <c r="AH205" s="68"/>
      <c r="AI205" s="68"/>
      <c r="AJ205" s="68"/>
      <c r="AK205" s="68"/>
      <c r="AL205" s="68"/>
      <c r="AM205" s="68"/>
      <c r="AN205" s="68"/>
      <c r="AO205" s="68"/>
      <c r="AP205" s="68"/>
      <c r="AQ205" s="68"/>
      <c r="AR205" s="68"/>
      <c r="AS205" s="68"/>
      <c r="AT205" s="68"/>
      <c r="AU205" s="68"/>
      <c r="AV205" s="68"/>
      <c r="AW205" s="68"/>
      <c r="AX205" s="68"/>
      <c r="AY205" s="68"/>
      <c r="AZ205" s="68"/>
      <c r="BA205" s="68"/>
      <c r="BB205" s="68"/>
      <c r="BC205" s="68"/>
      <c r="BD205" s="68"/>
      <c r="BE205" s="68"/>
      <c r="BF205" s="68"/>
      <c r="BG205" s="68"/>
      <c r="BH205" s="68"/>
      <c r="BI205" s="68"/>
    </row>
    <row r="206" spans="2:61">
      <c r="B206" s="68"/>
      <c r="K206" s="68"/>
      <c r="L206" s="68"/>
      <c r="M206" s="68"/>
      <c r="N206" s="68"/>
      <c r="O206" s="68"/>
      <c r="P206" s="68"/>
      <c r="Q206" s="68"/>
      <c r="R206" s="68"/>
      <c r="S206" s="68"/>
      <c r="T206" s="68"/>
      <c r="U206" s="68"/>
      <c r="V206" s="68"/>
      <c r="W206" s="68"/>
      <c r="X206" s="68"/>
      <c r="Y206" s="68"/>
      <c r="Z206" s="68"/>
      <c r="AA206" s="68"/>
      <c r="AB206" s="68"/>
      <c r="AC206" s="68"/>
      <c r="AD206" s="68"/>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row>
    <row r="207" spans="2:61">
      <c r="B207" s="68"/>
      <c r="K207" s="68"/>
      <c r="L207" s="68"/>
      <c r="M207" s="68"/>
      <c r="N207" s="68"/>
      <c r="O207" s="68"/>
      <c r="P207" s="68"/>
      <c r="Q207" s="68"/>
      <c r="R207" s="68"/>
      <c r="S207" s="68"/>
      <c r="T207" s="68"/>
      <c r="U207" s="68"/>
      <c r="V207" s="68"/>
      <c r="W207" s="68"/>
      <c r="X207" s="68"/>
      <c r="Y207" s="68"/>
      <c r="Z207" s="68"/>
      <c r="AA207" s="68"/>
      <c r="AB207" s="68"/>
      <c r="AC207" s="68"/>
      <c r="AD207" s="68"/>
      <c r="AE207" s="68"/>
      <c r="AF207" s="68"/>
      <c r="AG207" s="68"/>
      <c r="AH207" s="68"/>
      <c r="AI207" s="68"/>
      <c r="AJ207" s="68"/>
      <c r="AK207" s="68"/>
      <c r="AL207" s="68"/>
      <c r="AM207" s="68"/>
      <c r="AN207" s="68"/>
      <c r="AO207" s="68"/>
      <c r="AP207" s="68"/>
      <c r="AQ207" s="68"/>
      <c r="AR207" s="68"/>
      <c r="AS207" s="68"/>
      <c r="AT207" s="68"/>
      <c r="AU207" s="68"/>
      <c r="AV207" s="68"/>
      <c r="AW207" s="68"/>
      <c r="AX207" s="68"/>
      <c r="AY207" s="68"/>
      <c r="AZ207" s="68"/>
      <c r="BA207" s="68"/>
      <c r="BB207" s="68"/>
      <c r="BC207" s="68"/>
      <c r="BD207" s="68"/>
      <c r="BE207" s="68"/>
      <c r="BF207" s="68"/>
      <c r="BG207" s="68"/>
      <c r="BH207" s="68"/>
      <c r="BI207" s="68"/>
    </row>
    <row r="208" spans="2:61">
      <c r="B208" s="68"/>
      <c r="K208" s="68"/>
      <c r="L208" s="68"/>
      <c r="M208" s="68"/>
      <c r="N208" s="68"/>
      <c r="O208" s="68"/>
      <c r="P208" s="68"/>
      <c r="Q208" s="68"/>
      <c r="R208" s="68"/>
      <c r="S208" s="68"/>
      <c r="T208" s="68"/>
      <c r="U208" s="68"/>
      <c r="V208" s="68"/>
      <c r="W208" s="68"/>
      <c r="X208" s="68"/>
      <c r="Y208" s="68"/>
      <c r="Z208" s="68"/>
      <c r="AA208" s="68"/>
      <c r="AB208" s="68"/>
      <c r="AC208" s="68"/>
      <c r="AD208" s="68"/>
      <c r="AE208" s="68"/>
      <c r="AF208" s="68"/>
      <c r="AG208" s="68"/>
      <c r="AH208" s="68"/>
      <c r="AI208" s="68"/>
      <c r="AJ208" s="68"/>
      <c r="AK208" s="68"/>
      <c r="AL208" s="68"/>
      <c r="AM208" s="68"/>
      <c r="AN208" s="68"/>
      <c r="AO208" s="68"/>
      <c r="AP208" s="68"/>
      <c r="AQ208" s="68"/>
      <c r="AR208" s="68"/>
      <c r="AS208" s="68"/>
      <c r="AT208" s="68"/>
      <c r="AU208" s="68"/>
      <c r="AV208" s="68"/>
      <c r="AW208" s="68"/>
      <c r="AX208" s="68"/>
      <c r="AY208" s="68"/>
      <c r="AZ208" s="68"/>
      <c r="BA208" s="68"/>
      <c r="BB208" s="68"/>
      <c r="BC208" s="68"/>
      <c r="BD208" s="68"/>
      <c r="BE208" s="68"/>
      <c r="BF208" s="68"/>
      <c r="BG208" s="68"/>
      <c r="BH208" s="68"/>
      <c r="BI208" s="68"/>
    </row>
    <row r="209" spans="2:61">
      <c r="B209" s="68"/>
      <c r="K209" s="68"/>
      <c r="L209" s="68"/>
      <c r="M209" s="68"/>
      <c r="N209" s="68"/>
      <c r="O209" s="68"/>
      <c r="P209" s="68"/>
      <c r="Q209" s="68"/>
      <c r="R209" s="68"/>
      <c r="S209" s="68"/>
      <c r="T209" s="68"/>
      <c r="U209" s="68"/>
      <c r="V209" s="68"/>
      <c r="W209" s="68"/>
      <c r="X209" s="68"/>
      <c r="Y209" s="68"/>
      <c r="Z209" s="68"/>
      <c r="AA209" s="68"/>
      <c r="AB209" s="68"/>
      <c r="AC209" s="68"/>
      <c r="AD209" s="68"/>
      <c r="AE209" s="68"/>
      <c r="AF209" s="68"/>
      <c r="AG209" s="68"/>
      <c r="AH209" s="68"/>
      <c r="AI209" s="68"/>
      <c r="AJ209" s="68"/>
      <c r="AK209" s="68"/>
      <c r="AL209" s="68"/>
      <c r="AM209" s="68"/>
      <c r="AN209" s="68"/>
      <c r="AO209" s="68"/>
      <c r="AP209" s="68"/>
      <c r="AQ209" s="68"/>
      <c r="AR209" s="68"/>
      <c r="AS209" s="68"/>
      <c r="AT209" s="68"/>
      <c r="AU209" s="68"/>
      <c r="AV209" s="68"/>
      <c r="AW209" s="68"/>
      <c r="AX209" s="68"/>
      <c r="AY209" s="68"/>
      <c r="AZ209" s="68"/>
      <c r="BA209" s="68"/>
      <c r="BB209" s="68"/>
      <c r="BC209" s="68"/>
      <c r="BD209" s="68"/>
      <c r="BE209" s="68"/>
      <c r="BF209" s="68"/>
      <c r="BG209" s="68"/>
      <c r="BH209" s="68"/>
      <c r="BI209" s="68"/>
    </row>
    <row r="210" spans="2:61">
      <c r="B210" s="68"/>
      <c r="K210" s="68"/>
      <c r="L210" s="68"/>
      <c r="M210" s="68"/>
      <c r="N210" s="68"/>
      <c r="O210" s="68"/>
      <c r="P210" s="68"/>
      <c r="Q210" s="68"/>
      <c r="R210" s="68"/>
      <c r="S210" s="68"/>
      <c r="T210" s="68"/>
      <c r="U210" s="68"/>
      <c r="V210" s="68"/>
      <c r="W210" s="68"/>
      <c r="X210" s="68"/>
      <c r="Y210" s="68"/>
      <c r="Z210" s="68"/>
      <c r="AA210" s="68"/>
      <c r="AB210" s="68"/>
      <c r="AC210" s="68"/>
      <c r="AD210" s="68"/>
      <c r="AE210" s="68"/>
      <c r="AF210" s="68"/>
      <c r="AG210" s="68"/>
      <c r="AH210" s="68"/>
      <c r="AI210" s="68"/>
      <c r="AJ210" s="68"/>
      <c r="AK210" s="68"/>
      <c r="AL210" s="68"/>
      <c r="AM210" s="68"/>
      <c r="AN210" s="68"/>
      <c r="AO210" s="68"/>
      <c r="AP210" s="68"/>
      <c r="AQ210" s="68"/>
      <c r="AR210" s="68"/>
      <c r="AS210" s="68"/>
      <c r="AT210" s="68"/>
      <c r="AU210" s="68"/>
      <c r="AV210" s="68"/>
      <c r="AW210" s="68"/>
      <c r="AX210" s="68"/>
      <c r="AY210" s="68"/>
      <c r="AZ210" s="68"/>
      <c r="BA210" s="68"/>
      <c r="BB210" s="68"/>
      <c r="BC210" s="68"/>
      <c r="BD210" s="68"/>
      <c r="BE210" s="68"/>
      <c r="BF210" s="68"/>
      <c r="BG210" s="68"/>
      <c r="BH210" s="68"/>
      <c r="BI210" s="68"/>
    </row>
    <row r="211" spans="2:61">
      <c r="B211" s="68"/>
      <c r="K211" s="68"/>
      <c r="L211" s="68"/>
      <c r="M211" s="68"/>
      <c r="N211" s="68"/>
      <c r="O211" s="68"/>
      <c r="P211" s="68"/>
      <c r="Q211" s="68"/>
      <c r="R211" s="68"/>
      <c r="S211" s="68"/>
      <c r="T211" s="68"/>
      <c r="U211" s="68"/>
      <c r="V211" s="68"/>
      <c r="W211" s="68"/>
      <c r="X211" s="68"/>
      <c r="Y211" s="68"/>
      <c r="Z211" s="68"/>
      <c r="AA211" s="68"/>
      <c r="AB211" s="68"/>
      <c r="AC211" s="68"/>
      <c r="AD211" s="68"/>
      <c r="AE211" s="68"/>
      <c r="AF211" s="68"/>
      <c r="AG211" s="68"/>
      <c r="AH211" s="68"/>
      <c r="AI211" s="68"/>
      <c r="AJ211" s="68"/>
      <c r="AK211" s="68"/>
      <c r="AL211" s="68"/>
      <c r="AM211" s="68"/>
      <c r="AN211" s="68"/>
      <c r="AO211" s="68"/>
      <c r="AP211" s="68"/>
      <c r="AQ211" s="68"/>
      <c r="AR211" s="68"/>
      <c r="AS211" s="68"/>
      <c r="AT211" s="68"/>
      <c r="AU211" s="68"/>
      <c r="AV211" s="68"/>
      <c r="AW211" s="68"/>
      <c r="AX211" s="68"/>
      <c r="AY211" s="68"/>
      <c r="AZ211" s="68"/>
      <c r="BA211" s="68"/>
      <c r="BB211" s="68"/>
      <c r="BC211" s="68"/>
      <c r="BD211" s="68"/>
      <c r="BE211" s="68"/>
      <c r="BF211" s="68"/>
      <c r="BG211" s="68"/>
      <c r="BH211" s="68"/>
      <c r="BI211" s="68"/>
    </row>
    <row r="212" spans="2:61">
      <c r="B212" s="68"/>
      <c r="K212" s="68"/>
      <c r="L212" s="68"/>
      <c r="M212" s="68"/>
      <c r="N212" s="68"/>
      <c r="O212" s="68"/>
      <c r="P212" s="68"/>
      <c r="Q212" s="68"/>
      <c r="R212" s="68"/>
      <c r="S212" s="68"/>
      <c r="T212" s="68"/>
      <c r="U212" s="68"/>
      <c r="V212" s="68"/>
      <c r="W212" s="68"/>
      <c r="X212" s="68"/>
      <c r="Y212" s="68"/>
      <c r="Z212" s="68"/>
      <c r="AA212" s="68"/>
      <c r="AB212" s="68"/>
      <c r="AC212" s="68"/>
      <c r="AD212" s="68"/>
      <c r="AE212" s="68"/>
      <c r="AF212" s="68"/>
      <c r="AG212" s="68"/>
      <c r="AH212" s="68"/>
      <c r="AI212" s="68"/>
      <c r="AJ212" s="68"/>
      <c r="AK212" s="68"/>
      <c r="AL212" s="68"/>
      <c r="AM212" s="68"/>
      <c r="AN212" s="68"/>
      <c r="AO212" s="68"/>
      <c r="AP212" s="68"/>
      <c r="AQ212" s="68"/>
      <c r="AR212" s="68"/>
      <c r="AS212" s="68"/>
      <c r="AT212" s="68"/>
      <c r="AU212" s="68"/>
      <c r="AV212" s="68"/>
      <c r="AW212" s="68"/>
      <c r="AX212" s="68"/>
      <c r="AY212" s="68"/>
      <c r="AZ212" s="68"/>
      <c r="BA212" s="68"/>
      <c r="BB212" s="68"/>
      <c r="BC212" s="68"/>
      <c r="BD212" s="68"/>
      <c r="BE212" s="68"/>
      <c r="BF212" s="68"/>
      <c r="BG212" s="68"/>
      <c r="BH212" s="68"/>
      <c r="BI212" s="68"/>
    </row>
    <row r="213" spans="2:61">
      <c r="B213" s="68"/>
      <c r="K213" s="68"/>
      <c r="L213" s="68"/>
      <c r="M213" s="68"/>
      <c r="N213" s="68"/>
      <c r="O213" s="68"/>
      <c r="P213" s="68"/>
      <c r="Q213" s="68"/>
      <c r="R213" s="68"/>
      <c r="S213" s="68"/>
      <c r="T213" s="68"/>
      <c r="U213" s="68"/>
      <c r="V213" s="68"/>
      <c r="W213" s="68"/>
      <c r="X213" s="68"/>
      <c r="Y213" s="68"/>
      <c r="Z213" s="68"/>
      <c r="AA213" s="68"/>
      <c r="AB213" s="68"/>
      <c r="AC213" s="68"/>
      <c r="AD213" s="68"/>
      <c r="AE213" s="68"/>
      <c r="AF213" s="68"/>
      <c r="AG213" s="68"/>
      <c r="AH213" s="68"/>
      <c r="AI213" s="68"/>
      <c r="AJ213" s="68"/>
      <c r="AK213" s="68"/>
      <c r="AL213" s="68"/>
      <c r="AM213" s="68"/>
      <c r="AN213" s="68"/>
      <c r="AO213" s="68"/>
      <c r="AP213" s="68"/>
      <c r="AQ213" s="68"/>
      <c r="AR213" s="68"/>
      <c r="AS213" s="68"/>
      <c r="AT213" s="68"/>
      <c r="AU213" s="68"/>
      <c r="AV213" s="68"/>
      <c r="AW213" s="68"/>
      <c r="AX213" s="68"/>
      <c r="AY213" s="68"/>
      <c r="AZ213" s="68"/>
      <c r="BA213" s="68"/>
      <c r="BB213" s="68"/>
      <c r="BC213" s="68"/>
      <c r="BD213" s="68"/>
      <c r="BE213" s="68"/>
      <c r="BF213" s="68"/>
      <c r="BG213" s="68"/>
      <c r="BH213" s="68"/>
      <c r="BI213" s="68"/>
    </row>
    <row r="214" spans="2:61">
      <c r="B214" s="68"/>
      <c r="K214" s="68"/>
      <c r="L214" s="68"/>
      <c r="M214" s="68"/>
      <c r="N214" s="68"/>
      <c r="O214" s="68"/>
      <c r="P214" s="68"/>
      <c r="Q214" s="68"/>
      <c r="R214" s="68"/>
      <c r="S214" s="68"/>
      <c r="T214" s="68"/>
      <c r="U214" s="68"/>
      <c r="V214" s="68"/>
      <c r="W214" s="68"/>
      <c r="X214" s="68"/>
      <c r="Y214" s="68"/>
      <c r="Z214" s="68"/>
      <c r="AA214" s="68"/>
      <c r="AB214" s="68"/>
      <c r="AC214" s="68"/>
      <c r="AD214" s="68"/>
      <c r="AE214" s="68"/>
      <c r="AF214" s="68"/>
      <c r="AG214" s="68"/>
      <c r="AH214" s="68"/>
      <c r="AI214" s="68"/>
      <c r="AJ214" s="68"/>
      <c r="AK214" s="68"/>
      <c r="AL214" s="68"/>
      <c r="AM214" s="68"/>
      <c r="AN214" s="68"/>
      <c r="AO214" s="68"/>
      <c r="AP214" s="68"/>
      <c r="AQ214" s="68"/>
      <c r="AR214" s="68"/>
      <c r="AS214" s="68"/>
      <c r="AT214" s="68"/>
      <c r="AU214" s="68"/>
      <c r="AV214" s="68"/>
      <c r="AW214" s="68"/>
      <c r="AX214" s="68"/>
      <c r="AY214" s="68"/>
      <c r="AZ214" s="68"/>
      <c r="BA214" s="68"/>
      <c r="BB214" s="68"/>
      <c r="BC214" s="68"/>
      <c r="BD214" s="68"/>
      <c r="BE214" s="68"/>
      <c r="BF214" s="68"/>
      <c r="BG214" s="68"/>
      <c r="BH214" s="68"/>
      <c r="BI214" s="68"/>
    </row>
    <row r="215" spans="2:61">
      <c r="B215" s="68"/>
      <c r="K215" s="68"/>
      <c r="L215" s="68"/>
      <c r="M215" s="68"/>
      <c r="N215" s="68"/>
      <c r="O215" s="68"/>
      <c r="P215" s="68"/>
      <c r="Q215" s="68"/>
      <c r="R215" s="68"/>
      <c r="S215" s="68"/>
      <c r="T215" s="68"/>
      <c r="U215" s="68"/>
      <c r="V215" s="68"/>
      <c r="W215" s="68"/>
      <c r="X215" s="68"/>
      <c r="Y215" s="68"/>
      <c r="Z215" s="68"/>
      <c r="AA215" s="68"/>
      <c r="AB215" s="68"/>
      <c r="AC215" s="68"/>
      <c r="AD215" s="68"/>
      <c r="AE215" s="68"/>
      <c r="AF215" s="68"/>
      <c r="AG215" s="68"/>
      <c r="AH215" s="68"/>
      <c r="AI215" s="68"/>
      <c r="AJ215" s="68"/>
      <c r="AK215" s="68"/>
      <c r="AL215" s="68"/>
      <c r="AM215" s="68"/>
      <c r="AN215" s="68"/>
      <c r="AO215" s="68"/>
      <c r="AP215" s="68"/>
      <c r="AQ215" s="68"/>
      <c r="AR215" s="68"/>
      <c r="AS215" s="68"/>
      <c r="AT215" s="68"/>
      <c r="AU215" s="68"/>
      <c r="AV215" s="68"/>
      <c r="AW215" s="68"/>
      <c r="AX215" s="68"/>
      <c r="AY215" s="68"/>
      <c r="AZ215" s="68"/>
      <c r="BA215" s="68"/>
      <c r="BB215" s="68"/>
      <c r="BC215" s="68"/>
      <c r="BD215" s="68"/>
      <c r="BE215" s="68"/>
      <c r="BF215" s="68"/>
      <c r="BG215" s="68"/>
      <c r="BH215" s="68"/>
      <c r="BI215" s="68"/>
    </row>
    <row r="216" spans="2:61">
      <c r="B216" s="68"/>
      <c r="K216" s="68"/>
      <c r="L216" s="68"/>
      <c r="M216" s="68"/>
      <c r="N216" s="68"/>
      <c r="O216" s="68"/>
      <c r="P216" s="68"/>
      <c r="Q216" s="68"/>
      <c r="R216" s="68"/>
      <c r="S216" s="68"/>
      <c r="T216" s="68"/>
      <c r="U216" s="68"/>
      <c r="V216" s="68"/>
      <c r="W216" s="68"/>
      <c r="X216" s="68"/>
      <c r="Y216" s="68"/>
      <c r="Z216" s="68"/>
      <c r="AA216" s="68"/>
      <c r="AB216" s="68"/>
      <c r="AC216" s="68"/>
      <c r="AD216" s="68"/>
      <c r="AE216" s="68"/>
      <c r="AF216" s="68"/>
      <c r="AG216" s="68"/>
      <c r="AH216" s="68"/>
      <c r="AI216" s="68"/>
      <c r="AJ216" s="68"/>
      <c r="AK216" s="68"/>
      <c r="AL216" s="68"/>
      <c r="AM216" s="68"/>
      <c r="AN216" s="68"/>
      <c r="AO216" s="68"/>
      <c r="AP216" s="68"/>
      <c r="AQ216" s="68"/>
      <c r="AR216" s="68"/>
      <c r="AS216" s="68"/>
      <c r="AT216" s="68"/>
      <c r="AU216" s="68"/>
      <c r="AV216" s="68"/>
      <c r="AW216" s="68"/>
      <c r="AX216" s="68"/>
      <c r="AY216" s="68"/>
      <c r="AZ216" s="68"/>
      <c r="BA216" s="68"/>
      <c r="BB216" s="68"/>
      <c r="BC216" s="68"/>
      <c r="BD216" s="68"/>
      <c r="BE216" s="68"/>
      <c r="BF216" s="68"/>
      <c r="BG216" s="68"/>
      <c r="BH216" s="68"/>
      <c r="BI216" s="68"/>
    </row>
    <row r="217" spans="2:61">
      <c r="B217" s="68"/>
      <c r="K217" s="68"/>
      <c r="L217" s="68"/>
      <c r="M217" s="68"/>
      <c r="N217" s="68"/>
      <c r="O217" s="68"/>
      <c r="P217" s="68"/>
      <c r="Q217" s="68"/>
      <c r="R217" s="68"/>
      <c r="S217" s="68"/>
      <c r="T217" s="68"/>
      <c r="U217" s="68"/>
      <c r="V217" s="68"/>
      <c r="W217" s="68"/>
      <c r="X217" s="68"/>
      <c r="Y217" s="68"/>
      <c r="Z217" s="68"/>
      <c r="AA217" s="68"/>
      <c r="AB217" s="68"/>
      <c r="AC217" s="68"/>
      <c r="AD217" s="68"/>
      <c r="AE217" s="68"/>
      <c r="AF217" s="68"/>
      <c r="AG217" s="68"/>
      <c r="AH217" s="68"/>
      <c r="AI217" s="68"/>
      <c r="AJ217" s="68"/>
      <c r="AK217" s="68"/>
      <c r="AL217" s="68"/>
      <c r="AM217" s="68"/>
      <c r="AN217" s="68"/>
      <c r="AO217" s="68"/>
      <c r="AP217" s="68"/>
      <c r="AQ217" s="68"/>
      <c r="AR217" s="68"/>
      <c r="AS217" s="68"/>
      <c r="AT217" s="68"/>
      <c r="AU217" s="68"/>
      <c r="AV217" s="68"/>
      <c r="AW217" s="68"/>
      <c r="AX217" s="68"/>
      <c r="AY217" s="68"/>
      <c r="AZ217" s="68"/>
      <c r="BA217" s="68"/>
      <c r="BB217" s="68"/>
      <c r="BC217" s="68"/>
      <c r="BD217" s="68"/>
      <c r="BE217" s="68"/>
      <c r="BF217" s="68"/>
      <c r="BG217" s="68"/>
      <c r="BH217" s="68"/>
      <c r="BI217" s="68"/>
    </row>
    <row r="218" spans="2:61">
      <c r="B218" s="68"/>
      <c r="K218" s="68"/>
      <c r="L218" s="68"/>
      <c r="M218" s="68"/>
      <c r="N218" s="68"/>
      <c r="O218" s="68"/>
      <c r="P218" s="68"/>
      <c r="Q218" s="68"/>
      <c r="R218" s="68"/>
      <c r="S218" s="68"/>
      <c r="T218" s="68"/>
      <c r="U218" s="68"/>
      <c r="V218" s="68"/>
      <c r="W218" s="68"/>
      <c r="X218" s="68"/>
      <c r="Y218" s="68"/>
      <c r="Z218" s="68"/>
      <c r="AA218" s="68"/>
      <c r="AB218" s="68"/>
      <c r="AC218" s="68"/>
      <c r="AD218" s="68"/>
      <c r="AE218" s="68"/>
      <c r="AF218" s="68"/>
      <c r="AG218" s="68"/>
      <c r="AH218" s="68"/>
      <c r="AI218" s="68"/>
      <c r="AJ218" s="68"/>
      <c r="AK218" s="68"/>
      <c r="AL218" s="68"/>
      <c r="AM218" s="68"/>
      <c r="AN218" s="68"/>
      <c r="AO218" s="68"/>
      <c r="AP218" s="68"/>
      <c r="AQ218" s="68"/>
      <c r="AR218" s="68"/>
      <c r="AS218" s="68"/>
      <c r="AT218" s="68"/>
      <c r="AU218" s="68"/>
      <c r="AV218" s="68"/>
      <c r="AW218" s="68"/>
      <c r="AX218" s="68"/>
      <c r="AY218" s="68"/>
      <c r="AZ218" s="68"/>
      <c r="BA218" s="68"/>
      <c r="BB218" s="68"/>
      <c r="BC218" s="68"/>
      <c r="BD218" s="68"/>
      <c r="BE218" s="68"/>
      <c r="BF218" s="68"/>
      <c r="BG218" s="68"/>
      <c r="BH218" s="68"/>
      <c r="BI218" s="68"/>
    </row>
    <row r="219" spans="2:61">
      <c r="B219" s="68"/>
      <c r="K219" s="68"/>
      <c r="L219" s="68"/>
      <c r="M219" s="68"/>
      <c r="N219" s="68"/>
      <c r="O219" s="68"/>
      <c r="P219" s="68"/>
      <c r="Q219" s="68"/>
      <c r="R219" s="68"/>
      <c r="S219" s="68"/>
      <c r="T219" s="68"/>
      <c r="U219" s="68"/>
      <c r="V219" s="68"/>
      <c r="W219" s="68"/>
      <c r="X219" s="68"/>
      <c r="Y219" s="68"/>
      <c r="Z219" s="68"/>
      <c r="AA219" s="68"/>
      <c r="AB219" s="68"/>
      <c r="AC219" s="68"/>
      <c r="AD219" s="68"/>
      <c r="AE219" s="68"/>
      <c r="AF219" s="68"/>
      <c r="AG219" s="68"/>
      <c r="AH219" s="68"/>
      <c r="AI219" s="68"/>
      <c r="AJ219" s="68"/>
      <c r="AK219" s="68"/>
      <c r="AL219" s="68"/>
      <c r="AM219" s="68"/>
      <c r="AN219" s="68"/>
      <c r="AO219" s="68"/>
      <c r="AP219" s="68"/>
      <c r="AQ219" s="68"/>
      <c r="AR219" s="68"/>
      <c r="AS219" s="68"/>
      <c r="AT219" s="68"/>
      <c r="AU219" s="68"/>
      <c r="AV219" s="68"/>
      <c r="AW219" s="68"/>
      <c r="AX219" s="68"/>
      <c r="AY219" s="68"/>
      <c r="AZ219" s="68"/>
      <c r="BA219" s="68"/>
      <c r="BB219" s="68"/>
      <c r="BC219" s="68"/>
      <c r="BD219" s="68"/>
      <c r="BE219" s="68"/>
      <c r="BF219" s="68"/>
      <c r="BG219" s="68"/>
      <c r="BH219" s="68"/>
      <c r="BI219" s="68"/>
    </row>
    <row r="220" spans="2:61">
      <c r="B220" s="68"/>
      <c r="K220" s="68"/>
      <c r="L220" s="68"/>
      <c r="M220" s="68"/>
      <c r="N220" s="68"/>
      <c r="O220" s="68"/>
      <c r="P220" s="68"/>
      <c r="Q220" s="68"/>
      <c r="R220" s="68"/>
      <c r="S220" s="68"/>
      <c r="T220" s="68"/>
      <c r="U220" s="68"/>
      <c r="V220" s="68"/>
      <c r="W220" s="68"/>
      <c r="X220" s="68"/>
      <c r="Y220" s="68"/>
      <c r="Z220" s="68"/>
      <c r="AA220" s="68"/>
      <c r="AB220" s="68"/>
      <c r="AC220" s="68"/>
      <c r="AD220" s="68"/>
      <c r="AE220" s="68"/>
      <c r="AF220" s="68"/>
      <c r="AG220" s="68"/>
      <c r="AH220" s="68"/>
      <c r="AI220" s="68"/>
      <c r="AJ220" s="68"/>
      <c r="AK220" s="68"/>
      <c r="AL220" s="68"/>
      <c r="AM220" s="68"/>
      <c r="AN220" s="68"/>
      <c r="AO220" s="68"/>
      <c r="AP220" s="68"/>
      <c r="AQ220" s="68"/>
      <c r="AR220" s="68"/>
      <c r="AS220" s="68"/>
      <c r="AT220" s="68"/>
      <c r="AU220" s="68"/>
      <c r="AV220" s="68"/>
      <c r="AW220" s="68"/>
      <c r="AX220" s="68"/>
      <c r="AY220" s="68"/>
      <c r="AZ220" s="68"/>
      <c r="BA220" s="68"/>
      <c r="BB220" s="68"/>
      <c r="BC220" s="68"/>
      <c r="BD220" s="68"/>
      <c r="BE220" s="68"/>
      <c r="BF220" s="68"/>
      <c r="BG220" s="68"/>
      <c r="BH220" s="68"/>
      <c r="BI220" s="68"/>
    </row>
    <row r="221" spans="2:61">
      <c r="B221" s="68"/>
      <c r="K221" s="68"/>
      <c r="L221" s="68"/>
      <c r="M221" s="68"/>
      <c r="N221" s="68"/>
      <c r="O221" s="68"/>
      <c r="P221" s="68"/>
      <c r="Q221" s="68"/>
      <c r="R221" s="68"/>
      <c r="S221" s="68"/>
      <c r="T221" s="68"/>
      <c r="U221" s="68"/>
      <c r="V221" s="68"/>
      <c r="W221" s="68"/>
      <c r="X221" s="68"/>
      <c r="Y221" s="68"/>
      <c r="Z221" s="68"/>
      <c r="AA221" s="68"/>
      <c r="AB221" s="68"/>
      <c r="AC221" s="68"/>
      <c r="AD221" s="68"/>
      <c r="AE221" s="68"/>
      <c r="AF221" s="68"/>
      <c r="AG221" s="68"/>
      <c r="AH221" s="68"/>
      <c r="AI221" s="68"/>
      <c r="AJ221" s="68"/>
      <c r="AK221" s="68"/>
      <c r="AL221" s="68"/>
      <c r="AM221" s="68"/>
      <c r="AN221" s="68"/>
      <c r="AO221" s="68"/>
      <c r="AP221" s="68"/>
      <c r="AQ221" s="68"/>
      <c r="AR221" s="68"/>
      <c r="AS221" s="68"/>
      <c r="AT221" s="68"/>
      <c r="AU221" s="68"/>
      <c r="AV221" s="68"/>
      <c r="AW221" s="68"/>
      <c r="AX221" s="68"/>
      <c r="AY221" s="68"/>
      <c r="AZ221" s="68"/>
      <c r="BA221" s="68"/>
      <c r="BB221" s="68"/>
      <c r="BC221" s="68"/>
      <c r="BD221" s="68"/>
      <c r="BE221" s="68"/>
      <c r="BF221" s="68"/>
      <c r="BG221" s="68"/>
      <c r="BH221" s="68"/>
      <c r="BI221" s="68"/>
    </row>
    <row r="222" spans="2:61">
      <c r="B222" s="68"/>
      <c r="K222" s="68"/>
      <c r="L222" s="68"/>
      <c r="M222" s="68"/>
      <c r="N222" s="68"/>
      <c r="O222" s="68"/>
      <c r="P222" s="68"/>
      <c r="Q222" s="68"/>
      <c r="R222" s="68"/>
      <c r="S222" s="68"/>
      <c r="T222" s="68"/>
      <c r="U222" s="68"/>
      <c r="V222" s="68"/>
      <c r="W222" s="68"/>
      <c r="X222" s="68"/>
      <c r="Y222" s="68"/>
      <c r="Z222" s="68"/>
      <c r="AA222" s="68"/>
      <c r="AB222" s="68"/>
      <c r="AC222" s="68"/>
      <c r="AD222" s="68"/>
      <c r="AE222" s="68"/>
      <c r="AF222" s="68"/>
      <c r="AG222" s="68"/>
      <c r="AH222" s="68"/>
      <c r="AI222" s="68"/>
      <c r="AJ222" s="68"/>
      <c r="AK222" s="68"/>
      <c r="AL222" s="68"/>
      <c r="AM222" s="68"/>
      <c r="AN222" s="68"/>
      <c r="AO222" s="68"/>
      <c r="AP222" s="68"/>
      <c r="AQ222" s="68"/>
      <c r="AR222" s="68"/>
      <c r="AS222" s="68"/>
      <c r="AT222" s="68"/>
      <c r="AU222" s="68"/>
      <c r="AV222" s="68"/>
      <c r="AW222" s="68"/>
      <c r="AX222" s="68"/>
      <c r="AY222" s="68"/>
      <c r="AZ222" s="68"/>
      <c r="BA222" s="68"/>
      <c r="BB222" s="68"/>
      <c r="BC222" s="68"/>
      <c r="BD222" s="68"/>
      <c r="BE222" s="68"/>
      <c r="BF222" s="68"/>
      <c r="BG222" s="68"/>
      <c r="BH222" s="68"/>
      <c r="BI222" s="68"/>
    </row>
    <row r="223" spans="2:61">
      <c r="B223" s="68"/>
      <c r="K223" s="68"/>
      <c r="L223" s="68"/>
      <c r="M223" s="68"/>
      <c r="N223" s="68"/>
      <c r="O223" s="68"/>
      <c r="P223" s="68"/>
      <c r="Q223" s="68"/>
      <c r="R223" s="68"/>
      <c r="S223" s="68"/>
      <c r="T223" s="68"/>
      <c r="U223" s="68"/>
      <c r="V223" s="68"/>
      <c r="W223" s="68"/>
      <c r="X223" s="68"/>
      <c r="Y223" s="68"/>
      <c r="Z223" s="68"/>
      <c r="AA223" s="68"/>
      <c r="AB223" s="68"/>
      <c r="AC223" s="68"/>
      <c r="AD223" s="68"/>
      <c r="AE223" s="68"/>
      <c r="AF223" s="68"/>
      <c r="AG223" s="68"/>
      <c r="AH223" s="68"/>
      <c r="AI223" s="68"/>
      <c r="AJ223" s="68"/>
      <c r="AK223" s="68"/>
      <c r="AL223" s="68"/>
      <c r="AM223" s="68"/>
      <c r="AN223" s="68"/>
      <c r="AO223" s="68"/>
      <c r="AP223" s="68"/>
      <c r="AQ223" s="68"/>
      <c r="AR223" s="68"/>
      <c r="AS223" s="68"/>
      <c r="AT223" s="68"/>
      <c r="AU223" s="68"/>
      <c r="AV223" s="68"/>
      <c r="AW223" s="68"/>
      <c r="AX223" s="68"/>
      <c r="AY223" s="68"/>
      <c r="AZ223" s="68"/>
      <c r="BA223" s="68"/>
      <c r="BB223" s="68"/>
      <c r="BC223" s="68"/>
      <c r="BD223" s="68"/>
      <c r="BE223" s="68"/>
      <c r="BF223" s="68"/>
      <c r="BG223" s="68"/>
      <c r="BH223" s="68"/>
      <c r="BI223" s="68"/>
    </row>
    <row r="224" spans="2:61">
      <c r="B224" s="68"/>
      <c r="K224" s="68"/>
      <c r="L224" s="68"/>
      <c r="M224" s="68"/>
      <c r="N224" s="68"/>
      <c r="O224" s="68"/>
      <c r="P224" s="68"/>
      <c r="Q224" s="68"/>
      <c r="R224" s="68"/>
      <c r="S224" s="68"/>
      <c r="T224" s="68"/>
      <c r="U224" s="68"/>
      <c r="V224" s="68"/>
      <c r="W224" s="68"/>
      <c r="X224" s="68"/>
      <c r="Y224" s="68"/>
      <c r="Z224" s="68"/>
      <c r="AA224" s="68"/>
      <c r="AB224" s="68"/>
      <c r="AC224" s="68"/>
      <c r="AD224" s="68"/>
      <c r="AE224" s="68"/>
      <c r="AF224" s="68"/>
      <c r="AG224" s="68"/>
      <c r="AH224" s="68"/>
      <c r="AI224" s="68"/>
      <c r="AJ224" s="68"/>
      <c r="AK224" s="68"/>
      <c r="AL224" s="68"/>
      <c r="AM224" s="68"/>
      <c r="AN224" s="68"/>
      <c r="AO224" s="68"/>
      <c r="AP224" s="68"/>
      <c r="AQ224" s="68"/>
      <c r="AR224" s="68"/>
      <c r="AS224" s="68"/>
      <c r="AT224" s="68"/>
      <c r="AU224" s="68"/>
      <c r="AV224" s="68"/>
      <c r="AW224" s="68"/>
      <c r="AX224" s="68"/>
      <c r="AY224" s="68"/>
      <c r="AZ224" s="68"/>
      <c r="BA224" s="68"/>
      <c r="BB224" s="68"/>
      <c r="BC224" s="68"/>
      <c r="BD224" s="68"/>
      <c r="BE224" s="68"/>
      <c r="BF224" s="68"/>
      <c r="BG224" s="68"/>
      <c r="BH224" s="68"/>
      <c r="BI224" s="68"/>
    </row>
    <row r="225" spans="2:61">
      <c r="B225" s="68"/>
      <c r="K225" s="68"/>
      <c r="L225" s="68"/>
      <c r="M225" s="68"/>
      <c r="N225" s="68"/>
      <c r="O225" s="68"/>
      <c r="P225" s="68"/>
      <c r="Q225" s="68"/>
      <c r="R225" s="68"/>
      <c r="S225" s="68"/>
      <c r="T225" s="68"/>
      <c r="U225" s="68"/>
      <c r="V225" s="68"/>
      <c r="W225" s="68"/>
      <c r="X225" s="68"/>
      <c r="Y225" s="68"/>
      <c r="Z225" s="68"/>
      <c r="AA225" s="68"/>
      <c r="AB225" s="68"/>
      <c r="AC225" s="68"/>
      <c r="AD225" s="68"/>
      <c r="AE225" s="68"/>
      <c r="AF225" s="68"/>
      <c r="AG225" s="68"/>
      <c r="AH225" s="68"/>
      <c r="AI225" s="68"/>
      <c r="AJ225" s="68"/>
      <c r="AK225" s="68"/>
      <c r="AL225" s="68"/>
      <c r="AM225" s="68"/>
      <c r="AN225" s="68"/>
      <c r="AO225" s="68"/>
      <c r="AP225" s="68"/>
      <c r="AQ225" s="68"/>
      <c r="AR225" s="68"/>
      <c r="AS225" s="68"/>
      <c r="AT225" s="68"/>
      <c r="AU225" s="68"/>
      <c r="AV225" s="68"/>
      <c r="AW225" s="68"/>
      <c r="AX225" s="68"/>
      <c r="AY225" s="68"/>
      <c r="AZ225" s="68"/>
      <c r="BA225" s="68"/>
      <c r="BB225" s="68"/>
      <c r="BC225" s="68"/>
      <c r="BD225" s="68"/>
      <c r="BE225" s="68"/>
      <c r="BF225" s="68"/>
      <c r="BG225" s="68"/>
      <c r="BH225" s="68"/>
      <c r="BI225" s="68"/>
    </row>
    <row r="226" spans="2:61">
      <c r="B226" s="68"/>
      <c r="K226" s="68"/>
      <c r="L226" s="68"/>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8"/>
      <c r="BD226" s="68"/>
      <c r="BE226" s="68"/>
      <c r="BF226" s="68"/>
      <c r="BG226" s="68"/>
      <c r="BH226" s="68"/>
      <c r="BI226" s="68"/>
    </row>
    <row r="227" spans="2:61">
      <c r="B227" s="68"/>
      <c r="K227" s="68"/>
      <c r="L227" s="68"/>
      <c r="M227" s="68"/>
      <c r="N227" s="68"/>
      <c r="O227" s="68"/>
      <c r="P227" s="68"/>
      <c r="Q227" s="68"/>
      <c r="R227" s="68"/>
      <c r="S227" s="68"/>
      <c r="T227" s="68"/>
      <c r="U227" s="68"/>
      <c r="V227" s="68"/>
      <c r="W227" s="68"/>
      <c r="X227" s="68"/>
      <c r="Y227" s="68"/>
      <c r="Z227" s="68"/>
      <c r="AA227" s="68"/>
      <c r="AB227" s="68"/>
      <c r="AC227" s="68"/>
      <c r="AD227" s="68"/>
      <c r="AE227" s="68"/>
      <c r="AF227" s="68"/>
      <c r="AG227" s="68"/>
      <c r="AH227" s="68"/>
      <c r="AI227" s="68"/>
      <c r="AJ227" s="68"/>
      <c r="AK227" s="68"/>
      <c r="AL227" s="68"/>
      <c r="AM227" s="68"/>
      <c r="AN227" s="68"/>
      <c r="AO227" s="68"/>
      <c r="AP227" s="68"/>
      <c r="AQ227" s="68"/>
      <c r="AR227" s="68"/>
      <c r="AS227" s="68"/>
      <c r="AT227" s="68"/>
      <c r="AU227" s="68"/>
      <c r="AV227" s="68"/>
      <c r="AW227" s="68"/>
      <c r="AX227" s="68"/>
      <c r="AY227" s="68"/>
      <c r="AZ227" s="68"/>
      <c r="BA227" s="68"/>
      <c r="BB227" s="68"/>
      <c r="BC227" s="68"/>
      <c r="BD227" s="68"/>
      <c r="BE227" s="68"/>
      <c r="BF227" s="68"/>
      <c r="BG227" s="68"/>
      <c r="BH227" s="68"/>
      <c r="BI227" s="68"/>
    </row>
    <row r="228" spans="2:61">
      <c r="B228" s="68"/>
      <c r="K228" s="68"/>
      <c r="L228" s="68"/>
      <c r="M228" s="68"/>
      <c r="N228" s="68"/>
      <c r="O228" s="68"/>
      <c r="P228" s="68"/>
      <c r="Q228" s="68"/>
      <c r="R228" s="68"/>
      <c r="S228" s="68"/>
      <c r="T228" s="68"/>
      <c r="U228" s="68"/>
      <c r="V228" s="68"/>
      <c r="W228" s="68"/>
      <c r="X228" s="68"/>
      <c r="Y228" s="68"/>
      <c r="Z228" s="68"/>
      <c r="AA228" s="68"/>
      <c r="AB228" s="68"/>
      <c r="AC228" s="68"/>
      <c r="AD228" s="68"/>
      <c r="AE228" s="68"/>
      <c r="AF228" s="68"/>
      <c r="AG228" s="68"/>
      <c r="AH228" s="68"/>
      <c r="AI228" s="68"/>
      <c r="AJ228" s="68"/>
      <c r="AK228" s="68"/>
      <c r="AL228" s="68"/>
      <c r="AM228" s="68"/>
      <c r="AN228" s="68"/>
      <c r="AO228" s="68"/>
      <c r="AP228" s="68"/>
      <c r="AQ228" s="68"/>
      <c r="AR228" s="68"/>
      <c r="AS228" s="68"/>
      <c r="AT228" s="68"/>
      <c r="AU228" s="68"/>
      <c r="AV228" s="68"/>
      <c r="AW228" s="68"/>
      <c r="AX228" s="68"/>
      <c r="AY228" s="68"/>
      <c r="AZ228" s="68"/>
      <c r="BA228" s="68"/>
      <c r="BB228" s="68"/>
      <c r="BC228" s="68"/>
      <c r="BD228" s="68"/>
      <c r="BE228" s="68"/>
      <c r="BF228" s="68"/>
      <c r="BG228" s="68"/>
      <c r="BH228" s="68"/>
      <c r="BI228" s="68"/>
    </row>
    <row r="229" spans="2:61">
      <c r="B229" s="68"/>
      <c r="K229" s="68"/>
      <c r="L229" s="68"/>
      <c r="M229" s="68"/>
      <c r="N229" s="68"/>
      <c r="O229" s="68"/>
      <c r="P229" s="68"/>
      <c r="Q229" s="68"/>
      <c r="R229" s="68"/>
      <c r="S229" s="68"/>
      <c r="T229" s="68"/>
      <c r="U229" s="68"/>
      <c r="V229" s="68"/>
      <c r="W229" s="68"/>
      <c r="X229" s="68"/>
      <c r="Y229" s="68"/>
      <c r="Z229" s="68"/>
      <c r="AA229" s="68"/>
      <c r="AB229" s="68"/>
      <c r="AC229" s="68"/>
      <c r="AD229" s="68"/>
      <c r="AE229" s="68"/>
      <c r="AF229" s="68"/>
      <c r="AG229" s="68"/>
      <c r="AH229" s="68"/>
      <c r="AI229" s="68"/>
      <c r="AJ229" s="68"/>
      <c r="AK229" s="68"/>
      <c r="AL229" s="68"/>
      <c r="AM229" s="68"/>
      <c r="AN229" s="68"/>
      <c r="AO229" s="68"/>
      <c r="AP229" s="68"/>
      <c r="AQ229" s="68"/>
      <c r="AR229" s="68"/>
      <c r="AS229" s="68"/>
      <c r="AT229" s="68"/>
      <c r="AU229" s="68"/>
      <c r="AV229" s="68"/>
      <c r="AW229" s="68"/>
      <c r="AX229" s="68"/>
      <c r="AY229" s="68"/>
      <c r="AZ229" s="68"/>
      <c r="BA229" s="68"/>
      <c r="BB229" s="68"/>
      <c r="BC229" s="68"/>
      <c r="BD229" s="68"/>
      <c r="BE229" s="68"/>
      <c r="BF229" s="68"/>
      <c r="BG229" s="68"/>
      <c r="BH229" s="68"/>
      <c r="BI229" s="68"/>
    </row>
    <row r="230" spans="2:61">
      <c r="B230" s="68"/>
      <c r="K230" s="68"/>
      <c r="L230" s="68"/>
      <c r="M230" s="68"/>
      <c r="N230" s="68"/>
      <c r="O230" s="68"/>
      <c r="P230" s="68"/>
      <c r="Q230" s="68"/>
      <c r="R230" s="68"/>
      <c r="S230" s="68"/>
      <c r="T230" s="68"/>
      <c r="U230" s="68"/>
      <c r="V230" s="68"/>
      <c r="W230" s="68"/>
      <c r="X230" s="68"/>
      <c r="Y230" s="68"/>
      <c r="Z230" s="68"/>
      <c r="AA230" s="68"/>
      <c r="AB230" s="68"/>
      <c r="AC230" s="68"/>
      <c r="AD230" s="68"/>
      <c r="AE230" s="68"/>
      <c r="AF230" s="68"/>
      <c r="AG230" s="68"/>
      <c r="AH230" s="68"/>
      <c r="AI230" s="68"/>
      <c r="AJ230" s="68"/>
      <c r="AK230" s="68"/>
      <c r="AL230" s="68"/>
      <c r="AM230" s="68"/>
      <c r="AN230" s="68"/>
      <c r="AO230" s="68"/>
      <c r="AP230" s="68"/>
      <c r="AQ230" s="68"/>
      <c r="AR230" s="68"/>
      <c r="AS230" s="68"/>
      <c r="AT230" s="68"/>
      <c r="AU230" s="68"/>
      <c r="AV230" s="68"/>
      <c r="AW230" s="68"/>
      <c r="AX230" s="68"/>
      <c r="AY230" s="68"/>
      <c r="AZ230" s="68"/>
      <c r="BA230" s="68"/>
      <c r="BB230" s="68"/>
      <c r="BC230" s="68"/>
      <c r="BD230" s="68"/>
      <c r="BE230" s="68"/>
      <c r="BF230" s="68"/>
      <c r="BG230" s="68"/>
      <c r="BH230" s="68"/>
      <c r="BI230" s="68"/>
    </row>
    <row r="231" spans="2:61">
      <c r="B231" s="68"/>
      <c r="K231" s="68"/>
      <c r="L231" s="68"/>
      <c r="M231" s="68"/>
      <c r="N231" s="68"/>
      <c r="O231" s="68"/>
      <c r="P231" s="68"/>
      <c r="Q231" s="68"/>
      <c r="R231" s="68"/>
      <c r="S231" s="68"/>
      <c r="T231" s="68"/>
      <c r="U231" s="68"/>
      <c r="V231" s="68"/>
      <c r="W231" s="68"/>
      <c r="X231" s="68"/>
      <c r="Y231" s="68"/>
      <c r="Z231" s="68"/>
      <c r="AA231" s="68"/>
      <c r="AB231" s="68"/>
      <c r="AC231" s="68"/>
      <c r="AD231" s="68"/>
      <c r="AE231" s="68"/>
      <c r="AF231" s="68"/>
      <c r="AG231" s="68"/>
      <c r="AH231" s="68"/>
      <c r="AI231" s="68"/>
      <c r="AJ231" s="68"/>
      <c r="AK231" s="68"/>
      <c r="AL231" s="68"/>
      <c r="AM231" s="68"/>
      <c r="AN231" s="68"/>
      <c r="AO231" s="68"/>
      <c r="AP231" s="68"/>
      <c r="AQ231" s="68"/>
      <c r="AR231" s="68"/>
      <c r="AS231" s="68"/>
      <c r="AT231" s="68"/>
      <c r="AU231" s="68"/>
      <c r="AV231" s="68"/>
      <c r="AW231" s="68"/>
      <c r="AX231" s="68"/>
      <c r="AY231" s="68"/>
      <c r="AZ231" s="68"/>
      <c r="BA231" s="68"/>
      <c r="BB231" s="68"/>
      <c r="BC231" s="68"/>
      <c r="BD231" s="68"/>
      <c r="BE231" s="68"/>
      <c r="BF231" s="68"/>
      <c r="BG231" s="68"/>
      <c r="BH231" s="68"/>
      <c r="BI231" s="68"/>
    </row>
    <row r="232" spans="2:61">
      <c r="B232" s="68"/>
      <c r="K232" s="68"/>
      <c r="L232" s="68"/>
      <c r="M232" s="68"/>
      <c r="N232" s="68"/>
      <c r="O232" s="68"/>
      <c r="P232" s="68"/>
      <c r="Q232" s="68"/>
      <c r="R232" s="68"/>
      <c r="S232" s="68"/>
      <c r="T232" s="68"/>
      <c r="U232" s="68"/>
      <c r="V232" s="68"/>
      <c r="W232" s="68"/>
      <c r="X232" s="68"/>
      <c r="Y232" s="68"/>
      <c r="Z232" s="68"/>
      <c r="AA232" s="68"/>
      <c r="AB232" s="68"/>
      <c r="AC232" s="68"/>
      <c r="AD232" s="68"/>
      <c r="AE232" s="68"/>
      <c r="AF232" s="68"/>
      <c r="AG232" s="68"/>
      <c r="AH232" s="68"/>
      <c r="AI232" s="68"/>
      <c r="AJ232" s="68"/>
      <c r="AK232" s="68"/>
      <c r="AL232" s="68"/>
      <c r="AM232" s="68"/>
      <c r="AN232" s="68"/>
      <c r="AO232" s="68"/>
      <c r="AP232" s="68"/>
      <c r="AQ232" s="68"/>
      <c r="AR232" s="68"/>
      <c r="AS232" s="68"/>
      <c r="AT232" s="68"/>
      <c r="AU232" s="68"/>
      <c r="AV232" s="68"/>
      <c r="AW232" s="68"/>
      <c r="AX232" s="68"/>
      <c r="AY232" s="68"/>
      <c r="AZ232" s="68"/>
      <c r="BA232" s="68"/>
      <c r="BB232" s="68"/>
      <c r="BC232" s="68"/>
      <c r="BD232" s="68"/>
      <c r="BE232" s="68"/>
      <c r="BF232" s="68"/>
      <c r="BG232" s="68"/>
      <c r="BH232" s="68"/>
      <c r="BI232" s="68"/>
    </row>
    <row r="233" spans="2:61">
      <c r="B233" s="68"/>
      <c r="K233" s="68"/>
      <c r="L233" s="68"/>
      <c r="M233" s="68"/>
      <c r="N233" s="68"/>
      <c r="O233" s="68"/>
      <c r="P233" s="68"/>
      <c r="Q233" s="68"/>
      <c r="R233" s="68"/>
      <c r="S233" s="68"/>
      <c r="T233" s="68"/>
      <c r="U233" s="68"/>
      <c r="V233" s="68"/>
      <c r="W233" s="68"/>
      <c r="X233" s="68"/>
      <c r="Y233" s="68"/>
      <c r="Z233" s="68"/>
      <c r="AA233" s="68"/>
      <c r="AB233" s="68"/>
      <c r="AC233" s="68"/>
      <c r="AD233" s="68"/>
      <c r="AE233" s="68"/>
      <c r="AF233" s="68"/>
      <c r="AG233" s="68"/>
      <c r="AH233" s="68"/>
      <c r="AI233" s="68"/>
      <c r="AJ233" s="68"/>
      <c r="AK233" s="68"/>
      <c r="AL233" s="68"/>
      <c r="AM233" s="68"/>
      <c r="AN233" s="68"/>
      <c r="AO233" s="68"/>
      <c r="AP233" s="68"/>
      <c r="AQ233" s="68"/>
      <c r="AR233" s="68"/>
      <c r="AS233" s="68"/>
      <c r="AT233" s="68"/>
      <c r="AU233" s="68"/>
      <c r="AV233" s="68"/>
      <c r="AW233" s="68"/>
      <c r="AX233" s="68"/>
      <c r="AY233" s="68"/>
      <c r="AZ233" s="68"/>
      <c r="BA233" s="68"/>
      <c r="BB233" s="68"/>
      <c r="BC233" s="68"/>
      <c r="BD233" s="68"/>
      <c r="BE233" s="68"/>
      <c r="BF233" s="68"/>
      <c r="BG233" s="68"/>
      <c r="BH233" s="68"/>
      <c r="BI233" s="68"/>
    </row>
    <row r="234" spans="2:61">
      <c r="B234" s="68"/>
      <c r="K234" s="68"/>
      <c r="L234" s="68"/>
      <c r="M234" s="68"/>
      <c r="N234" s="68"/>
      <c r="O234" s="68"/>
      <c r="P234" s="68"/>
      <c r="Q234" s="68"/>
      <c r="R234" s="68"/>
      <c r="S234" s="68"/>
      <c r="T234" s="68"/>
      <c r="U234" s="68"/>
      <c r="V234" s="68"/>
      <c r="W234" s="68"/>
      <c r="X234" s="68"/>
      <c r="Y234" s="68"/>
      <c r="Z234" s="68"/>
      <c r="AA234" s="68"/>
      <c r="AB234" s="68"/>
      <c r="AC234" s="68"/>
      <c r="AD234" s="68"/>
      <c r="AE234" s="68"/>
      <c r="AF234" s="68"/>
      <c r="AG234" s="68"/>
      <c r="AH234" s="68"/>
      <c r="AI234" s="68"/>
      <c r="AJ234" s="68"/>
      <c r="AK234" s="68"/>
      <c r="AL234" s="68"/>
      <c r="AM234" s="68"/>
      <c r="AN234" s="68"/>
      <c r="AO234" s="68"/>
      <c r="AP234" s="68"/>
      <c r="AQ234" s="68"/>
      <c r="AR234" s="68"/>
      <c r="AS234" s="68"/>
      <c r="AT234" s="68"/>
      <c r="AU234" s="68"/>
      <c r="AV234" s="68"/>
      <c r="AW234" s="68"/>
      <c r="AX234" s="68"/>
      <c r="AY234" s="68"/>
      <c r="AZ234" s="68"/>
      <c r="BA234" s="68"/>
      <c r="BB234" s="68"/>
      <c r="BC234" s="68"/>
      <c r="BD234" s="68"/>
      <c r="BE234" s="68"/>
      <c r="BF234" s="68"/>
      <c r="BG234" s="68"/>
      <c r="BH234" s="68"/>
      <c r="BI234" s="68"/>
    </row>
    <row r="235" spans="2:61">
      <c r="B235" s="68"/>
      <c r="K235" s="68"/>
      <c r="L235" s="68"/>
      <c r="M235" s="68"/>
      <c r="N235" s="68"/>
      <c r="O235" s="68"/>
      <c r="P235" s="68"/>
      <c r="Q235" s="68"/>
      <c r="R235" s="68"/>
      <c r="S235" s="68"/>
      <c r="T235" s="68"/>
      <c r="U235" s="68"/>
      <c r="V235" s="68"/>
      <c r="W235" s="68"/>
      <c r="X235" s="68"/>
      <c r="Y235" s="68"/>
      <c r="Z235" s="68"/>
      <c r="AA235" s="68"/>
      <c r="AB235" s="68"/>
      <c r="AC235" s="68"/>
      <c r="AD235" s="68"/>
      <c r="AE235" s="68"/>
      <c r="AF235" s="68"/>
      <c r="AG235" s="68"/>
      <c r="AH235" s="68"/>
      <c r="AI235" s="68"/>
      <c r="AJ235" s="68"/>
      <c r="AK235" s="68"/>
      <c r="AL235" s="68"/>
      <c r="AM235" s="68"/>
      <c r="AN235" s="68"/>
      <c r="AO235" s="68"/>
      <c r="AP235" s="68"/>
      <c r="AQ235" s="68"/>
      <c r="AR235" s="68"/>
      <c r="AS235" s="68"/>
      <c r="AT235" s="68"/>
      <c r="AU235" s="68"/>
      <c r="AV235" s="68"/>
      <c r="AW235" s="68"/>
      <c r="AX235" s="68"/>
      <c r="AY235" s="68"/>
      <c r="AZ235" s="68"/>
      <c r="BA235" s="68"/>
      <c r="BB235" s="68"/>
      <c r="BC235" s="68"/>
      <c r="BD235" s="68"/>
      <c r="BE235" s="68"/>
      <c r="BF235" s="68"/>
      <c r="BG235" s="68"/>
      <c r="BH235" s="68"/>
      <c r="BI235" s="68"/>
    </row>
    <row r="236" spans="2:61">
      <c r="B236" s="68"/>
      <c r="K236" s="68"/>
      <c r="L236" s="68"/>
      <c r="M236" s="68"/>
      <c r="N236" s="68"/>
      <c r="O236" s="68"/>
      <c r="P236" s="68"/>
      <c r="Q236" s="68"/>
      <c r="R236" s="68"/>
      <c r="S236" s="68"/>
      <c r="T236" s="68"/>
      <c r="U236" s="68"/>
      <c r="V236" s="68"/>
      <c r="W236" s="68"/>
      <c r="X236" s="68"/>
      <c r="Y236" s="68"/>
      <c r="Z236" s="68"/>
      <c r="AA236" s="68"/>
      <c r="AB236" s="68"/>
      <c r="AC236" s="68"/>
      <c r="AD236" s="68"/>
      <c r="AE236" s="68"/>
      <c r="AF236" s="68"/>
      <c r="AG236" s="68"/>
      <c r="AH236" s="68"/>
      <c r="AI236" s="68"/>
      <c r="AJ236" s="68"/>
      <c r="AK236" s="68"/>
      <c r="AL236" s="68"/>
      <c r="AM236" s="68"/>
      <c r="AN236" s="68"/>
      <c r="AO236" s="68"/>
      <c r="AP236" s="68"/>
      <c r="AQ236" s="68"/>
      <c r="AR236" s="68"/>
      <c r="AS236" s="68"/>
      <c r="AT236" s="68"/>
      <c r="AU236" s="68"/>
      <c r="AV236" s="68"/>
      <c r="AW236" s="68"/>
      <c r="AX236" s="68"/>
      <c r="AY236" s="68"/>
      <c r="AZ236" s="68"/>
      <c r="BA236" s="68"/>
      <c r="BB236" s="68"/>
      <c r="BC236" s="68"/>
      <c r="BD236" s="68"/>
      <c r="BE236" s="68"/>
      <c r="BF236" s="68"/>
      <c r="BG236" s="68"/>
      <c r="BH236" s="68"/>
      <c r="BI236" s="68"/>
    </row>
    <row r="237" spans="2:61">
      <c r="B237" s="68"/>
      <c r="K237" s="68"/>
      <c r="L237" s="68"/>
      <c r="M237" s="68"/>
      <c r="N237" s="68"/>
      <c r="O237" s="68"/>
      <c r="P237" s="68"/>
      <c r="Q237" s="68"/>
      <c r="R237" s="68"/>
      <c r="S237" s="68"/>
      <c r="T237" s="68"/>
      <c r="U237" s="68"/>
      <c r="V237" s="68"/>
      <c r="W237" s="68"/>
      <c r="X237" s="68"/>
      <c r="Y237" s="68"/>
      <c r="Z237" s="68"/>
      <c r="AA237" s="68"/>
      <c r="AB237" s="68"/>
      <c r="AC237" s="68"/>
      <c r="AD237" s="68"/>
      <c r="AE237" s="68"/>
      <c r="AF237" s="68"/>
      <c r="AG237" s="68"/>
      <c r="AH237" s="68"/>
      <c r="AI237" s="68"/>
      <c r="AJ237" s="68"/>
      <c r="AK237" s="68"/>
      <c r="AL237" s="68"/>
      <c r="AM237" s="68"/>
      <c r="AN237" s="68"/>
      <c r="AO237" s="68"/>
      <c r="AP237" s="68"/>
      <c r="AQ237" s="68"/>
      <c r="AR237" s="68"/>
      <c r="AS237" s="68"/>
      <c r="AT237" s="68"/>
      <c r="AU237" s="68"/>
      <c r="AV237" s="68"/>
      <c r="AW237" s="68"/>
      <c r="AX237" s="68"/>
      <c r="AY237" s="68"/>
      <c r="AZ237" s="68"/>
      <c r="BA237" s="68"/>
      <c r="BB237" s="68"/>
      <c r="BC237" s="68"/>
      <c r="BD237" s="68"/>
      <c r="BE237" s="68"/>
      <c r="BF237" s="68"/>
      <c r="BG237" s="68"/>
      <c r="BH237" s="68"/>
      <c r="BI237" s="68"/>
    </row>
    <row r="238" spans="2:61">
      <c r="B238" s="68"/>
      <c r="K238" s="68"/>
      <c r="L238" s="68"/>
      <c r="M238" s="68"/>
      <c r="N238" s="68"/>
      <c r="O238" s="68"/>
      <c r="P238" s="68"/>
      <c r="Q238" s="68"/>
      <c r="R238" s="68"/>
      <c r="S238" s="68"/>
      <c r="T238" s="68"/>
      <c r="U238" s="68"/>
      <c r="V238" s="68"/>
      <c r="W238" s="68"/>
      <c r="X238" s="68"/>
      <c r="Y238" s="68"/>
      <c r="Z238" s="68"/>
      <c r="AA238" s="68"/>
      <c r="AB238" s="68"/>
      <c r="AC238" s="68"/>
      <c r="AD238" s="68"/>
      <c r="AE238" s="68"/>
      <c r="AF238" s="68"/>
      <c r="AG238" s="68"/>
      <c r="AH238" s="68"/>
      <c r="AI238" s="68"/>
      <c r="AJ238" s="68"/>
      <c r="AK238" s="68"/>
      <c r="AL238" s="68"/>
      <c r="AM238" s="68"/>
      <c r="AN238" s="68"/>
      <c r="AO238" s="68"/>
      <c r="AP238" s="68"/>
      <c r="AQ238" s="68"/>
      <c r="AR238" s="68"/>
      <c r="AS238" s="68"/>
      <c r="AT238" s="68"/>
      <c r="AU238" s="68"/>
      <c r="AV238" s="68"/>
      <c r="AW238" s="68"/>
      <c r="AX238" s="68"/>
      <c r="AY238" s="68"/>
      <c r="AZ238" s="68"/>
      <c r="BA238" s="68"/>
      <c r="BB238" s="68"/>
      <c r="BC238" s="68"/>
      <c r="BD238" s="68"/>
      <c r="BE238" s="68"/>
      <c r="BF238" s="68"/>
      <c r="BG238" s="68"/>
      <c r="BH238" s="68"/>
      <c r="BI238" s="68"/>
    </row>
    <row r="239" spans="2:61">
      <c r="B239" s="68"/>
      <c r="K239" s="68"/>
      <c r="L239" s="68"/>
      <c r="M239" s="68"/>
      <c r="N239" s="68"/>
      <c r="O239" s="68"/>
      <c r="P239" s="68"/>
      <c r="Q239" s="68"/>
      <c r="R239" s="68"/>
      <c r="S239" s="68"/>
      <c r="T239" s="68"/>
      <c r="U239" s="68"/>
      <c r="V239" s="68"/>
      <c r="W239" s="68"/>
      <c r="X239" s="68"/>
      <c r="Y239" s="68"/>
      <c r="Z239" s="68"/>
      <c r="AA239" s="68"/>
      <c r="AB239" s="68"/>
      <c r="AC239" s="68"/>
      <c r="AD239" s="68"/>
      <c r="AE239" s="68"/>
      <c r="AF239" s="68"/>
      <c r="AG239" s="68"/>
      <c r="AH239" s="68"/>
      <c r="AI239" s="68"/>
      <c r="AJ239" s="68"/>
      <c r="AK239" s="68"/>
      <c r="AL239" s="68"/>
      <c r="AM239" s="68"/>
      <c r="AN239" s="68"/>
      <c r="AO239" s="68"/>
      <c r="AP239" s="68"/>
      <c r="AQ239" s="68"/>
      <c r="AR239" s="68"/>
      <c r="AS239" s="68"/>
      <c r="AT239" s="68"/>
      <c r="AU239" s="68"/>
      <c r="AV239" s="68"/>
      <c r="AW239" s="68"/>
      <c r="AX239" s="68"/>
      <c r="AY239" s="68"/>
      <c r="AZ239" s="68"/>
      <c r="BA239" s="68"/>
      <c r="BB239" s="68"/>
      <c r="BC239" s="68"/>
      <c r="BD239" s="68"/>
      <c r="BE239" s="68"/>
      <c r="BF239" s="68"/>
      <c r="BG239" s="68"/>
      <c r="BH239" s="68"/>
      <c r="BI239" s="68"/>
    </row>
    <row r="240" spans="2:61">
      <c r="B240" s="68"/>
      <c r="K240" s="68"/>
      <c r="L240" s="68"/>
      <c r="M240" s="68"/>
      <c r="N240" s="68"/>
      <c r="O240" s="68"/>
      <c r="P240" s="68"/>
      <c r="Q240" s="68"/>
      <c r="R240" s="68"/>
      <c r="S240" s="68"/>
      <c r="T240" s="68"/>
      <c r="U240" s="68"/>
      <c r="V240" s="68"/>
      <c r="W240" s="68"/>
      <c r="X240" s="68"/>
      <c r="Y240" s="68"/>
      <c r="Z240" s="68"/>
      <c r="AA240" s="68"/>
      <c r="AB240" s="68"/>
      <c r="AC240" s="68"/>
      <c r="AD240" s="68"/>
      <c r="AE240" s="68"/>
      <c r="AF240" s="68"/>
      <c r="AG240" s="68"/>
      <c r="AH240" s="68"/>
      <c r="AI240" s="68"/>
      <c r="AJ240" s="68"/>
      <c r="AK240" s="68"/>
      <c r="AL240" s="68"/>
      <c r="AM240" s="68"/>
      <c r="AN240" s="68"/>
      <c r="AO240" s="68"/>
      <c r="AP240" s="68"/>
      <c r="AQ240" s="68"/>
      <c r="AR240" s="68"/>
      <c r="AS240" s="68"/>
      <c r="AT240" s="68"/>
      <c r="AU240" s="68"/>
      <c r="AV240" s="68"/>
      <c r="AW240" s="68"/>
      <c r="AX240" s="68"/>
      <c r="AY240" s="68"/>
      <c r="AZ240" s="68"/>
      <c r="BA240" s="68"/>
      <c r="BB240" s="68"/>
      <c r="BC240" s="68"/>
      <c r="BD240" s="68"/>
      <c r="BE240" s="68"/>
      <c r="BF240" s="68"/>
      <c r="BG240" s="68"/>
      <c r="BH240" s="68"/>
      <c r="BI240" s="68"/>
    </row>
    <row r="241" spans="2:61">
      <c r="B241" s="68"/>
      <c r="K241" s="68"/>
      <c r="L241" s="68"/>
      <c r="M241" s="68"/>
      <c r="N241" s="68"/>
      <c r="O241" s="68"/>
      <c r="P241" s="68"/>
      <c r="Q241" s="68"/>
      <c r="R241" s="68"/>
      <c r="S241" s="68"/>
      <c r="T241" s="68"/>
      <c r="U241" s="68"/>
      <c r="V241" s="68"/>
      <c r="W241" s="68"/>
      <c r="X241" s="68"/>
      <c r="Y241" s="68"/>
      <c r="Z241" s="68"/>
      <c r="AA241" s="68"/>
      <c r="AB241" s="68"/>
      <c r="AC241" s="68"/>
      <c r="AD241" s="68"/>
      <c r="AE241" s="68"/>
      <c r="AF241" s="68"/>
      <c r="AG241" s="68"/>
      <c r="AH241" s="68"/>
      <c r="AI241" s="68"/>
      <c r="AJ241" s="68"/>
      <c r="AK241" s="68"/>
      <c r="AL241" s="68"/>
      <c r="AM241" s="68"/>
      <c r="AN241" s="68"/>
      <c r="AO241" s="68"/>
      <c r="AP241" s="68"/>
      <c r="AQ241" s="68"/>
      <c r="AR241" s="68"/>
      <c r="AS241" s="68"/>
      <c r="AT241" s="68"/>
      <c r="AU241" s="68"/>
      <c r="AV241" s="68"/>
      <c r="AW241" s="68"/>
      <c r="AX241" s="68"/>
      <c r="AY241" s="68"/>
      <c r="AZ241" s="68"/>
      <c r="BA241" s="68"/>
      <c r="BB241" s="68"/>
      <c r="BC241" s="68"/>
      <c r="BD241" s="68"/>
      <c r="BE241" s="68"/>
      <c r="BF241" s="68"/>
      <c r="BG241" s="68"/>
      <c r="BH241" s="68"/>
      <c r="BI241" s="68"/>
    </row>
    <row r="242" spans="2:61">
      <c r="B242" s="68"/>
      <c r="K242" s="68"/>
      <c r="L242" s="68"/>
      <c r="M242" s="68"/>
      <c r="N242" s="68"/>
      <c r="O242" s="68"/>
      <c r="P242" s="68"/>
      <c r="Q242" s="68"/>
      <c r="R242" s="68"/>
      <c r="S242" s="68"/>
      <c r="T242" s="68"/>
      <c r="U242" s="68"/>
      <c r="V242" s="68"/>
      <c r="W242" s="68"/>
      <c r="X242" s="68"/>
      <c r="Y242" s="68"/>
      <c r="Z242" s="68"/>
      <c r="AA242" s="68"/>
      <c r="AB242" s="68"/>
      <c r="AC242" s="68"/>
      <c r="AD242" s="68"/>
      <c r="AE242" s="68"/>
      <c r="AF242" s="68"/>
      <c r="AG242" s="68"/>
      <c r="AH242" s="68"/>
      <c r="AI242" s="68"/>
      <c r="AJ242" s="68"/>
      <c r="AK242" s="68"/>
      <c r="AL242" s="68"/>
      <c r="AM242" s="68"/>
      <c r="AN242" s="68"/>
      <c r="AO242" s="68"/>
      <c r="AP242" s="68"/>
      <c r="AQ242" s="68"/>
      <c r="AR242" s="68"/>
      <c r="AS242" s="68"/>
      <c r="AT242" s="68"/>
      <c r="AU242" s="68"/>
      <c r="AV242" s="68"/>
      <c r="AW242" s="68"/>
      <c r="AX242" s="68"/>
      <c r="AY242" s="68"/>
      <c r="AZ242" s="68"/>
      <c r="BA242" s="68"/>
      <c r="BB242" s="68"/>
      <c r="BC242" s="68"/>
      <c r="BD242" s="68"/>
      <c r="BE242" s="68"/>
      <c r="BF242" s="68"/>
      <c r="BG242" s="68"/>
      <c r="BH242" s="68"/>
      <c r="BI242" s="68"/>
    </row>
    <row r="243" spans="2:61">
      <c r="B243" s="68"/>
      <c r="K243" s="68"/>
      <c r="L243" s="68"/>
      <c r="M243" s="68"/>
      <c r="N243" s="68"/>
      <c r="O243" s="68"/>
      <c r="P243" s="68"/>
      <c r="Q243" s="68"/>
      <c r="R243" s="68"/>
      <c r="S243" s="68"/>
      <c r="T243" s="68"/>
      <c r="U243" s="68"/>
      <c r="V243" s="68"/>
      <c r="W243" s="68"/>
      <c r="X243" s="68"/>
      <c r="Y243" s="68"/>
      <c r="Z243" s="68"/>
      <c r="AA243" s="68"/>
      <c r="AB243" s="68"/>
      <c r="AC243" s="68"/>
      <c r="AD243" s="68"/>
      <c r="AE243" s="68"/>
      <c r="AF243" s="68"/>
      <c r="AG243" s="68"/>
      <c r="AH243" s="68"/>
      <c r="AI243" s="68"/>
      <c r="AJ243" s="68"/>
      <c r="AK243" s="68"/>
      <c r="AL243" s="68"/>
      <c r="AM243" s="68"/>
      <c r="AN243" s="68"/>
      <c r="AO243" s="68"/>
      <c r="AP243" s="68"/>
      <c r="AQ243" s="68"/>
      <c r="AR243" s="68"/>
      <c r="AS243" s="68"/>
      <c r="AT243" s="68"/>
      <c r="AU243" s="68"/>
      <c r="AV243" s="68"/>
      <c r="AW243" s="68"/>
      <c r="AX243" s="68"/>
      <c r="AY243" s="68"/>
      <c r="AZ243" s="68"/>
      <c r="BA243" s="68"/>
      <c r="BB243" s="68"/>
      <c r="BC243" s="68"/>
      <c r="BD243" s="68"/>
      <c r="BE243" s="68"/>
      <c r="BF243" s="68"/>
      <c r="BG243" s="68"/>
      <c r="BH243" s="68"/>
      <c r="BI243" s="68"/>
    </row>
    <row r="244" spans="2:61">
      <c r="B244" s="68"/>
      <c r="K244" s="68"/>
      <c r="L244" s="68"/>
      <c r="M244" s="68"/>
      <c r="N244" s="68"/>
      <c r="O244" s="68"/>
      <c r="P244" s="68"/>
      <c r="Q244" s="68"/>
      <c r="R244" s="68"/>
      <c r="S244" s="68"/>
      <c r="T244" s="68"/>
      <c r="U244" s="68"/>
      <c r="V244" s="68"/>
      <c r="W244" s="68"/>
      <c r="X244" s="68"/>
      <c r="Y244" s="68"/>
      <c r="Z244" s="68"/>
      <c r="AA244" s="68"/>
      <c r="AB244" s="68"/>
      <c r="AC244" s="68"/>
      <c r="AD244" s="68"/>
      <c r="AE244" s="68"/>
      <c r="AF244" s="68"/>
      <c r="AG244" s="68"/>
      <c r="AH244" s="68"/>
      <c r="AI244" s="68"/>
      <c r="AJ244" s="68"/>
      <c r="AK244" s="68"/>
      <c r="AL244" s="68"/>
      <c r="AM244" s="68"/>
      <c r="AN244" s="68"/>
      <c r="AO244" s="68"/>
      <c r="AP244" s="68"/>
      <c r="AQ244" s="68"/>
      <c r="AR244" s="68"/>
      <c r="AS244" s="68"/>
      <c r="AT244" s="68"/>
      <c r="AU244" s="68"/>
      <c r="AV244" s="68"/>
      <c r="AW244" s="68"/>
      <c r="AX244" s="68"/>
      <c r="AY244" s="68"/>
      <c r="AZ244" s="68"/>
      <c r="BA244" s="68"/>
      <c r="BB244" s="68"/>
      <c r="BC244" s="68"/>
      <c r="BD244" s="68"/>
      <c r="BE244" s="68"/>
      <c r="BF244" s="68"/>
      <c r="BG244" s="68"/>
      <c r="BH244" s="68"/>
      <c r="BI244" s="68"/>
    </row>
    <row r="245" spans="2:61">
      <c r="B245" s="68"/>
      <c r="K245" s="68"/>
      <c r="L245" s="68"/>
      <c r="M245" s="68"/>
      <c r="N245" s="68"/>
      <c r="O245" s="68"/>
      <c r="P245" s="68"/>
      <c r="Q245" s="68"/>
      <c r="R245" s="68"/>
      <c r="S245" s="68"/>
      <c r="T245" s="68"/>
      <c r="U245" s="68"/>
      <c r="V245" s="68"/>
      <c r="W245" s="68"/>
      <c r="X245" s="68"/>
      <c r="Y245" s="68"/>
      <c r="Z245" s="68"/>
      <c r="AA245" s="68"/>
      <c r="AB245" s="68"/>
      <c r="AC245" s="68"/>
      <c r="AD245" s="68"/>
      <c r="AE245" s="68"/>
      <c r="AF245" s="68"/>
      <c r="AG245" s="68"/>
      <c r="AH245" s="68"/>
      <c r="AI245" s="68"/>
      <c r="AJ245" s="68"/>
      <c r="AK245" s="68"/>
      <c r="AL245" s="68"/>
      <c r="AM245" s="68"/>
      <c r="AN245" s="68"/>
      <c r="AO245" s="68"/>
      <c r="AP245" s="68"/>
      <c r="AQ245" s="68"/>
      <c r="AR245" s="68"/>
      <c r="AS245" s="68"/>
      <c r="AT245" s="68"/>
      <c r="AU245" s="68"/>
      <c r="AV245" s="68"/>
      <c r="AW245" s="68"/>
      <c r="AX245" s="68"/>
      <c r="AY245" s="68"/>
      <c r="AZ245" s="68"/>
      <c r="BA245" s="68"/>
      <c r="BB245" s="68"/>
      <c r="BC245" s="68"/>
      <c r="BD245" s="68"/>
      <c r="BE245" s="68"/>
      <c r="BF245" s="68"/>
      <c r="BG245" s="68"/>
      <c r="BH245" s="68"/>
      <c r="BI245" s="68"/>
    </row>
    <row r="246" spans="2:61">
      <c r="B246" s="68"/>
      <c r="K246" s="68"/>
      <c r="L246" s="68"/>
      <c r="M246" s="68"/>
      <c r="N246" s="68"/>
      <c r="O246" s="68"/>
      <c r="P246" s="68"/>
      <c r="Q246" s="68"/>
      <c r="R246" s="68"/>
      <c r="S246" s="68"/>
      <c r="T246" s="68"/>
      <c r="U246" s="68"/>
      <c r="V246" s="68"/>
      <c r="W246" s="68"/>
      <c r="X246" s="68"/>
      <c r="Y246" s="68"/>
      <c r="Z246" s="68"/>
      <c r="AA246" s="68"/>
      <c r="AB246" s="68"/>
      <c r="AC246" s="68"/>
      <c r="AD246" s="68"/>
      <c r="AE246" s="68"/>
      <c r="AF246" s="68"/>
      <c r="AG246" s="68"/>
      <c r="AH246" s="68"/>
      <c r="AI246" s="68"/>
      <c r="AJ246" s="68"/>
      <c r="AK246" s="68"/>
      <c r="AL246" s="68"/>
      <c r="AM246" s="68"/>
      <c r="AN246" s="68"/>
      <c r="AO246" s="68"/>
      <c r="AP246" s="68"/>
      <c r="AQ246" s="68"/>
      <c r="AR246" s="68"/>
      <c r="AS246" s="68"/>
      <c r="AT246" s="68"/>
      <c r="AU246" s="68"/>
      <c r="AV246" s="68"/>
      <c r="AW246" s="68"/>
      <c r="AX246" s="68"/>
      <c r="AY246" s="68"/>
      <c r="AZ246" s="68"/>
      <c r="BA246" s="68"/>
      <c r="BB246" s="68"/>
      <c r="BC246" s="68"/>
      <c r="BD246" s="68"/>
      <c r="BE246" s="68"/>
      <c r="BF246" s="68"/>
      <c r="BG246" s="68"/>
      <c r="BH246" s="68"/>
      <c r="BI246" s="68"/>
    </row>
    <row r="247" spans="2:61">
      <c r="B247" s="68"/>
      <c r="K247" s="68"/>
      <c r="L247" s="68"/>
      <c r="M247" s="68"/>
      <c r="N247" s="68"/>
      <c r="O247" s="68"/>
      <c r="P247" s="68"/>
      <c r="Q247" s="68"/>
      <c r="R247" s="68"/>
      <c r="S247" s="68"/>
      <c r="T247" s="68"/>
      <c r="U247" s="68"/>
      <c r="V247" s="68"/>
      <c r="W247" s="68"/>
      <c r="X247" s="68"/>
      <c r="Y247" s="68"/>
      <c r="Z247" s="68"/>
      <c r="AA247" s="68"/>
      <c r="AB247" s="68"/>
      <c r="AC247" s="68"/>
      <c r="AD247" s="68"/>
      <c r="AE247" s="68"/>
      <c r="AF247" s="68"/>
      <c r="AG247" s="68"/>
      <c r="AH247" s="68"/>
      <c r="AI247" s="68"/>
      <c r="AJ247" s="68"/>
      <c r="AK247" s="68"/>
      <c r="AL247" s="68"/>
      <c r="AM247" s="68"/>
      <c r="AN247" s="68"/>
      <c r="AO247" s="68"/>
      <c r="AP247" s="68"/>
      <c r="AQ247" s="68"/>
      <c r="AR247" s="68"/>
      <c r="AS247" s="68"/>
      <c r="AT247" s="68"/>
      <c r="AU247" s="68"/>
      <c r="AV247" s="68"/>
      <c r="AW247" s="68"/>
      <c r="AX247" s="68"/>
      <c r="AY247" s="68"/>
      <c r="AZ247" s="68"/>
      <c r="BA247" s="68"/>
      <c r="BB247" s="68"/>
      <c r="BC247" s="68"/>
      <c r="BD247" s="68"/>
      <c r="BE247" s="68"/>
      <c r="BF247" s="68"/>
      <c r="BG247" s="68"/>
      <c r="BH247" s="68"/>
      <c r="BI247" s="68"/>
    </row>
    <row r="248" spans="2:61">
      <c r="B248" s="68"/>
      <c r="K248" s="68"/>
      <c r="L248" s="68"/>
      <c r="M248" s="68"/>
      <c r="N248" s="68"/>
      <c r="O248" s="68"/>
      <c r="P248" s="68"/>
      <c r="Q248" s="68"/>
      <c r="R248" s="68"/>
      <c r="S248" s="68"/>
      <c r="T248" s="68"/>
      <c r="U248" s="68"/>
      <c r="V248" s="68"/>
      <c r="W248" s="68"/>
      <c r="X248" s="68"/>
      <c r="Y248" s="68"/>
      <c r="Z248" s="68"/>
      <c r="AA248" s="68"/>
      <c r="AB248" s="68"/>
      <c r="AC248" s="68"/>
      <c r="AD248" s="68"/>
      <c r="AE248" s="68"/>
      <c r="AF248" s="68"/>
      <c r="AG248" s="68"/>
      <c r="AH248" s="68"/>
      <c r="AI248" s="68"/>
      <c r="AJ248" s="68"/>
      <c r="AK248" s="68"/>
      <c r="AL248" s="68"/>
      <c r="AM248" s="68"/>
      <c r="AN248" s="68"/>
      <c r="AO248" s="68"/>
      <c r="AP248" s="68"/>
      <c r="AQ248" s="68"/>
      <c r="AR248" s="68"/>
      <c r="AS248" s="68"/>
      <c r="AT248" s="68"/>
      <c r="AU248" s="68"/>
      <c r="AV248" s="68"/>
      <c r="AW248" s="68"/>
      <c r="AX248" s="68"/>
      <c r="AY248" s="68"/>
      <c r="AZ248" s="68"/>
      <c r="BA248" s="68"/>
      <c r="BB248" s="68"/>
      <c r="BC248" s="68"/>
      <c r="BD248" s="68"/>
      <c r="BE248" s="68"/>
      <c r="BF248" s="68"/>
      <c r="BG248" s="68"/>
      <c r="BH248" s="68"/>
      <c r="BI248" s="68"/>
    </row>
    <row r="249" spans="2:61">
      <c r="B249" s="68"/>
      <c r="K249" s="68"/>
      <c r="L249" s="68"/>
      <c r="M249" s="68"/>
      <c r="N249" s="68"/>
      <c r="O249" s="68"/>
      <c r="P249" s="68"/>
      <c r="Q249" s="68"/>
      <c r="R249" s="68"/>
      <c r="S249" s="68"/>
      <c r="T249" s="68"/>
      <c r="U249" s="68"/>
      <c r="V249" s="68"/>
      <c r="W249" s="68"/>
      <c r="X249" s="68"/>
      <c r="Y249" s="68"/>
      <c r="Z249" s="68"/>
      <c r="AA249" s="68"/>
      <c r="AB249" s="68"/>
      <c r="AC249" s="68"/>
      <c r="AD249" s="68"/>
      <c r="AE249" s="68"/>
      <c r="AF249" s="68"/>
      <c r="AG249" s="68"/>
      <c r="AH249" s="68"/>
      <c r="AI249" s="68"/>
      <c r="AJ249" s="68"/>
      <c r="AK249" s="68"/>
      <c r="AL249" s="68"/>
      <c r="AM249" s="68"/>
      <c r="AN249" s="68"/>
      <c r="AO249" s="68"/>
      <c r="AP249" s="68"/>
      <c r="AQ249" s="68"/>
      <c r="AR249" s="68"/>
      <c r="AS249" s="68"/>
      <c r="AT249" s="68"/>
      <c r="AU249" s="68"/>
      <c r="AV249" s="68"/>
      <c r="AW249" s="68"/>
      <c r="AX249" s="68"/>
      <c r="AY249" s="68"/>
      <c r="AZ249" s="68"/>
      <c r="BA249" s="68"/>
      <c r="BB249" s="68"/>
      <c r="BC249" s="68"/>
      <c r="BD249" s="68"/>
      <c r="BE249" s="68"/>
      <c r="BF249" s="68"/>
      <c r="BG249" s="68"/>
      <c r="BH249" s="68"/>
      <c r="BI249" s="68"/>
    </row>
    <row r="250" spans="2:61">
      <c r="B250" s="68"/>
      <c r="K250" s="68"/>
      <c r="L250" s="68"/>
      <c r="M250" s="68"/>
      <c r="N250" s="68"/>
      <c r="O250" s="68"/>
      <c r="P250" s="68"/>
      <c r="Q250" s="68"/>
      <c r="R250" s="68"/>
      <c r="S250" s="68"/>
      <c r="T250" s="68"/>
      <c r="U250" s="68"/>
      <c r="V250" s="68"/>
      <c r="W250" s="68"/>
      <c r="X250" s="68"/>
      <c r="Y250" s="68"/>
      <c r="Z250" s="68"/>
      <c r="AA250" s="68"/>
      <c r="AB250" s="68"/>
      <c r="AC250" s="68"/>
      <c r="AD250" s="68"/>
      <c r="AE250" s="68"/>
      <c r="AF250" s="68"/>
      <c r="AG250" s="68"/>
      <c r="AH250" s="68"/>
      <c r="AI250" s="68"/>
      <c r="AJ250" s="68"/>
      <c r="AK250" s="68"/>
      <c r="AL250" s="68"/>
      <c r="AM250" s="68"/>
      <c r="AN250" s="68"/>
      <c r="AO250" s="68"/>
      <c r="AP250" s="68"/>
      <c r="AQ250" s="68"/>
      <c r="AR250" s="68"/>
      <c r="AS250" s="68"/>
      <c r="AT250" s="68"/>
      <c r="AU250" s="68"/>
      <c r="AV250" s="68"/>
      <c r="AW250" s="68"/>
      <c r="AX250" s="68"/>
      <c r="AY250" s="68"/>
      <c r="AZ250" s="68"/>
      <c r="BA250" s="68"/>
      <c r="BB250" s="68"/>
      <c r="BC250" s="68"/>
      <c r="BD250" s="68"/>
      <c r="BE250" s="68"/>
      <c r="BF250" s="68"/>
      <c r="BG250" s="68"/>
      <c r="BH250" s="68"/>
      <c r="BI250" s="68"/>
    </row>
    <row r="251" spans="2:61">
      <c r="B251" s="68"/>
    </row>
    <row r="252" spans="2:61">
      <c r="B252" s="68"/>
    </row>
    <row r="253" spans="2:61">
      <c r="B253" s="68"/>
    </row>
    <row r="254" spans="2:61">
      <c r="B254" s="68"/>
    </row>
  </sheetData>
  <mergeCells count="24">
    <mergeCell ref="C2:J5"/>
    <mergeCell ref="K2:AN5"/>
    <mergeCell ref="AO2:AU2"/>
    <mergeCell ref="AO3:AU3"/>
    <mergeCell ref="AO4:AU4"/>
    <mergeCell ref="AO5:AU5"/>
    <mergeCell ref="AI62:AN67"/>
    <mergeCell ref="AP22:AU31"/>
    <mergeCell ref="F22:J31"/>
    <mergeCell ref="AP12:AU21"/>
    <mergeCell ref="C8:J10"/>
    <mergeCell ref="K8:AN10"/>
    <mergeCell ref="C12:E61"/>
    <mergeCell ref="F12:J21"/>
    <mergeCell ref="F52:J61"/>
    <mergeCell ref="AP42:AU51"/>
    <mergeCell ref="F42:J51"/>
    <mergeCell ref="AP32:AU41"/>
    <mergeCell ref="F32:J41"/>
    <mergeCell ref="A8:B8"/>
    <mergeCell ref="K62:P67"/>
    <mergeCell ref="Q62:V67"/>
    <mergeCell ref="W62:AB67"/>
    <mergeCell ref="AC62:AH6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tabColor rgb="FF26783C"/>
    <pageSetUpPr fitToPage="1"/>
  </sheetPr>
  <dimension ref="A1:F25"/>
  <sheetViews>
    <sheetView workbookViewId="0">
      <selection activeCell="G7" sqref="G7"/>
    </sheetView>
  </sheetViews>
  <sheetFormatPr baseColWidth="10" defaultColWidth="11.5" defaultRowHeight="15"/>
  <cols>
    <col min="1" max="1" width="10.33203125" style="116" customWidth="1"/>
    <col min="2" max="2" width="32.5" style="116" customWidth="1"/>
    <col min="3" max="3" width="77" style="116" customWidth="1"/>
    <col min="4" max="4" width="21" style="116" customWidth="1"/>
    <col min="5" max="5" width="23.6640625" style="116" customWidth="1"/>
    <col min="6" max="16384" width="11.5" style="116"/>
  </cols>
  <sheetData>
    <row r="1" spans="1:6" ht="8" customHeight="1"/>
    <row r="2" spans="1:6" ht="15.75" customHeight="1">
      <c r="B2" s="489" t="s">
        <v>268</v>
      </c>
      <c r="C2" s="492" t="s">
        <v>1</v>
      </c>
      <c r="D2" s="224"/>
      <c r="E2" s="191" t="s">
        <v>2</v>
      </c>
      <c r="F2" s="117"/>
    </row>
    <row r="3" spans="1:6" ht="15.75" customHeight="1">
      <c r="B3" s="490"/>
      <c r="C3" s="493"/>
      <c r="D3" s="227"/>
      <c r="E3" s="192" t="s">
        <v>3</v>
      </c>
      <c r="F3" s="117"/>
    </row>
    <row r="4" spans="1:6" ht="16.5" customHeight="1">
      <c r="B4" s="490"/>
      <c r="C4" s="493"/>
      <c r="D4" s="227"/>
      <c r="E4" s="192" t="s">
        <v>4</v>
      </c>
      <c r="F4" s="117"/>
    </row>
    <row r="5" spans="1:6" ht="15" customHeight="1">
      <c r="B5" s="491"/>
      <c r="C5" s="494"/>
      <c r="D5" s="230"/>
      <c r="E5" s="193" t="s">
        <v>5</v>
      </c>
      <c r="F5" s="117"/>
    </row>
    <row r="7" spans="1:6">
      <c r="A7" s="495" t="s">
        <v>9</v>
      </c>
      <c r="B7" s="134" t="s">
        <v>269</v>
      </c>
      <c r="C7" s="135" t="s">
        <v>270</v>
      </c>
      <c r="D7" s="135" t="s">
        <v>271</v>
      </c>
      <c r="E7" s="135" t="s">
        <v>272</v>
      </c>
    </row>
    <row r="8" spans="1:6" ht="30">
      <c r="A8" s="495"/>
      <c r="B8" s="118">
        <v>45687</v>
      </c>
      <c r="C8" s="188" t="s">
        <v>273</v>
      </c>
      <c r="D8" s="120" t="s">
        <v>274</v>
      </c>
      <c r="E8" s="120" t="s">
        <v>275</v>
      </c>
    </row>
    <row r="9" spans="1:6" ht="161.5" customHeight="1">
      <c r="A9" s="495"/>
      <c r="B9" s="118">
        <v>45777</v>
      </c>
      <c r="C9" s="188" t="s">
        <v>276</v>
      </c>
      <c r="D9" s="120" t="s">
        <v>274</v>
      </c>
      <c r="E9" s="120" t="s">
        <v>275</v>
      </c>
    </row>
    <row r="10" spans="1:6">
      <c r="A10" s="495"/>
      <c r="B10" s="118"/>
      <c r="C10" s="119"/>
      <c r="D10" s="120"/>
      <c r="E10" s="120"/>
    </row>
    <row r="11" spans="1:6">
      <c r="A11" s="495"/>
      <c r="B11" s="118"/>
      <c r="C11" s="119"/>
      <c r="D11" s="120"/>
      <c r="E11" s="120"/>
    </row>
    <row r="12" spans="1:6">
      <c r="A12" s="495"/>
      <c r="B12" s="118"/>
      <c r="C12" s="119"/>
      <c r="D12" s="120"/>
      <c r="E12" s="120"/>
    </row>
    <row r="13" spans="1:6">
      <c r="A13" s="136"/>
      <c r="B13" s="118"/>
      <c r="C13" s="119"/>
      <c r="D13" s="120"/>
      <c r="E13" s="120"/>
    </row>
    <row r="14" spans="1:6">
      <c r="A14" s="136"/>
      <c r="B14" s="118"/>
      <c r="C14" s="119"/>
      <c r="D14" s="120"/>
      <c r="E14" s="120"/>
    </row>
    <row r="15" spans="1:6">
      <c r="A15" s="136"/>
      <c r="B15" s="118"/>
      <c r="C15" s="119"/>
      <c r="D15" s="120"/>
      <c r="E15" s="120"/>
    </row>
    <row r="16" spans="1:6">
      <c r="A16" s="136"/>
      <c r="B16" s="118"/>
      <c r="C16" s="119"/>
      <c r="D16" s="120"/>
      <c r="E16" s="120"/>
    </row>
    <row r="17" spans="1:5">
      <c r="A17" s="136"/>
      <c r="B17" s="118"/>
      <c r="C17" s="119"/>
      <c r="D17" s="120"/>
      <c r="E17" s="120"/>
    </row>
    <row r="18" spans="1:5">
      <c r="A18" s="136"/>
      <c r="B18" s="118"/>
      <c r="C18" s="119"/>
      <c r="D18" s="120"/>
      <c r="E18" s="120"/>
    </row>
    <row r="19" spans="1:5">
      <c r="B19" s="118"/>
      <c r="C19" s="121"/>
      <c r="D19" s="120"/>
      <c r="E19" s="120"/>
    </row>
    <row r="20" spans="1:5">
      <c r="B20" s="118"/>
      <c r="C20" s="119"/>
      <c r="D20" s="120"/>
      <c r="E20" s="120"/>
    </row>
    <row r="25" spans="1:5">
      <c r="C25" s="122"/>
    </row>
  </sheetData>
  <mergeCells count="3">
    <mergeCell ref="B2:B5"/>
    <mergeCell ref="C2:D5"/>
    <mergeCell ref="A7:A12"/>
  </mergeCells>
  <pageMargins left="0.7" right="0.7" top="0.75" bottom="0.75" header="0.3" footer="0.3"/>
  <pageSetup scale="6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
  <sheetViews>
    <sheetView workbookViewId="0">
      <selection activeCell="C28" sqref="C28"/>
    </sheetView>
  </sheetViews>
  <sheetFormatPr baseColWidth="10" defaultColWidth="11.5" defaultRowHeight="1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B1:J45"/>
  <sheetViews>
    <sheetView topLeftCell="A2" zoomScale="80" zoomScaleNormal="80" workbookViewId="0">
      <selection activeCell="H20" sqref="H20"/>
    </sheetView>
  </sheetViews>
  <sheetFormatPr baseColWidth="10" defaultColWidth="11.5" defaultRowHeight="15"/>
  <cols>
    <col min="1" max="1" width="2.6640625" style="68" customWidth="1"/>
    <col min="2" max="3" width="24.6640625" style="68" customWidth="1"/>
    <col min="4" max="4" width="16" style="68" customWidth="1"/>
    <col min="5" max="5" width="24.6640625" style="68" customWidth="1"/>
    <col min="6" max="6" width="27.6640625" style="68" customWidth="1"/>
    <col min="7" max="8" width="24.6640625" style="68" customWidth="1"/>
    <col min="9" max="10" width="11.5" style="140"/>
    <col min="11" max="16384" width="11.5" style="68"/>
  </cols>
  <sheetData>
    <row r="1" spans="2:10" ht="16" thickBot="1"/>
    <row r="2" spans="2:10" ht="18" customHeight="1">
      <c r="B2" s="496" t="s">
        <v>277</v>
      </c>
      <c r="C2" s="497"/>
      <c r="D2" s="497"/>
      <c r="E2" s="497"/>
      <c r="F2" s="497"/>
      <c r="G2" s="497"/>
      <c r="H2" s="498"/>
      <c r="J2" s="141" t="s">
        <v>278</v>
      </c>
    </row>
    <row r="3" spans="2:10" ht="20">
      <c r="B3" s="69"/>
      <c r="C3" s="70"/>
      <c r="D3" s="70"/>
      <c r="E3" s="70"/>
      <c r="F3" s="70"/>
      <c r="G3" s="70"/>
      <c r="H3" s="71"/>
      <c r="J3" s="141"/>
    </row>
    <row r="4" spans="2:10" ht="63" customHeight="1">
      <c r="B4" s="499" t="s">
        <v>279</v>
      </c>
      <c r="C4" s="500"/>
      <c r="D4" s="500"/>
      <c r="E4" s="500"/>
      <c r="F4" s="500"/>
      <c r="G4" s="500"/>
      <c r="H4" s="501"/>
    </row>
    <row r="5" spans="2:10" ht="63" customHeight="1">
      <c r="B5" s="502"/>
      <c r="C5" s="503"/>
      <c r="D5" s="503"/>
      <c r="E5" s="503"/>
      <c r="F5" s="503"/>
      <c r="G5" s="503"/>
      <c r="H5" s="504"/>
    </row>
    <row r="6" spans="2:10">
      <c r="B6" s="505" t="s">
        <v>280</v>
      </c>
      <c r="C6" s="506"/>
      <c r="D6" s="506"/>
      <c r="E6" s="506"/>
      <c r="F6" s="506"/>
      <c r="G6" s="506"/>
      <c r="H6" s="507"/>
    </row>
    <row r="7" spans="2:10" ht="95.25" customHeight="1">
      <c r="B7" s="515" t="s">
        <v>281</v>
      </c>
      <c r="C7" s="516"/>
      <c r="D7" s="516"/>
      <c r="E7" s="516"/>
      <c r="F7" s="516"/>
      <c r="G7" s="516"/>
      <c r="H7" s="517"/>
    </row>
    <row r="8" spans="2:10">
      <c r="B8" s="101"/>
      <c r="C8" s="102"/>
      <c r="D8" s="102"/>
      <c r="E8" s="102"/>
      <c r="F8" s="102"/>
      <c r="G8" s="102"/>
      <c r="H8" s="103"/>
    </row>
    <row r="9" spans="2:10" ht="16.5" customHeight="1">
      <c r="B9" s="508" t="s">
        <v>282</v>
      </c>
      <c r="C9" s="509"/>
      <c r="D9" s="509"/>
      <c r="E9" s="509"/>
      <c r="F9" s="509"/>
      <c r="G9" s="509"/>
      <c r="H9" s="510"/>
    </row>
    <row r="10" spans="2:10" ht="44.25" customHeight="1">
      <c r="B10" s="508"/>
      <c r="C10" s="509"/>
      <c r="D10" s="509"/>
      <c r="E10" s="509"/>
      <c r="F10" s="509"/>
      <c r="G10" s="509"/>
      <c r="H10" s="510"/>
    </row>
    <row r="11" spans="2:10" ht="16" thickBot="1">
      <c r="B11" s="90"/>
      <c r="C11" s="93"/>
      <c r="D11" s="98"/>
      <c r="E11" s="99"/>
      <c r="F11" s="99"/>
      <c r="G11" s="100"/>
      <c r="H11" s="94"/>
    </row>
    <row r="12" spans="2:10" ht="16" thickTop="1">
      <c r="B12" s="90"/>
      <c r="C12" s="511" t="s">
        <v>283</v>
      </c>
      <c r="D12" s="512"/>
      <c r="E12" s="513" t="s">
        <v>284</v>
      </c>
      <c r="F12" s="514"/>
      <c r="G12" s="93"/>
      <c r="H12" s="94"/>
    </row>
    <row r="13" spans="2:10" ht="35.25" customHeight="1">
      <c r="B13" s="90"/>
      <c r="C13" s="518" t="s">
        <v>285</v>
      </c>
      <c r="D13" s="519"/>
      <c r="E13" s="520" t="s">
        <v>286</v>
      </c>
      <c r="F13" s="521"/>
      <c r="G13" s="93"/>
      <c r="H13" s="94"/>
    </row>
    <row r="14" spans="2:10" ht="17.25" customHeight="1">
      <c r="B14" s="90"/>
      <c r="C14" s="518" t="s">
        <v>287</v>
      </c>
      <c r="D14" s="519"/>
      <c r="E14" s="520" t="s">
        <v>288</v>
      </c>
      <c r="F14" s="521"/>
      <c r="G14" s="93"/>
      <c r="H14" s="94"/>
    </row>
    <row r="15" spans="2:10" ht="19.5" customHeight="1">
      <c r="B15" s="90"/>
      <c r="C15" s="518" t="s">
        <v>289</v>
      </c>
      <c r="D15" s="519"/>
      <c r="E15" s="520" t="s">
        <v>290</v>
      </c>
      <c r="F15" s="521"/>
      <c r="G15" s="93"/>
      <c r="H15" s="94"/>
    </row>
    <row r="16" spans="2:10" ht="69.75" customHeight="1">
      <c r="B16" s="90"/>
      <c r="C16" s="518" t="s">
        <v>291</v>
      </c>
      <c r="D16" s="519"/>
      <c r="E16" s="520" t="s">
        <v>292</v>
      </c>
      <c r="F16" s="521"/>
      <c r="G16" s="93"/>
      <c r="H16" s="94"/>
    </row>
    <row r="17" spans="2:8" ht="34.5" customHeight="1">
      <c r="B17" s="90"/>
      <c r="C17" s="522" t="s">
        <v>56</v>
      </c>
      <c r="D17" s="523"/>
      <c r="E17" s="524" t="s">
        <v>293</v>
      </c>
      <c r="F17" s="525"/>
      <c r="G17" s="93"/>
      <c r="H17" s="94"/>
    </row>
    <row r="18" spans="2:8" ht="27.75" customHeight="1">
      <c r="B18" s="90"/>
      <c r="C18" s="522" t="s">
        <v>294</v>
      </c>
      <c r="D18" s="523"/>
      <c r="E18" s="524" t="s">
        <v>295</v>
      </c>
      <c r="F18" s="525"/>
      <c r="G18" s="93"/>
      <c r="H18" s="94"/>
    </row>
    <row r="19" spans="2:8" ht="28.5" customHeight="1">
      <c r="B19" s="90"/>
      <c r="C19" s="522" t="s">
        <v>296</v>
      </c>
      <c r="D19" s="523"/>
      <c r="E19" s="524" t="s">
        <v>297</v>
      </c>
      <c r="F19" s="525"/>
      <c r="G19" s="93"/>
      <c r="H19" s="94"/>
    </row>
    <row r="20" spans="2:8" ht="72.75" customHeight="1">
      <c r="B20" s="90"/>
      <c r="C20" s="522" t="s">
        <v>298</v>
      </c>
      <c r="D20" s="523"/>
      <c r="E20" s="524" t="s">
        <v>299</v>
      </c>
      <c r="F20" s="525"/>
      <c r="G20" s="93"/>
      <c r="H20" s="94"/>
    </row>
    <row r="21" spans="2:8" ht="64.5" customHeight="1">
      <c r="B21" s="90"/>
      <c r="C21" s="522" t="s">
        <v>61</v>
      </c>
      <c r="D21" s="523"/>
      <c r="E21" s="524" t="s">
        <v>300</v>
      </c>
      <c r="F21" s="525"/>
      <c r="G21" s="93"/>
      <c r="H21" s="94"/>
    </row>
    <row r="22" spans="2:8" ht="71.25" customHeight="1">
      <c r="B22" s="90"/>
      <c r="C22" s="522" t="s">
        <v>301</v>
      </c>
      <c r="D22" s="523"/>
      <c r="E22" s="524" t="s">
        <v>302</v>
      </c>
      <c r="F22" s="525"/>
      <c r="G22" s="93"/>
      <c r="H22" s="94"/>
    </row>
    <row r="23" spans="2:8" ht="55.5" customHeight="1">
      <c r="B23" s="90"/>
      <c r="C23" s="529" t="s">
        <v>303</v>
      </c>
      <c r="D23" s="530"/>
      <c r="E23" s="524" t="s">
        <v>304</v>
      </c>
      <c r="F23" s="525"/>
      <c r="G23" s="93"/>
      <c r="H23" s="94"/>
    </row>
    <row r="24" spans="2:8" ht="42" customHeight="1">
      <c r="B24" s="90"/>
      <c r="C24" s="529" t="s">
        <v>68</v>
      </c>
      <c r="D24" s="530"/>
      <c r="E24" s="524" t="s">
        <v>305</v>
      </c>
      <c r="F24" s="525"/>
      <c r="G24" s="93"/>
      <c r="H24" s="94"/>
    </row>
    <row r="25" spans="2:8" ht="59.25" customHeight="1">
      <c r="B25" s="90"/>
      <c r="C25" s="529" t="s">
        <v>306</v>
      </c>
      <c r="D25" s="530"/>
      <c r="E25" s="524" t="s">
        <v>307</v>
      </c>
      <c r="F25" s="525"/>
      <c r="G25" s="93"/>
      <c r="H25" s="94"/>
    </row>
    <row r="26" spans="2:8" ht="23.25" customHeight="1">
      <c r="B26" s="90"/>
      <c r="C26" s="529" t="s">
        <v>72</v>
      </c>
      <c r="D26" s="530"/>
      <c r="E26" s="524" t="s">
        <v>308</v>
      </c>
      <c r="F26" s="525"/>
      <c r="G26" s="93"/>
      <c r="H26" s="94"/>
    </row>
    <row r="27" spans="2:8" ht="30.75" customHeight="1">
      <c r="B27" s="90"/>
      <c r="C27" s="529" t="s">
        <v>309</v>
      </c>
      <c r="D27" s="530"/>
      <c r="E27" s="524" t="s">
        <v>310</v>
      </c>
      <c r="F27" s="525"/>
      <c r="G27" s="93"/>
      <c r="H27" s="94"/>
    </row>
    <row r="28" spans="2:8" ht="35.25" customHeight="1">
      <c r="B28" s="90"/>
      <c r="C28" s="529" t="s">
        <v>311</v>
      </c>
      <c r="D28" s="530"/>
      <c r="E28" s="524" t="s">
        <v>312</v>
      </c>
      <c r="F28" s="525"/>
      <c r="G28" s="93"/>
      <c r="H28" s="94"/>
    </row>
    <row r="29" spans="2:8" ht="33" customHeight="1">
      <c r="B29" s="90"/>
      <c r="C29" s="529" t="s">
        <v>311</v>
      </c>
      <c r="D29" s="530"/>
      <c r="E29" s="524" t="s">
        <v>312</v>
      </c>
      <c r="F29" s="525"/>
      <c r="G29" s="93"/>
      <c r="H29" s="94"/>
    </row>
    <row r="30" spans="2:8" ht="30" customHeight="1">
      <c r="B30" s="90"/>
      <c r="C30" s="529" t="s">
        <v>313</v>
      </c>
      <c r="D30" s="530"/>
      <c r="E30" s="524" t="s">
        <v>314</v>
      </c>
      <c r="F30" s="525"/>
      <c r="G30" s="93"/>
      <c r="H30" s="94"/>
    </row>
    <row r="31" spans="2:8" ht="35.25" customHeight="1">
      <c r="B31" s="90"/>
      <c r="C31" s="529" t="s">
        <v>315</v>
      </c>
      <c r="D31" s="530"/>
      <c r="E31" s="524" t="s">
        <v>316</v>
      </c>
      <c r="F31" s="525"/>
      <c r="G31" s="93"/>
      <c r="H31" s="94"/>
    </row>
    <row r="32" spans="2:8" ht="31.5" customHeight="1">
      <c r="B32" s="90"/>
      <c r="C32" s="529" t="s">
        <v>317</v>
      </c>
      <c r="D32" s="530"/>
      <c r="E32" s="524" t="s">
        <v>318</v>
      </c>
      <c r="F32" s="525"/>
      <c r="G32" s="93"/>
      <c r="H32" s="94"/>
    </row>
    <row r="33" spans="2:8" ht="35.25" customHeight="1">
      <c r="B33" s="90"/>
      <c r="C33" s="529" t="s">
        <v>319</v>
      </c>
      <c r="D33" s="530"/>
      <c r="E33" s="524" t="s">
        <v>320</v>
      </c>
      <c r="F33" s="525"/>
      <c r="G33" s="93"/>
      <c r="H33" s="94"/>
    </row>
    <row r="34" spans="2:8" ht="59.25" customHeight="1">
      <c r="B34" s="90"/>
      <c r="C34" s="529" t="s">
        <v>321</v>
      </c>
      <c r="D34" s="530"/>
      <c r="E34" s="524" t="s">
        <v>322</v>
      </c>
      <c r="F34" s="525"/>
      <c r="G34" s="93"/>
      <c r="H34" s="94"/>
    </row>
    <row r="35" spans="2:8" ht="29.25" customHeight="1">
      <c r="B35" s="90"/>
      <c r="C35" s="529" t="s">
        <v>78</v>
      </c>
      <c r="D35" s="530"/>
      <c r="E35" s="524" t="s">
        <v>323</v>
      </c>
      <c r="F35" s="525"/>
      <c r="G35" s="93"/>
      <c r="H35" s="94"/>
    </row>
    <row r="36" spans="2:8" ht="82.5" customHeight="1">
      <c r="B36" s="90"/>
      <c r="C36" s="529" t="s">
        <v>324</v>
      </c>
      <c r="D36" s="530"/>
      <c r="E36" s="524" t="s">
        <v>325</v>
      </c>
      <c r="F36" s="525"/>
      <c r="G36" s="93"/>
      <c r="H36" s="94"/>
    </row>
    <row r="37" spans="2:8" ht="46.5" customHeight="1">
      <c r="B37" s="90"/>
      <c r="C37" s="529" t="s">
        <v>326</v>
      </c>
      <c r="D37" s="530"/>
      <c r="E37" s="524" t="s">
        <v>327</v>
      </c>
      <c r="F37" s="525"/>
      <c r="G37" s="93"/>
      <c r="H37" s="94"/>
    </row>
    <row r="38" spans="2:8" ht="6.75" customHeight="1" thickBot="1">
      <c r="B38" s="90"/>
      <c r="C38" s="531"/>
      <c r="D38" s="532"/>
      <c r="E38" s="533"/>
      <c r="F38" s="534"/>
      <c r="G38" s="93"/>
      <c r="H38" s="94"/>
    </row>
    <row r="39" spans="2:8" ht="16" thickTop="1">
      <c r="B39" s="90"/>
      <c r="C39" s="91"/>
      <c r="D39" s="91"/>
      <c r="E39" s="92"/>
      <c r="F39" s="92"/>
      <c r="G39" s="93"/>
      <c r="H39" s="94"/>
    </row>
    <row r="40" spans="2:8" ht="21" customHeight="1">
      <c r="B40" s="526" t="s">
        <v>328</v>
      </c>
      <c r="C40" s="527"/>
      <c r="D40" s="527"/>
      <c r="E40" s="527"/>
      <c r="F40" s="527"/>
      <c r="G40" s="527"/>
      <c r="H40" s="528"/>
    </row>
    <row r="41" spans="2:8" ht="20.25" customHeight="1">
      <c r="B41" s="526" t="s">
        <v>329</v>
      </c>
      <c r="C41" s="527"/>
      <c r="D41" s="527"/>
      <c r="E41" s="527"/>
      <c r="F41" s="527"/>
      <c r="G41" s="527"/>
      <c r="H41" s="528"/>
    </row>
    <row r="42" spans="2:8" ht="20.25" customHeight="1">
      <c r="B42" s="526" t="s">
        <v>330</v>
      </c>
      <c r="C42" s="527"/>
      <c r="D42" s="527"/>
      <c r="E42" s="527"/>
      <c r="F42" s="527"/>
      <c r="G42" s="527"/>
      <c r="H42" s="528"/>
    </row>
    <row r="43" spans="2:8" ht="20.25" customHeight="1">
      <c r="B43" s="526" t="s">
        <v>331</v>
      </c>
      <c r="C43" s="527"/>
      <c r="D43" s="527"/>
      <c r="E43" s="527"/>
      <c r="F43" s="527"/>
      <c r="G43" s="527"/>
      <c r="H43" s="528"/>
    </row>
    <row r="44" spans="2:8" ht="15" customHeight="1">
      <c r="B44" s="526" t="s">
        <v>332</v>
      </c>
      <c r="C44" s="527"/>
      <c r="D44" s="527"/>
      <c r="E44" s="527"/>
      <c r="F44" s="527"/>
      <c r="G44" s="527"/>
      <c r="H44" s="528"/>
    </row>
    <row r="45" spans="2:8" ht="16" thickBot="1">
      <c r="B45" s="95"/>
      <c r="C45" s="96"/>
      <c r="D45" s="96"/>
      <c r="E45" s="96"/>
      <c r="F45" s="96"/>
      <c r="G45" s="96"/>
      <c r="H45" s="97"/>
    </row>
  </sheetData>
  <mergeCells count="64">
    <mergeCell ref="E28:F28"/>
    <mergeCell ref="C28:D28"/>
    <mergeCell ref="C16:D16"/>
    <mergeCell ref="E16:F16"/>
    <mergeCell ref="C14:D14"/>
    <mergeCell ref="E14:F14"/>
    <mergeCell ref="C15:D15"/>
    <mergeCell ref="E15:F15"/>
    <mergeCell ref="E22:F22"/>
    <mergeCell ref="C22:D22"/>
    <mergeCell ref="C25:D25"/>
    <mergeCell ref="E25:F25"/>
    <mergeCell ref="B41:H41"/>
    <mergeCell ref="C38:D38"/>
    <mergeCell ref="E38:F38"/>
    <mergeCell ref="C37:D37"/>
    <mergeCell ref="E37:F37"/>
    <mergeCell ref="C33:D33"/>
    <mergeCell ref="B40:H40"/>
    <mergeCell ref="C29:D29"/>
    <mergeCell ref="E29:F29"/>
    <mergeCell ref="C30:D30"/>
    <mergeCell ref="E30:F30"/>
    <mergeCell ref="E33:F33"/>
    <mergeCell ref="C34:D34"/>
    <mergeCell ref="C35:D35"/>
    <mergeCell ref="E35:F35"/>
    <mergeCell ref="C36:D36"/>
    <mergeCell ref="E36:F36"/>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13:D13"/>
    <mergeCell ref="E13:F13"/>
    <mergeCell ref="C17:D17"/>
    <mergeCell ref="E17:F17"/>
    <mergeCell ref="C21:D21"/>
    <mergeCell ref="C18:D18"/>
    <mergeCell ref="C19:D19"/>
    <mergeCell ref="C20:D20"/>
    <mergeCell ref="E18:F18"/>
    <mergeCell ref="E19:F19"/>
    <mergeCell ref="E20:F20"/>
    <mergeCell ref="E21:F21"/>
    <mergeCell ref="B2:H2"/>
    <mergeCell ref="B4:H5"/>
    <mergeCell ref="B6:H6"/>
    <mergeCell ref="B9:H10"/>
    <mergeCell ref="C12:D12"/>
    <mergeCell ref="E12:F12"/>
    <mergeCell ref="B7:H7"/>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
  <sheetViews>
    <sheetView workbookViewId="0">
      <selection activeCell="A2" sqref="A2"/>
    </sheetView>
  </sheetViews>
  <sheetFormatPr baseColWidth="10" defaultColWidth="11.5"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D9"/>
  <sheetViews>
    <sheetView workbookViewId="0">
      <selection activeCell="K15" sqref="K15"/>
    </sheetView>
  </sheetViews>
  <sheetFormatPr baseColWidth="10" defaultColWidth="11.5" defaultRowHeight="15"/>
  <sheetData>
    <row r="1" spans="1:4">
      <c r="A1" t="s">
        <v>333</v>
      </c>
      <c r="B1" t="s">
        <v>58</v>
      </c>
      <c r="C1" t="s">
        <v>140</v>
      </c>
      <c r="D1" t="s">
        <v>141</v>
      </c>
    </row>
    <row r="2" spans="1:4">
      <c r="A2" t="s">
        <v>334</v>
      </c>
      <c r="B2" t="s">
        <v>147</v>
      </c>
      <c r="C2" t="s">
        <v>177</v>
      </c>
      <c r="D2" t="s">
        <v>150</v>
      </c>
    </row>
    <row r="3" spans="1:4">
      <c r="A3" t="s">
        <v>99</v>
      </c>
      <c r="B3" t="s">
        <v>161</v>
      </c>
      <c r="C3" t="s">
        <v>335</v>
      </c>
      <c r="D3" t="s">
        <v>164</v>
      </c>
    </row>
    <row r="4" spans="1:4">
      <c r="A4" t="s">
        <v>336</v>
      </c>
      <c r="B4" t="s">
        <v>175</v>
      </c>
      <c r="C4" t="s">
        <v>185</v>
      </c>
      <c r="D4" t="s">
        <v>178</v>
      </c>
    </row>
    <row r="5" spans="1:4">
      <c r="A5" t="s">
        <v>161</v>
      </c>
      <c r="B5" t="s">
        <v>183</v>
      </c>
      <c r="C5" t="s">
        <v>337</v>
      </c>
      <c r="D5" t="s">
        <v>102</v>
      </c>
    </row>
    <row r="6" spans="1:4">
      <c r="A6" t="s">
        <v>143</v>
      </c>
      <c r="B6" t="s">
        <v>188</v>
      </c>
      <c r="C6" t="s">
        <v>102</v>
      </c>
    </row>
    <row r="7" spans="1:4">
      <c r="A7" t="s">
        <v>338</v>
      </c>
      <c r="B7" t="s">
        <v>192</v>
      </c>
    </row>
    <row r="8" spans="1:4">
      <c r="A8" t="s">
        <v>339</v>
      </c>
    </row>
    <row r="9" spans="1:4">
      <c r="A9" t="s">
        <v>340</v>
      </c>
    </row>
  </sheetData>
  <sheetProtection algorithmName="SHA-512" hashValue="v7i/xahZG2C7t5BslLITKnVU2aeqZ2qUUc7D3ggQN7269OWOf4ZVULOvpishKqJW79vwiv5Gp2BFg470cY4dqQ==" saltValue="yCXLobWCYjK/kLc7JEpQfQ=="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
  <sheetViews>
    <sheetView workbookViewId="0"/>
  </sheetViews>
  <sheetFormatPr baseColWidth="10" defaultColWidth="11.5" defaultRowHeight="1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B1:L27"/>
  <sheetViews>
    <sheetView showGridLines="0" view="pageBreakPreview" zoomScaleNormal="100" zoomScaleSheetLayoutView="100" workbookViewId="0">
      <selection activeCell="M16" sqref="M16"/>
    </sheetView>
  </sheetViews>
  <sheetFormatPr baseColWidth="10" defaultColWidth="11.5" defaultRowHeight="15"/>
  <cols>
    <col min="1" max="1" width="2.5" style="68" customWidth="1"/>
    <col min="2" max="2" width="33.33203125" style="68" customWidth="1"/>
    <col min="3" max="4" width="11.5" style="68"/>
    <col min="5" max="5" width="5.6640625" style="68" customWidth="1"/>
    <col min="6" max="6" width="16.33203125" style="68" customWidth="1"/>
    <col min="7" max="7" width="11.5" style="68"/>
    <col min="8" max="8" width="13.6640625" style="68" customWidth="1"/>
    <col min="9" max="9" width="14.33203125" style="68" customWidth="1"/>
    <col min="10" max="10" width="14.6640625" style="68" customWidth="1"/>
    <col min="11" max="11" width="7.5" style="68" customWidth="1"/>
    <col min="12" max="12" width="2.33203125" style="68" customWidth="1"/>
    <col min="13" max="16384" width="11.5" style="68"/>
  </cols>
  <sheetData>
    <row r="1" spans="2:11" ht="6" customHeight="1" thickBot="1"/>
    <row r="2" spans="2:11" ht="15" customHeight="1">
      <c r="B2" s="535" t="s">
        <v>248</v>
      </c>
      <c r="C2" s="538" t="s">
        <v>1</v>
      </c>
      <c r="D2" s="539"/>
      <c r="E2" s="539"/>
      <c r="F2" s="539"/>
      <c r="G2" s="539"/>
      <c r="H2" s="539"/>
      <c r="I2" s="539"/>
      <c r="J2" s="265" t="s">
        <v>249</v>
      </c>
      <c r="K2" s="239"/>
    </row>
    <row r="3" spans="2:11" ht="15" customHeight="1">
      <c r="B3" s="536"/>
      <c r="C3" s="540"/>
      <c r="D3" s="541"/>
      <c r="E3" s="541"/>
      <c r="F3" s="541"/>
      <c r="G3" s="541"/>
      <c r="H3" s="541"/>
      <c r="I3" s="541"/>
      <c r="J3" s="266" t="s">
        <v>341</v>
      </c>
      <c r="K3" s="241"/>
    </row>
    <row r="4" spans="2:11" ht="15" customHeight="1">
      <c r="B4" s="536"/>
      <c r="C4" s="540"/>
      <c r="D4" s="541"/>
      <c r="E4" s="541"/>
      <c r="F4" s="541"/>
      <c r="G4" s="541"/>
      <c r="H4" s="541"/>
      <c r="I4" s="541"/>
      <c r="J4" s="266" t="s">
        <v>250</v>
      </c>
      <c r="K4" s="241" t="s">
        <v>250</v>
      </c>
    </row>
    <row r="5" spans="2:11" ht="15" customHeight="1" thickBot="1">
      <c r="B5" s="537"/>
      <c r="C5" s="542"/>
      <c r="D5" s="543"/>
      <c r="E5" s="543"/>
      <c r="F5" s="543"/>
      <c r="G5" s="543"/>
      <c r="H5" s="543"/>
      <c r="I5" s="543"/>
      <c r="J5" s="267" t="s">
        <v>5</v>
      </c>
      <c r="K5" s="243" t="s">
        <v>5</v>
      </c>
    </row>
    <row r="6" spans="2:11" ht="16" thickBot="1"/>
    <row r="7" spans="2:11" customFormat="1" ht="16" thickBot="1">
      <c r="B7" s="544" t="s">
        <v>269</v>
      </c>
      <c r="C7" s="545"/>
      <c r="D7" s="546" t="s">
        <v>342</v>
      </c>
      <c r="E7" s="547"/>
      <c r="F7" s="546" t="s">
        <v>343</v>
      </c>
      <c r="G7" s="548"/>
      <c r="H7" s="548"/>
      <c r="I7" s="548"/>
      <c r="J7" s="548"/>
      <c r="K7" s="549"/>
    </row>
    <row r="8" spans="2:11" customFormat="1" ht="18" customHeight="1" thickBot="1">
      <c r="B8" s="550"/>
      <c r="C8" s="551"/>
      <c r="D8" s="552">
        <v>1</v>
      </c>
      <c r="E8" s="553"/>
      <c r="F8" s="554"/>
      <c r="G8" s="554"/>
      <c r="H8" s="554"/>
      <c r="I8" s="554"/>
      <c r="J8" s="554"/>
      <c r="K8" s="555"/>
    </row>
    <row r="9" spans="2:11" customFormat="1" ht="18" customHeight="1" thickBot="1">
      <c r="B9" s="550"/>
      <c r="C9" s="551"/>
      <c r="D9" s="552">
        <v>2</v>
      </c>
      <c r="E9" s="553"/>
      <c r="F9" s="554"/>
      <c r="G9" s="554"/>
      <c r="H9" s="554"/>
      <c r="I9" s="554"/>
      <c r="J9" s="554"/>
      <c r="K9" s="555"/>
    </row>
    <row r="10" spans="2:11" customFormat="1" ht="18" customHeight="1" thickBot="1">
      <c r="B10" s="550"/>
      <c r="C10" s="551"/>
      <c r="D10" s="552">
        <v>3</v>
      </c>
      <c r="E10" s="553"/>
      <c r="F10" s="554"/>
      <c r="G10" s="554"/>
      <c r="H10" s="554"/>
      <c r="I10" s="554"/>
      <c r="J10" s="554"/>
      <c r="K10" s="555"/>
    </row>
    <row r="11" spans="2:11" customFormat="1" ht="18" customHeight="1" thickBot="1">
      <c r="B11" s="550"/>
      <c r="C11" s="551"/>
      <c r="D11" s="552">
        <v>4</v>
      </c>
      <c r="E11" s="553"/>
      <c r="F11" s="554"/>
      <c r="G11" s="554"/>
      <c r="H11" s="554"/>
      <c r="I11" s="554"/>
      <c r="J11" s="554"/>
      <c r="K11" s="555"/>
    </row>
    <row r="12" spans="2:11" customFormat="1" ht="18" customHeight="1" thickBot="1">
      <c r="B12" s="550"/>
      <c r="C12" s="551"/>
      <c r="D12" s="552">
        <v>5</v>
      </c>
      <c r="E12" s="553"/>
      <c r="F12" s="554"/>
      <c r="G12" s="554"/>
      <c r="H12" s="554"/>
      <c r="I12" s="554"/>
      <c r="J12" s="554"/>
      <c r="K12" s="555"/>
    </row>
    <row r="13" spans="2:11" customFormat="1" ht="18" customHeight="1" thickBot="1">
      <c r="B13" s="550"/>
      <c r="C13" s="551"/>
      <c r="D13" s="552">
        <v>6</v>
      </c>
      <c r="E13" s="553"/>
      <c r="F13" s="554"/>
      <c r="G13" s="554"/>
      <c r="H13" s="554"/>
      <c r="I13" s="554"/>
      <c r="J13" s="554"/>
      <c r="K13" s="555"/>
    </row>
    <row r="14" spans="2:11" customFormat="1" ht="18" customHeight="1" thickBot="1">
      <c r="B14" s="550"/>
      <c r="C14" s="551"/>
      <c r="D14" s="552">
        <v>7</v>
      </c>
      <c r="E14" s="553"/>
      <c r="F14" s="554"/>
      <c r="G14" s="554"/>
      <c r="H14" s="554"/>
      <c r="I14" s="554"/>
      <c r="J14" s="554"/>
      <c r="K14" s="555"/>
    </row>
    <row r="15" spans="2:11" customFormat="1" ht="18" customHeight="1">
      <c r="B15" s="550">
        <v>45352</v>
      </c>
      <c r="C15" s="551"/>
      <c r="D15" s="552">
        <v>8</v>
      </c>
      <c r="E15" s="553"/>
      <c r="F15" s="554" t="s">
        <v>344</v>
      </c>
      <c r="G15" s="554"/>
      <c r="H15" s="554"/>
      <c r="I15" s="554"/>
      <c r="J15" s="554"/>
      <c r="K15" s="555"/>
    </row>
    <row r="16" spans="2:11" customFormat="1" ht="150.75" customHeight="1">
      <c r="B16" s="550" t="s">
        <v>345</v>
      </c>
      <c r="C16" s="551"/>
      <c r="D16" s="552">
        <v>9</v>
      </c>
      <c r="E16" s="553"/>
      <c r="F16" s="554" t="s">
        <v>346</v>
      </c>
      <c r="G16" s="554"/>
      <c r="H16" s="554"/>
      <c r="I16" s="554"/>
      <c r="J16" s="554"/>
      <c r="K16" s="555"/>
    </row>
    <row r="17" spans="2:12" customFormat="1" ht="15.75" customHeight="1">
      <c r="B17" s="556"/>
      <c r="C17" s="556"/>
      <c r="D17" s="556"/>
      <c r="E17" s="556"/>
      <c r="F17" s="556"/>
      <c r="G17" s="556"/>
      <c r="H17" s="556"/>
      <c r="I17" s="556"/>
      <c r="J17" s="556"/>
      <c r="K17" s="556"/>
    </row>
    <row r="18" spans="2:12" customFormat="1" ht="15.75" customHeight="1" thickBot="1">
      <c r="B18" s="557" t="s">
        <v>347</v>
      </c>
      <c r="C18" s="558"/>
      <c r="D18" s="558"/>
      <c r="E18" s="559"/>
      <c r="F18" s="560" t="s">
        <v>348</v>
      </c>
      <c r="G18" s="561"/>
      <c r="H18" s="562"/>
      <c r="I18" s="563" t="s">
        <v>349</v>
      </c>
      <c r="J18" s="564"/>
      <c r="K18" s="559"/>
    </row>
    <row r="19" spans="2:12" customFormat="1" ht="27" customHeight="1">
      <c r="B19" s="565"/>
      <c r="C19" s="566"/>
      <c r="D19" s="566"/>
      <c r="E19" s="566"/>
      <c r="F19" s="566"/>
      <c r="G19" s="566"/>
      <c r="H19" s="566"/>
      <c r="I19" s="567"/>
      <c r="J19" s="567"/>
      <c r="K19" s="568"/>
    </row>
    <row r="20" spans="2:12" customFormat="1" ht="15" customHeight="1">
      <c r="B20" s="570" t="s">
        <v>350</v>
      </c>
      <c r="C20" s="571"/>
      <c r="D20" s="571"/>
      <c r="E20" s="571"/>
      <c r="F20" s="572" t="s">
        <v>351</v>
      </c>
      <c r="G20" s="572"/>
      <c r="H20" s="573"/>
      <c r="I20" s="572" t="s">
        <v>351</v>
      </c>
      <c r="J20" s="572"/>
      <c r="K20" s="573"/>
    </row>
    <row r="21" spans="2:12" customFormat="1" ht="22.5" customHeight="1" thickBot="1">
      <c r="B21" s="574" t="s">
        <v>352</v>
      </c>
      <c r="C21" s="575"/>
      <c r="D21" s="575"/>
      <c r="E21" s="575"/>
      <c r="F21" s="575" t="s">
        <v>353</v>
      </c>
      <c r="G21" s="575"/>
      <c r="H21" s="576"/>
      <c r="I21" s="575" t="s">
        <v>353</v>
      </c>
      <c r="J21" s="575"/>
      <c r="K21" s="576"/>
    </row>
    <row r="22" spans="2:12" customFormat="1" ht="9" customHeight="1" thickBot="1">
      <c r="B22" s="577"/>
      <c r="C22" s="577"/>
      <c r="D22" s="577"/>
      <c r="E22" s="577"/>
      <c r="F22" s="577"/>
      <c r="G22" s="577"/>
      <c r="H22" s="577"/>
      <c r="I22" s="577"/>
      <c r="J22" s="577"/>
      <c r="K22" s="577"/>
    </row>
    <row r="23" spans="2:12" customFormat="1" ht="16" thickBot="1">
      <c r="B23" s="578" t="s">
        <v>107</v>
      </c>
      <c r="C23" s="579"/>
      <c r="D23" s="580"/>
      <c r="E23" s="123" t="s">
        <v>108</v>
      </c>
      <c r="F23" s="578" t="s">
        <v>109</v>
      </c>
      <c r="G23" s="580"/>
      <c r="H23" s="124" t="s">
        <v>110</v>
      </c>
      <c r="I23" s="578" t="s">
        <v>111</v>
      </c>
      <c r="J23" s="580"/>
      <c r="K23" s="125">
        <v>1</v>
      </c>
    </row>
    <row r="24" spans="2:12" ht="8.25" customHeight="1"/>
    <row r="25" spans="2:12">
      <c r="B25" s="569" t="s">
        <v>354</v>
      </c>
      <c r="C25" s="569"/>
      <c r="D25" s="569"/>
      <c r="E25" s="569"/>
      <c r="F25" s="569"/>
      <c r="G25" s="569"/>
      <c r="H25" s="569"/>
      <c r="I25" s="569"/>
      <c r="J25" s="569"/>
      <c r="K25" s="569"/>
      <c r="L25" s="569"/>
    </row>
    <row r="26" spans="2:12">
      <c r="B26" s="569" t="s">
        <v>355</v>
      </c>
      <c r="C26" s="569"/>
      <c r="D26" s="569"/>
      <c r="E26" s="569"/>
      <c r="F26" s="569"/>
      <c r="G26" s="569"/>
      <c r="H26" s="569"/>
      <c r="I26" s="569"/>
      <c r="J26" s="569"/>
      <c r="K26" s="569"/>
      <c r="L26" s="569"/>
    </row>
    <row r="27" spans="2:12" ht="9" customHeight="1"/>
  </sheetData>
  <mergeCells count="55">
    <mergeCell ref="B16:C16"/>
    <mergeCell ref="D16:E16"/>
    <mergeCell ref="F16:K16"/>
    <mergeCell ref="F11:K11"/>
    <mergeCell ref="B12:C12"/>
    <mergeCell ref="D12:E12"/>
    <mergeCell ref="F12:K12"/>
    <mergeCell ref="B14:C14"/>
    <mergeCell ref="D14:E14"/>
    <mergeCell ref="F14:K14"/>
    <mergeCell ref="D13:E13"/>
    <mergeCell ref="F13:K13"/>
    <mergeCell ref="B11:C11"/>
    <mergeCell ref="D11:E11"/>
    <mergeCell ref="B26:L26"/>
    <mergeCell ref="B20:E20"/>
    <mergeCell ref="F20:H20"/>
    <mergeCell ref="I20:K20"/>
    <mergeCell ref="B21:E21"/>
    <mergeCell ref="F21:H21"/>
    <mergeCell ref="I21:K21"/>
    <mergeCell ref="B22:K22"/>
    <mergeCell ref="B23:D23"/>
    <mergeCell ref="F23:G23"/>
    <mergeCell ref="I23:J23"/>
    <mergeCell ref="B25:L25"/>
    <mergeCell ref="B17:K17"/>
    <mergeCell ref="B18:E18"/>
    <mergeCell ref="F18:H18"/>
    <mergeCell ref="I18:K18"/>
    <mergeCell ref="B19:E19"/>
    <mergeCell ref="F19:H19"/>
    <mergeCell ref="I19:K19"/>
    <mergeCell ref="B7:C7"/>
    <mergeCell ref="D7:E7"/>
    <mergeCell ref="F7:K7"/>
    <mergeCell ref="B15:C15"/>
    <mergeCell ref="D15:E15"/>
    <mergeCell ref="F15:K15"/>
    <mergeCell ref="B8:C8"/>
    <mergeCell ref="D8:E8"/>
    <mergeCell ref="F8:K8"/>
    <mergeCell ref="B13:C13"/>
    <mergeCell ref="B9:C9"/>
    <mergeCell ref="D9:E9"/>
    <mergeCell ref="F9:K9"/>
    <mergeCell ref="B10:C10"/>
    <mergeCell ref="D10:E10"/>
    <mergeCell ref="F10:K10"/>
    <mergeCell ref="B2:B5"/>
    <mergeCell ref="C2:I5"/>
    <mergeCell ref="J2:K2"/>
    <mergeCell ref="J3:K3"/>
    <mergeCell ref="J4:K4"/>
    <mergeCell ref="J5:K5"/>
  </mergeCells>
  <pageMargins left="0.7" right="0.7" top="0.75" bottom="0.75" header="0.3" footer="0.3"/>
  <pageSetup paperSize="9" scale="60" orientation="portrait"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tabColor rgb="FF00B0F0"/>
  </sheetPr>
  <dimension ref="A1:AK55"/>
  <sheetViews>
    <sheetView zoomScale="90" zoomScaleNormal="90" workbookViewId="0">
      <selection activeCell="B4" sqref="B4:B8"/>
    </sheetView>
  </sheetViews>
  <sheetFormatPr baseColWidth="10" defaultColWidth="11.5" defaultRowHeight="15"/>
  <cols>
    <col min="2" max="2" width="24.33203125" customWidth="1"/>
    <col min="3" max="3" width="70.33203125" customWidth="1"/>
    <col min="4" max="4" width="29.6640625" customWidth="1"/>
  </cols>
  <sheetData>
    <row r="1" spans="1:37" ht="23">
      <c r="A1" s="68"/>
      <c r="B1" s="581" t="s">
        <v>356</v>
      </c>
      <c r="C1" s="581"/>
      <c r="D1" s="581"/>
      <c r="E1" s="68"/>
      <c r="F1" s="68"/>
      <c r="G1" s="68"/>
      <c r="H1" s="68"/>
      <c r="I1" s="68"/>
      <c r="J1" s="68"/>
      <c r="K1" s="68"/>
      <c r="L1" s="68"/>
      <c r="M1" s="68"/>
      <c r="N1" s="68"/>
      <c r="O1" s="68"/>
      <c r="P1" s="68"/>
      <c r="Q1" s="68"/>
      <c r="R1" s="68"/>
      <c r="S1" s="68"/>
      <c r="T1" s="68"/>
      <c r="U1" s="68"/>
      <c r="V1" s="68"/>
      <c r="W1" s="68"/>
      <c r="X1" s="68"/>
      <c r="Y1" s="68"/>
      <c r="Z1" s="68"/>
      <c r="AA1" s="68"/>
      <c r="AB1" s="68"/>
      <c r="AC1" s="68"/>
      <c r="AD1" s="68"/>
      <c r="AE1" s="68"/>
    </row>
    <row r="2" spans="1:37">
      <c r="A2" s="68"/>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row>
    <row r="3" spans="1:37" ht="26">
      <c r="A3" s="68"/>
      <c r="B3" s="3"/>
      <c r="C3" s="4" t="s">
        <v>357</v>
      </c>
      <c r="D3" s="4" t="s">
        <v>252</v>
      </c>
      <c r="E3" s="68"/>
      <c r="F3" s="68"/>
      <c r="G3" s="68"/>
      <c r="H3" s="68"/>
      <c r="I3" s="68"/>
      <c r="J3" s="68"/>
      <c r="K3" s="68"/>
      <c r="L3" s="68"/>
      <c r="M3" s="68"/>
      <c r="N3" s="68"/>
      <c r="O3" s="68"/>
      <c r="P3" s="68"/>
      <c r="Q3" s="68"/>
      <c r="R3" s="68"/>
      <c r="S3" s="68"/>
      <c r="T3" s="68"/>
      <c r="U3" s="68"/>
      <c r="V3" s="68"/>
      <c r="W3" s="68"/>
      <c r="X3" s="68"/>
      <c r="Y3" s="68"/>
      <c r="Z3" s="68"/>
      <c r="AA3" s="68"/>
      <c r="AB3" s="68"/>
      <c r="AC3" s="68"/>
      <c r="AD3" s="68"/>
      <c r="AE3" s="68"/>
    </row>
    <row r="4" spans="1:37" ht="52">
      <c r="A4" s="68"/>
      <c r="B4" s="5" t="s">
        <v>358</v>
      </c>
      <c r="C4" s="6" t="s">
        <v>359</v>
      </c>
      <c r="D4" s="7">
        <v>0.2</v>
      </c>
      <c r="E4" s="68"/>
      <c r="F4" s="68"/>
      <c r="G4" s="68"/>
      <c r="H4" s="68"/>
      <c r="I4" s="68"/>
      <c r="J4" s="68"/>
      <c r="K4" s="68"/>
      <c r="L4" s="68"/>
      <c r="M4" s="68"/>
      <c r="N4" s="68"/>
      <c r="O4" s="68"/>
      <c r="P4" s="68"/>
      <c r="Q4" s="68"/>
      <c r="R4" s="68"/>
      <c r="S4" s="68"/>
      <c r="T4" s="68"/>
      <c r="U4" s="68"/>
      <c r="V4" s="68"/>
      <c r="W4" s="68"/>
      <c r="X4" s="68"/>
      <c r="Y4" s="68"/>
      <c r="Z4" s="68"/>
      <c r="AA4" s="68"/>
      <c r="AB4" s="68"/>
      <c r="AC4" s="68"/>
      <c r="AD4" s="68"/>
      <c r="AE4" s="68"/>
    </row>
    <row r="5" spans="1:37" ht="52">
      <c r="A5" s="68"/>
      <c r="B5" s="8" t="s">
        <v>360</v>
      </c>
      <c r="C5" s="9" t="s">
        <v>361</v>
      </c>
      <c r="D5" s="10">
        <v>0.4</v>
      </c>
      <c r="E5" s="68"/>
      <c r="F5" s="68"/>
      <c r="G5" s="68"/>
      <c r="H5" s="68"/>
      <c r="I5" s="68"/>
      <c r="J5" s="68"/>
      <c r="K5" s="68"/>
      <c r="L5" s="68"/>
      <c r="M5" s="68"/>
      <c r="N5" s="68"/>
      <c r="O5" s="68"/>
      <c r="P5" s="68"/>
      <c r="Q5" s="68"/>
      <c r="R5" s="68"/>
      <c r="S5" s="68"/>
      <c r="T5" s="68"/>
      <c r="U5" s="68"/>
      <c r="V5" s="68"/>
      <c r="W5" s="68"/>
      <c r="X5" s="68"/>
      <c r="Y5" s="68"/>
      <c r="Z5" s="68"/>
      <c r="AA5" s="68"/>
      <c r="AB5" s="68"/>
      <c r="AC5" s="68"/>
      <c r="AD5" s="68"/>
      <c r="AE5" s="68"/>
    </row>
    <row r="6" spans="1:37" ht="52">
      <c r="A6" s="68"/>
      <c r="B6" s="11" t="s">
        <v>362</v>
      </c>
      <c r="C6" s="9" t="s">
        <v>363</v>
      </c>
      <c r="D6" s="10">
        <v>0.6</v>
      </c>
      <c r="E6" s="68"/>
      <c r="F6" s="68"/>
      <c r="G6" s="68"/>
      <c r="H6" s="68"/>
      <c r="I6" s="68"/>
      <c r="J6" s="68"/>
      <c r="K6" s="68"/>
      <c r="L6" s="68"/>
      <c r="M6" s="68"/>
      <c r="N6" s="68"/>
      <c r="O6" s="68"/>
      <c r="P6" s="68"/>
      <c r="Q6" s="68"/>
      <c r="R6" s="68"/>
      <c r="S6" s="68"/>
      <c r="T6" s="68"/>
      <c r="U6" s="68"/>
      <c r="V6" s="68"/>
      <c r="W6" s="68"/>
      <c r="X6" s="68"/>
      <c r="Y6" s="68"/>
      <c r="Z6" s="68"/>
      <c r="AA6" s="68"/>
      <c r="AB6" s="68"/>
      <c r="AC6" s="68"/>
      <c r="AD6" s="68"/>
      <c r="AE6" s="68"/>
    </row>
    <row r="7" spans="1:37" ht="52">
      <c r="A7" s="68"/>
      <c r="B7" s="12" t="s">
        <v>364</v>
      </c>
      <c r="C7" s="9" t="s">
        <v>365</v>
      </c>
      <c r="D7" s="10">
        <v>0.8</v>
      </c>
      <c r="E7" s="68"/>
      <c r="F7" s="68"/>
      <c r="G7" s="68"/>
      <c r="H7" s="68"/>
      <c r="I7" s="68"/>
      <c r="J7" s="68"/>
      <c r="K7" s="68"/>
      <c r="L7" s="68"/>
      <c r="M7" s="68"/>
      <c r="N7" s="68"/>
      <c r="O7" s="68"/>
      <c r="P7" s="68"/>
      <c r="Q7" s="68"/>
      <c r="R7" s="68"/>
      <c r="S7" s="68"/>
      <c r="T7" s="68"/>
      <c r="U7" s="68"/>
      <c r="V7" s="68"/>
      <c r="W7" s="68"/>
      <c r="X7" s="68"/>
      <c r="Y7" s="68"/>
      <c r="Z7" s="68"/>
      <c r="AA7" s="68"/>
      <c r="AB7" s="68"/>
      <c r="AC7" s="68"/>
      <c r="AD7" s="68"/>
      <c r="AE7" s="68"/>
    </row>
    <row r="8" spans="1:37" ht="52">
      <c r="A8" s="68"/>
      <c r="B8" s="13" t="s">
        <v>366</v>
      </c>
      <c r="C8" s="9" t="s">
        <v>367</v>
      </c>
      <c r="D8" s="10">
        <v>1</v>
      </c>
      <c r="E8" s="68"/>
      <c r="F8" s="68"/>
      <c r="G8" s="68"/>
      <c r="H8" s="68"/>
      <c r="I8" s="68"/>
      <c r="J8" s="68"/>
      <c r="K8" s="68"/>
      <c r="L8" s="68"/>
      <c r="M8" s="68"/>
      <c r="N8" s="68"/>
      <c r="O8" s="68"/>
      <c r="P8" s="68"/>
      <c r="Q8" s="68"/>
      <c r="R8" s="68"/>
      <c r="S8" s="68"/>
      <c r="T8" s="68"/>
      <c r="U8" s="68"/>
      <c r="V8" s="68"/>
      <c r="W8" s="68"/>
      <c r="X8" s="68"/>
      <c r="Y8" s="68"/>
      <c r="Z8" s="68"/>
      <c r="AA8" s="68"/>
      <c r="AB8" s="68"/>
      <c r="AC8" s="68"/>
      <c r="AD8" s="68"/>
      <c r="AE8" s="68"/>
    </row>
    <row r="9" spans="1:37">
      <c r="A9" s="68"/>
      <c r="B9" s="88"/>
      <c r="C9" s="88"/>
      <c r="D9" s="8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row>
    <row r="10" spans="1:37">
      <c r="A10" s="68"/>
      <c r="B10" s="89"/>
      <c r="C10" s="88"/>
      <c r="D10" s="8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row>
    <row r="11" spans="1:37">
      <c r="A11" s="68"/>
      <c r="B11" s="88"/>
      <c r="C11" s="88"/>
      <c r="D11" s="8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row>
    <row r="12" spans="1:37">
      <c r="A12" s="68"/>
      <c r="B12" s="88"/>
      <c r="C12" s="88"/>
      <c r="D12" s="8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row>
    <row r="13" spans="1:37">
      <c r="A13" s="68"/>
      <c r="B13" s="88"/>
      <c r="C13" s="88"/>
      <c r="D13" s="8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row>
    <row r="14" spans="1:37">
      <c r="A14" s="68"/>
      <c r="B14" s="88"/>
      <c r="C14" s="88"/>
      <c r="D14" s="8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row>
    <row r="15" spans="1:37">
      <c r="A15" s="68"/>
      <c r="B15" s="88"/>
      <c r="C15" s="88"/>
      <c r="D15" s="8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row>
    <row r="16" spans="1:37">
      <c r="A16" s="68"/>
      <c r="B16" s="88"/>
      <c r="C16" s="88"/>
      <c r="D16" s="8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row>
    <row r="17" spans="1:37">
      <c r="A17" s="68"/>
      <c r="B17" s="88"/>
      <c r="C17" s="88"/>
      <c r="D17" s="8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row>
    <row r="18" spans="1:37">
      <c r="A18" s="68"/>
      <c r="B18" s="88"/>
      <c r="C18" s="88"/>
      <c r="D18" s="8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row>
    <row r="19" spans="1:37">
      <c r="A19" s="68"/>
      <c r="B19" s="68"/>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row>
    <row r="20" spans="1:37">
      <c r="A20" s="68"/>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row>
    <row r="21" spans="1:37">
      <c r="A21" s="68"/>
      <c r="B21" s="68"/>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row>
    <row r="22" spans="1:37">
      <c r="A22" s="68"/>
      <c r="B22" s="68"/>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row>
    <row r="23" spans="1:37">
      <c r="A23" s="68"/>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row>
    <row r="24" spans="1:37">
      <c r="A24" s="68"/>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row>
    <row r="25" spans="1:37">
      <c r="A25" s="68"/>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row>
    <row r="26" spans="1:37">
      <c r="A26" s="68"/>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row>
    <row r="27" spans="1:37">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row>
    <row r="28" spans="1:37">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row>
    <row r="29" spans="1:37">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row>
    <row r="30" spans="1:37">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row>
    <row r="31" spans="1:37">
      <c r="A31" s="68"/>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row>
    <row r="32" spans="1:37">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row>
    <row r="33" spans="1:31">
      <c r="A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row>
    <row r="34" spans="1:31">
      <c r="A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row>
    <row r="35" spans="1:31">
      <c r="A35" s="68"/>
    </row>
    <row r="36" spans="1:31">
      <c r="A36" s="68"/>
    </row>
    <row r="37" spans="1:31">
      <c r="A37" s="68"/>
    </row>
    <row r="38" spans="1:31">
      <c r="A38" s="68"/>
    </row>
    <row r="39" spans="1:31">
      <c r="A39" s="68"/>
    </row>
    <row r="40" spans="1:31">
      <c r="A40" s="68"/>
    </row>
    <row r="41" spans="1:31">
      <c r="A41" s="68"/>
    </row>
    <row r="42" spans="1:31">
      <c r="A42" s="68"/>
    </row>
    <row r="43" spans="1:31">
      <c r="A43" s="68"/>
    </row>
    <row r="44" spans="1:31">
      <c r="A44" s="68"/>
    </row>
    <row r="45" spans="1:31">
      <c r="A45" s="68"/>
    </row>
    <row r="46" spans="1:31">
      <c r="A46" s="68"/>
    </row>
    <row r="47" spans="1:31">
      <c r="A47" s="68"/>
    </row>
    <row r="48" spans="1:31">
      <c r="A48" s="68"/>
    </row>
    <row r="49" spans="1:1">
      <c r="A49" s="68"/>
    </row>
    <row r="50" spans="1:1">
      <c r="A50" s="68"/>
    </row>
    <row r="51" spans="1:1">
      <c r="A51" s="68"/>
    </row>
    <row r="52" spans="1:1">
      <c r="A52" s="68"/>
    </row>
    <row r="53" spans="1:1">
      <c r="A53" s="68"/>
    </row>
    <row r="54" spans="1:1">
      <c r="A54" s="68"/>
    </row>
    <row r="55" spans="1:1">
      <c r="A55" s="68"/>
    </row>
  </sheetData>
  <mergeCells count="1">
    <mergeCell ref="B1:D1"/>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tabColor theme="6" tint="-0.249977111117893"/>
  </sheetPr>
  <dimension ref="A1:U232"/>
  <sheetViews>
    <sheetView zoomScale="55" zoomScaleNormal="55" workbookViewId="0">
      <selection activeCell="C27" sqref="C27"/>
    </sheetView>
  </sheetViews>
  <sheetFormatPr baseColWidth="10" defaultColWidth="11.5" defaultRowHeight="15"/>
  <cols>
    <col min="2" max="2" width="40.5" customWidth="1"/>
    <col min="3" max="3" width="74.6640625" customWidth="1"/>
    <col min="4" max="4" width="135" bestFit="1" customWidth="1"/>
    <col min="5" max="5" width="144.6640625" bestFit="1" customWidth="1"/>
    <col min="6" max="6" width="136.5" bestFit="1" customWidth="1"/>
  </cols>
  <sheetData>
    <row r="1" spans="1:21" ht="33">
      <c r="A1" s="68"/>
      <c r="B1" s="582" t="s">
        <v>368</v>
      </c>
      <c r="C1" s="582"/>
      <c r="D1" s="582"/>
      <c r="E1" s="68"/>
      <c r="F1" s="68"/>
      <c r="G1" s="68"/>
      <c r="H1" s="68"/>
      <c r="I1" s="68"/>
      <c r="J1" s="68"/>
      <c r="K1" s="68"/>
      <c r="L1" s="68"/>
      <c r="M1" s="68"/>
      <c r="N1" s="68"/>
      <c r="O1" s="68"/>
      <c r="P1" s="68"/>
      <c r="Q1" s="68"/>
      <c r="R1" s="68"/>
      <c r="S1" s="68"/>
      <c r="T1" s="68"/>
      <c r="U1" s="68"/>
    </row>
    <row r="2" spans="1:21">
      <c r="A2" s="68"/>
      <c r="B2" s="68"/>
      <c r="C2" s="68"/>
      <c r="D2" s="68"/>
      <c r="E2" s="68"/>
      <c r="F2" s="68"/>
      <c r="G2" s="68"/>
      <c r="H2" s="68"/>
      <c r="I2" s="68"/>
      <c r="J2" s="68"/>
      <c r="K2" s="68"/>
      <c r="L2" s="68"/>
      <c r="M2" s="68"/>
      <c r="N2" s="68"/>
      <c r="O2" s="68"/>
      <c r="P2" s="68"/>
      <c r="Q2" s="68"/>
      <c r="R2" s="68"/>
      <c r="S2" s="68"/>
      <c r="T2" s="68"/>
      <c r="U2" s="68"/>
    </row>
    <row r="3" spans="1:21" ht="31">
      <c r="A3" s="68"/>
      <c r="B3" s="85"/>
      <c r="C3" s="22" t="s">
        <v>369</v>
      </c>
      <c r="D3" s="22" t="s">
        <v>370</v>
      </c>
      <c r="E3" s="68"/>
      <c r="F3" s="68"/>
      <c r="G3" s="68"/>
      <c r="H3" s="68"/>
      <c r="I3" s="68"/>
      <c r="J3" s="68"/>
      <c r="K3" s="68"/>
      <c r="L3" s="68"/>
      <c r="M3" s="68"/>
      <c r="N3" s="68"/>
      <c r="O3" s="68"/>
      <c r="P3" s="68"/>
      <c r="Q3" s="68"/>
      <c r="R3" s="68"/>
      <c r="S3" s="68"/>
      <c r="T3" s="68"/>
      <c r="U3" s="68"/>
    </row>
    <row r="4" spans="1:21" ht="34">
      <c r="A4" s="84" t="s">
        <v>371</v>
      </c>
      <c r="B4" s="25" t="s">
        <v>372</v>
      </c>
      <c r="C4" s="30" t="s">
        <v>373</v>
      </c>
      <c r="D4" s="23" t="s">
        <v>374</v>
      </c>
      <c r="E4" s="68"/>
      <c r="F4" s="68"/>
      <c r="G4" s="68"/>
      <c r="H4" s="68"/>
      <c r="I4" s="68"/>
      <c r="J4" s="68"/>
      <c r="K4" s="68"/>
      <c r="L4" s="68"/>
      <c r="M4" s="68"/>
      <c r="N4" s="68"/>
      <c r="O4" s="68"/>
      <c r="P4" s="68"/>
      <c r="Q4" s="68"/>
      <c r="R4" s="68"/>
      <c r="S4" s="68"/>
      <c r="T4" s="68"/>
      <c r="U4" s="68"/>
    </row>
    <row r="5" spans="1:21" ht="68">
      <c r="A5" s="84" t="s">
        <v>119</v>
      </c>
      <c r="B5" s="26" t="s">
        <v>375</v>
      </c>
      <c r="C5" s="31" t="s">
        <v>376</v>
      </c>
      <c r="D5" s="24" t="s">
        <v>377</v>
      </c>
      <c r="E5" s="68"/>
      <c r="F5" s="68"/>
      <c r="G5" s="68"/>
      <c r="H5" s="68"/>
      <c r="I5" s="68"/>
      <c r="J5" s="68"/>
      <c r="K5" s="68"/>
      <c r="L5" s="68"/>
      <c r="M5" s="68"/>
      <c r="N5" s="68"/>
      <c r="O5" s="68"/>
      <c r="P5" s="68"/>
      <c r="Q5" s="68"/>
      <c r="R5" s="68"/>
      <c r="S5" s="68"/>
      <c r="T5" s="68"/>
      <c r="U5" s="68"/>
    </row>
    <row r="6" spans="1:21" ht="68">
      <c r="A6" s="84" t="s">
        <v>121</v>
      </c>
      <c r="B6" s="27" t="s">
        <v>378</v>
      </c>
      <c r="C6" s="31" t="s">
        <v>379</v>
      </c>
      <c r="D6" s="24" t="s">
        <v>380</v>
      </c>
      <c r="E6" s="68"/>
      <c r="F6" s="68"/>
      <c r="G6" s="68"/>
      <c r="H6" s="68"/>
      <c r="I6" s="68"/>
      <c r="J6" s="68"/>
      <c r="K6" s="68"/>
      <c r="L6" s="68"/>
      <c r="M6" s="68"/>
      <c r="N6" s="68"/>
      <c r="O6" s="68"/>
      <c r="P6" s="68"/>
      <c r="Q6" s="68"/>
      <c r="R6" s="68"/>
      <c r="S6" s="68"/>
      <c r="T6" s="68"/>
      <c r="U6" s="68"/>
    </row>
    <row r="7" spans="1:21" ht="68">
      <c r="A7" s="84" t="s">
        <v>123</v>
      </c>
      <c r="B7" s="28" t="s">
        <v>381</v>
      </c>
      <c r="C7" s="31" t="s">
        <v>382</v>
      </c>
      <c r="D7" s="24" t="s">
        <v>383</v>
      </c>
      <c r="E7" s="68"/>
      <c r="F7" s="68"/>
      <c r="G7" s="68"/>
      <c r="H7" s="68"/>
      <c r="I7" s="68"/>
      <c r="J7" s="68"/>
      <c r="K7" s="68"/>
      <c r="L7" s="68"/>
      <c r="M7" s="68"/>
      <c r="N7" s="68"/>
      <c r="O7" s="68"/>
      <c r="P7" s="68"/>
      <c r="Q7" s="68"/>
      <c r="R7" s="68"/>
      <c r="S7" s="68"/>
      <c r="T7" s="68"/>
      <c r="U7" s="68"/>
    </row>
    <row r="8" spans="1:21" ht="68">
      <c r="A8" s="84" t="s">
        <v>125</v>
      </c>
      <c r="B8" s="29" t="s">
        <v>384</v>
      </c>
      <c r="C8" s="31" t="s">
        <v>385</v>
      </c>
      <c r="D8" s="24" t="s">
        <v>386</v>
      </c>
      <c r="E8" s="68"/>
      <c r="F8" s="68"/>
      <c r="G8" s="68"/>
      <c r="H8" s="68"/>
      <c r="I8" s="68"/>
      <c r="J8" s="68"/>
      <c r="K8" s="68"/>
      <c r="L8" s="68"/>
      <c r="M8" s="68"/>
      <c r="N8" s="68"/>
      <c r="O8" s="68"/>
      <c r="P8" s="68"/>
      <c r="Q8" s="68"/>
      <c r="R8" s="68"/>
      <c r="S8" s="68"/>
      <c r="T8" s="68"/>
      <c r="U8" s="68"/>
    </row>
    <row r="9" spans="1:21" ht="20">
      <c r="A9" s="84"/>
      <c r="B9" s="84"/>
      <c r="C9" s="86"/>
      <c r="D9" s="86"/>
      <c r="E9" s="68"/>
      <c r="F9" s="68"/>
      <c r="G9" s="68"/>
      <c r="H9" s="68"/>
      <c r="I9" s="68"/>
      <c r="J9" s="68"/>
      <c r="K9" s="68"/>
      <c r="L9" s="68"/>
      <c r="M9" s="68"/>
      <c r="N9" s="68"/>
      <c r="O9" s="68"/>
      <c r="P9" s="68"/>
      <c r="Q9" s="68"/>
      <c r="R9" s="68"/>
      <c r="S9" s="68"/>
      <c r="T9" s="68"/>
      <c r="U9" s="68"/>
    </row>
    <row r="10" spans="1:21">
      <c r="A10" s="84"/>
      <c r="B10" s="87"/>
      <c r="C10" s="87"/>
      <c r="D10" s="87"/>
      <c r="E10" s="68"/>
      <c r="F10" s="68"/>
      <c r="G10" s="68"/>
      <c r="H10" s="68"/>
      <c r="I10" s="68"/>
      <c r="J10" s="68"/>
      <c r="K10" s="68"/>
      <c r="L10" s="68"/>
      <c r="M10" s="68"/>
      <c r="N10" s="68"/>
      <c r="O10" s="68"/>
      <c r="P10" s="68"/>
      <c r="Q10" s="68"/>
      <c r="R10" s="68"/>
      <c r="S10" s="68"/>
      <c r="T10" s="68"/>
      <c r="U10" s="68"/>
    </row>
    <row r="11" spans="1:21">
      <c r="A11" s="84"/>
      <c r="B11" s="84" t="s">
        <v>387</v>
      </c>
      <c r="C11" s="84" t="s">
        <v>116</v>
      </c>
      <c r="D11" s="84" t="s">
        <v>126</v>
      </c>
      <c r="E11" s="68"/>
      <c r="F11" s="68"/>
      <c r="G11" s="68"/>
      <c r="H11" s="68"/>
      <c r="I11" s="68"/>
      <c r="J11" s="68"/>
      <c r="K11" s="68"/>
      <c r="L11" s="68"/>
      <c r="M11" s="68"/>
      <c r="N11" s="68"/>
      <c r="O11" s="68"/>
      <c r="P11" s="68"/>
      <c r="Q11" s="68"/>
      <c r="R11" s="68"/>
      <c r="S11" s="68"/>
      <c r="T11" s="68"/>
      <c r="U11" s="68"/>
    </row>
    <row r="12" spans="1:21">
      <c r="A12" s="84"/>
      <c r="B12" s="84" t="s">
        <v>388</v>
      </c>
      <c r="C12" s="84" t="s">
        <v>118</v>
      </c>
      <c r="D12" s="84" t="s">
        <v>127</v>
      </c>
      <c r="E12" s="68"/>
      <c r="F12" s="68"/>
      <c r="G12" s="68"/>
      <c r="H12" s="68"/>
      <c r="I12" s="68"/>
      <c r="J12" s="68"/>
      <c r="K12" s="68"/>
      <c r="L12" s="68"/>
      <c r="M12" s="68"/>
      <c r="N12" s="68"/>
      <c r="O12" s="68"/>
      <c r="P12" s="68"/>
      <c r="Q12" s="68"/>
      <c r="R12" s="68"/>
      <c r="S12" s="68"/>
      <c r="T12" s="68"/>
      <c r="U12" s="68"/>
    </row>
    <row r="13" spans="1:21" ht="18">
      <c r="A13" s="84"/>
      <c r="B13" s="205"/>
      <c r="C13" s="84" t="s">
        <v>120</v>
      </c>
      <c r="D13" s="84" t="s">
        <v>128</v>
      </c>
      <c r="E13" s="68"/>
      <c r="F13" s="68"/>
      <c r="G13" s="68"/>
      <c r="H13" s="68"/>
      <c r="I13" s="68"/>
      <c r="J13" s="68"/>
      <c r="K13" s="68"/>
      <c r="L13" s="68"/>
      <c r="M13" s="68"/>
      <c r="N13" s="68"/>
      <c r="O13" s="68"/>
      <c r="P13" s="68"/>
      <c r="Q13" s="68"/>
      <c r="R13" s="68"/>
      <c r="S13" s="68"/>
      <c r="T13" s="68"/>
      <c r="U13" s="68"/>
    </row>
    <row r="14" spans="1:21">
      <c r="A14" s="84"/>
      <c r="B14" s="84"/>
      <c r="C14" s="84" t="s">
        <v>122</v>
      </c>
      <c r="D14" s="84" t="s">
        <v>129</v>
      </c>
      <c r="E14" s="68"/>
      <c r="F14" s="68"/>
      <c r="G14" s="68"/>
      <c r="H14" s="68"/>
      <c r="I14" s="68"/>
      <c r="J14" s="68"/>
      <c r="K14" s="68"/>
      <c r="L14" s="68"/>
      <c r="M14" s="68"/>
      <c r="N14" s="68"/>
      <c r="O14" s="68"/>
      <c r="P14" s="68"/>
      <c r="Q14" s="68"/>
      <c r="R14" s="68"/>
      <c r="S14" s="68"/>
      <c r="T14" s="68"/>
      <c r="U14" s="68"/>
    </row>
    <row r="15" spans="1:21">
      <c r="A15" s="84"/>
      <c r="B15" s="84"/>
      <c r="C15" s="84" t="s">
        <v>124</v>
      </c>
      <c r="D15" s="84" t="s">
        <v>130</v>
      </c>
      <c r="E15" s="68"/>
      <c r="F15" s="68"/>
      <c r="G15" s="68"/>
      <c r="H15" s="68"/>
      <c r="I15" s="68"/>
      <c r="J15" s="68"/>
      <c r="K15" s="68"/>
      <c r="L15" s="68"/>
      <c r="M15" s="68"/>
      <c r="N15" s="68"/>
      <c r="O15" s="68"/>
      <c r="P15" s="68"/>
      <c r="Q15" s="68"/>
      <c r="R15" s="68"/>
      <c r="S15" s="68"/>
      <c r="T15" s="68"/>
      <c r="U15" s="68"/>
    </row>
    <row r="16" spans="1:21">
      <c r="A16" s="84"/>
      <c r="B16" s="84"/>
      <c r="C16" s="84"/>
      <c r="D16" s="84"/>
      <c r="E16" s="68"/>
      <c r="F16" s="68"/>
      <c r="G16" s="68"/>
      <c r="H16" s="68"/>
      <c r="I16" s="68"/>
      <c r="J16" s="68"/>
      <c r="K16" s="68"/>
      <c r="L16" s="68"/>
      <c r="M16" s="68"/>
      <c r="N16" s="68"/>
      <c r="O16" s="68"/>
    </row>
    <row r="17" spans="1:15">
      <c r="A17" s="84"/>
      <c r="B17" s="84"/>
      <c r="C17" s="84"/>
      <c r="D17" s="84"/>
      <c r="E17" s="68"/>
      <c r="F17" s="68"/>
      <c r="G17" s="68"/>
      <c r="H17" s="68"/>
      <c r="I17" s="68"/>
      <c r="J17" s="68"/>
      <c r="K17" s="68"/>
      <c r="L17" s="68"/>
      <c r="M17" s="68"/>
      <c r="N17" s="68"/>
      <c r="O17" s="68"/>
    </row>
    <row r="18" spans="1:15">
      <c r="A18" s="84"/>
      <c r="B18" s="88"/>
      <c r="C18" s="88"/>
      <c r="D18" s="88"/>
      <c r="E18" s="68"/>
      <c r="F18" s="68"/>
      <c r="G18" s="68"/>
      <c r="H18" s="68"/>
      <c r="I18" s="68"/>
      <c r="J18" s="68"/>
      <c r="K18" s="68"/>
      <c r="L18" s="68"/>
      <c r="M18" s="68"/>
      <c r="N18" s="68"/>
      <c r="O18" s="68"/>
    </row>
    <row r="19" spans="1:15">
      <c r="A19" s="84"/>
      <c r="B19" s="88"/>
      <c r="C19" s="88"/>
      <c r="D19" s="88"/>
      <c r="E19" s="68"/>
      <c r="F19" s="68"/>
      <c r="G19" s="68"/>
      <c r="H19" s="68"/>
      <c r="I19" s="68"/>
      <c r="J19" s="68"/>
      <c r="K19" s="68"/>
      <c r="L19" s="68"/>
      <c r="M19" s="68"/>
      <c r="N19" s="68"/>
      <c r="O19" s="68"/>
    </row>
    <row r="20" spans="1:15">
      <c r="A20" s="84"/>
      <c r="B20" s="88"/>
      <c r="C20" s="88"/>
      <c r="D20" s="88"/>
      <c r="E20" s="68"/>
      <c r="F20" s="68"/>
      <c r="G20" s="68"/>
      <c r="H20" s="68"/>
      <c r="I20" s="68"/>
      <c r="J20" s="68"/>
      <c r="K20" s="68"/>
      <c r="L20" s="68"/>
      <c r="M20" s="68"/>
      <c r="N20" s="68"/>
      <c r="O20" s="68"/>
    </row>
    <row r="21" spans="1:15">
      <c r="A21" s="84"/>
      <c r="B21" s="88"/>
      <c r="C21" s="88"/>
      <c r="D21" s="88"/>
      <c r="E21" s="68"/>
      <c r="F21" s="68"/>
      <c r="G21" s="68"/>
      <c r="H21" s="68"/>
      <c r="I21" s="68"/>
      <c r="J21" s="68"/>
      <c r="K21" s="68"/>
      <c r="L21" s="68"/>
      <c r="M21" s="68"/>
      <c r="N21" s="68"/>
      <c r="O21" s="68"/>
    </row>
    <row r="22" spans="1:15" ht="20">
      <c r="A22" s="84"/>
      <c r="B22" s="84"/>
      <c r="C22" s="86"/>
      <c r="D22" s="86"/>
      <c r="E22" s="68"/>
      <c r="F22" s="68"/>
      <c r="G22" s="68"/>
      <c r="H22" s="68"/>
      <c r="I22" s="68"/>
      <c r="J22" s="68"/>
      <c r="K22" s="68"/>
      <c r="L22" s="68"/>
      <c r="M22" s="68"/>
      <c r="N22" s="68"/>
      <c r="O22" s="68"/>
    </row>
    <row r="23" spans="1:15" ht="20">
      <c r="A23" s="84"/>
      <c r="B23" s="84"/>
      <c r="C23" s="86"/>
      <c r="D23" s="86"/>
      <c r="E23" s="68"/>
      <c r="F23" s="68"/>
      <c r="G23" s="68"/>
      <c r="H23" s="68"/>
      <c r="I23" s="68"/>
      <c r="J23" s="68"/>
      <c r="K23" s="68"/>
      <c r="L23" s="68"/>
      <c r="M23" s="68"/>
      <c r="N23" s="68"/>
      <c r="O23" s="68"/>
    </row>
    <row r="24" spans="1:15" ht="20">
      <c r="A24" s="84"/>
      <c r="B24" s="84"/>
      <c r="C24" s="86"/>
      <c r="D24" s="86"/>
      <c r="E24" s="68"/>
      <c r="F24" s="68"/>
      <c r="G24" s="68"/>
      <c r="H24" s="68"/>
      <c r="I24" s="68"/>
      <c r="J24" s="68"/>
      <c r="K24" s="68"/>
      <c r="L24" s="68"/>
      <c r="M24" s="68"/>
      <c r="N24" s="68"/>
      <c r="O24" s="68"/>
    </row>
    <row r="25" spans="1:15" ht="20">
      <c r="A25" s="84"/>
      <c r="B25" s="84"/>
      <c r="C25" s="86"/>
      <c r="D25" s="86"/>
      <c r="E25" s="68"/>
      <c r="F25" s="68"/>
      <c r="G25" s="68"/>
      <c r="H25" s="68"/>
      <c r="I25" s="68"/>
      <c r="J25" s="68"/>
      <c r="K25" s="68"/>
      <c r="L25" s="68"/>
      <c r="M25" s="68"/>
      <c r="N25" s="68"/>
      <c r="O25" s="68"/>
    </row>
    <row r="26" spans="1:15" ht="20">
      <c r="A26" s="84"/>
      <c r="B26" s="84"/>
      <c r="C26" s="86"/>
      <c r="D26" s="86"/>
      <c r="E26" s="68"/>
      <c r="F26" s="68"/>
      <c r="G26" s="68"/>
      <c r="H26" s="68"/>
      <c r="I26" s="68"/>
      <c r="J26" s="68"/>
      <c r="K26" s="68"/>
      <c r="L26" s="68"/>
      <c r="M26" s="68"/>
      <c r="N26" s="68"/>
      <c r="O26" s="68"/>
    </row>
    <row r="27" spans="1:15" ht="20">
      <c r="A27" s="84"/>
      <c r="B27" s="84"/>
      <c r="C27" s="86"/>
      <c r="D27" s="86"/>
      <c r="E27" s="68"/>
      <c r="F27" s="68"/>
      <c r="G27" s="68"/>
      <c r="H27" s="68"/>
      <c r="I27" s="68"/>
      <c r="J27" s="68"/>
      <c r="K27" s="68"/>
      <c r="L27" s="68"/>
      <c r="M27" s="68"/>
      <c r="N27" s="68"/>
      <c r="O27" s="68"/>
    </row>
    <row r="28" spans="1:15" ht="20">
      <c r="A28" s="84"/>
      <c r="B28" s="84"/>
      <c r="C28" s="86"/>
      <c r="D28" s="86"/>
      <c r="E28" s="68"/>
      <c r="F28" s="68"/>
      <c r="G28" s="68"/>
      <c r="H28" s="68"/>
      <c r="I28" s="68"/>
      <c r="J28" s="68"/>
      <c r="K28" s="68"/>
      <c r="L28" s="68"/>
      <c r="M28" s="68"/>
      <c r="N28" s="68"/>
      <c r="O28" s="68"/>
    </row>
    <row r="29" spans="1:15" ht="20">
      <c r="A29" s="84"/>
      <c r="B29" s="84"/>
      <c r="C29" s="86"/>
      <c r="D29" s="86"/>
      <c r="E29" s="68"/>
      <c r="F29" s="68"/>
      <c r="G29" s="68"/>
      <c r="H29" s="68"/>
      <c r="I29" s="68"/>
      <c r="J29" s="68"/>
      <c r="K29" s="68"/>
      <c r="L29" s="68"/>
      <c r="M29" s="68"/>
      <c r="N29" s="68"/>
      <c r="O29" s="68"/>
    </row>
    <row r="30" spans="1:15" ht="20">
      <c r="A30" s="84"/>
      <c r="B30" s="84"/>
      <c r="C30" s="86"/>
      <c r="D30" s="86"/>
      <c r="E30" s="68"/>
      <c r="F30" s="68"/>
      <c r="G30" s="68"/>
      <c r="H30" s="68"/>
      <c r="I30" s="68"/>
      <c r="J30" s="68"/>
      <c r="K30" s="68"/>
      <c r="L30" s="68"/>
      <c r="M30" s="68"/>
      <c r="N30" s="68"/>
      <c r="O30" s="68"/>
    </row>
    <row r="31" spans="1:15" ht="20">
      <c r="A31" s="84"/>
      <c r="B31" s="84"/>
      <c r="C31" s="86"/>
      <c r="D31" s="86"/>
      <c r="E31" s="68"/>
      <c r="F31" s="68"/>
      <c r="G31" s="68"/>
      <c r="H31" s="68"/>
      <c r="I31" s="68"/>
      <c r="J31" s="68"/>
      <c r="K31" s="68"/>
      <c r="L31" s="68"/>
      <c r="M31" s="68"/>
      <c r="N31" s="68"/>
      <c r="O31" s="68"/>
    </row>
    <row r="32" spans="1:15" ht="20">
      <c r="A32" s="84"/>
      <c r="B32" s="84"/>
      <c r="C32" s="86"/>
      <c r="D32" s="86"/>
      <c r="E32" s="68"/>
      <c r="F32" s="68"/>
      <c r="G32" s="68"/>
      <c r="H32" s="68"/>
      <c r="I32" s="68"/>
      <c r="J32" s="68"/>
      <c r="K32" s="68"/>
      <c r="L32" s="68"/>
      <c r="M32" s="68"/>
      <c r="N32" s="68"/>
      <c r="O32" s="68"/>
    </row>
    <row r="33" spans="1:15" ht="20">
      <c r="A33" s="84"/>
      <c r="B33" s="84"/>
      <c r="C33" s="86"/>
      <c r="D33" s="86"/>
      <c r="E33" s="68"/>
      <c r="F33" s="68"/>
      <c r="G33" s="68"/>
      <c r="H33" s="68"/>
      <c r="I33" s="68"/>
      <c r="J33" s="68"/>
      <c r="K33" s="68"/>
      <c r="L33" s="68"/>
      <c r="M33" s="68"/>
      <c r="N33" s="68"/>
      <c r="O33" s="68"/>
    </row>
    <row r="34" spans="1:15" ht="20">
      <c r="A34" s="84"/>
      <c r="B34" s="84"/>
      <c r="C34" s="86"/>
      <c r="D34" s="86"/>
      <c r="E34" s="68"/>
      <c r="F34" s="68"/>
      <c r="G34" s="68"/>
      <c r="H34" s="68"/>
      <c r="I34" s="68"/>
      <c r="J34" s="68"/>
      <c r="K34" s="68"/>
      <c r="L34" s="68"/>
      <c r="M34" s="68"/>
      <c r="N34" s="68"/>
      <c r="O34" s="68"/>
    </row>
    <row r="35" spans="1:15" ht="20">
      <c r="A35" s="84"/>
      <c r="B35" s="84"/>
      <c r="C35" s="86"/>
      <c r="D35" s="86"/>
      <c r="E35" s="68"/>
      <c r="F35" s="68"/>
      <c r="G35" s="68"/>
      <c r="H35" s="68"/>
      <c r="I35" s="68"/>
      <c r="J35" s="68"/>
      <c r="K35" s="68"/>
      <c r="L35" s="68"/>
      <c r="M35" s="68"/>
      <c r="N35" s="68"/>
      <c r="O35" s="68"/>
    </row>
    <row r="36" spans="1:15" ht="20">
      <c r="A36" s="84"/>
      <c r="B36" s="84"/>
      <c r="C36" s="86"/>
      <c r="D36" s="86"/>
      <c r="E36" s="68"/>
      <c r="F36" s="68"/>
      <c r="G36" s="68"/>
      <c r="H36" s="68"/>
      <c r="I36" s="68"/>
      <c r="J36" s="68"/>
      <c r="K36" s="68"/>
      <c r="L36" s="68"/>
      <c r="M36" s="68"/>
      <c r="N36" s="68"/>
      <c r="O36" s="68"/>
    </row>
    <row r="37" spans="1:15" ht="20">
      <c r="A37" s="84"/>
      <c r="B37" s="84"/>
      <c r="C37" s="86"/>
      <c r="D37" s="86"/>
      <c r="E37" s="68"/>
      <c r="F37" s="68"/>
      <c r="G37" s="68"/>
      <c r="H37" s="68"/>
      <c r="I37" s="68"/>
      <c r="J37" s="68"/>
      <c r="K37" s="68"/>
      <c r="L37" s="68"/>
      <c r="M37" s="68"/>
      <c r="N37" s="68"/>
      <c r="O37" s="68"/>
    </row>
    <row r="38" spans="1:15" ht="20">
      <c r="A38" s="84"/>
      <c r="B38" s="84"/>
      <c r="C38" s="86"/>
      <c r="D38" s="86"/>
      <c r="E38" s="68"/>
      <c r="F38" s="68"/>
      <c r="G38" s="68"/>
      <c r="H38" s="68"/>
      <c r="I38" s="68"/>
      <c r="J38" s="68"/>
      <c r="K38" s="68"/>
      <c r="L38" s="68"/>
      <c r="M38" s="68"/>
      <c r="N38" s="68"/>
      <c r="O38" s="68"/>
    </row>
    <row r="39" spans="1:15" ht="20">
      <c r="A39" s="84"/>
      <c r="B39" s="84"/>
      <c r="C39" s="86"/>
      <c r="D39" s="86"/>
      <c r="E39" s="68"/>
      <c r="F39" s="68"/>
      <c r="G39" s="68"/>
      <c r="H39" s="68"/>
      <c r="I39" s="68"/>
      <c r="J39" s="68"/>
      <c r="K39" s="68"/>
      <c r="L39" s="68"/>
      <c r="M39" s="68"/>
      <c r="N39" s="68"/>
      <c r="O39" s="68"/>
    </row>
    <row r="40" spans="1:15" ht="20">
      <c r="A40" s="84"/>
      <c r="B40" s="84"/>
      <c r="C40" s="86"/>
      <c r="D40" s="86"/>
      <c r="E40" s="68"/>
      <c r="F40" s="68"/>
      <c r="G40" s="68"/>
      <c r="H40" s="68"/>
      <c r="I40" s="68"/>
      <c r="J40" s="68"/>
      <c r="K40" s="68"/>
      <c r="L40" s="68"/>
      <c r="M40" s="68"/>
      <c r="N40" s="68"/>
      <c r="O40" s="68"/>
    </row>
    <row r="41" spans="1:15" ht="20">
      <c r="A41" s="84"/>
      <c r="B41" s="84"/>
      <c r="C41" s="86"/>
      <c r="D41" s="86"/>
      <c r="E41" s="68"/>
      <c r="F41" s="68"/>
      <c r="G41" s="68"/>
      <c r="H41" s="68"/>
      <c r="I41" s="68"/>
      <c r="J41" s="68"/>
      <c r="K41" s="68"/>
      <c r="L41" s="68"/>
      <c r="M41" s="68"/>
      <c r="N41" s="68"/>
      <c r="O41" s="68"/>
    </row>
    <row r="42" spans="1:15" ht="20">
      <c r="A42" s="84"/>
      <c r="B42" s="84"/>
      <c r="C42" s="86"/>
      <c r="D42" s="86"/>
      <c r="E42" s="68"/>
      <c r="F42" s="68"/>
      <c r="G42" s="68"/>
      <c r="H42" s="68"/>
      <c r="I42" s="68"/>
      <c r="J42" s="68"/>
      <c r="K42" s="68"/>
      <c r="L42" s="68"/>
      <c r="M42" s="68"/>
      <c r="N42" s="68"/>
      <c r="O42" s="68"/>
    </row>
    <row r="43" spans="1:15" ht="20">
      <c r="A43" s="84"/>
      <c r="B43" s="84"/>
      <c r="C43" s="86"/>
      <c r="D43" s="86"/>
      <c r="E43" s="68"/>
      <c r="F43" s="68"/>
      <c r="G43" s="68"/>
      <c r="H43" s="68"/>
      <c r="I43" s="68"/>
      <c r="J43" s="68"/>
      <c r="K43" s="68"/>
      <c r="L43" s="68"/>
      <c r="M43" s="68"/>
      <c r="N43" s="68"/>
      <c r="O43" s="68"/>
    </row>
    <row r="44" spans="1:15" ht="20">
      <c r="A44" s="84"/>
      <c r="B44" s="84"/>
      <c r="C44" s="86"/>
      <c r="D44" s="86"/>
      <c r="E44" s="68"/>
      <c r="F44" s="68"/>
      <c r="G44" s="68"/>
      <c r="H44" s="68"/>
      <c r="I44" s="68"/>
      <c r="J44" s="68"/>
      <c r="K44" s="68"/>
      <c r="L44" s="68"/>
      <c r="M44" s="68"/>
      <c r="N44" s="68"/>
      <c r="O44" s="68"/>
    </row>
    <row r="45" spans="1:15" ht="20">
      <c r="A45" s="84"/>
      <c r="B45" s="84"/>
      <c r="C45" s="86"/>
      <c r="D45" s="86"/>
      <c r="E45" s="68"/>
      <c r="F45" s="68"/>
      <c r="G45" s="68"/>
      <c r="H45" s="68"/>
      <c r="I45" s="68"/>
      <c r="J45" s="68"/>
      <c r="K45" s="68"/>
      <c r="L45" s="68"/>
      <c r="M45" s="68"/>
      <c r="N45" s="68"/>
      <c r="O45" s="68"/>
    </row>
    <row r="46" spans="1:15" ht="20">
      <c r="A46" s="84"/>
      <c r="B46" s="84"/>
      <c r="C46" s="86"/>
      <c r="D46" s="86"/>
      <c r="E46" s="68"/>
      <c r="F46" s="68"/>
      <c r="G46" s="68"/>
      <c r="H46" s="68"/>
      <c r="I46" s="68"/>
      <c r="J46" s="68"/>
      <c r="K46" s="68"/>
      <c r="L46" s="68"/>
      <c r="M46" s="68"/>
      <c r="N46" s="68"/>
      <c r="O46" s="68"/>
    </row>
    <row r="47" spans="1:15" ht="20">
      <c r="A47" s="84"/>
      <c r="B47" s="84"/>
      <c r="C47" s="86"/>
      <c r="D47" s="86"/>
      <c r="E47" s="68"/>
      <c r="F47" s="68"/>
      <c r="G47" s="68"/>
      <c r="H47" s="68"/>
      <c r="I47" s="68"/>
      <c r="J47" s="68"/>
      <c r="K47" s="68"/>
      <c r="L47" s="68"/>
      <c r="M47" s="68"/>
      <c r="N47" s="68"/>
      <c r="O47" s="68"/>
    </row>
    <row r="48" spans="1:15" ht="20">
      <c r="A48" s="84"/>
      <c r="B48" s="84"/>
      <c r="C48" s="86"/>
      <c r="D48" s="86"/>
      <c r="E48" s="68"/>
      <c r="F48" s="68"/>
      <c r="G48" s="68"/>
      <c r="H48" s="68"/>
      <c r="I48" s="68"/>
      <c r="J48" s="68"/>
      <c r="K48" s="68"/>
      <c r="L48" s="68"/>
      <c r="M48" s="68"/>
      <c r="N48" s="68"/>
      <c r="O48" s="68"/>
    </row>
    <row r="49" spans="1:15" ht="20">
      <c r="A49" s="84"/>
      <c r="B49" s="84"/>
      <c r="C49" s="86"/>
      <c r="D49" s="86"/>
      <c r="E49" s="68"/>
      <c r="F49" s="68"/>
      <c r="G49" s="68"/>
      <c r="H49" s="68"/>
      <c r="I49" s="68"/>
      <c r="J49" s="68"/>
      <c r="K49" s="68"/>
      <c r="L49" s="68"/>
      <c r="M49" s="68"/>
      <c r="N49" s="68"/>
      <c r="O49" s="68"/>
    </row>
    <row r="50" spans="1:15" ht="20">
      <c r="A50" s="84"/>
      <c r="B50" s="84"/>
      <c r="C50" s="86"/>
      <c r="D50" s="86"/>
      <c r="E50" s="68"/>
      <c r="F50" s="68"/>
      <c r="G50" s="68"/>
      <c r="H50" s="68"/>
      <c r="I50" s="68"/>
      <c r="J50" s="68"/>
      <c r="K50" s="68"/>
      <c r="L50" s="68"/>
      <c r="M50" s="68"/>
      <c r="N50" s="68"/>
      <c r="O50" s="68"/>
    </row>
    <row r="51" spans="1:15" ht="20">
      <c r="A51" s="84"/>
      <c r="B51" s="84"/>
      <c r="C51" s="86"/>
      <c r="D51" s="86"/>
      <c r="E51" s="68"/>
      <c r="F51" s="68"/>
      <c r="G51" s="68"/>
      <c r="H51" s="68"/>
      <c r="I51" s="68"/>
      <c r="J51" s="68"/>
      <c r="K51" s="68"/>
      <c r="L51" s="68"/>
      <c r="M51" s="68"/>
      <c r="N51" s="68"/>
      <c r="O51" s="68"/>
    </row>
    <row r="52" spans="1:15" ht="20">
      <c r="A52" s="84"/>
      <c r="B52" s="15"/>
      <c r="C52" s="20"/>
      <c r="D52" s="20"/>
    </row>
    <row r="53" spans="1:15" ht="20">
      <c r="A53" s="84"/>
      <c r="B53" s="15"/>
      <c r="C53" s="20"/>
      <c r="D53" s="20"/>
    </row>
    <row r="54" spans="1:15" ht="20">
      <c r="A54" s="84"/>
      <c r="B54" s="15"/>
      <c r="C54" s="20"/>
      <c r="D54" s="20"/>
    </row>
    <row r="55" spans="1:15" ht="20">
      <c r="A55" s="84"/>
      <c r="B55" s="15"/>
      <c r="C55" s="20"/>
      <c r="D55" s="20"/>
    </row>
    <row r="56" spans="1:15" ht="20">
      <c r="A56" s="84"/>
      <c r="B56" s="15"/>
      <c r="C56" s="20"/>
      <c r="D56" s="20"/>
    </row>
    <row r="57" spans="1:15" ht="20">
      <c r="A57" s="84"/>
      <c r="B57" s="15"/>
      <c r="C57" s="20"/>
      <c r="D57" s="20"/>
    </row>
    <row r="58" spans="1:15" ht="20">
      <c r="A58" s="84"/>
      <c r="B58" s="15"/>
      <c r="C58" s="20"/>
      <c r="D58" s="20"/>
    </row>
    <row r="59" spans="1:15" ht="20">
      <c r="A59" s="84"/>
      <c r="B59" s="15"/>
      <c r="C59" s="20"/>
      <c r="D59" s="20"/>
    </row>
    <row r="60" spans="1:15" ht="20">
      <c r="A60" s="84"/>
      <c r="B60" s="15"/>
      <c r="C60" s="20"/>
      <c r="D60" s="20"/>
    </row>
    <row r="61" spans="1:15" ht="20">
      <c r="A61" s="84"/>
      <c r="B61" s="15"/>
      <c r="C61" s="20"/>
      <c r="D61" s="20"/>
    </row>
    <row r="62" spans="1:15" ht="20">
      <c r="A62" s="84"/>
      <c r="B62" s="15"/>
      <c r="C62" s="20"/>
      <c r="D62" s="20"/>
    </row>
    <row r="63" spans="1:15" ht="20">
      <c r="A63" s="84"/>
      <c r="B63" s="15"/>
      <c r="C63" s="20"/>
      <c r="D63" s="20"/>
    </row>
    <row r="64" spans="1:15" ht="20">
      <c r="A64" s="84"/>
      <c r="B64" s="15"/>
      <c r="C64" s="20"/>
      <c r="D64" s="20"/>
    </row>
    <row r="65" spans="1:4" ht="20">
      <c r="A65" s="84"/>
      <c r="B65" s="15"/>
      <c r="C65" s="20"/>
      <c r="D65" s="20"/>
    </row>
    <row r="66" spans="1:4" ht="20">
      <c r="A66" s="84"/>
      <c r="B66" s="15"/>
      <c r="C66" s="20"/>
      <c r="D66" s="20"/>
    </row>
    <row r="67" spans="1:4" ht="20">
      <c r="A67" s="84"/>
      <c r="B67" s="15"/>
      <c r="C67" s="20"/>
      <c r="D67" s="20"/>
    </row>
    <row r="68" spans="1:4" ht="20">
      <c r="A68" s="84"/>
      <c r="B68" s="15"/>
      <c r="C68" s="20"/>
      <c r="D68" s="20"/>
    </row>
    <row r="69" spans="1:4" ht="20">
      <c r="A69" s="84"/>
      <c r="B69" s="15"/>
      <c r="C69" s="20"/>
      <c r="D69" s="20"/>
    </row>
    <row r="70" spans="1:4" ht="20">
      <c r="A70" s="84"/>
      <c r="B70" s="15"/>
      <c r="C70" s="20"/>
      <c r="D70" s="20"/>
    </row>
    <row r="71" spans="1:4" ht="20">
      <c r="A71" s="84"/>
      <c r="B71" s="15"/>
      <c r="C71" s="20"/>
      <c r="D71" s="20"/>
    </row>
    <row r="72" spans="1:4" ht="20">
      <c r="A72" s="84"/>
      <c r="B72" s="15"/>
      <c r="C72" s="20"/>
      <c r="D72" s="20"/>
    </row>
    <row r="73" spans="1:4" ht="20">
      <c r="A73" s="84"/>
      <c r="B73" s="15"/>
      <c r="C73" s="20"/>
      <c r="D73" s="20"/>
    </row>
    <row r="74" spans="1:4" ht="20">
      <c r="A74" s="84"/>
      <c r="B74" s="15"/>
      <c r="C74" s="20"/>
      <c r="D74" s="20"/>
    </row>
    <row r="75" spans="1:4" ht="20">
      <c r="A75" s="84"/>
      <c r="B75" s="15"/>
      <c r="C75" s="20"/>
      <c r="D75" s="20"/>
    </row>
    <row r="76" spans="1:4" ht="20">
      <c r="A76" s="84"/>
      <c r="B76" s="15"/>
      <c r="C76" s="20"/>
      <c r="D76" s="20"/>
    </row>
    <row r="77" spans="1:4" ht="20">
      <c r="A77" s="84"/>
      <c r="B77" s="15"/>
      <c r="C77" s="20"/>
      <c r="D77" s="20"/>
    </row>
    <row r="78" spans="1:4" ht="20">
      <c r="A78" s="84"/>
      <c r="B78" s="15"/>
      <c r="C78" s="20"/>
      <c r="D78" s="20"/>
    </row>
    <row r="79" spans="1:4" ht="20">
      <c r="A79" s="84"/>
      <c r="B79" s="15"/>
      <c r="C79" s="20"/>
      <c r="D79" s="20"/>
    </row>
    <row r="80" spans="1:4" ht="20">
      <c r="A80" s="84"/>
      <c r="B80" s="15"/>
      <c r="C80" s="20"/>
      <c r="D80" s="20"/>
    </row>
    <row r="81" spans="1:4" ht="20">
      <c r="A81" s="84"/>
      <c r="B81" s="15"/>
      <c r="C81" s="20"/>
      <c r="D81" s="20"/>
    </row>
    <row r="82" spans="1:4" ht="20">
      <c r="A82" s="84"/>
      <c r="B82" s="15"/>
      <c r="C82" s="20"/>
      <c r="D82" s="20"/>
    </row>
    <row r="83" spans="1:4" ht="20">
      <c r="A83" s="84"/>
      <c r="B83" s="15"/>
      <c r="C83" s="20"/>
      <c r="D83" s="20"/>
    </row>
    <row r="84" spans="1:4" ht="20">
      <c r="A84" s="84"/>
      <c r="B84" s="15"/>
      <c r="C84" s="20"/>
      <c r="D84" s="20"/>
    </row>
    <row r="85" spans="1:4" ht="20">
      <c r="A85" s="84"/>
      <c r="B85" s="15"/>
      <c r="C85" s="20"/>
      <c r="D85" s="20"/>
    </row>
    <row r="86" spans="1:4" ht="20">
      <c r="A86" s="84"/>
      <c r="B86" s="15"/>
      <c r="C86" s="20"/>
      <c r="D86" s="20"/>
    </row>
    <row r="87" spans="1:4" ht="20">
      <c r="A87" s="84"/>
      <c r="B87" s="15"/>
      <c r="C87" s="20"/>
      <c r="D87" s="20"/>
    </row>
    <row r="88" spans="1:4" ht="20">
      <c r="A88" s="84"/>
      <c r="B88" s="15"/>
      <c r="C88" s="20"/>
      <c r="D88" s="20"/>
    </row>
    <row r="89" spans="1:4" ht="20">
      <c r="A89" s="84"/>
      <c r="B89" s="15"/>
      <c r="C89" s="20"/>
      <c r="D89" s="20"/>
    </row>
    <row r="90" spans="1:4" ht="20">
      <c r="A90" s="84"/>
      <c r="B90" s="15"/>
      <c r="C90" s="20"/>
      <c r="D90" s="20"/>
    </row>
    <row r="91" spans="1:4" ht="20">
      <c r="A91" s="84"/>
      <c r="B91" s="15"/>
      <c r="C91" s="20"/>
      <c r="D91" s="20"/>
    </row>
    <row r="92" spans="1:4" ht="20">
      <c r="A92" s="84"/>
      <c r="B92" s="15"/>
      <c r="C92" s="20"/>
      <c r="D92" s="20"/>
    </row>
    <row r="93" spans="1:4" ht="20">
      <c r="A93" s="84"/>
      <c r="B93" s="15"/>
      <c r="C93" s="20"/>
      <c r="D93" s="20"/>
    </row>
    <row r="94" spans="1:4" ht="20">
      <c r="A94" s="84"/>
      <c r="B94" s="15"/>
      <c r="C94" s="20"/>
      <c r="D94" s="20"/>
    </row>
    <row r="95" spans="1:4" ht="20">
      <c r="A95" s="84"/>
      <c r="B95" s="15"/>
      <c r="C95" s="20"/>
      <c r="D95" s="20"/>
    </row>
    <row r="96" spans="1:4" ht="20">
      <c r="A96" s="84"/>
      <c r="B96" s="15"/>
      <c r="C96" s="20"/>
      <c r="D96" s="20"/>
    </row>
    <row r="97" spans="1:4" ht="20">
      <c r="A97" s="84"/>
      <c r="B97" s="15"/>
      <c r="C97" s="20"/>
      <c r="D97" s="20"/>
    </row>
    <row r="98" spans="1:4" ht="20">
      <c r="A98" s="84"/>
      <c r="B98" s="15"/>
      <c r="C98" s="20"/>
      <c r="D98" s="20"/>
    </row>
    <row r="99" spans="1:4" ht="20">
      <c r="A99" s="84"/>
      <c r="B99" s="15"/>
      <c r="C99" s="20"/>
      <c r="D99" s="20"/>
    </row>
    <row r="100" spans="1:4" ht="20">
      <c r="A100" s="84"/>
      <c r="B100" s="15"/>
      <c r="C100" s="20"/>
      <c r="D100" s="20"/>
    </row>
    <row r="101" spans="1:4" ht="20">
      <c r="A101" s="84"/>
      <c r="B101" s="15"/>
      <c r="C101" s="20"/>
      <c r="D101" s="20"/>
    </row>
    <row r="102" spans="1:4" ht="20">
      <c r="A102" s="84"/>
      <c r="B102" s="15"/>
      <c r="C102" s="20"/>
      <c r="D102" s="20"/>
    </row>
    <row r="103" spans="1:4" ht="20">
      <c r="A103" s="84"/>
      <c r="B103" s="15"/>
      <c r="C103" s="20"/>
      <c r="D103" s="20"/>
    </row>
    <row r="104" spans="1:4" ht="20">
      <c r="A104" s="84"/>
      <c r="B104" s="15"/>
      <c r="C104" s="20"/>
      <c r="D104" s="20"/>
    </row>
    <row r="105" spans="1:4" ht="20">
      <c r="A105" s="84"/>
      <c r="B105" s="15"/>
      <c r="C105" s="20"/>
      <c r="D105" s="20"/>
    </row>
    <row r="106" spans="1:4" ht="20">
      <c r="A106" s="84"/>
      <c r="B106" s="15"/>
      <c r="C106" s="20"/>
      <c r="D106" s="20"/>
    </row>
    <row r="107" spans="1:4" ht="20">
      <c r="A107" s="84"/>
      <c r="B107" s="15"/>
      <c r="C107" s="20"/>
      <c r="D107" s="20"/>
    </row>
    <row r="108" spans="1:4" ht="20">
      <c r="A108" s="84"/>
      <c r="B108" s="15"/>
      <c r="C108" s="20"/>
      <c r="D108" s="20"/>
    </row>
    <row r="109" spans="1:4" ht="20">
      <c r="A109" s="84"/>
      <c r="B109" s="15"/>
      <c r="C109" s="20"/>
      <c r="D109" s="20"/>
    </row>
    <row r="110" spans="1:4" ht="20">
      <c r="A110" s="84"/>
      <c r="B110" s="15"/>
      <c r="C110" s="20"/>
      <c r="D110" s="20"/>
    </row>
    <row r="111" spans="1:4" ht="20">
      <c r="A111" s="84"/>
      <c r="B111" s="15"/>
      <c r="C111" s="20"/>
      <c r="D111" s="20"/>
    </row>
    <row r="112" spans="1:4" ht="20">
      <c r="A112" s="84"/>
      <c r="B112" s="15"/>
      <c r="C112" s="20"/>
      <c r="D112" s="20"/>
    </row>
    <row r="113" spans="1:4" ht="20">
      <c r="A113" s="84"/>
      <c r="B113" s="15"/>
      <c r="C113" s="20"/>
      <c r="D113" s="20"/>
    </row>
    <row r="114" spans="1:4" ht="20">
      <c r="A114" s="84"/>
      <c r="B114" s="15"/>
      <c r="C114" s="20"/>
      <c r="D114" s="20"/>
    </row>
    <row r="115" spans="1:4" ht="20">
      <c r="A115" s="84"/>
      <c r="B115" s="15"/>
      <c r="C115" s="20"/>
      <c r="D115" s="20"/>
    </row>
    <row r="116" spans="1:4" ht="20">
      <c r="A116" s="84"/>
      <c r="B116" s="15"/>
      <c r="C116" s="20"/>
      <c r="D116" s="20"/>
    </row>
    <row r="117" spans="1:4" ht="20">
      <c r="A117" s="84"/>
      <c r="B117" s="15"/>
      <c r="C117" s="20"/>
      <c r="D117" s="20"/>
    </row>
    <row r="118" spans="1:4" ht="20">
      <c r="A118" s="84"/>
      <c r="B118" s="15"/>
      <c r="C118" s="20"/>
      <c r="D118" s="20"/>
    </row>
    <row r="119" spans="1:4" ht="20">
      <c r="A119" s="84"/>
      <c r="B119" s="15"/>
      <c r="C119" s="20"/>
      <c r="D119" s="20"/>
    </row>
    <row r="120" spans="1:4" ht="20">
      <c r="A120" s="84"/>
      <c r="B120" s="15"/>
      <c r="C120" s="20"/>
      <c r="D120" s="20"/>
    </row>
    <row r="121" spans="1:4" ht="20">
      <c r="A121" s="84"/>
      <c r="B121" s="15"/>
      <c r="C121" s="20"/>
      <c r="D121" s="20"/>
    </row>
    <row r="122" spans="1:4" ht="20">
      <c r="A122" s="84"/>
      <c r="B122" s="15"/>
      <c r="C122" s="20"/>
      <c r="D122" s="20"/>
    </row>
    <row r="123" spans="1:4" ht="20">
      <c r="A123" s="84"/>
      <c r="B123" s="15"/>
      <c r="C123" s="20"/>
      <c r="D123" s="20"/>
    </row>
    <row r="124" spans="1:4" ht="20">
      <c r="A124" s="84"/>
      <c r="B124" s="15"/>
      <c r="C124" s="20"/>
      <c r="D124" s="20"/>
    </row>
    <row r="125" spans="1:4" ht="20">
      <c r="A125" s="84"/>
      <c r="B125" s="15"/>
      <c r="C125" s="20"/>
      <c r="D125" s="20"/>
    </row>
    <row r="126" spans="1:4" ht="20">
      <c r="A126" s="84"/>
      <c r="B126" s="15"/>
      <c r="C126" s="20"/>
      <c r="D126" s="20"/>
    </row>
    <row r="127" spans="1:4" ht="20">
      <c r="A127" s="84"/>
      <c r="B127" s="15"/>
      <c r="C127" s="20"/>
      <c r="D127" s="20"/>
    </row>
    <row r="128" spans="1:4" ht="20">
      <c r="A128" s="84"/>
      <c r="B128" s="15"/>
      <c r="C128" s="20"/>
      <c r="D128" s="20"/>
    </row>
    <row r="129" spans="1:4" ht="20">
      <c r="A129" s="84"/>
      <c r="B129" s="15"/>
      <c r="C129" s="20"/>
      <c r="D129" s="20"/>
    </row>
    <row r="130" spans="1:4" ht="20">
      <c r="A130" s="84"/>
      <c r="B130" s="15"/>
      <c r="C130" s="20"/>
      <c r="D130" s="20"/>
    </row>
    <row r="131" spans="1:4" ht="20">
      <c r="A131" s="84"/>
      <c r="B131" s="15"/>
      <c r="C131" s="20"/>
      <c r="D131" s="20"/>
    </row>
    <row r="132" spans="1:4" ht="20">
      <c r="A132" s="84"/>
      <c r="B132" s="15"/>
      <c r="C132" s="20"/>
      <c r="D132" s="20"/>
    </row>
    <row r="133" spans="1:4" ht="20">
      <c r="A133" s="84"/>
      <c r="B133" s="15"/>
      <c r="C133" s="20"/>
      <c r="D133" s="20"/>
    </row>
    <row r="134" spans="1:4" ht="20">
      <c r="A134" s="84"/>
      <c r="B134" s="15"/>
      <c r="C134" s="20"/>
      <c r="D134" s="20"/>
    </row>
    <row r="135" spans="1:4" ht="20">
      <c r="A135" s="84"/>
      <c r="B135" s="15"/>
      <c r="C135" s="20"/>
      <c r="D135" s="20"/>
    </row>
    <row r="136" spans="1:4" ht="20">
      <c r="A136" s="84"/>
      <c r="B136" s="15"/>
      <c r="C136" s="20"/>
      <c r="D136" s="20"/>
    </row>
    <row r="137" spans="1:4" ht="20">
      <c r="A137" s="84"/>
      <c r="B137" s="15"/>
      <c r="C137" s="20"/>
      <c r="D137" s="20"/>
    </row>
    <row r="138" spans="1:4" ht="20">
      <c r="A138" s="84"/>
      <c r="B138" s="15"/>
      <c r="C138" s="20"/>
      <c r="D138" s="20"/>
    </row>
    <row r="139" spans="1:4" ht="20">
      <c r="A139" s="84"/>
      <c r="B139" s="15"/>
      <c r="C139" s="20"/>
      <c r="D139" s="20"/>
    </row>
    <row r="140" spans="1:4" ht="20">
      <c r="A140" s="84"/>
      <c r="B140" s="15"/>
      <c r="C140" s="20"/>
      <c r="D140" s="20"/>
    </row>
    <row r="141" spans="1:4" ht="20">
      <c r="A141" s="84"/>
      <c r="B141" s="15"/>
      <c r="C141" s="20"/>
      <c r="D141" s="20"/>
    </row>
    <row r="142" spans="1:4" ht="20">
      <c r="A142" s="84"/>
      <c r="B142" s="15"/>
      <c r="C142" s="20"/>
      <c r="D142" s="20"/>
    </row>
    <row r="143" spans="1:4" ht="20">
      <c r="A143" s="84"/>
      <c r="B143" s="15"/>
      <c r="C143" s="20"/>
      <c r="D143" s="20"/>
    </row>
    <row r="144" spans="1:4" ht="20">
      <c r="A144" s="84"/>
      <c r="B144" s="15"/>
      <c r="C144" s="20"/>
      <c r="D144" s="20"/>
    </row>
    <row r="145" spans="1:4" ht="20">
      <c r="A145" s="84"/>
      <c r="B145" s="15"/>
      <c r="C145" s="20"/>
      <c r="D145" s="20"/>
    </row>
    <row r="146" spans="1:4" ht="20">
      <c r="A146" s="84"/>
      <c r="B146" s="15"/>
      <c r="C146" s="20"/>
      <c r="D146" s="20"/>
    </row>
    <row r="147" spans="1:4" ht="20">
      <c r="A147" s="84"/>
      <c r="B147" s="15"/>
      <c r="C147" s="20"/>
      <c r="D147" s="20"/>
    </row>
    <row r="148" spans="1:4" ht="20">
      <c r="A148" s="84"/>
      <c r="B148" s="15"/>
      <c r="C148" s="20"/>
      <c r="D148" s="20"/>
    </row>
    <row r="149" spans="1:4" ht="20">
      <c r="A149" s="84"/>
      <c r="B149" s="15"/>
      <c r="C149" s="20"/>
      <c r="D149" s="20"/>
    </row>
    <row r="150" spans="1:4" ht="20">
      <c r="A150" s="84"/>
      <c r="B150" s="15"/>
      <c r="C150" s="20"/>
      <c r="D150" s="20"/>
    </row>
    <row r="151" spans="1:4" ht="20">
      <c r="A151" s="84"/>
      <c r="B151" s="15"/>
      <c r="C151" s="20"/>
      <c r="D151" s="20"/>
    </row>
    <row r="152" spans="1:4" ht="20">
      <c r="A152" s="84"/>
      <c r="B152" s="15"/>
      <c r="C152" s="20"/>
      <c r="D152" s="20"/>
    </row>
    <row r="153" spans="1:4" ht="20">
      <c r="A153" s="84"/>
      <c r="B153" s="15"/>
      <c r="C153" s="20"/>
      <c r="D153" s="20"/>
    </row>
    <row r="154" spans="1:4" ht="20">
      <c r="A154" s="84"/>
      <c r="B154" s="15"/>
      <c r="C154" s="20"/>
      <c r="D154" s="20"/>
    </row>
    <row r="155" spans="1:4" ht="20">
      <c r="A155" s="84"/>
      <c r="B155" s="15"/>
      <c r="C155" s="20"/>
      <c r="D155" s="20"/>
    </row>
    <row r="156" spans="1:4" ht="20">
      <c r="A156" s="84"/>
      <c r="B156" s="15"/>
      <c r="C156" s="20"/>
      <c r="D156" s="20"/>
    </row>
    <row r="157" spans="1:4" ht="20">
      <c r="A157" s="84"/>
      <c r="B157" s="15"/>
      <c r="C157" s="20"/>
      <c r="D157" s="20"/>
    </row>
    <row r="158" spans="1:4" ht="20">
      <c r="A158" s="84"/>
      <c r="B158" s="15"/>
      <c r="C158" s="20"/>
      <c r="D158" s="20"/>
    </row>
    <row r="159" spans="1:4" ht="20">
      <c r="A159" s="84"/>
      <c r="B159" s="15"/>
      <c r="C159" s="20"/>
      <c r="D159" s="20"/>
    </row>
    <row r="160" spans="1:4" ht="20">
      <c r="A160" s="84"/>
      <c r="B160" s="15"/>
      <c r="C160" s="20"/>
      <c r="D160" s="20"/>
    </row>
    <row r="161" spans="1:4" ht="20">
      <c r="A161" s="84"/>
      <c r="B161" s="15"/>
      <c r="C161" s="20"/>
      <c r="D161" s="20"/>
    </row>
    <row r="162" spans="1:4" ht="20">
      <c r="A162" s="84"/>
      <c r="B162" s="15"/>
      <c r="C162" s="20"/>
      <c r="D162" s="20"/>
    </row>
    <row r="163" spans="1:4" ht="20">
      <c r="A163" s="84"/>
      <c r="B163" s="15"/>
      <c r="C163" s="20"/>
      <c r="D163" s="20"/>
    </row>
    <row r="164" spans="1:4" ht="20">
      <c r="A164" s="84"/>
      <c r="B164" s="15"/>
      <c r="C164" s="20"/>
      <c r="D164" s="20"/>
    </row>
    <row r="165" spans="1:4" ht="20">
      <c r="A165" s="84"/>
      <c r="B165" s="15"/>
      <c r="C165" s="20"/>
      <c r="D165" s="20"/>
    </row>
    <row r="166" spans="1:4" ht="20">
      <c r="A166" s="84"/>
      <c r="B166" s="15"/>
      <c r="C166" s="20"/>
      <c r="D166" s="20"/>
    </row>
    <row r="167" spans="1:4" ht="20">
      <c r="A167" s="84"/>
      <c r="B167" s="15"/>
      <c r="C167" s="20"/>
      <c r="D167" s="20"/>
    </row>
    <row r="168" spans="1:4" ht="20">
      <c r="A168" s="84"/>
      <c r="B168" s="15"/>
      <c r="C168" s="20"/>
      <c r="D168" s="20"/>
    </row>
    <row r="169" spans="1:4" ht="20">
      <c r="A169" s="84"/>
      <c r="B169" s="15"/>
      <c r="C169" s="20"/>
      <c r="D169" s="20"/>
    </row>
    <row r="170" spans="1:4" ht="20">
      <c r="A170" s="84"/>
      <c r="B170" s="15"/>
      <c r="C170" s="20"/>
      <c r="D170" s="20"/>
    </row>
    <row r="171" spans="1:4" ht="20">
      <c r="A171" s="84"/>
      <c r="B171" s="15"/>
      <c r="C171" s="20"/>
      <c r="D171" s="20"/>
    </row>
    <row r="172" spans="1:4" ht="20">
      <c r="A172" s="84"/>
      <c r="B172" s="15"/>
      <c r="C172" s="20"/>
      <c r="D172" s="20"/>
    </row>
    <row r="173" spans="1:4" ht="20">
      <c r="A173" s="84"/>
      <c r="B173" s="15"/>
      <c r="C173" s="20"/>
      <c r="D173" s="20"/>
    </row>
    <row r="174" spans="1:4" ht="20">
      <c r="A174" s="84"/>
      <c r="B174" s="15"/>
      <c r="C174" s="20"/>
      <c r="D174" s="20"/>
    </row>
    <row r="175" spans="1:4" ht="20">
      <c r="A175" s="84"/>
      <c r="B175" s="15"/>
      <c r="C175" s="20"/>
      <c r="D175" s="20"/>
    </row>
    <row r="176" spans="1:4" ht="20">
      <c r="A176" s="84"/>
      <c r="B176" s="15"/>
      <c r="C176" s="20"/>
      <c r="D176" s="20"/>
    </row>
    <row r="177" spans="1:4" ht="20">
      <c r="A177" s="84"/>
      <c r="B177" s="15"/>
      <c r="C177" s="20"/>
      <c r="D177" s="20"/>
    </row>
    <row r="178" spans="1:4" ht="20">
      <c r="A178" s="84"/>
      <c r="B178" s="15"/>
      <c r="C178" s="20"/>
      <c r="D178" s="20"/>
    </row>
    <row r="179" spans="1:4" ht="20">
      <c r="A179" s="84"/>
      <c r="B179" s="15"/>
      <c r="C179" s="20"/>
      <c r="D179" s="20"/>
    </row>
    <row r="180" spans="1:4" ht="20">
      <c r="A180" s="84"/>
      <c r="B180" s="15"/>
      <c r="C180" s="20"/>
      <c r="D180" s="20"/>
    </row>
    <row r="181" spans="1:4" ht="20">
      <c r="A181" s="84"/>
      <c r="B181" s="15"/>
      <c r="C181" s="20"/>
      <c r="D181" s="20"/>
    </row>
    <row r="182" spans="1:4" ht="20">
      <c r="A182" s="84"/>
      <c r="B182" s="15"/>
      <c r="C182" s="20"/>
      <c r="D182" s="20"/>
    </row>
    <row r="183" spans="1:4" ht="20">
      <c r="A183" s="84"/>
      <c r="B183" s="15"/>
      <c r="C183" s="20"/>
      <c r="D183" s="20"/>
    </row>
    <row r="184" spans="1:4" ht="20">
      <c r="A184" s="84"/>
      <c r="B184" s="15"/>
      <c r="C184" s="20"/>
      <c r="D184" s="20"/>
    </row>
    <row r="185" spans="1:4" ht="20">
      <c r="A185" s="84"/>
      <c r="B185" s="15"/>
      <c r="C185" s="20"/>
      <c r="D185" s="20"/>
    </row>
    <row r="186" spans="1:4" ht="20">
      <c r="A186" s="84"/>
      <c r="B186" s="15"/>
      <c r="C186" s="20"/>
      <c r="D186" s="20"/>
    </row>
    <row r="187" spans="1:4" ht="20">
      <c r="A187" s="84"/>
      <c r="B187" s="15"/>
      <c r="C187" s="20"/>
      <c r="D187" s="20"/>
    </row>
    <row r="188" spans="1:4" ht="20">
      <c r="A188" s="84"/>
      <c r="B188" s="15"/>
      <c r="C188" s="20"/>
      <c r="D188" s="20"/>
    </row>
    <row r="189" spans="1:4" ht="20">
      <c r="A189" s="84"/>
      <c r="B189" s="15"/>
      <c r="C189" s="20"/>
      <c r="D189" s="20"/>
    </row>
    <row r="190" spans="1:4" ht="20">
      <c r="A190" s="84"/>
      <c r="B190" s="15"/>
      <c r="C190" s="20"/>
      <c r="D190" s="20"/>
    </row>
    <row r="191" spans="1:4" ht="20">
      <c r="A191" s="84"/>
      <c r="B191" s="15"/>
      <c r="C191" s="20"/>
      <c r="D191" s="20"/>
    </row>
    <row r="192" spans="1:4" ht="20">
      <c r="A192" s="84"/>
      <c r="B192" s="15"/>
      <c r="C192" s="20"/>
      <c r="D192" s="20"/>
    </row>
    <row r="193" spans="1:4" ht="20">
      <c r="A193" s="84"/>
      <c r="B193" s="15"/>
      <c r="C193" s="20"/>
      <c r="D193" s="20"/>
    </row>
    <row r="194" spans="1:4" ht="20">
      <c r="A194" s="84"/>
      <c r="B194" s="15"/>
      <c r="C194" s="20"/>
      <c r="D194" s="20"/>
    </row>
    <row r="195" spans="1:4" ht="20">
      <c r="A195" s="84"/>
      <c r="B195" s="15"/>
      <c r="C195" s="20"/>
      <c r="D195" s="20"/>
    </row>
    <row r="196" spans="1:4" ht="20">
      <c r="A196" s="84"/>
      <c r="B196" s="15"/>
      <c r="C196" s="20"/>
      <c r="D196" s="20"/>
    </row>
    <row r="197" spans="1:4" ht="20">
      <c r="A197" s="84"/>
      <c r="B197" s="15"/>
      <c r="C197" s="20"/>
      <c r="D197" s="20"/>
    </row>
    <row r="198" spans="1:4" ht="20">
      <c r="A198" s="84"/>
      <c r="B198" s="15"/>
      <c r="C198" s="20"/>
      <c r="D198" s="20"/>
    </row>
    <row r="199" spans="1:4" ht="20">
      <c r="A199" s="84"/>
      <c r="B199" s="15"/>
      <c r="C199" s="20"/>
      <c r="D199" s="20"/>
    </row>
    <row r="200" spans="1:4" ht="20">
      <c r="A200" s="84"/>
      <c r="B200" s="15"/>
      <c r="C200" s="20"/>
      <c r="D200" s="20"/>
    </row>
    <row r="201" spans="1:4" ht="20">
      <c r="A201" s="84"/>
      <c r="B201" s="15"/>
      <c r="C201" s="20"/>
      <c r="D201" s="20"/>
    </row>
    <row r="202" spans="1:4" ht="20">
      <c r="A202" s="84"/>
      <c r="B202" s="15"/>
      <c r="C202" s="20"/>
      <c r="D202" s="20"/>
    </row>
    <row r="203" spans="1:4" ht="20">
      <c r="A203" s="84"/>
      <c r="B203" s="15"/>
      <c r="C203" s="20"/>
      <c r="D203" s="20"/>
    </row>
    <row r="204" spans="1:4" ht="20">
      <c r="A204" s="84"/>
      <c r="B204" s="15"/>
      <c r="C204" s="20"/>
      <c r="D204" s="20"/>
    </row>
    <row r="205" spans="1:4" ht="20">
      <c r="A205" s="84"/>
      <c r="B205" s="15"/>
      <c r="C205" s="20"/>
      <c r="D205" s="20"/>
    </row>
    <row r="206" spans="1:4" ht="20">
      <c r="A206" s="84"/>
      <c r="B206" s="15"/>
      <c r="C206" s="20"/>
      <c r="D206" s="20"/>
    </row>
    <row r="207" spans="1:4" ht="20">
      <c r="A207" s="84"/>
      <c r="B207" s="15"/>
      <c r="C207" s="20"/>
      <c r="D207" s="20"/>
    </row>
    <row r="208" spans="1:4">
      <c r="A208" s="68"/>
      <c r="B208" s="15"/>
      <c r="C208" s="15"/>
      <c r="D208" s="15"/>
    </row>
    <row r="209" spans="1:8" ht="20">
      <c r="A209" s="68"/>
      <c r="B209" s="16" t="s">
        <v>389</v>
      </c>
      <c r="C209" s="16" t="s">
        <v>390</v>
      </c>
      <c r="D209" s="19" t="s">
        <v>389</v>
      </c>
      <c r="E209" s="19" t="s">
        <v>390</v>
      </c>
    </row>
    <row r="210" spans="1:8" ht="21">
      <c r="A210" s="68"/>
      <c r="B210" s="17" t="s">
        <v>391</v>
      </c>
      <c r="C210" s="17" t="s">
        <v>392</v>
      </c>
      <c r="D210" t="s">
        <v>391</v>
      </c>
      <c r="F210" t="str">
        <f>IF(NOT(ISBLANK(D210)),D210,IF(NOT(ISBLANK(E210)),"     "&amp;E210,FALSE))</f>
        <v>Afectación Económica o presupuestal</v>
      </c>
      <c r="G210" t="s">
        <v>391</v>
      </c>
      <c r="H210" t="str">
        <f>IF(NOT(ISERROR(MATCH(G210,_xlfn.ANCHORARRAY(B221),0))),F223&amp;"Por favor no seleccionar los criterios de impacto",G210)</f>
        <v>❌Por favor no seleccionar los criterios de impacto</v>
      </c>
    </row>
    <row r="211" spans="1:8" ht="21">
      <c r="A211" s="68"/>
      <c r="B211" s="17" t="s">
        <v>391</v>
      </c>
      <c r="C211" s="17" t="s">
        <v>376</v>
      </c>
      <c r="E211" t="s">
        <v>392</v>
      </c>
      <c r="F211" t="str">
        <f t="shared" ref="F211:F221" si="0">IF(NOT(ISBLANK(D211)),D211,IF(NOT(ISBLANK(E211)),"     "&amp;E211,FALSE))</f>
        <v xml:space="preserve">     Afectación menor a 10 SMLMV .</v>
      </c>
    </row>
    <row r="212" spans="1:8" ht="21">
      <c r="A212" s="68"/>
      <c r="B212" s="17" t="s">
        <v>391</v>
      </c>
      <c r="C212" s="17" t="s">
        <v>379</v>
      </c>
      <c r="E212" t="s">
        <v>376</v>
      </c>
      <c r="F212" t="str">
        <f t="shared" si="0"/>
        <v xml:space="preserve">     Entre 10 y 50 SMLMV </v>
      </c>
    </row>
    <row r="213" spans="1:8" ht="21">
      <c r="A213" s="68"/>
      <c r="B213" s="17" t="s">
        <v>391</v>
      </c>
      <c r="C213" s="17" t="s">
        <v>382</v>
      </c>
      <c r="E213" t="s">
        <v>379</v>
      </c>
      <c r="F213" t="str">
        <f t="shared" si="0"/>
        <v xml:space="preserve">     Entre 50 y 100 SMLMV </v>
      </c>
    </row>
    <row r="214" spans="1:8" ht="21">
      <c r="A214" s="68"/>
      <c r="B214" s="17" t="s">
        <v>391</v>
      </c>
      <c r="C214" s="17" t="s">
        <v>385</v>
      </c>
      <c r="E214" t="s">
        <v>382</v>
      </c>
      <c r="F214" t="str">
        <f t="shared" si="0"/>
        <v xml:space="preserve">     Entre 100 y 500 SMLMV </v>
      </c>
    </row>
    <row r="215" spans="1:8" ht="21">
      <c r="A215" s="68"/>
      <c r="B215" s="17" t="s">
        <v>370</v>
      </c>
      <c r="C215" s="17" t="s">
        <v>374</v>
      </c>
      <c r="E215" t="s">
        <v>385</v>
      </c>
      <c r="F215" t="str">
        <f t="shared" si="0"/>
        <v xml:space="preserve">     Mayor a 500 SMLMV </v>
      </c>
    </row>
    <row r="216" spans="1:8" ht="21">
      <c r="A216" s="68"/>
      <c r="B216" s="17" t="s">
        <v>370</v>
      </c>
      <c r="C216" s="17" t="s">
        <v>377</v>
      </c>
      <c r="D216" t="s">
        <v>370</v>
      </c>
      <c r="F216" t="str">
        <f t="shared" si="0"/>
        <v>Pérdida Reputacional</v>
      </c>
    </row>
    <row r="217" spans="1:8" ht="21">
      <c r="A217" s="68"/>
      <c r="B217" s="17" t="s">
        <v>370</v>
      </c>
      <c r="C217" s="17" t="s">
        <v>380</v>
      </c>
      <c r="E217" t="s">
        <v>374</v>
      </c>
      <c r="F217" t="str">
        <f t="shared" si="0"/>
        <v xml:space="preserve">     El riesgo afecta la imagen de alguna área de la organización</v>
      </c>
    </row>
    <row r="218" spans="1:8" ht="21">
      <c r="A218" s="68"/>
      <c r="B218" s="17" t="s">
        <v>370</v>
      </c>
      <c r="C218" s="17" t="s">
        <v>393</v>
      </c>
      <c r="E218" t="s">
        <v>377</v>
      </c>
      <c r="F218" t="str">
        <f t="shared" si="0"/>
        <v xml:space="preserve">     El riesgo afecta la imagen de la entidad internamente, de conocimiento general, nivel interno, de junta dircetiva y accionistas y/o de provedores</v>
      </c>
    </row>
    <row r="219" spans="1:8" ht="21">
      <c r="A219" s="68"/>
      <c r="B219" s="17" t="s">
        <v>370</v>
      </c>
      <c r="C219" s="17" t="s">
        <v>386</v>
      </c>
      <c r="E219" t="s">
        <v>380</v>
      </c>
      <c r="F219" t="str">
        <f t="shared" si="0"/>
        <v xml:space="preserve">     El riesgo afecta la imagen de la entidad con algunos usuarios de relevancia frente al logro de los objetivos</v>
      </c>
    </row>
    <row r="220" spans="1:8">
      <c r="A220" s="68"/>
      <c r="B220" s="18"/>
      <c r="C220" s="18"/>
      <c r="E220" t="s">
        <v>393</v>
      </c>
      <c r="F220" t="str">
        <f t="shared" si="0"/>
        <v xml:space="preserve">     El riesgo afecta la imagen de de la entidad con efecto publicitario sostenido a nivel de sector administrativo, nivel departamental o municipal</v>
      </c>
    </row>
    <row r="221" spans="1:8">
      <c r="A221" s="68"/>
      <c r="B221" s="18" t="str">
        <f t="array" ref="B221:B223">_xlfn.UNIQUE(Tabla1[[#All],[Criterios]])</f>
        <v>Criterios</v>
      </c>
      <c r="C221" s="18"/>
      <c r="E221" t="s">
        <v>386</v>
      </c>
      <c r="F221" t="str">
        <f t="shared" si="0"/>
        <v xml:space="preserve">     El riesgo afecta la imagen de la entidad a nivel nacional, con efecto publicitarios sostenible a nivel país</v>
      </c>
    </row>
    <row r="222" spans="1:8">
      <c r="A222" s="68"/>
      <c r="B222" s="18" t="str">
        <v>Afectación Económica o presupuestal</v>
      </c>
      <c r="C222" s="18"/>
    </row>
    <row r="223" spans="1:8">
      <c r="B223" s="18" t="str">
        <v>Pérdida Reputacional</v>
      </c>
      <c r="C223" s="18"/>
      <c r="F223" s="21" t="s">
        <v>394</v>
      </c>
    </row>
    <row r="224" spans="1:8">
      <c r="B224" s="14"/>
      <c r="C224" s="14"/>
      <c r="F224" s="21" t="s">
        <v>395</v>
      </c>
    </row>
    <row r="225" spans="2:4">
      <c r="B225" s="14"/>
      <c r="C225" s="14"/>
    </row>
    <row r="226" spans="2:4">
      <c r="B226" s="14"/>
      <c r="C226" s="14"/>
    </row>
    <row r="227" spans="2:4">
      <c r="B227" s="14"/>
      <c r="C227" s="14"/>
      <c r="D227" s="14"/>
    </row>
    <row r="228" spans="2:4">
      <c r="B228" s="14"/>
      <c r="C228" s="14"/>
      <c r="D228" s="14"/>
    </row>
    <row r="229" spans="2:4">
      <c r="B229" s="14"/>
      <c r="C229" s="14"/>
      <c r="D229" s="14"/>
    </row>
    <row r="230" spans="2:4">
      <c r="B230" s="14"/>
      <c r="C230" s="14"/>
      <c r="D230" s="14"/>
    </row>
    <row r="231" spans="2:4">
      <c r="B231" s="14"/>
      <c r="C231" s="14"/>
      <c r="D231" s="14"/>
    </row>
    <row r="232" spans="2:4">
      <c r="B232" s="14"/>
      <c r="C232" s="14"/>
      <c r="D232" s="14"/>
    </row>
  </sheetData>
  <mergeCells count="1">
    <mergeCell ref="B1:D1"/>
  </mergeCells>
  <dataValidations count="1">
    <dataValidation type="list" allowBlank="1" showInputMessage="1" showErrorMessage="1" sqref="G210" xr:uid="{00000000-0002-0000-1000-000000000000}">
      <formula1>$F$210:$F$221</formula1>
    </dataValidation>
  </dataValidations>
  <pageMargins left="0.7" right="0.7" top="0.75" bottom="0.75" header="0.3" footer="0.3"/>
  <pageSetup orientation="portrait"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tabColor theme="7" tint="-0.249977111117893"/>
  </sheetPr>
  <dimension ref="B1:F16"/>
  <sheetViews>
    <sheetView workbookViewId="0">
      <selection activeCell="I11" sqref="I11"/>
    </sheetView>
  </sheetViews>
  <sheetFormatPr baseColWidth="10" defaultColWidth="14.33203125" defaultRowHeight="14"/>
  <cols>
    <col min="1" max="2" width="14.33203125" style="73"/>
    <col min="3" max="3" width="17" style="73" customWidth="1"/>
    <col min="4" max="4" width="14.33203125" style="73"/>
    <col min="5" max="5" width="46" style="73" customWidth="1"/>
    <col min="6" max="16384" width="14.33203125" style="73"/>
  </cols>
  <sheetData>
    <row r="1" spans="2:6" ht="24" customHeight="1" thickBot="1">
      <c r="B1" s="583" t="s">
        <v>396</v>
      </c>
      <c r="C1" s="584"/>
      <c r="D1" s="584"/>
      <c r="E1" s="584"/>
      <c r="F1" s="585"/>
    </row>
    <row r="2" spans="2:6" ht="17" thickBot="1">
      <c r="B2" s="74"/>
      <c r="C2" s="74"/>
      <c r="D2" s="74"/>
      <c r="E2" s="74"/>
      <c r="F2" s="74"/>
    </row>
    <row r="3" spans="2:6" ht="18" thickBot="1">
      <c r="B3" s="587" t="s">
        <v>397</v>
      </c>
      <c r="C3" s="588"/>
      <c r="D3" s="588"/>
      <c r="E3" s="195" t="s">
        <v>398</v>
      </c>
      <c r="F3" s="83" t="s">
        <v>399</v>
      </c>
    </row>
    <row r="4" spans="2:6" ht="34">
      <c r="B4" s="589" t="s">
        <v>400</v>
      </c>
      <c r="C4" s="591" t="s">
        <v>94</v>
      </c>
      <c r="D4" s="196" t="s">
        <v>151</v>
      </c>
      <c r="E4" s="75" t="s">
        <v>401</v>
      </c>
      <c r="F4" s="76">
        <v>0.25</v>
      </c>
    </row>
    <row r="5" spans="2:6" ht="51">
      <c r="B5" s="590"/>
      <c r="C5" s="592"/>
      <c r="D5" s="197" t="s">
        <v>100</v>
      </c>
      <c r="E5" s="77" t="s">
        <v>402</v>
      </c>
      <c r="F5" s="78">
        <v>0.15</v>
      </c>
    </row>
    <row r="6" spans="2:6" ht="34">
      <c r="B6" s="590"/>
      <c r="C6" s="592"/>
      <c r="D6" s="197" t="s">
        <v>179</v>
      </c>
      <c r="E6" s="77" t="s">
        <v>403</v>
      </c>
      <c r="F6" s="78">
        <v>0.1</v>
      </c>
    </row>
    <row r="7" spans="2:6" ht="51">
      <c r="B7" s="590"/>
      <c r="C7" s="592" t="s">
        <v>95</v>
      </c>
      <c r="D7" s="197" t="s">
        <v>152</v>
      </c>
      <c r="E7" s="77" t="s">
        <v>404</v>
      </c>
      <c r="F7" s="78">
        <v>0.25</v>
      </c>
    </row>
    <row r="8" spans="2:6" ht="34">
      <c r="B8" s="590"/>
      <c r="C8" s="592"/>
      <c r="D8" s="197" t="s">
        <v>165</v>
      </c>
      <c r="E8" s="77" t="s">
        <v>405</v>
      </c>
      <c r="F8" s="78">
        <v>0.15</v>
      </c>
    </row>
    <row r="9" spans="2:6" ht="51">
      <c r="B9" s="590" t="s">
        <v>406</v>
      </c>
      <c r="C9" s="592" t="s">
        <v>51</v>
      </c>
      <c r="D9" s="197" t="s">
        <v>153</v>
      </c>
      <c r="E9" s="77" t="s">
        <v>407</v>
      </c>
      <c r="F9" s="79" t="s">
        <v>408</v>
      </c>
    </row>
    <row r="10" spans="2:6" ht="51">
      <c r="B10" s="590"/>
      <c r="C10" s="592"/>
      <c r="D10" s="197" t="s">
        <v>166</v>
      </c>
      <c r="E10" s="77" t="s">
        <v>409</v>
      </c>
      <c r="F10" s="79" t="s">
        <v>408</v>
      </c>
    </row>
    <row r="11" spans="2:6" ht="34">
      <c r="B11" s="590"/>
      <c r="C11" s="592" t="s">
        <v>97</v>
      </c>
      <c r="D11" s="197" t="s">
        <v>154</v>
      </c>
      <c r="E11" s="77" t="s">
        <v>410</v>
      </c>
      <c r="F11" s="79" t="s">
        <v>408</v>
      </c>
    </row>
    <row r="12" spans="2:6" ht="34">
      <c r="B12" s="590"/>
      <c r="C12" s="592"/>
      <c r="D12" s="197" t="s">
        <v>167</v>
      </c>
      <c r="E12" s="77" t="s">
        <v>411</v>
      </c>
      <c r="F12" s="79" t="s">
        <v>408</v>
      </c>
    </row>
    <row r="13" spans="2:6" ht="34">
      <c r="B13" s="590"/>
      <c r="C13" s="592" t="s">
        <v>98</v>
      </c>
      <c r="D13" s="197" t="s">
        <v>412</v>
      </c>
      <c r="E13" s="77" t="s">
        <v>413</v>
      </c>
      <c r="F13" s="79" t="s">
        <v>408</v>
      </c>
    </row>
    <row r="14" spans="2:6" ht="18" thickBot="1">
      <c r="B14" s="593"/>
      <c r="C14" s="594"/>
      <c r="D14" s="198" t="s">
        <v>414</v>
      </c>
      <c r="E14" s="80" t="s">
        <v>415</v>
      </c>
      <c r="F14" s="81" t="s">
        <v>408</v>
      </c>
    </row>
    <row r="15" spans="2:6" ht="49.5" customHeight="1">
      <c r="B15" s="586" t="s">
        <v>416</v>
      </c>
      <c r="C15" s="586"/>
      <c r="D15" s="586"/>
      <c r="E15" s="586"/>
      <c r="F15" s="586"/>
    </row>
    <row r="16" spans="2:6" ht="27" customHeight="1">
      <c r="B16" s="82"/>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15E6C-1BAB-42A6-9F77-3D9DA9FB7F99}">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A240F-939E-4DF6-BA8B-1D095F22F1E8}">
  <dimension ref="A1"/>
  <sheetViews>
    <sheetView workbookViewId="0"/>
  </sheetViews>
  <sheetFormatPr baseColWidth="10" defaultColWidth="8.83203125"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B2:E19"/>
  <sheetViews>
    <sheetView workbookViewId="0">
      <selection activeCell="E2" sqref="E2:E4"/>
    </sheetView>
  </sheetViews>
  <sheetFormatPr baseColWidth="10" defaultColWidth="11.5" defaultRowHeight="15"/>
  <sheetData>
    <row r="2" spans="2:5">
      <c r="B2" t="s">
        <v>156</v>
      </c>
      <c r="E2" t="s">
        <v>145</v>
      </c>
    </row>
    <row r="3" spans="2:5">
      <c r="B3" t="s">
        <v>169</v>
      </c>
      <c r="E3" t="s">
        <v>159</v>
      </c>
    </row>
    <row r="4" spans="2:5">
      <c r="B4" t="s">
        <v>191</v>
      </c>
      <c r="E4" t="s">
        <v>173</v>
      </c>
    </row>
    <row r="5" spans="2:5">
      <c r="B5" t="s">
        <v>101</v>
      </c>
    </row>
    <row r="8" spans="2:5">
      <c r="B8" t="s">
        <v>142</v>
      </c>
    </row>
    <row r="9" spans="2:5">
      <c r="B9" t="s">
        <v>157</v>
      </c>
    </row>
    <row r="10" spans="2:5">
      <c r="B10" t="s">
        <v>170</v>
      </c>
    </row>
    <row r="13" spans="2:5">
      <c r="B13" t="s">
        <v>148</v>
      </c>
    </row>
    <row r="14" spans="2:5">
      <c r="B14" t="s">
        <v>162</v>
      </c>
    </row>
    <row r="15" spans="2:5">
      <c r="B15" t="s">
        <v>176</v>
      </c>
    </row>
    <row r="16" spans="2:5">
      <c r="B16" t="s">
        <v>184</v>
      </c>
    </row>
    <row r="17" spans="2:2">
      <c r="B17" t="s">
        <v>189</v>
      </c>
    </row>
    <row r="18" spans="2:2">
      <c r="B18" t="s">
        <v>193</v>
      </c>
    </row>
    <row r="19" spans="2:2">
      <c r="B19" t="s">
        <v>195</v>
      </c>
    </row>
  </sheetData>
  <sortState xmlns:xlrd2="http://schemas.microsoft.com/office/spreadsheetml/2017/richdata2" ref="B2:B5">
    <sortCondition ref="B2:B5"/>
  </sortState>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3:A21"/>
  <sheetViews>
    <sheetView workbookViewId="0">
      <selection activeCell="H29" sqref="H29"/>
    </sheetView>
  </sheetViews>
  <sheetFormatPr baseColWidth="10" defaultColWidth="11.5" defaultRowHeight="14"/>
  <cols>
    <col min="1" max="1" width="32.6640625" style="1" customWidth="1"/>
    <col min="2" max="16384" width="11.5" style="1"/>
  </cols>
  <sheetData>
    <row r="3" spans="1:1">
      <c r="A3" s="2" t="s">
        <v>151</v>
      </c>
    </row>
    <row r="4" spans="1:1">
      <c r="A4" s="2" t="s">
        <v>100</v>
      </c>
    </row>
    <row r="5" spans="1:1">
      <c r="A5" s="2" t="s">
        <v>179</v>
      </c>
    </row>
    <row r="6" spans="1:1">
      <c r="A6" s="2" t="s">
        <v>152</v>
      </c>
    </row>
    <row r="7" spans="1:1">
      <c r="A7" s="2" t="s">
        <v>165</v>
      </c>
    </row>
    <row r="8" spans="1:1">
      <c r="A8" s="2" t="s">
        <v>153</v>
      </c>
    </row>
    <row r="9" spans="1:1">
      <c r="A9" s="2" t="s">
        <v>166</v>
      </c>
    </row>
    <row r="10" spans="1:1">
      <c r="A10" s="2" t="s">
        <v>154</v>
      </c>
    </row>
    <row r="11" spans="1:1">
      <c r="A11" s="2" t="s">
        <v>167</v>
      </c>
    </row>
    <row r="12" spans="1:1">
      <c r="A12" s="2" t="s">
        <v>155</v>
      </c>
    </row>
    <row r="13" spans="1:1">
      <c r="A13" s="2" t="s">
        <v>168</v>
      </c>
    </row>
    <row r="14" spans="1:1">
      <c r="A14" s="2" t="s">
        <v>180</v>
      </c>
    </row>
    <row r="16" spans="1:1">
      <c r="A16" s="2" t="s">
        <v>181</v>
      </c>
    </row>
    <row r="17" spans="1:1">
      <c r="A17" s="2" t="s">
        <v>156</v>
      </c>
    </row>
    <row r="18" spans="1:1">
      <c r="A18" s="2" t="s">
        <v>169</v>
      </c>
    </row>
    <row r="20" spans="1:1">
      <c r="A20" s="2" t="s">
        <v>157</v>
      </c>
    </row>
    <row r="21" spans="1:1">
      <c r="A21" s="2" t="s">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23</vt:i4>
      </vt:variant>
      <vt:variant>
        <vt:lpstr>Rangos con nombre</vt:lpstr>
      </vt:variant>
      <vt:variant>
        <vt:i4>4</vt:i4>
      </vt:variant>
    </vt:vector>
  </HeadingPairs>
  <TitlesOfParts>
    <vt:vector size="27" baseType="lpstr">
      <vt:lpstr>PORTADA </vt:lpstr>
      <vt:lpstr>CRITERIOS R CORRUPCION</vt:lpstr>
      <vt:lpstr>Mapa final</vt:lpstr>
      <vt:lpstr>Datos</vt:lpstr>
      <vt:lpstr>Formulas</vt:lpstr>
      <vt:lpstr>Apayo Visual </vt:lpstr>
      <vt:lpstr>eliminar</vt:lpstr>
      <vt:lpstr>Matriz Calor Inherente</vt:lpstr>
      <vt:lpstr>Matriz Calor Residual</vt:lpstr>
      <vt:lpstr>CAMBIOS REGISTRO</vt:lpstr>
      <vt:lpstr>SGI</vt:lpstr>
      <vt:lpstr>Intructivo</vt:lpstr>
      <vt:lpstr>CONTROL DE CAMBIOS REGISTRO </vt:lpstr>
      <vt:lpstr>Listas</vt:lpstr>
      <vt:lpstr>Hoja3</vt:lpstr>
      <vt:lpstr>Control de Cambios FORMATO </vt:lpstr>
      <vt:lpstr>Tabla probabilidad</vt:lpstr>
      <vt:lpstr>Tabla Impacto</vt:lpstr>
      <vt:lpstr>Tabla Valoración controles</vt:lpstr>
      <vt:lpstr>Hoja4</vt:lpstr>
      <vt:lpstr>Hoja2</vt:lpstr>
      <vt:lpstr>Opciones Tratamiento</vt:lpstr>
      <vt:lpstr>Hoja1</vt:lpstr>
      <vt:lpstr>'CAMBIOS REGISTRO'!Área_de_impresión</vt:lpstr>
      <vt:lpstr>'Control de Cambios FORMATO '!Área_de_impresión</vt:lpstr>
      <vt:lpstr>Criterios_Impacto</vt:lpstr>
      <vt:lpstr>'CAMBIOS REGISTRO'!OLE_LINK2</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ANAY PINTO VALENCIA-Analista de procesos</dc:creator>
  <cp:keywords/>
  <dc:description/>
  <cp:lastModifiedBy>MIPG ETITC</cp:lastModifiedBy>
  <cp:revision/>
  <dcterms:created xsi:type="dcterms:W3CDTF">2020-03-24T23:12:47Z</dcterms:created>
  <dcterms:modified xsi:type="dcterms:W3CDTF">2026-09-28T16:32:41Z</dcterms:modified>
  <cp:category/>
  <cp:contentStatus/>
</cp:coreProperties>
</file>