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hidePivotFieldList="1" defaultThemeVersion="124226"/>
  <mc:AlternateContent xmlns:mc="http://schemas.openxmlformats.org/markup-compatibility/2006">
    <mc:Choice Requires="x15">
      <x15ac:absPath xmlns:x15ac="http://schemas.microsoft.com/office/spreadsheetml/2010/11/ac" url="C:\Users\Pet Entrega\OneDrive\Documentos\EMPRESAS\EMPRESAS\UPK\SEGUIMIENTO A MAPA DE RIESGOS 2026\MAPA DE RIESGOS\"/>
    </mc:Choice>
  </mc:AlternateContent>
  <xr:revisionPtr revIDLastSave="0" documentId="13_ncr:1_{0DFC3407-F5D0-4450-B78F-2B7EA3BFF6A0}" xr6:coauthVersionLast="47" xr6:coauthVersionMax="47" xr10:uidLastSave="{00000000-0000-0000-0000-000000000000}"/>
  <bookViews>
    <workbookView xWindow="-103" yWindow="-103" windowWidth="18720" windowHeight="11949" tabRatio="882" activeTab="2" xr2:uid="{00000000-000D-0000-FFFF-FFFF00000000}"/>
  </bookViews>
  <sheets>
    <sheet name="PORTADA " sheetId="22" r:id="rId1"/>
    <sheet name="CRITERIOS R CORRUPCION" sheetId="27" r:id="rId2"/>
    <sheet name="Mapa final" sheetId="1" r:id="rId3"/>
    <sheet name="Datos" sheetId="32" state="hidden" r:id="rId4"/>
    <sheet name="Formulas" sheetId="28" state="hidden"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0"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2" i="1" l="1"/>
  <c r="AJ22" i="1" s="1"/>
  <c r="AB22" i="1"/>
  <c r="AG22" i="1" s="1"/>
  <c r="U22" i="1"/>
  <c r="T22" i="1"/>
  <c r="S22" i="1"/>
  <c r="P22" i="1"/>
  <c r="Q22" i="1" s="1"/>
  <c r="Y15" i="1"/>
  <c r="P19" i="1"/>
  <c r="P17" i="1"/>
  <c r="P15" i="1"/>
  <c r="S17" i="1"/>
  <c r="T17" i="1" s="1"/>
  <c r="S19" i="1"/>
  <c r="T19" i="1" s="1"/>
  <c r="S21" i="1"/>
  <c r="T21" i="1" s="1"/>
  <c r="S15" i="1"/>
  <c r="AB15" i="1"/>
  <c r="AB17" i="1"/>
  <c r="AB19" i="1"/>
  <c r="AB21" i="1"/>
  <c r="Y17" i="1"/>
  <c r="Y19" i="1"/>
  <c r="Y21" i="1"/>
  <c r="P21" i="1"/>
  <c r="Q21" i="1" s="1"/>
  <c r="AI22" i="1" l="1"/>
  <c r="AH22" i="1"/>
  <c r="AL22" i="1"/>
  <c r="AK21" i="1"/>
  <c r="AJ21" i="1" s="1"/>
  <c r="AK19" i="1"/>
  <c r="AJ19" i="1" s="1"/>
  <c r="AG21" i="1"/>
  <c r="AI21" i="1" s="1"/>
  <c r="U19" i="1"/>
  <c r="Q19" i="1"/>
  <c r="AG19" i="1" s="1"/>
  <c r="AI19" i="1" s="1"/>
  <c r="U21" i="1"/>
  <c r="AE51" i="19"/>
  <c r="AH21" i="1" l="1"/>
  <c r="AH19" i="1"/>
  <c r="Q15" i="1" l="1"/>
  <c r="AG15" i="1" s="1"/>
  <c r="U15" i="1"/>
  <c r="Q17" i="1"/>
  <c r="AL21"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H15" i="1" l="1"/>
  <c r="AI15" i="1"/>
  <c r="AG17" i="1"/>
  <c r="AI17" i="1" s="1"/>
  <c r="AL19" i="1"/>
  <c r="AI53" i="19"/>
  <c r="AN13" i="18"/>
  <c r="AN29" i="18"/>
  <c r="AN37" i="18"/>
  <c r="AN21" i="18"/>
  <c r="AN45" i="18"/>
  <c r="AH17" i="1" l="1"/>
  <c r="F29" i="27"/>
  <c r="E29" i="27"/>
  <c r="G29" i="27" s="1"/>
  <c r="P27"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7" i="1" l="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K17" i="1" l="1"/>
  <c r="AJ17" i="1" s="1"/>
  <c r="M52" i="19" s="1"/>
  <c r="Z43" i="18"/>
  <c r="T15" i="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L17" i="1"/>
  <c r="AE12" i="19"/>
  <c r="AK15" i="1"/>
  <c r="AJ15" i="1" s="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
  <commentList>
    <comment ref="F13" authorId="0" shapeId="0" xr:uid="{31DE014E-1502-4058-AF14-D12B122223C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Su versión de Excel le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theme="1"/>
            <rFont val="Calibri"/>
            <family val="2"/>
            <scheme val="minor"/>
          </rPr>
          <t xml:space="preserve">Inicia con el IMPACTO+ Conector (por) Causa(s) Inmediata(s)+ Conector (debido a) Causa(s) Raíz.
Para el riesgo de Corrupción: se debe tener en cuenta: ACCIÓN U OMISIÓN + USO DEL PODER + DESVIACIÓN DE LA GESTIÓN DE
LO PÚBLICO + EL BENEFICIO PRIVADO. Es decir tener en cuenta los anteriores criterios. 
Aplica para riesgo Gestión/Fiscal/Seguridad de la Información: 
Inicia: IMPACTO+ Conector (por) Causa inmediata+ Conector (debido a) Causa Raíz. 
Riesgos de Corrupción; </t>
        </r>
      </text>
    </comment>
    <comment ref="AU13" authorId="3" shapeId="0" xr:uid="{1816B48D-01BB-448B-AFCC-2FEDB756BA4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List>
</comments>
</file>

<file path=xl/sharedStrings.xml><?xml version="1.0" encoding="utf-8"?>
<sst xmlns="http://schemas.openxmlformats.org/spreadsheetml/2006/main" count="809" uniqueCount="475">
  <si>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</si>
  <si>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</si>
  <si>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</si>
  <si>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</si>
  <si>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</si>
  <si>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</si>
  <si>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</si>
  <si>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</si>
  <si>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</si>
  <si>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</si>
  <si>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</si>
  <si>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</si>
  <si>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</si>
  <si>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</si>
  <si>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</si>
  <si>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</si>
  <si>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</si>
  <si>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</si>
  <si>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</si>
  <si>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</si>
  <si>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</si>
  <si>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</si>
  <si>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</si>
  <si>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</si>
  <si>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</si>
  <si>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</si>
  <si>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</si>
  <si>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</si>
  <si>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</si>
  <si>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</si>
  <si>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</si>
  <si>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</si>
  <si>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</si>
  <si>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</si>
  <si>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</si>
  <si>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</si>
  <si>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</si>
  <si>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</si>
  <si>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</si>
  <si>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</si>
  <si>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</si>
  <si>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</si>
  <si>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Gestión de Bienestar Universitario</t>
  </si>
  <si>
    <t>Objetivo:</t>
  </si>
  <si>
    <t>Promover una cultura de bienestar en la comunidad universitaria, mediante la planeación, ejecución y evaluación de estrategias que favorezcan la formación integral, la calidad de vida y la construcción de comunidad para todos los miembros que integran la ETITC</t>
  </si>
  <si>
    <t>Alcance:</t>
  </si>
  <si>
    <t>Desde la caracterización de usuarios y estudiantes, hasta el informe de gestión donde se evidencie la ejecución de las estrategias en pro del bienestar de la comunidad educativa en general</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</si>
  <si>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</si>
  <si>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</si>
  <si>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</si>
  <si>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</si>
  <si>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</si>
  <si>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</si>
  <si>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</si>
  <si>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</si>
  <si>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</si>
  <si>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</si>
  <si>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</si>
  <si>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</si>
  <si>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</si>
  <si>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</si>
  <si>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</si>
  <si>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</si>
  <si>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</si>
  <si>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</si>
  <si>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</si>
  <si>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</si>
  <si>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</si>
  <si>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</si>
  <si>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</si>
  <si>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</si>
  <si>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</si>
  <si>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</si>
  <si>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</si>
  <si>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</si>
  <si>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</si>
  <si>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</si>
  <si>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</si>
  <si>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</si>
  <si>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</si>
  <si>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</si>
  <si>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</si>
  <si>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</si>
  <si>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</si>
  <si>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</si>
  <si>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</si>
  <si>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</si>
  <si>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</si>
  <si>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</si>
  <si>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</si>
  <si>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</si>
  <si>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</si>
  <si>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 xml:space="preserve">
Avance de Ejecución de Plan de Tratamiento</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</si>
  <si>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</si>
  <si>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</si>
  <si>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</si>
  <si>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</si>
  <si>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</si>
  <si>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</si>
  <si>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</si>
  <si>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</si>
  <si>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</si>
  <si>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</si>
  <si>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</si>
  <si>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</si>
  <si>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</si>
  <si>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Gestión</t>
  </si>
  <si>
    <t>Reputacional</t>
  </si>
  <si>
    <t>Procesos</t>
  </si>
  <si>
    <t>Ejecucion y Administracion de procesos</t>
  </si>
  <si>
    <t>Servicios</t>
  </si>
  <si>
    <t>Disponibilidad</t>
  </si>
  <si>
    <t>Moderado (Corrupción)</t>
  </si>
  <si>
    <t>Detectivo</t>
  </si>
  <si>
    <t>Manual</t>
  </si>
  <si>
    <t>Sin Documentar</t>
  </si>
  <si>
    <t>Continua</t>
  </si>
  <si>
    <t>Con Registro</t>
  </si>
  <si>
    <t>Reducir (mitigar)</t>
  </si>
  <si>
    <t>Líder de Bienestar
Universitario</t>
  </si>
  <si>
    <t>Preventivo</t>
  </si>
  <si>
    <t>Disminución en participación de la Comunidad Educativa en las actividades  de Bienestar Universitario</t>
  </si>
  <si>
    <t>NA</t>
  </si>
  <si>
    <t xml:space="preserve">     El riesgo afecta la imagen de la entidad con algunos usuarios de relevancia frente al logro de los objetivos</t>
  </si>
  <si>
    <t>Usuarios, productos y practicas , organizacionales</t>
  </si>
  <si>
    <t xml:space="preserve">     El riesgo afecta la imagen de alguna área de la organización</t>
  </si>
  <si>
    <t>Procedimiento de atenciones individuales y grupales de Bienestar Universitario GBU-PC-03</t>
  </si>
  <si>
    <t>Documentado</t>
  </si>
  <si>
    <t>Aleatoria</t>
  </si>
  <si>
    <t>Sin Registro</t>
  </si>
  <si>
    <t xml:space="preserve">Reducir la probabilidad de materialización del riesgo mediante la aplicación de los controles establecidos. </t>
  </si>
  <si>
    <t>Fiscal</t>
  </si>
  <si>
    <t>Económico</t>
  </si>
  <si>
    <t>Recursos Públicos</t>
  </si>
  <si>
    <t>Integridad</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</si>
  <si>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</si>
  <si>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</si>
  <si>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</si>
  <si>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</si>
  <si>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</si>
  <si>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</si>
  <si>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</si>
  <si>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</si>
  <si>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</si>
  <si>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</si>
  <si>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</si>
  <si>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</si>
  <si>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</si>
  <si>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</si>
  <si>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</si>
  <si>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</si>
  <si>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</si>
  <si>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</si>
  <si>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</si>
  <si>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</si>
  <si>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</si>
  <si>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</si>
  <si>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la entidad internamente, de conocimiento general, nivel interno, de junta dircetiva y accionistas y/o de provedores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</si>
  <si>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</si>
  <si>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</si>
  <si>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</si>
  <si>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</si>
  <si>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</si>
  <si>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</si>
  <si>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</si>
  <si>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</si>
  <si>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</si>
  <si>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</si>
  <si>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</si>
  <si>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</si>
  <si>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</si>
  <si>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</si>
  <si>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Evento externo</t>
  </si>
  <si>
    <t>Daños Activos Fisicos</t>
  </si>
  <si>
    <t>Información</t>
  </si>
  <si>
    <t>Confidencialidad</t>
  </si>
  <si>
    <t>Automático</t>
  </si>
  <si>
    <t>Registro Sustancial</t>
  </si>
  <si>
    <t>Aceptar</t>
  </si>
  <si>
    <t>Finalizado</t>
  </si>
  <si>
    <t>Corrupción</t>
  </si>
  <si>
    <t>•	Talento humano</t>
  </si>
  <si>
    <t>Bienes Públicos</t>
  </si>
  <si>
    <t>Financiero</t>
  </si>
  <si>
    <t xml:space="preserve">Software </t>
  </si>
  <si>
    <t>Registro Material</t>
  </si>
  <si>
    <t>Evitar</t>
  </si>
  <si>
    <t>En curso</t>
  </si>
  <si>
    <t>•	Tecnología</t>
  </si>
  <si>
    <t>Económico y Reputacional</t>
  </si>
  <si>
    <t>Intereses Patrimoniales de Naturaleza Pública</t>
  </si>
  <si>
    <t>Infraestructura</t>
  </si>
  <si>
    <t>Fallas Tecnologicas</t>
  </si>
  <si>
    <t>Hardware</t>
  </si>
  <si>
    <t>Correctivo</t>
  </si>
  <si>
    <t>Sin registro</t>
  </si>
  <si>
    <t>Reducir</t>
  </si>
  <si>
    <t>•	Infraestructura</t>
  </si>
  <si>
    <t>Fraude Externo</t>
  </si>
  <si>
    <t>NO APLICA</t>
  </si>
  <si>
    <t>•	Evento externo</t>
  </si>
  <si>
    <t>Talento humano</t>
  </si>
  <si>
    <t>Fraude Interno</t>
  </si>
  <si>
    <t>Intangibles</t>
  </si>
  <si>
    <t>Reducir (compartir)</t>
  </si>
  <si>
    <t>Tecnología</t>
  </si>
  <si>
    <t>Relaciones Laborales</t>
  </si>
  <si>
    <t>Componentes
de red</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</si>
  <si>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</si>
  <si>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</si>
  <si>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</si>
  <si>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</si>
  <si>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</si>
  <si>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</si>
  <si>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</si>
  <si>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</si>
  <si>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</si>
  <si>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</si>
  <si>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</si>
  <si>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</si>
  <si>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</si>
  <si>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</si>
  <si>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</si>
  <si>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</si>
  <si>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</si>
  <si>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</si>
  <si>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</si>
  <si>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</si>
  <si>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</si>
  <si>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</si>
  <si>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</si>
  <si>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</si>
  <si>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</si>
  <si>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</si>
  <si>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</si>
  <si>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</si>
  <si>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</si>
  <si>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</si>
  <si>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</si>
  <si>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</si>
  <si>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</si>
  <si>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</si>
  <si>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</si>
  <si>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</si>
  <si>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</si>
  <si>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</si>
  <si>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</si>
  <si>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</si>
  <si>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</si>
  <si>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</si>
  <si>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</si>
  <si>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</si>
  <si>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</si>
  <si>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</si>
  <si>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</si>
  <si>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</si>
  <si>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</si>
  <si>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</si>
  <si>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</si>
  <si>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</si>
  <si>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</si>
  <si>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</si>
  <si>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</si>
  <si>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</si>
  <si>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</si>
  <si>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</si>
  <si>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</si>
  <si>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</si>
  <si>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</si>
  <si>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</si>
  <si>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</si>
  <si>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</si>
  <si>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</si>
  <si>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</si>
  <si>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</si>
  <si>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</si>
  <si>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</si>
  <si>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</si>
  <si>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</si>
  <si>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</si>
  <si>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</si>
  <si>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</si>
  <si>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</si>
  <si>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</si>
  <si>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</si>
  <si>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</si>
  <si>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</si>
  <si>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</si>
  <si>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</si>
  <si>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</si>
  <si>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t>X</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</si>
  <si>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</si>
  <si>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</si>
  <si>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</si>
  <si>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</si>
  <si>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</si>
  <si>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</si>
  <si>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</si>
  <si>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</si>
  <si>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</si>
  <si>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</si>
  <si>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</si>
  <si>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</si>
  <si>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</si>
  <si>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</si>
  <si>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</si>
  <si>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</si>
  <si>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</si>
  <si>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</si>
  <si>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</si>
  <si>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</si>
  <si>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</si>
  <si>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</si>
  <si>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</si>
  <si>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</si>
  <si>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</si>
  <si>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</si>
  <si>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</si>
  <si>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</si>
  <si>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</si>
  <si>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</si>
  <si>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</si>
  <si>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</si>
  <si>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</si>
  <si>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</si>
  <si>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</si>
  <si>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</si>
  <si>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</si>
  <si>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</si>
  <si>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</si>
  <si>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</si>
  <si>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</si>
  <si>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</si>
  <si>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</si>
  <si>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</si>
  <si>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</si>
  <si>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</si>
  <si>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</si>
  <si>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</si>
  <si>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</si>
  <si>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</si>
  <si>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</si>
  <si>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</si>
  <si>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</si>
  <si>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</si>
  <si>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</si>
  <si>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</si>
  <si>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</si>
  <si>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</si>
  <si>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</si>
  <si>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</si>
  <si>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</si>
  <si>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</si>
  <si>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</si>
  <si>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</si>
  <si>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</si>
  <si>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</si>
  <si>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</si>
  <si>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</si>
  <si>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</si>
  <si>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</si>
  <si>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</si>
  <si>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</si>
  <si>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</si>
  <si>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</si>
  <si>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</si>
  <si>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</si>
  <si>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</si>
  <si>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</si>
  <si>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</si>
  <si>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</si>
  <si>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</si>
  <si>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</si>
  <si>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</si>
  <si>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</si>
  <si>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</si>
  <si>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</si>
  <si>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</si>
  <si>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</si>
  <si>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</si>
  <si>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</si>
  <si>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</si>
  <si>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</si>
  <si>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</si>
  <si>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</si>
  <si>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</si>
  <si>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</si>
  <si>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</si>
  <si>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</si>
  <si>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</si>
  <si>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</si>
  <si>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</si>
  <si>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</si>
  <si>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</si>
  <si>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</si>
  <si>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</si>
  <si>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</si>
  <si>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</si>
  <si>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</si>
  <si>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</si>
  <si>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</si>
  <si>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</si>
  <si>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</si>
  <si>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</si>
  <si>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</si>
  <si>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</si>
  <si>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</si>
  <si>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</si>
  <si>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</si>
  <si>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</si>
  <si>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</si>
  <si>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</si>
  <si>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</si>
  <si>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</si>
  <si>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</si>
  <si>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</si>
  <si>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</si>
  <si>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</si>
  <si>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</si>
  <si>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</si>
  <si>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</si>
  <si>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</si>
  <si>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</si>
  <si>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</si>
  <si>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</si>
  <si>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</si>
  <si>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</si>
  <si>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Correos electrónicos</t>
  </si>
  <si>
    <t>La acción se estima iniciar en el mes de junio de 2026</t>
  </si>
  <si>
    <t>N/A</t>
  </si>
  <si>
    <t>Durante el primer seguimiento del cuatrimestre de la primera línea de defensa se contó con la realización de mesas de trabajo de BU el día 20 de abril y con planeación el 13 de mayo de 2026, constatandose un desarrollo ejecución del 30%.</t>
  </si>
  <si>
    <t>Seguimiento al plan de acción de Bienestar Universitario</t>
  </si>
  <si>
    <t xml:space="preserve">Consolidado de piezas publicitarias de las diferentes actividades grupales y/o servicios de las dependencias de Bienestar Universitario para la actual vigencia. 
Consolidado de informes de las actividades grupales ejecutadas que se encuentran alojados en el aplicativo adviser </t>
  </si>
  <si>
    <t>Seguimiento al cumplimiento del cronograma del sistema adviser</t>
  </si>
  <si>
    <t>Evidencias de ejecución consignadas en el sistema adviser</t>
  </si>
  <si>
    <t>Página web institucional</t>
  </si>
  <si>
    <t>Registro de actividades en el sistema adviser</t>
  </si>
  <si>
    <t>30 % de avance del reportes de registros de actividades en el sistema adviser</t>
  </si>
  <si>
    <t xml:space="preserve">30 % de avance de documentos de gestión cargados a la plataforma del SECOP II </t>
  </si>
  <si>
    <t>SECOP II</t>
  </si>
  <si>
    <t xml:space="preserve">Limitación en  el talento humano y recursos asignados necesarios para la correcta ejecución
</t>
  </si>
  <si>
    <t xml:space="preserve">Posibilidad de afectación reputacional por la limitación en el talento humano y recursos asignados necesarios para la correcta ejecución, debido a falta de ejecución de las actividades asociadas al proceso de Bienestar Universitaro. </t>
  </si>
  <si>
    <t>Falta de ejecución en las actividades de Bienestar Universitario.</t>
  </si>
  <si>
    <t xml:space="preserve">El líder del proceso de manera mensual realiza seguimientos al cronograma semestral de las actividades planteadas en el plan de acción anual con todo el equipo de trabajo. En caso de desviacion del control se revisa el cronograma semestral y se toman acciones para el cumplimiento de las actividades planeadas. </t>
  </si>
  <si>
    <t xml:space="preserve">Actas de seguimiento mensual al Plan de acción.   
Adjunta cronograma semestral     </t>
  </si>
  <si>
    <t>CARACTERIZACIÓN DEL PROCESO GESTIÓN DE BIENESTAR UNIVERSITARIO</t>
  </si>
  <si>
    <t xml:space="preserve">Generar mesas de trabajo con los líderes de las lineas de acción cuando se requiera para el monitoreo de actividades establecidas en el plan de acción.  </t>
  </si>
  <si>
    <t>Actas de mesas de trabajo</t>
  </si>
  <si>
    <t>12 de diciembre de 2026</t>
  </si>
  <si>
    <t xml:space="preserve"> Debilidades en las estrategias de convocatoria, comunicación y apropiación institucional.</t>
  </si>
  <si>
    <t>Los líderes de las diferentes líneas de acción, cada vez que se requiera realizan solicitud de estrategias de comunicaciones a tráves del formato GCO-FO-02. En caso de desviación del control el líder de la línea le solicitará al proceso de comunicaciones mesa de trabajo para la mejora de la estrategia de comunicación.</t>
  </si>
  <si>
    <t xml:space="preserve"> 
Solicitud Servicios de Medios Audiovisuales y de Comunicaciones GCO-FO-02
Piezas publicitarias
Actas de reunión (Cuando aplique)</t>
  </si>
  <si>
    <t>Solicitud Servicios de Medios Audiovisuales y de Comunicaciones GCO-FO-02</t>
  </si>
  <si>
    <t xml:space="preserve">Reiteración vía correo electrónico al proceso de comunicaciones de la solicitud de publicación de las piezas publicitarias con fecha de antelación a su vencimiento. </t>
  </si>
  <si>
    <t xml:space="preserve">Probalidad de afectación reputacional por la fuga del conocimiento de las líneas de Bienestar Universitario debido a la falta de documentación que permita dar lineamientos claros frente al registro de las atenciones individuales y grupales de las áreas de BU. </t>
  </si>
  <si>
    <t>Fuga del conocimiento de las líneas de Bienestar Universitario</t>
  </si>
  <si>
    <t xml:space="preserve"> Falta de documentación que permita dar lineamientos claros frente al registro de las atenciones individuales y grupales de las áreas de BU. </t>
  </si>
  <si>
    <t>El líder del proceso revisará junto con los líderes de las diferentes lineas de acción los documentos del proceso a fin de validar si es necesario una actualización documental. En caso de desviación del control, el lider del proceso solicitará al proceso de calidad el respectivo acompañamiento para la revisión documental de Bienestar Universitario.</t>
  </si>
  <si>
    <t xml:space="preserve">Entrega de beneficios a población estudiantil que no cumple los criterios.
</t>
  </si>
  <si>
    <t>Los líderes de las lineas de acción</t>
  </si>
  <si>
    <t>Sistema adviser</t>
  </si>
  <si>
    <t>Configuración inadecuada de los perfiles y permisos de acceso a la información registrada en el sistema Adviser.</t>
  </si>
  <si>
    <t>Probilidad de afectación reputacional por la configuación inadecuada de los perfiles y permisos de acceso a la información registrada en el sistema Adviser debido a la falta de definición, actualización y verificación de los perfiles de acceso y de los criterios de clasificación de confidencialidad de la información gestionada en dicha plataforma.</t>
  </si>
  <si>
    <t xml:space="preserve">Fallas en el diseño y aplicación de los criterios de selección objetiva de los beneficiarios de los programas de Bienestar Universitario. 
</t>
  </si>
  <si>
    <t xml:space="preserve">Probalidad de afectación reputacional  y ecónomica por la entrega de beneficios a población estudiantil que no cumple los criterios debido a fallas en el diseño y aplicación de los criterios de selección. </t>
  </si>
  <si>
    <t>Los líderes de las lineas de acción revisarán el cumplimiento de los requisitos de los beneficiarios antes de la asignación del beneficio dejando trazabilidad del proceso. En caso de desviación del control, los líderes de las lineas de acción deberán realizar la corrección correspondiente antes de continuar con el proceso.</t>
  </si>
  <si>
    <t>Reportes.
Listas de chequeo de cumplimento de los criterios de elegibilidad. 
Otros documentos de soporte. (cuando se requiera).</t>
  </si>
  <si>
    <t xml:space="preserve">Verificar el cumpliento de los requisitos de selección de los beneficiarios. </t>
  </si>
  <si>
    <t>Falta en la definición, actualización y verificación de los perfiles de acceso y de los criterios de clasificación de confidencialidad de la información gestionada en la plataforma Adviser.</t>
  </si>
  <si>
    <t xml:space="preserve">Solicitudes de creación, modificación o actualización de usuarios y perfiles del sistema adviser.
Actas de reunión. (Cuando aplique) </t>
  </si>
  <si>
    <t>SISTEMA ADVISER</t>
  </si>
  <si>
    <t>Implementar y verificar los perfiles para que estos sean diferenciados para las áreas de psicología y enfermería garantizando la confidencialidad de las atenciones y seguimientos individuales y socializar dichos ajustes con los líderes de las líneas de acción.</t>
  </si>
  <si>
    <r>
      <rPr>
        <b/>
        <sz val="14"/>
        <rFont val="Arial"/>
        <family val="2"/>
      </rPr>
      <t>LIDER DEL PROCESO:</t>
    </r>
    <r>
      <rPr>
        <sz val="14"/>
        <rFont val="Arial"/>
        <family val="2"/>
      </rPr>
      <t xml:space="preserve"> Gloria Cruz</t>
    </r>
  </si>
  <si>
    <t>Posibilidad de afectación reputacional por baja participación de la comunidad educativa en las actividades de Bienestar Universitario, debido a debilidades en las estrategias de convocatoria, comunicación y apropiación institucional.</t>
  </si>
  <si>
    <t>El administrador de adviser, el líder del proceso y los líderes de cada una de las líneas de acción realizarán mesas de trabajo conjuntas cada trimestre para revisar y validar los perfiles y permisos de acceso a la información registrada en el sistema adviser conservando la confidencialidad absoluta de las áreas de psicología, enfermería y algunos casos del CREA. En caso de presentar desviación del control, En caso de identificar accesos que no correspondan a los perfiles autorizados, procederá a actualizar los permisos correspondientes. Asimismo, ante cualquier novedad relacionada con pérdida de información, deberá reportar el incidente al Proceso de Gestión de Informática y Telecomunicaciones (GIT) a través de la Mesa de Ayuda Institucional, para su gestión y recuperación.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</si>
</sst>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02"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scheme val="minor"/>
    </font>
    <font>
      <b/>
      <sz val="11"/>
      <name val="Arial"/>
    </font>
    <font>
      <b/>
      <sz val="10"/>
      <color rgb="FF000000"/>
      <name val="Arial"/>
      <family val="2"/>
    </font>
    <font>
      <sz val="8"/>
      <name val="Arial"/>
      <family val="2"/>
    </font>
    <font>
      <sz val="11"/>
      <color rgb="FFFF0000"/>
      <name val="Arial"/>
      <family val="2"/>
    </font>
  </fonts>
  <fills count="2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0.249977111117893"/>
        <bgColor indexed="64"/>
      </patternFill>
    </fill>
  </fills>
  <borders count="114">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cellStyleXfs>
  <cellXfs count="672">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0" xfId="0" applyFont="1" applyAlignment="1">
      <alignment horizontal="center" vertical="center" wrapText="1"/>
    </xf>
    <xf numFmtId="0" fontId="65" fillId="0" borderId="21" xfId="0" applyFont="1" applyBorder="1" applyAlignment="1" applyProtection="1">
      <alignment horizontal="center" vertical="center" textRotation="90" wrapText="1"/>
      <protection locked="0"/>
    </xf>
    <xf numFmtId="0" fontId="65" fillId="3" borderId="0" xfId="0" applyFont="1" applyFill="1" applyAlignment="1">
      <alignment horizontal="center" vertical="center" wrapText="1"/>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3" fillId="16" borderId="21" xfId="0" applyFont="1" applyFill="1" applyBorder="1" applyAlignment="1">
      <alignment horizontal="center" vertical="center" wrapText="1"/>
    </xf>
    <xf numFmtId="0" fontId="90" fillId="0" borderId="0" xfId="0" applyFont="1" applyAlignment="1">
      <alignment horizontal="center" vertical="center" wrapText="1"/>
    </xf>
    <xf numFmtId="0" fontId="90" fillId="0" borderId="21" xfId="0" applyFont="1" applyBorder="1" applyAlignment="1">
      <alignment horizontal="center" vertical="center" wrapText="1"/>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164" fontId="90" fillId="0" borderId="21" xfId="1" applyNumberFormat="1" applyFont="1" applyBorder="1" applyAlignment="1">
      <alignment horizontal="center" vertical="center" wrapText="1"/>
    </xf>
    <xf numFmtId="0" fontId="95" fillId="0" borderId="21" xfId="0" applyFont="1" applyBorder="1" applyAlignment="1" applyProtection="1">
      <alignment horizontal="center" vertical="center" textRotation="90" wrapText="1"/>
      <protection hidden="1"/>
    </xf>
    <xf numFmtId="0" fontId="90" fillId="3" borderId="0" xfId="0" applyFont="1" applyFill="1" applyAlignment="1">
      <alignment horizontal="center" vertical="center" wrapText="1"/>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84" fillId="16" borderId="21" xfId="0" applyFont="1" applyFill="1" applyBorder="1" applyAlignment="1">
      <alignment horizontal="center" vertical="center" textRotation="90"/>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6" fillId="3" borderId="0" xfId="5" applyNumberFormat="1" applyFill="1" applyAlignment="1">
      <alignment horizontal="center" vertical="center" wrapText="1"/>
    </xf>
    <xf numFmtId="0" fontId="96" fillId="3" borderId="0" xfId="5" applyFill="1" applyAlignment="1">
      <alignment horizontal="center" vertical="center" wrapText="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83" fillId="3" borderId="0" xfId="0" applyFont="1" applyFill="1" applyAlignment="1">
      <alignment horizontal="center" vertical="center"/>
    </xf>
    <xf numFmtId="0" fontId="84" fillId="16" borderId="63" xfId="0" applyFont="1" applyFill="1" applyBorder="1" applyAlignment="1">
      <alignment horizontal="center" vertical="center"/>
    </xf>
    <xf numFmtId="0" fontId="90" fillId="25" borderId="21" xfId="0" applyFont="1" applyFill="1" applyBorder="1" applyAlignment="1" applyProtection="1">
      <alignment horizontal="center" vertical="center" wrapText="1"/>
      <protection locked="0"/>
    </xf>
    <xf numFmtId="0" fontId="65" fillId="25" borderId="21" xfId="0" applyFont="1" applyFill="1" applyBorder="1" applyAlignment="1" applyProtection="1">
      <alignment horizontal="center" vertical="center" wrapText="1"/>
      <protection locked="0"/>
    </xf>
    <xf numFmtId="0" fontId="90" fillId="17" borderId="21" xfId="0" applyFont="1" applyFill="1" applyBorder="1" applyAlignment="1">
      <alignment horizontal="center" vertical="center" wrapText="1"/>
    </xf>
    <xf numFmtId="14" fontId="96" fillId="17" borderId="21" xfId="5" applyNumberFormat="1" applyFill="1" applyBorder="1" applyAlignment="1">
      <alignment horizontal="center" vertical="center" wrapText="1"/>
    </xf>
    <xf numFmtId="0" fontId="96" fillId="17" borderId="21" xfId="5" applyFill="1" applyBorder="1" applyAlignment="1">
      <alignment horizontal="center" vertical="center" wrapText="1"/>
    </xf>
    <xf numFmtId="0" fontId="65" fillId="17" borderId="21" xfId="0" applyFont="1" applyFill="1" applyBorder="1" applyAlignment="1" applyProtection="1">
      <alignment horizontal="center" vertical="center" wrapText="1"/>
      <protection locked="0"/>
    </xf>
    <xf numFmtId="14" fontId="90" fillId="27" borderId="21" xfId="0" applyNumberFormat="1" applyFont="1" applyFill="1" applyBorder="1" applyAlignment="1" applyProtection="1">
      <alignment horizontal="center" vertical="center" wrapText="1"/>
      <protection locked="0"/>
    </xf>
    <xf numFmtId="0" fontId="99" fillId="0" borderId="21" xfId="0" applyFont="1" applyBorder="1" applyAlignment="1">
      <alignment horizontal="left" vertical="center"/>
    </xf>
    <xf numFmtId="0" fontId="43" fillId="0" borderId="21" xfId="0" applyFont="1" applyBorder="1" applyAlignment="1" applyProtection="1">
      <alignment horizontal="center" vertical="center" wrapText="1"/>
      <protection locked="0"/>
    </xf>
    <xf numFmtId="0" fontId="100" fillId="0" borderId="21" xfId="0" applyFont="1" applyBorder="1" applyAlignment="1" applyProtection="1">
      <alignment horizontal="center" vertical="center" wrapText="1"/>
      <protection locked="0"/>
    </xf>
    <xf numFmtId="0" fontId="1" fillId="0" borderId="101" xfId="0" applyFont="1" applyBorder="1" applyAlignment="1" applyProtection="1">
      <alignment horizontal="center" vertical="center" wrapText="1"/>
      <protection locked="0"/>
    </xf>
    <xf numFmtId="0" fontId="90" fillId="0" borderId="101" xfId="0" applyFont="1" applyBorder="1" applyAlignment="1" applyProtection="1">
      <alignment horizontal="center" vertical="center" wrapText="1"/>
      <protection locked="0"/>
    </xf>
    <xf numFmtId="0" fontId="90" fillId="0" borderId="101" xfId="0" applyFont="1" applyBorder="1" applyAlignment="1">
      <alignment horizontal="center" vertical="center" wrapText="1"/>
    </xf>
    <xf numFmtId="0" fontId="95" fillId="0" borderId="101" xfId="0" applyFont="1" applyBorder="1" applyAlignment="1" applyProtection="1">
      <alignment horizontal="center" vertical="center" wrapText="1"/>
      <protection hidden="1"/>
    </xf>
    <xf numFmtId="0" fontId="43" fillId="0" borderId="101" xfId="0" applyFont="1" applyBorder="1" applyAlignment="1" applyProtection="1">
      <alignment horizontal="center" vertical="center" wrapText="1"/>
      <protection locked="0"/>
    </xf>
    <xf numFmtId="0" fontId="71" fillId="0" borderId="101" xfId="0" applyFont="1" applyBorder="1" applyAlignment="1" applyProtection="1">
      <alignment horizontal="center" vertical="center" wrapText="1"/>
      <protection locked="0"/>
    </xf>
    <xf numFmtId="0" fontId="90" fillId="0" borderId="101" xfId="0" applyFont="1" applyBorder="1" applyAlignment="1" applyProtection="1">
      <alignment horizontal="center" vertical="center" wrapText="1"/>
      <protection hidden="1"/>
    </xf>
    <xf numFmtId="0" fontId="90" fillId="0" borderId="101" xfId="0" applyFont="1" applyBorder="1" applyAlignment="1" applyProtection="1">
      <alignment horizontal="center" vertical="center" textRotation="90" wrapText="1"/>
      <protection locked="0"/>
    </xf>
    <xf numFmtId="14" fontId="90" fillId="27" borderId="101" xfId="0" applyNumberFormat="1" applyFont="1" applyFill="1" applyBorder="1" applyAlignment="1" applyProtection="1">
      <alignment horizontal="center" vertical="center" wrapText="1"/>
      <protection locked="0"/>
    </xf>
    <xf numFmtId="9" fontId="90" fillId="0" borderId="101" xfId="0" applyNumberFormat="1" applyFont="1" applyBorder="1" applyAlignment="1" applyProtection="1">
      <alignment horizontal="center" vertical="center" wrapText="1"/>
      <protection hidden="1"/>
    </xf>
    <xf numFmtId="0" fontId="65" fillId="0" borderId="101" xfId="0" applyFont="1" applyBorder="1" applyAlignment="1" applyProtection="1">
      <alignment horizontal="center" vertical="center" textRotation="90" wrapText="1"/>
      <protection locked="0"/>
    </xf>
    <xf numFmtId="164" fontId="90" fillId="0" borderId="101" xfId="1" applyNumberFormat="1" applyFont="1" applyBorder="1" applyAlignment="1">
      <alignment horizontal="center" vertical="center" wrapText="1"/>
    </xf>
    <xf numFmtId="0" fontId="95" fillId="0" borderId="101" xfId="0" applyFont="1" applyBorder="1" applyAlignment="1" applyProtection="1">
      <alignment horizontal="center" vertical="center" textRotation="90" wrapText="1"/>
      <protection hidden="1"/>
    </xf>
    <xf numFmtId="14" fontId="90" fillId="0" borderId="101" xfId="0" applyNumberFormat="1" applyFont="1" applyBorder="1" applyAlignment="1" applyProtection="1">
      <alignment horizontal="center" vertical="center" wrapText="1"/>
      <protection locked="0"/>
    </xf>
    <xf numFmtId="0" fontId="65" fillId="0" borderId="101" xfId="0" applyFont="1" applyBorder="1" applyAlignment="1">
      <alignment horizontal="center" vertical="center" wrapText="1"/>
    </xf>
    <xf numFmtId="0" fontId="1" fillId="0" borderId="102" xfId="0" applyFont="1" applyBorder="1" applyAlignment="1" applyProtection="1">
      <alignment horizontal="center" vertical="center" wrapText="1"/>
      <protection locked="0"/>
    </xf>
    <xf numFmtId="14" fontId="90" fillId="17" borderId="0" xfId="0" applyNumberFormat="1" applyFont="1" applyFill="1" applyAlignment="1">
      <alignment horizontal="center" vertical="center" wrapText="1"/>
    </xf>
    <xf numFmtId="0" fontId="65" fillId="17" borderId="0" xfId="0" applyFont="1" applyFill="1" applyAlignment="1" applyProtection="1">
      <alignment horizontal="center" vertical="center" wrapText="1"/>
      <protection locked="0"/>
    </xf>
    <xf numFmtId="14" fontId="90" fillId="25" borderId="0" xfId="0" applyNumberFormat="1" applyFont="1" applyFill="1" applyAlignment="1" applyProtection="1">
      <alignment horizontal="center" vertical="center" wrapText="1"/>
      <protection locked="0"/>
    </xf>
    <xf numFmtId="0" fontId="65" fillId="25" borderId="0" xfId="0" applyFont="1" applyFill="1" applyAlignment="1" applyProtection="1">
      <alignment horizontal="center" vertical="center" wrapText="1"/>
      <protection locked="0"/>
    </xf>
    <xf numFmtId="0" fontId="100" fillId="0" borderId="101" xfId="0" applyFont="1" applyBorder="1" applyAlignment="1" applyProtection="1">
      <alignment horizontal="center" vertical="center" wrapText="1"/>
      <protection locked="0"/>
    </xf>
    <xf numFmtId="0" fontId="65" fillId="0" borderId="21" xfId="0" applyFont="1" applyBorder="1" applyAlignment="1">
      <alignment horizontal="center" vertical="center" wrapText="1"/>
    </xf>
    <xf numFmtId="0" fontId="1" fillId="0" borderId="21" xfId="0" applyFont="1" applyBorder="1" applyAlignment="1" applyProtection="1">
      <alignment horizontal="center" vertical="center" wrapText="1"/>
      <protection locked="0"/>
    </xf>
    <xf numFmtId="0" fontId="90" fillId="0" borderId="21" xfId="0" applyFont="1" applyBorder="1" applyAlignment="1" applyProtection="1">
      <alignment horizontal="center" vertical="center" wrapText="1"/>
      <protection locked="0"/>
    </xf>
    <xf numFmtId="0" fontId="95" fillId="0" borderId="21" xfId="0" applyFont="1" applyBorder="1" applyAlignment="1" applyProtection="1">
      <alignment horizontal="center" vertical="center" wrapText="1"/>
      <protection hidden="1"/>
    </xf>
    <xf numFmtId="9" fontId="90" fillId="0" borderId="21" xfId="0" applyNumberFormat="1" applyFont="1" applyBorder="1" applyAlignment="1" applyProtection="1">
      <alignment horizontal="center" vertical="center" wrapText="1"/>
      <protection locked="0"/>
    </xf>
    <xf numFmtId="14" fontId="90" fillId="0" borderId="21" xfId="0" applyNumberFormat="1" applyFont="1" applyBorder="1" applyAlignment="1" applyProtection="1">
      <alignment horizontal="center" vertical="center" wrapText="1"/>
      <protection locked="0"/>
    </xf>
    <xf numFmtId="0" fontId="43" fillId="0" borderId="21" xfId="0" applyFont="1" applyBorder="1" applyAlignment="1">
      <alignment horizontal="center" vertical="center" wrapText="1"/>
    </xf>
    <xf numFmtId="0" fontId="0" fillId="0" borderId="103" xfId="0" applyBorder="1" applyAlignment="1">
      <alignment horizontal="left" wrapText="1"/>
    </xf>
    <xf numFmtId="0" fontId="0" fillId="0" borderId="103" xfId="0" applyBorder="1" applyAlignment="1">
      <alignment horizontal="left"/>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84" fillId="16" borderId="101" xfId="0" applyFont="1" applyFill="1" applyBorder="1" applyAlignment="1">
      <alignment horizontal="center" vertical="center" textRotation="90"/>
    </xf>
    <xf numFmtId="0" fontId="84" fillId="16" borderId="102" xfId="0" applyFont="1" applyFill="1" applyBorder="1" applyAlignment="1">
      <alignment horizontal="center" vertical="center" textRotation="90"/>
    </xf>
    <xf numFmtId="0" fontId="84" fillId="16" borderId="22" xfId="0" applyFont="1" applyFill="1" applyBorder="1" applyAlignment="1">
      <alignment horizontal="center" vertical="center" textRotation="90"/>
    </xf>
    <xf numFmtId="0" fontId="76" fillId="0" borderId="0" xfId="0" applyFont="1" applyAlignment="1">
      <alignment horizontal="center"/>
    </xf>
    <xf numFmtId="0" fontId="76" fillId="0" borderId="72" xfId="0" applyFont="1" applyBorder="1" applyAlignment="1">
      <alignment horizontal="center"/>
    </xf>
    <xf numFmtId="0" fontId="84" fillId="16" borderId="101" xfId="0" applyFont="1" applyFill="1" applyBorder="1" applyAlignment="1">
      <alignment horizontal="center" vertical="center"/>
    </xf>
    <xf numFmtId="0" fontId="84" fillId="16" borderId="22" xfId="0" applyFont="1" applyFill="1" applyBorder="1" applyAlignment="1">
      <alignment horizontal="center" vertical="center"/>
    </xf>
    <xf numFmtId="0" fontId="84" fillId="16" borderId="101" xfId="0" applyFont="1" applyFill="1" applyBorder="1" applyAlignment="1">
      <alignment horizontal="center" vertical="center" wrapText="1"/>
    </xf>
    <xf numFmtId="0" fontId="84" fillId="16" borderId="22" xfId="0" applyFont="1" applyFill="1" applyBorder="1" applyAlignment="1">
      <alignment horizontal="center" vertical="center" wrapText="1"/>
    </xf>
    <xf numFmtId="0" fontId="84" fillId="16" borderId="21" xfId="0" applyFont="1" applyFill="1" applyBorder="1" applyAlignment="1">
      <alignment horizontal="center" vertical="center" textRotation="90" wrapText="1"/>
    </xf>
    <xf numFmtId="0" fontId="84" fillId="16" borderId="21" xfId="0" applyFont="1" applyFill="1" applyBorder="1" applyAlignment="1">
      <alignment horizontal="center" vertical="center" wrapText="1"/>
    </xf>
    <xf numFmtId="0" fontId="84" fillId="16" borderId="21" xfId="0" applyFont="1" applyFill="1" applyBorder="1" applyAlignment="1">
      <alignment horizontal="center" vertical="center"/>
    </xf>
    <xf numFmtId="0" fontId="1" fillId="0" borderId="101"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90" fillId="0" borderId="101" xfId="0" applyFont="1" applyBorder="1" applyAlignment="1" applyProtection="1">
      <alignment horizontal="center" vertical="center" wrapText="1"/>
      <protection locked="0"/>
    </xf>
    <xf numFmtId="0" fontId="90" fillId="0" borderId="22" xfId="0" applyFont="1" applyBorder="1" applyAlignment="1" applyProtection="1">
      <alignment horizontal="center" vertical="center" wrapText="1"/>
      <protection locked="0"/>
    </xf>
    <xf numFmtId="0" fontId="95" fillId="0" borderId="101" xfId="0" applyFont="1" applyBorder="1" applyAlignment="1">
      <alignment horizontal="center" vertical="center" wrapText="1"/>
    </xf>
    <xf numFmtId="0" fontId="95" fillId="0" borderId="22" xfId="0" applyFont="1" applyBorder="1" applyAlignment="1">
      <alignment horizontal="center" vertical="center" wrapText="1"/>
    </xf>
    <xf numFmtId="0" fontId="90" fillId="0" borderId="101" xfId="0" applyFont="1" applyBorder="1" applyAlignment="1">
      <alignment horizontal="center" vertical="center" wrapText="1"/>
    </xf>
    <xf numFmtId="0" fontId="90" fillId="0" borderId="22" xfId="0" applyFont="1" applyBorder="1" applyAlignment="1">
      <alignment horizontal="center" vertical="center" wrapText="1"/>
    </xf>
    <xf numFmtId="0" fontId="95" fillId="0" borderId="101" xfId="0" applyFont="1" applyBorder="1" applyAlignment="1" applyProtection="1">
      <alignment horizontal="center" vertical="center" wrapText="1"/>
      <protection hidden="1"/>
    </xf>
    <xf numFmtId="0" fontId="95" fillId="0" borderId="22" xfId="0" applyFont="1" applyBorder="1" applyAlignment="1" applyProtection="1">
      <alignment horizontal="center" vertical="center" wrapText="1"/>
      <protection hidden="1"/>
    </xf>
    <xf numFmtId="0" fontId="43" fillId="0" borderId="101" xfId="0" applyFont="1" applyBorder="1" applyAlignment="1" applyProtection="1">
      <alignment horizontal="center" vertical="center" wrapText="1"/>
      <protection locked="0"/>
    </xf>
    <xf numFmtId="0" fontId="43" fillId="0" borderId="22" xfId="0" applyFont="1" applyBorder="1" applyAlignment="1" applyProtection="1">
      <alignment horizontal="center" vertical="center" wrapText="1"/>
      <protection locked="0"/>
    </xf>
    <xf numFmtId="0" fontId="71" fillId="0" borderId="101" xfId="0" applyFont="1" applyBorder="1" applyAlignment="1" applyProtection="1">
      <alignment horizontal="center" vertical="center" wrapText="1"/>
      <protection locked="0"/>
    </xf>
    <xf numFmtId="0" fontId="71" fillId="0" borderId="22" xfId="0" applyFont="1" applyBorder="1" applyAlignment="1" applyProtection="1">
      <alignment horizontal="center" vertical="center" wrapText="1"/>
      <protection locked="0"/>
    </xf>
    <xf numFmtId="0" fontId="90" fillId="0" borderId="101" xfId="0" applyFont="1" applyBorder="1" applyAlignment="1" applyProtection="1">
      <alignment horizontal="center" vertical="center" wrapText="1"/>
      <protection hidden="1"/>
    </xf>
    <xf numFmtId="0" fontId="90" fillId="0" borderId="22" xfId="0" applyFont="1" applyBorder="1" applyAlignment="1" applyProtection="1">
      <alignment horizontal="center" vertical="center" wrapText="1"/>
      <protection hidden="1"/>
    </xf>
    <xf numFmtId="0" fontId="58" fillId="0" borderId="68" xfId="0" applyFont="1" applyBorder="1" applyAlignment="1">
      <alignment horizontal="center" vertical="center" wrapText="1"/>
    </xf>
    <xf numFmtId="0" fontId="59" fillId="0" borderId="68" xfId="0" applyFont="1" applyBorder="1" applyAlignment="1">
      <alignment horizontal="center" vertical="center" wrapText="1"/>
    </xf>
    <xf numFmtId="0" fontId="65" fillId="0" borderId="64" xfId="0" applyFont="1" applyBorder="1" applyAlignment="1">
      <alignment horizontal="left" vertical="center" wrapText="1"/>
    </xf>
    <xf numFmtId="0" fontId="90" fillId="0" borderId="101" xfId="0" applyFont="1" applyBorder="1" applyAlignment="1" applyProtection="1">
      <alignment horizontal="center" vertical="center" textRotation="90" wrapText="1"/>
      <protection locked="0"/>
    </xf>
    <xf numFmtId="0" fontId="90" fillId="0" borderId="22" xfId="0" applyFont="1" applyBorder="1" applyAlignment="1" applyProtection="1">
      <alignment horizontal="center" vertical="center" textRotation="90" wrapText="1"/>
      <protection locked="0"/>
    </xf>
    <xf numFmtId="14" fontId="90" fillId="27" borderId="101" xfId="0" applyNumberFormat="1" applyFont="1" applyFill="1" applyBorder="1" applyAlignment="1" applyProtection="1">
      <alignment horizontal="center" vertical="center" wrapText="1"/>
      <protection locked="0"/>
    </xf>
    <xf numFmtId="14" fontId="90" fillId="27" borderId="22" xfId="0" applyNumberFormat="1" applyFont="1" applyFill="1" applyBorder="1" applyAlignment="1" applyProtection="1">
      <alignment horizontal="center" vertical="center" wrapText="1"/>
      <protection locked="0"/>
    </xf>
    <xf numFmtId="9" fontId="90" fillId="0" borderId="101" xfId="0" applyNumberFormat="1" applyFont="1" applyBorder="1" applyAlignment="1" applyProtection="1">
      <alignment horizontal="center" vertical="center" wrapText="1"/>
      <protection hidden="1"/>
    </xf>
    <xf numFmtId="9" fontId="90" fillId="0" borderId="22" xfId="0" applyNumberFormat="1" applyFont="1" applyBorder="1" applyAlignment="1" applyProtection="1">
      <alignment horizontal="center" vertical="center" wrapText="1"/>
      <protection hidden="1"/>
    </xf>
    <xf numFmtId="0" fontId="65" fillId="0" borderId="101" xfId="0" applyFont="1" applyBorder="1" applyAlignment="1" applyProtection="1">
      <alignment horizontal="center" vertical="center" textRotation="90" wrapText="1"/>
      <protection locked="0"/>
    </xf>
    <xf numFmtId="0" fontId="65" fillId="0" borderId="22" xfId="0" applyFont="1" applyBorder="1" applyAlignment="1" applyProtection="1">
      <alignment horizontal="center" vertical="center" textRotation="90" wrapText="1"/>
      <protection locked="0"/>
    </xf>
    <xf numFmtId="164" fontId="90" fillId="0" borderId="101" xfId="1" applyNumberFormat="1" applyFont="1" applyBorder="1" applyAlignment="1">
      <alignment horizontal="center" vertical="center" wrapText="1"/>
    </xf>
    <xf numFmtId="164" fontId="90" fillId="0" borderId="22" xfId="1" applyNumberFormat="1" applyFont="1" applyBorder="1" applyAlignment="1">
      <alignment horizontal="center" vertical="center" wrapText="1"/>
    </xf>
    <xf numFmtId="0" fontId="95" fillId="0" borderId="101" xfId="0" applyFont="1" applyBorder="1" applyAlignment="1" applyProtection="1">
      <alignment horizontal="center" vertical="center" textRotation="90" wrapText="1"/>
      <protection hidden="1"/>
    </xf>
    <xf numFmtId="0" fontId="95" fillId="0" borderId="22" xfId="0" applyFont="1" applyBorder="1" applyAlignment="1" applyProtection="1">
      <alignment horizontal="center" vertical="center" textRotation="90" wrapText="1"/>
      <protection hidden="1"/>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14" fontId="90" fillId="26" borderId="108" xfId="0" applyNumberFormat="1" applyFont="1" applyFill="1" applyBorder="1" applyAlignment="1">
      <alignment horizontal="center" vertical="center" wrapText="1"/>
    </xf>
    <xf numFmtId="14" fontId="90" fillId="26" borderId="22" xfId="0" applyNumberFormat="1" applyFont="1" applyFill="1" applyBorder="1" applyAlignment="1">
      <alignment horizontal="center" vertical="center" wrapText="1"/>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0" fontId="84" fillId="16" borderId="107" xfId="0" applyFont="1" applyFill="1" applyBorder="1" applyAlignment="1">
      <alignment horizontal="center" vertical="center"/>
    </xf>
    <xf numFmtId="0" fontId="84" fillId="16" borderId="104" xfId="0" applyFont="1" applyFill="1" applyBorder="1" applyAlignment="1">
      <alignment horizontal="center" vertical="center" wrapText="1"/>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0"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4" fillId="16" borderId="21" xfId="0" applyFont="1" applyFill="1" applyBorder="1" applyAlignment="1">
      <alignment horizontal="center" vertical="center" textRotation="90"/>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91" fillId="0" borderId="21" xfId="0" applyFont="1" applyBorder="1" applyAlignment="1">
      <alignment horizontal="left" vertical="center" wrapText="1"/>
    </xf>
    <xf numFmtId="0" fontId="76" fillId="0" borderId="101" xfId="0" applyFont="1" applyBorder="1" applyAlignment="1">
      <alignment horizontal="center" vertical="center" wrapText="1"/>
    </xf>
    <xf numFmtId="0" fontId="76" fillId="0" borderId="22" xfId="0" applyFont="1" applyBorder="1" applyAlignment="1">
      <alignment horizontal="center" vertical="center" wrapText="1"/>
    </xf>
    <xf numFmtId="0" fontId="101" fillId="0" borderId="101" xfId="0" applyFont="1" applyBorder="1" applyAlignment="1" applyProtection="1">
      <alignment horizontal="center" vertical="center" wrapText="1"/>
      <protection locked="0"/>
    </xf>
    <xf numFmtId="0" fontId="101" fillId="0" borderId="22" xfId="0" applyFont="1" applyBorder="1" applyAlignment="1" applyProtection="1">
      <alignment horizontal="center" vertical="center" wrapText="1"/>
      <protection locked="0"/>
    </xf>
    <xf numFmtId="0" fontId="98" fillId="0" borderId="101" xfId="0" applyFont="1" applyBorder="1" applyAlignment="1" applyProtection="1">
      <alignment horizontal="center" vertical="center" wrapText="1"/>
      <protection hidden="1"/>
    </xf>
    <xf numFmtId="0" fontId="98" fillId="0" borderId="22" xfId="0" applyFont="1" applyBorder="1" applyAlignment="1" applyProtection="1">
      <alignment horizontal="center" vertical="center" wrapText="1"/>
      <protection hidden="1"/>
    </xf>
    <xf numFmtId="9" fontId="90" fillId="0" borderId="101" xfId="0" applyNumberFormat="1" applyFont="1" applyBorder="1" applyAlignment="1" applyProtection="1">
      <alignment horizontal="center" vertical="center" wrapText="1"/>
      <protection locked="0"/>
    </xf>
    <xf numFmtId="9" fontId="90" fillId="0" borderId="22" xfId="0" applyNumberFormat="1" applyFont="1" applyBorder="1" applyAlignment="1" applyProtection="1">
      <alignment horizontal="center" vertical="center" wrapText="1"/>
      <protection locked="0"/>
    </xf>
    <xf numFmtId="0" fontId="65" fillId="0" borderId="101" xfId="0" applyFont="1" applyBorder="1" applyAlignment="1" applyProtection="1">
      <alignment horizontal="center" vertical="center" wrapText="1"/>
      <protection locked="0"/>
    </xf>
    <xf numFmtId="0" fontId="65" fillId="0" borderId="22" xfId="0" applyFont="1" applyBorder="1" applyAlignment="1" applyProtection="1">
      <alignment horizontal="center" vertical="center" wrapText="1"/>
      <protection locked="0"/>
    </xf>
    <xf numFmtId="14" fontId="90" fillId="0" borderId="101" xfId="0" applyNumberFormat="1" applyFont="1" applyBorder="1" applyAlignment="1" applyProtection="1">
      <alignment horizontal="center" vertical="center" wrapText="1"/>
      <protection locked="0"/>
    </xf>
    <xf numFmtId="14" fontId="90" fillId="0" borderId="22" xfId="0" applyNumberFormat="1" applyFont="1" applyBorder="1" applyAlignment="1" applyProtection="1">
      <alignment horizontal="center" vertical="center" wrapText="1"/>
      <protection locked="0"/>
    </xf>
    <xf numFmtId="0" fontId="100" fillId="0" borderId="101" xfId="0" applyFont="1" applyBorder="1" applyAlignment="1" applyProtection="1">
      <alignment horizontal="center" vertical="center" wrapText="1"/>
      <protection locked="0"/>
    </xf>
    <xf numFmtId="0" fontId="100" fillId="0" borderId="22" xfId="0" applyFont="1" applyBorder="1" applyAlignment="1" applyProtection="1">
      <alignment horizontal="center" vertical="center" wrapText="1"/>
      <protection locked="0"/>
    </xf>
    <xf numFmtId="0" fontId="65" fillId="0" borderId="101" xfId="0" applyFont="1" applyBorder="1" applyAlignment="1" applyProtection="1">
      <alignment horizontal="center" vertical="center" wrapText="1"/>
      <protection hidden="1"/>
    </xf>
    <xf numFmtId="0" fontId="65" fillId="0" borderId="22" xfId="0" applyFont="1" applyBorder="1" applyAlignment="1" applyProtection="1">
      <alignment horizontal="center" vertical="center" wrapText="1"/>
      <protection hidden="1"/>
    </xf>
    <xf numFmtId="14" fontId="90" fillId="17" borderId="101" xfId="0" applyNumberFormat="1" applyFont="1" applyFill="1" applyBorder="1" applyAlignment="1">
      <alignment horizontal="center" vertical="center" wrapText="1"/>
    </xf>
    <xf numFmtId="14" fontId="90" fillId="17" borderId="102" xfId="0" applyNumberFormat="1" applyFont="1" applyFill="1" applyBorder="1" applyAlignment="1">
      <alignment horizontal="center" vertical="center" wrapText="1"/>
    </xf>
    <xf numFmtId="14" fontId="90" fillId="25" borderId="101" xfId="0" applyNumberFormat="1" applyFont="1" applyFill="1" applyBorder="1" applyAlignment="1" applyProtection="1">
      <alignment horizontal="center" vertical="center" wrapText="1"/>
      <protection locked="0"/>
    </xf>
    <xf numFmtId="14" fontId="90" fillId="25" borderId="102" xfId="0" applyNumberFormat="1" applyFont="1" applyFill="1" applyBorder="1" applyAlignment="1" applyProtection="1">
      <alignment horizontal="center" vertical="center" wrapText="1"/>
      <protection locked="0"/>
    </xf>
    <xf numFmtId="14" fontId="90" fillId="27" borderId="102" xfId="0" applyNumberFormat="1" applyFont="1" applyFill="1" applyBorder="1" applyAlignment="1" applyProtection="1">
      <alignment horizontal="center" vertical="center" wrapText="1"/>
      <protection locked="0"/>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97" fillId="0" borderId="111" xfId="0" applyFont="1" applyBorder="1" applyAlignment="1">
      <alignment horizontal="center" wrapText="1"/>
    </xf>
    <xf numFmtId="0" fontId="97" fillId="0" borderId="112" xfId="0" applyFont="1" applyBorder="1" applyAlignment="1">
      <alignment horizontal="center" wrapText="1"/>
    </xf>
    <xf numFmtId="0" fontId="97" fillId="0" borderId="113" xfId="0" applyFont="1" applyBorder="1" applyAlignment="1">
      <alignment horizont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0" fillId="5" borderId="0" xfId="0" applyFill="1" applyAlignment="1">
      <alignment horizont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22" fillId="0" borderId="0" xfId="0" applyFont="1" applyAlignment="1">
      <alignment horizontal="center" vertical="center" wrapText="1"/>
    </xf>
    <xf numFmtId="0" fontId="18" fillId="5" borderId="7"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1" borderId="7" xfId="0" applyFont="1" applyFill="1" applyBorder="1" applyAlignment="1" applyProtection="1">
      <alignment horizontal="center" vertical="center" wrapText="1" readingOrder="1"/>
      <protection hidden="1"/>
    </xf>
    <xf numFmtId="0" fontId="18" fillId="11" borderId="0" xfId="0" applyFont="1" applyFill="1" applyAlignment="1" applyProtection="1">
      <alignment horizontal="center" vertical="center" wrapText="1" readingOrder="1"/>
      <protection hidden="1"/>
    </xf>
    <xf numFmtId="0" fontId="18" fillId="11" borderId="8" xfId="0" applyFont="1" applyFill="1" applyBorder="1" applyAlignment="1" applyProtection="1">
      <alignment horizontal="center" vertical="center" wrapText="1" readingOrder="1"/>
      <protection hidden="1"/>
    </xf>
    <xf numFmtId="0" fontId="18" fillId="11" borderId="9"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6" fillId="25" borderId="0" xfId="0" applyFont="1" applyFill="1" applyAlignment="1">
      <alignment horizontal="center" vertical="center" wrapText="1" readingOrder="1"/>
    </xf>
    <xf numFmtId="0" fontId="61" fillId="0" borderId="0" xfId="0" applyFont="1" applyAlignment="1">
      <alignment horizontal="center"/>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2" xfId="0" applyFont="1" applyBorder="1" applyAlignment="1">
      <alignment horizontal="center" vertical="center" wrapText="1"/>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165" fontId="65" fillId="0" borderId="23" xfId="0" applyNumberFormat="1" applyFont="1" applyBorder="1" applyAlignment="1">
      <alignment horizontal="center" vertical="center"/>
    </xf>
    <xf numFmtId="165"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724525" y="1786117"/>
          <a:ext cx="8897640" cy="3885913"/>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287110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3221"/>
          <a:ext cx="676275" cy="760640"/>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25" dataDxfId="24">
  <autoFilter ref="B209:C219" xr:uid="{00000000-0009-0000-0100-000001000000}"/>
  <tableColumns count="2">
    <tableColumn id="1" xr3:uid="{00000000-0010-0000-0000-000001000000}" name="Criterios" dataDxfId="23"/>
    <tableColumn id="2" xr3:uid="{00000000-0010-0000-0000-000002000000}" name="Subcriterios" dataDxfId="2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P13" sqref="P13"/>
    </sheetView>
  </sheetViews>
  <sheetFormatPr baseColWidth="10" defaultColWidth="11.3828125" defaultRowHeight="14.6" x14ac:dyDescent="0.4"/>
  <cols>
    <col min="1" max="1" width="3.69140625" style="68" customWidth="1"/>
    <col min="2" max="2" width="16.69140625" customWidth="1"/>
    <col min="3" max="3" width="25" customWidth="1"/>
    <col min="4" max="12" width="10.69140625" customWidth="1"/>
    <col min="13" max="13" width="13.3046875" customWidth="1"/>
    <col min="14" max="14" width="15.53515625" customWidth="1"/>
    <col min="15" max="16384" width="11.3828125" style="68"/>
  </cols>
  <sheetData>
    <row r="1" spans="2:14" ht="12.75" customHeight="1" thickBot="1" x14ac:dyDescent="0.45">
      <c r="B1" s="68"/>
      <c r="C1" s="68"/>
      <c r="D1" s="68"/>
      <c r="E1" s="68"/>
      <c r="F1" s="68"/>
      <c r="G1" s="68"/>
      <c r="H1" s="68"/>
      <c r="I1" s="68"/>
      <c r="J1" s="68"/>
      <c r="K1" s="68"/>
      <c r="L1" s="68"/>
      <c r="M1" s="68"/>
      <c r="N1" s="68"/>
    </row>
    <row r="2" spans="2:14" ht="18.75" customHeight="1" x14ac:dyDescent="0.4">
      <c r="B2" s="366" t="s">
        <v>0</v>
      </c>
      <c r="C2" s="367"/>
      <c r="D2" s="357" t="s">
        <v>1</v>
      </c>
      <c r="E2" s="358"/>
      <c r="F2" s="358"/>
      <c r="G2" s="358"/>
      <c r="H2" s="358"/>
      <c r="I2" s="358"/>
      <c r="J2" s="358"/>
      <c r="K2" s="358"/>
      <c r="L2" s="359"/>
      <c r="M2" s="372" t="s">
        <v>2</v>
      </c>
      <c r="N2" s="373"/>
    </row>
    <row r="3" spans="2:14" ht="15.75" customHeight="1" x14ac:dyDescent="0.4">
      <c r="B3" s="368"/>
      <c r="C3" s="369"/>
      <c r="D3" s="360"/>
      <c r="E3" s="361"/>
      <c r="F3" s="361"/>
      <c r="G3" s="361"/>
      <c r="H3" s="361"/>
      <c r="I3" s="361"/>
      <c r="J3" s="361"/>
      <c r="K3" s="361"/>
      <c r="L3" s="362"/>
      <c r="M3" s="374" t="s">
        <v>3</v>
      </c>
      <c r="N3" s="375"/>
    </row>
    <row r="4" spans="2:14" ht="18.75" customHeight="1" x14ac:dyDescent="0.4">
      <c r="B4" s="368"/>
      <c r="C4" s="369"/>
      <c r="D4" s="360"/>
      <c r="E4" s="361"/>
      <c r="F4" s="361"/>
      <c r="G4" s="361"/>
      <c r="H4" s="361"/>
      <c r="I4" s="361"/>
      <c r="J4" s="361"/>
      <c r="K4" s="361"/>
      <c r="L4" s="362"/>
      <c r="M4" s="374" t="s">
        <v>4</v>
      </c>
      <c r="N4" s="375"/>
    </row>
    <row r="5" spans="2:14" ht="29.25" customHeight="1" thickBot="1" x14ac:dyDescent="0.45">
      <c r="B5" s="370"/>
      <c r="C5" s="371"/>
      <c r="D5" s="363"/>
      <c r="E5" s="364"/>
      <c r="F5" s="364"/>
      <c r="G5" s="364"/>
      <c r="H5" s="364"/>
      <c r="I5" s="364"/>
      <c r="J5" s="364"/>
      <c r="K5" s="364"/>
      <c r="L5" s="365"/>
      <c r="M5" s="376" t="s">
        <v>5</v>
      </c>
      <c r="N5" s="377"/>
    </row>
    <row r="6" spans="2:14" ht="7.5" customHeight="1" thickBot="1" x14ac:dyDescent="0.45"/>
    <row r="7" spans="2:14" x14ac:dyDescent="0.4">
      <c r="B7" s="126"/>
      <c r="C7" s="127"/>
      <c r="D7" s="127"/>
      <c r="E7" s="127"/>
      <c r="F7" s="127"/>
      <c r="G7" s="127"/>
      <c r="H7" s="127"/>
      <c r="I7" s="127"/>
      <c r="J7" s="127"/>
      <c r="K7" s="127"/>
      <c r="L7" s="127"/>
      <c r="M7" s="127"/>
      <c r="N7" s="128"/>
    </row>
    <row r="8" spans="2:14" x14ac:dyDescent="0.4">
      <c r="B8" s="129"/>
      <c r="N8" s="130"/>
    </row>
    <row r="9" spans="2:14" x14ac:dyDescent="0.4">
      <c r="B9" s="129"/>
      <c r="N9" s="130"/>
    </row>
    <row r="10" spans="2:14" x14ac:dyDescent="0.4">
      <c r="B10" s="129"/>
      <c r="N10" s="130"/>
    </row>
    <row r="11" spans="2:14" x14ac:dyDescent="0.4">
      <c r="B11" s="129"/>
      <c r="N11" s="130"/>
    </row>
    <row r="12" spans="2:14" x14ac:dyDescent="0.4">
      <c r="B12" s="129"/>
      <c r="N12" s="130"/>
    </row>
    <row r="13" spans="2:14" x14ac:dyDescent="0.4">
      <c r="B13" s="129"/>
      <c r="N13" s="130"/>
    </row>
    <row r="14" spans="2:14" x14ac:dyDescent="0.4">
      <c r="B14" s="129"/>
      <c r="N14" s="130"/>
    </row>
    <row r="15" spans="2:14" x14ac:dyDescent="0.4">
      <c r="B15" s="129"/>
      <c r="N15" s="130"/>
    </row>
    <row r="16" spans="2:14" ht="21" customHeight="1" x14ac:dyDescent="0.4">
      <c r="B16" s="129"/>
      <c r="N16" s="130"/>
    </row>
    <row r="17" spans="2:14" ht="18.75" customHeight="1" x14ac:dyDescent="0.4">
      <c r="B17" s="129"/>
      <c r="N17" s="130"/>
    </row>
    <row r="18" spans="2:14" ht="17.25" customHeight="1" x14ac:dyDescent="0.4">
      <c r="B18" s="129"/>
      <c r="N18" s="130"/>
    </row>
    <row r="19" spans="2:14" ht="18.75" customHeight="1" x14ac:dyDescent="0.4">
      <c r="B19" s="129"/>
      <c r="N19" s="130"/>
    </row>
    <row r="20" spans="2:14" ht="21" customHeight="1" x14ac:dyDescent="0.4">
      <c r="B20" s="129"/>
      <c r="N20" s="130"/>
    </row>
    <row r="21" spans="2:14" x14ac:dyDescent="0.4">
      <c r="B21" s="129"/>
      <c r="N21" s="130"/>
    </row>
    <row r="22" spans="2:14" x14ac:dyDescent="0.4">
      <c r="B22" s="129"/>
      <c r="N22" s="130"/>
    </row>
    <row r="23" spans="2:14" x14ac:dyDescent="0.4">
      <c r="B23" s="129"/>
      <c r="N23" s="130"/>
    </row>
    <row r="24" spans="2:14" x14ac:dyDescent="0.4">
      <c r="B24" s="129"/>
      <c r="N24" s="130"/>
    </row>
    <row r="25" spans="2:14" x14ac:dyDescent="0.4">
      <c r="B25" s="129"/>
      <c r="N25" s="130"/>
    </row>
    <row r="26" spans="2:14" x14ac:dyDescent="0.4">
      <c r="B26" s="129"/>
      <c r="N26" s="130"/>
    </row>
    <row r="27" spans="2:14" x14ac:dyDescent="0.4">
      <c r="B27" s="129"/>
      <c r="N27" s="130"/>
    </row>
    <row r="28" spans="2:14" x14ac:dyDescent="0.4">
      <c r="B28" s="129"/>
      <c r="N28" s="130"/>
    </row>
    <row r="29" spans="2:14" x14ac:dyDescent="0.4">
      <c r="B29" s="129"/>
      <c r="N29" s="130"/>
    </row>
    <row r="30" spans="2:14" x14ac:dyDescent="0.4">
      <c r="B30" s="129"/>
      <c r="N30" s="130"/>
    </row>
    <row r="31" spans="2:14" x14ac:dyDescent="0.4">
      <c r="B31" s="129"/>
      <c r="D31" s="356" t="s">
        <v>6</v>
      </c>
      <c r="E31" s="356"/>
      <c r="N31" s="130"/>
    </row>
    <row r="32" spans="2:14" x14ac:dyDescent="0.4">
      <c r="B32" s="129"/>
      <c r="D32" s="356"/>
      <c r="E32" s="356"/>
      <c r="N32" s="130"/>
    </row>
    <row r="33" spans="2:14" x14ac:dyDescent="0.4">
      <c r="B33" s="129"/>
      <c r="N33" s="130"/>
    </row>
    <row r="34" spans="2:14" x14ac:dyDescent="0.4">
      <c r="B34" s="129"/>
      <c r="N34" s="130"/>
    </row>
    <row r="35" spans="2:14" x14ac:dyDescent="0.4">
      <c r="B35" s="129"/>
      <c r="N35" s="130"/>
    </row>
    <row r="36" spans="2:14" x14ac:dyDescent="0.4">
      <c r="B36" s="129"/>
      <c r="N36" s="130"/>
    </row>
    <row r="37" spans="2:14" x14ac:dyDescent="0.4">
      <c r="B37" s="129"/>
      <c r="N37" s="130"/>
    </row>
    <row r="38" spans="2:14" ht="15" thickBot="1" x14ac:dyDescent="0.45">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3828125" defaultRowHeight="14.6" x14ac:dyDescent="0.4"/>
  <cols>
    <col min="1" max="1" width="10.3046875" style="116" customWidth="1"/>
    <col min="2" max="2" width="32.3828125" style="116" customWidth="1"/>
    <col min="3" max="3" width="77" style="116" customWidth="1"/>
    <col min="4" max="4" width="21" style="116" customWidth="1"/>
    <col min="5" max="5" width="23.69140625" style="116" customWidth="1"/>
    <col min="6" max="16384" width="11.3828125" style="116"/>
  </cols>
  <sheetData>
    <row r="1" spans="1:6" ht="7.95" customHeight="1" x14ac:dyDescent="0.4"/>
    <row r="2" spans="1:6" ht="15.75" customHeight="1" x14ac:dyDescent="0.4">
      <c r="B2" s="566" t="s">
        <v>280</v>
      </c>
      <c r="C2" s="569" t="s">
        <v>1</v>
      </c>
      <c r="D2" s="358"/>
      <c r="E2" s="203" t="s">
        <v>2</v>
      </c>
      <c r="F2" s="117"/>
    </row>
    <row r="3" spans="1:6" ht="15.75" customHeight="1" x14ac:dyDescent="0.4">
      <c r="B3" s="567"/>
      <c r="C3" s="570"/>
      <c r="D3" s="361"/>
      <c r="E3" s="204" t="s">
        <v>3</v>
      </c>
      <c r="F3" s="117"/>
    </row>
    <row r="4" spans="1:6" ht="16.5" customHeight="1" x14ac:dyDescent="0.4">
      <c r="B4" s="567"/>
      <c r="C4" s="570"/>
      <c r="D4" s="361"/>
      <c r="E4" s="204" t="s">
        <v>4</v>
      </c>
      <c r="F4" s="117"/>
    </row>
    <row r="5" spans="1:6" ht="15" customHeight="1" x14ac:dyDescent="0.4">
      <c r="B5" s="568"/>
      <c r="C5" s="571"/>
      <c r="D5" s="364"/>
      <c r="E5" s="205" t="s">
        <v>5</v>
      </c>
      <c r="F5" s="117"/>
    </row>
    <row r="7" spans="1:6" x14ac:dyDescent="0.4">
      <c r="A7" s="572" t="s">
        <v>9</v>
      </c>
      <c r="B7" s="134" t="s">
        <v>281</v>
      </c>
      <c r="C7" s="135" t="s">
        <v>282</v>
      </c>
      <c r="D7" s="135" t="s">
        <v>283</v>
      </c>
      <c r="E7" s="135" t="s">
        <v>284</v>
      </c>
    </row>
    <row r="8" spans="1:6" ht="28.3" x14ac:dyDescent="0.4">
      <c r="A8" s="572"/>
      <c r="B8" s="118">
        <v>45687</v>
      </c>
      <c r="C8" s="200" t="s">
        <v>285</v>
      </c>
      <c r="D8" s="120" t="s">
        <v>286</v>
      </c>
      <c r="E8" s="120" t="s">
        <v>287</v>
      </c>
    </row>
    <row r="9" spans="1:6" ht="161.5" customHeight="1" x14ac:dyDescent="0.4">
      <c r="A9" s="572"/>
      <c r="B9" s="118">
        <v>45777</v>
      </c>
      <c r="C9" s="200" t="s">
        <v>288</v>
      </c>
      <c r="D9" s="120" t="s">
        <v>286</v>
      </c>
      <c r="E9" s="120" t="s">
        <v>287</v>
      </c>
    </row>
    <row r="10" spans="1:6" x14ac:dyDescent="0.4">
      <c r="A10" s="572"/>
      <c r="B10" s="118"/>
      <c r="C10" s="119"/>
      <c r="D10" s="120"/>
      <c r="E10" s="120"/>
    </row>
    <row r="11" spans="1:6" x14ac:dyDescent="0.4">
      <c r="A11" s="572"/>
      <c r="B11" s="118"/>
      <c r="C11" s="119"/>
      <c r="D11" s="120"/>
      <c r="E11" s="120"/>
    </row>
    <row r="12" spans="1:6" x14ac:dyDescent="0.4">
      <c r="A12" s="572"/>
      <c r="B12" s="118"/>
      <c r="C12" s="119"/>
      <c r="D12" s="120"/>
      <c r="E12" s="120"/>
    </row>
    <row r="13" spans="1:6" x14ac:dyDescent="0.4">
      <c r="A13" s="136"/>
      <c r="B13" s="118"/>
      <c r="C13" s="119"/>
      <c r="D13" s="120"/>
      <c r="E13" s="120"/>
    </row>
    <row r="14" spans="1:6" x14ac:dyDescent="0.4">
      <c r="A14" s="136"/>
      <c r="B14" s="118"/>
      <c r="C14" s="119"/>
      <c r="D14" s="120"/>
      <c r="E14" s="120"/>
    </row>
    <row r="15" spans="1:6" x14ac:dyDescent="0.4">
      <c r="A15" s="136"/>
      <c r="B15" s="118"/>
      <c r="C15" s="119"/>
      <c r="D15" s="120"/>
      <c r="E15" s="120"/>
    </row>
    <row r="16" spans="1:6" x14ac:dyDescent="0.4">
      <c r="A16" s="136"/>
      <c r="B16" s="118"/>
      <c r="C16" s="119"/>
      <c r="D16" s="120"/>
      <c r="E16" s="120"/>
    </row>
    <row r="17" spans="1:5" x14ac:dyDescent="0.4">
      <c r="A17" s="136"/>
      <c r="B17" s="118"/>
      <c r="C17" s="119"/>
      <c r="D17" s="120"/>
      <c r="E17" s="120"/>
    </row>
    <row r="18" spans="1:5" x14ac:dyDescent="0.4">
      <c r="A18" s="136"/>
      <c r="B18" s="118"/>
      <c r="C18" s="119"/>
      <c r="D18" s="120"/>
      <c r="E18" s="120"/>
    </row>
    <row r="19" spans="1:5" x14ac:dyDescent="0.4">
      <c r="B19" s="118"/>
      <c r="C19" s="121"/>
      <c r="D19" s="120"/>
      <c r="E19" s="120"/>
    </row>
    <row r="20" spans="1:5" x14ac:dyDescent="0.4">
      <c r="B20" s="118"/>
      <c r="C20" s="119"/>
      <c r="D20" s="120"/>
      <c r="E20" s="120"/>
    </row>
    <row r="25" spans="1:5" x14ac:dyDescent="0.4">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3828125" defaultRowHeight="14.6" x14ac:dyDescent="0.4"/>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H20" sqref="H20"/>
    </sheetView>
  </sheetViews>
  <sheetFormatPr baseColWidth="10" defaultColWidth="11.3828125" defaultRowHeight="14.6" x14ac:dyDescent="0.4"/>
  <cols>
    <col min="1" max="1" width="2.69140625" style="68" customWidth="1"/>
    <col min="2" max="3" width="24.69140625" style="68" customWidth="1"/>
    <col min="4" max="4" width="16" style="68" customWidth="1"/>
    <col min="5" max="5" width="24.69140625" style="68" customWidth="1"/>
    <col min="6" max="6" width="27.69140625" style="68" customWidth="1"/>
    <col min="7" max="8" width="24.69140625" style="68" customWidth="1"/>
    <col min="9" max="10" width="11.3828125" style="142"/>
    <col min="11" max="16384" width="11.3828125" style="68"/>
  </cols>
  <sheetData>
    <row r="1" spans="2:10" ht="15" thickBot="1" x14ac:dyDescent="0.45"/>
    <row r="2" spans="2:10" ht="18" customHeight="1" x14ac:dyDescent="0.4">
      <c r="B2" s="573" t="s">
        <v>289</v>
      </c>
      <c r="C2" s="574"/>
      <c r="D2" s="574"/>
      <c r="E2" s="574"/>
      <c r="F2" s="574"/>
      <c r="G2" s="574"/>
      <c r="H2" s="575"/>
      <c r="J2" s="143" t="s">
        <v>290</v>
      </c>
    </row>
    <row r="3" spans="2:10" ht="19.75" x14ac:dyDescent="0.4">
      <c r="B3" s="69"/>
      <c r="C3" s="70"/>
      <c r="D3" s="70"/>
      <c r="E3" s="70"/>
      <c r="F3" s="70"/>
      <c r="G3" s="70"/>
      <c r="H3" s="71"/>
      <c r="J3" s="143"/>
    </row>
    <row r="4" spans="2:10" ht="63" customHeight="1" x14ac:dyDescent="0.4">
      <c r="B4" s="576" t="s">
        <v>291</v>
      </c>
      <c r="C4" s="577"/>
      <c r="D4" s="577"/>
      <c r="E4" s="577"/>
      <c r="F4" s="577"/>
      <c r="G4" s="577"/>
      <c r="H4" s="578"/>
    </row>
    <row r="5" spans="2:10" ht="63" customHeight="1" x14ac:dyDescent="0.4">
      <c r="B5" s="579"/>
      <c r="C5" s="580"/>
      <c r="D5" s="580"/>
      <c r="E5" s="580"/>
      <c r="F5" s="580"/>
      <c r="G5" s="580"/>
      <c r="H5" s="581"/>
    </row>
    <row r="6" spans="2:10" x14ac:dyDescent="0.4">
      <c r="B6" s="582" t="s">
        <v>292</v>
      </c>
      <c r="C6" s="583"/>
      <c r="D6" s="583"/>
      <c r="E6" s="583"/>
      <c r="F6" s="583"/>
      <c r="G6" s="583"/>
      <c r="H6" s="584"/>
    </row>
    <row r="7" spans="2:10" ht="95.25" customHeight="1" x14ac:dyDescent="0.4">
      <c r="B7" s="592" t="s">
        <v>293</v>
      </c>
      <c r="C7" s="593"/>
      <c r="D7" s="593"/>
      <c r="E7" s="593"/>
      <c r="F7" s="593"/>
      <c r="G7" s="593"/>
      <c r="H7" s="594"/>
    </row>
    <row r="8" spans="2:10" x14ac:dyDescent="0.4">
      <c r="B8" s="101"/>
      <c r="C8" s="102"/>
      <c r="D8" s="102"/>
      <c r="E8" s="102"/>
      <c r="F8" s="102"/>
      <c r="G8" s="102"/>
      <c r="H8" s="103"/>
    </row>
    <row r="9" spans="2:10" ht="16.5" customHeight="1" x14ac:dyDescent="0.4">
      <c r="B9" s="585" t="s">
        <v>294</v>
      </c>
      <c r="C9" s="586"/>
      <c r="D9" s="586"/>
      <c r="E9" s="586"/>
      <c r="F9" s="586"/>
      <c r="G9" s="586"/>
      <c r="H9" s="587"/>
    </row>
    <row r="10" spans="2:10" ht="44.25" customHeight="1" x14ac:dyDescent="0.4">
      <c r="B10" s="585"/>
      <c r="C10" s="586"/>
      <c r="D10" s="586"/>
      <c r="E10" s="586"/>
      <c r="F10" s="586"/>
      <c r="G10" s="586"/>
      <c r="H10" s="587"/>
    </row>
    <row r="11" spans="2:10" ht="15" thickBot="1" x14ac:dyDescent="0.45">
      <c r="B11" s="90"/>
      <c r="C11" s="93"/>
      <c r="D11" s="98"/>
      <c r="E11" s="99"/>
      <c r="F11" s="99"/>
      <c r="G11" s="100"/>
      <c r="H11" s="94"/>
    </row>
    <row r="12" spans="2:10" ht="15" thickTop="1" x14ac:dyDescent="0.4">
      <c r="B12" s="90"/>
      <c r="C12" s="588" t="s">
        <v>295</v>
      </c>
      <c r="D12" s="589"/>
      <c r="E12" s="590" t="s">
        <v>296</v>
      </c>
      <c r="F12" s="591"/>
      <c r="G12" s="93"/>
      <c r="H12" s="94"/>
    </row>
    <row r="13" spans="2:10" ht="35.25" customHeight="1" x14ac:dyDescent="0.4">
      <c r="B13" s="90"/>
      <c r="C13" s="595" t="s">
        <v>297</v>
      </c>
      <c r="D13" s="596"/>
      <c r="E13" s="597" t="s">
        <v>298</v>
      </c>
      <c r="F13" s="598"/>
      <c r="G13" s="93"/>
      <c r="H13" s="94"/>
    </row>
    <row r="14" spans="2:10" ht="17.25" customHeight="1" x14ac:dyDescent="0.4">
      <c r="B14" s="90"/>
      <c r="C14" s="595" t="s">
        <v>299</v>
      </c>
      <c r="D14" s="596"/>
      <c r="E14" s="597" t="s">
        <v>300</v>
      </c>
      <c r="F14" s="598"/>
      <c r="G14" s="93"/>
      <c r="H14" s="94"/>
    </row>
    <row r="15" spans="2:10" ht="19.5" customHeight="1" x14ac:dyDescent="0.4">
      <c r="B15" s="90"/>
      <c r="C15" s="595" t="s">
        <v>301</v>
      </c>
      <c r="D15" s="596"/>
      <c r="E15" s="597" t="s">
        <v>302</v>
      </c>
      <c r="F15" s="598"/>
      <c r="G15" s="93"/>
      <c r="H15" s="94"/>
    </row>
    <row r="16" spans="2:10" ht="69.75" customHeight="1" x14ac:dyDescent="0.4">
      <c r="B16" s="90"/>
      <c r="C16" s="595" t="s">
        <v>303</v>
      </c>
      <c r="D16" s="596"/>
      <c r="E16" s="597" t="s">
        <v>304</v>
      </c>
      <c r="F16" s="598"/>
      <c r="G16" s="93"/>
      <c r="H16" s="94"/>
    </row>
    <row r="17" spans="2:8" ht="34.5" customHeight="1" x14ac:dyDescent="0.4">
      <c r="B17" s="90"/>
      <c r="C17" s="599" t="s">
        <v>59</v>
      </c>
      <c r="D17" s="600"/>
      <c r="E17" s="601" t="s">
        <v>305</v>
      </c>
      <c r="F17" s="602"/>
      <c r="G17" s="93"/>
      <c r="H17" s="94"/>
    </row>
    <row r="18" spans="2:8" ht="27.75" customHeight="1" x14ac:dyDescent="0.4">
      <c r="B18" s="90"/>
      <c r="C18" s="599" t="s">
        <v>306</v>
      </c>
      <c r="D18" s="600"/>
      <c r="E18" s="601" t="s">
        <v>307</v>
      </c>
      <c r="F18" s="602"/>
      <c r="G18" s="93"/>
      <c r="H18" s="94"/>
    </row>
    <row r="19" spans="2:8" ht="28.5" customHeight="1" x14ac:dyDescent="0.4">
      <c r="B19" s="90"/>
      <c r="C19" s="599" t="s">
        <v>308</v>
      </c>
      <c r="D19" s="600"/>
      <c r="E19" s="601" t="s">
        <v>309</v>
      </c>
      <c r="F19" s="602"/>
      <c r="G19" s="93"/>
      <c r="H19" s="94"/>
    </row>
    <row r="20" spans="2:8" ht="72.75" customHeight="1" x14ac:dyDescent="0.4">
      <c r="B20" s="90"/>
      <c r="C20" s="599" t="s">
        <v>310</v>
      </c>
      <c r="D20" s="600"/>
      <c r="E20" s="601" t="s">
        <v>311</v>
      </c>
      <c r="F20" s="602"/>
      <c r="G20" s="93"/>
      <c r="H20" s="94"/>
    </row>
    <row r="21" spans="2:8" ht="64.5" customHeight="1" x14ac:dyDescent="0.4">
      <c r="B21" s="90"/>
      <c r="C21" s="599" t="s">
        <v>65</v>
      </c>
      <c r="D21" s="600"/>
      <c r="E21" s="601" t="s">
        <v>312</v>
      </c>
      <c r="F21" s="602"/>
      <c r="G21" s="93"/>
      <c r="H21" s="94"/>
    </row>
    <row r="22" spans="2:8" ht="71.25" customHeight="1" x14ac:dyDescent="0.4">
      <c r="B22" s="90"/>
      <c r="C22" s="599" t="s">
        <v>313</v>
      </c>
      <c r="D22" s="600"/>
      <c r="E22" s="601" t="s">
        <v>314</v>
      </c>
      <c r="F22" s="602"/>
      <c r="G22" s="93"/>
      <c r="H22" s="94"/>
    </row>
    <row r="23" spans="2:8" ht="55.5" customHeight="1" x14ac:dyDescent="0.4">
      <c r="B23" s="90"/>
      <c r="C23" s="606" t="s">
        <v>315</v>
      </c>
      <c r="D23" s="607"/>
      <c r="E23" s="601" t="s">
        <v>316</v>
      </c>
      <c r="F23" s="602"/>
      <c r="G23" s="93"/>
      <c r="H23" s="94"/>
    </row>
    <row r="24" spans="2:8" ht="42" customHeight="1" x14ac:dyDescent="0.4">
      <c r="B24" s="90"/>
      <c r="C24" s="606" t="s">
        <v>72</v>
      </c>
      <c r="D24" s="607"/>
      <c r="E24" s="601" t="s">
        <v>317</v>
      </c>
      <c r="F24" s="602"/>
      <c r="G24" s="93"/>
      <c r="H24" s="94"/>
    </row>
    <row r="25" spans="2:8" ht="59.25" customHeight="1" x14ac:dyDescent="0.4">
      <c r="B25" s="90"/>
      <c r="C25" s="606" t="s">
        <v>318</v>
      </c>
      <c r="D25" s="607"/>
      <c r="E25" s="601" t="s">
        <v>319</v>
      </c>
      <c r="F25" s="602"/>
      <c r="G25" s="93"/>
      <c r="H25" s="94"/>
    </row>
    <row r="26" spans="2:8" ht="23.25" customHeight="1" x14ac:dyDescent="0.4">
      <c r="B26" s="90"/>
      <c r="C26" s="606" t="s">
        <v>76</v>
      </c>
      <c r="D26" s="607"/>
      <c r="E26" s="601" t="s">
        <v>320</v>
      </c>
      <c r="F26" s="602"/>
      <c r="G26" s="93"/>
      <c r="H26" s="94"/>
    </row>
    <row r="27" spans="2:8" ht="30.75" customHeight="1" x14ac:dyDescent="0.4">
      <c r="B27" s="90"/>
      <c r="C27" s="606" t="s">
        <v>321</v>
      </c>
      <c r="D27" s="607"/>
      <c r="E27" s="601" t="s">
        <v>322</v>
      </c>
      <c r="F27" s="602"/>
      <c r="G27" s="93"/>
      <c r="H27" s="94"/>
    </row>
    <row r="28" spans="2:8" ht="35.25" customHeight="1" x14ac:dyDescent="0.4">
      <c r="B28" s="90"/>
      <c r="C28" s="606" t="s">
        <v>323</v>
      </c>
      <c r="D28" s="607"/>
      <c r="E28" s="601" t="s">
        <v>324</v>
      </c>
      <c r="F28" s="602"/>
      <c r="G28" s="93"/>
      <c r="H28" s="94"/>
    </row>
    <row r="29" spans="2:8" ht="33" customHeight="1" x14ac:dyDescent="0.4">
      <c r="B29" s="90"/>
      <c r="C29" s="606" t="s">
        <v>323</v>
      </c>
      <c r="D29" s="607"/>
      <c r="E29" s="601" t="s">
        <v>324</v>
      </c>
      <c r="F29" s="602"/>
      <c r="G29" s="93"/>
      <c r="H29" s="94"/>
    </row>
    <row r="30" spans="2:8" ht="30" customHeight="1" x14ac:dyDescent="0.4">
      <c r="B30" s="90"/>
      <c r="C30" s="606" t="s">
        <v>325</v>
      </c>
      <c r="D30" s="607"/>
      <c r="E30" s="601" t="s">
        <v>326</v>
      </c>
      <c r="F30" s="602"/>
      <c r="G30" s="93"/>
      <c r="H30" s="94"/>
    </row>
    <row r="31" spans="2:8" ht="35.25" customHeight="1" x14ac:dyDescent="0.4">
      <c r="B31" s="90"/>
      <c r="C31" s="606" t="s">
        <v>327</v>
      </c>
      <c r="D31" s="607"/>
      <c r="E31" s="601" t="s">
        <v>328</v>
      </c>
      <c r="F31" s="602"/>
      <c r="G31" s="93"/>
      <c r="H31" s="94"/>
    </row>
    <row r="32" spans="2:8" ht="31.5" customHeight="1" x14ac:dyDescent="0.4">
      <c r="B32" s="90"/>
      <c r="C32" s="606" t="s">
        <v>329</v>
      </c>
      <c r="D32" s="607"/>
      <c r="E32" s="601" t="s">
        <v>330</v>
      </c>
      <c r="F32" s="602"/>
      <c r="G32" s="93"/>
      <c r="H32" s="94"/>
    </row>
    <row r="33" spans="2:8" ht="35.25" customHeight="1" x14ac:dyDescent="0.4">
      <c r="B33" s="90"/>
      <c r="C33" s="606" t="s">
        <v>331</v>
      </c>
      <c r="D33" s="607"/>
      <c r="E33" s="601" t="s">
        <v>332</v>
      </c>
      <c r="F33" s="602"/>
      <c r="G33" s="93"/>
      <c r="H33" s="94"/>
    </row>
    <row r="34" spans="2:8" ht="59.25" customHeight="1" x14ac:dyDescent="0.4">
      <c r="B34" s="90"/>
      <c r="C34" s="606" t="s">
        <v>333</v>
      </c>
      <c r="D34" s="607"/>
      <c r="E34" s="601" t="s">
        <v>334</v>
      </c>
      <c r="F34" s="602"/>
      <c r="G34" s="93"/>
      <c r="H34" s="94"/>
    </row>
    <row r="35" spans="2:8" ht="29.25" customHeight="1" x14ac:dyDescent="0.4">
      <c r="B35" s="90"/>
      <c r="C35" s="606" t="s">
        <v>82</v>
      </c>
      <c r="D35" s="607"/>
      <c r="E35" s="601" t="s">
        <v>335</v>
      </c>
      <c r="F35" s="602"/>
      <c r="G35" s="93"/>
      <c r="H35" s="94"/>
    </row>
    <row r="36" spans="2:8" ht="82.5" customHeight="1" x14ac:dyDescent="0.4">
      <c r="B36" s="90"/>
      <c r="C36" s="606" t="s">
        <v>336</v>
      </c>
      <c r="D36" s="607"/>
      <c r="E36" s="601" t="s">
        <v>337</v>
      </c>
      <c r="F36" s="602"/>
      <c r="G36" s="93"/>
      <c r="H36" s="94"/>
    </row>
    <row r="37" spans="2:8" ht="46.5" customHeight="1" x14ac:dyDescent="0.4">
      <c r="B37" s="90"/>
      <c r="C37" s="606" t="s">
        <v>338</v>
      </c>
      <c r="D37" s="607"/>
      <c r="E37" s="601" t="s">
        <v>339</v>
      </c>
      <c r="F37" s="602"/>
      <c r="G37" s="93"/>
      <c r="H37" s="94"/>
    </row>
    <row r="38" spans="2:8" ht="6.75" customHeight="1" thickBot="1" x14ac:dyDescent="0.45">
      <c r="B38" s="90"/>
      <c r="C38" s="608"/>
      <c r="D38" s="609"/>
      <c r="E38" s="610"/>
      <c r="F38" s="611"/>
      <c r="G38" s="93"/>
      <c r="H38" s="94"/>
    </row>
    <row r="39" spans="2:8" ht="15" thickTop="1" x14ac:dyDescent="0.4">
      <c r="B39" s="90"/>
      <c r="C39" s="91"/>
      <c r="D39" s="91"/>
      <c r="E39" s="92"/>
      <c r="F39" s="92"/>
      <c r="G39" s="93"/>
      <c r="H39" s="94"/>
    </row>
    <row r="40" spans="2:8" ht="21" customHeight="1" x14ac:dyDescent="0.4">
      <c r="B40" s="603" t="s">
        <v>340</v>
      </c>
      <c r="C40" s="604"/>
      <c r="D40" s="604"/>
      <c r="E40" s="604"/>
      <c r="F40" s="604"/>
      <c r="G40" s="604"/>
      <c r="H40" s="605"/>
    </row>
    <row r="41" spans="2:8" ht="20.25" customHeight="1" x14ac:dyDescent="0.4">
      <c r="B41" s="603" t="s">
        <v>341</v>
      </c>
      <c r="C41" s="604"/>
      <c r="D41" s="604"/>
      <c r="E41" s="604"/>
      <c r="F41" s="604"/>
      <c r="G41" s="604"/>
      <c r="H41" s="605"/>
    </row>
    <row r="42" spans="2:8" ht="20.25" customHeight="1" x14ac:dyDescent="0.4">
      <c r="B42" s="603" t="s">
        <v>342</v>
      </c>
      <c r="C42" s="604"/>
      <c r="D42" s="604"/>
      <c r="E42" s="604"/>
      <c r="F42" s="604"/>
      <c r="G42" s="604"/>
      <c r="H42" s="605"/>
    </row>
    <row r="43" spans="2:8" ht="20.25" customHeight="1" x14ac:dyDescent="0.4">
      <c r="B43" s="603" t="s">
        <v>343</v>
      </c>
      <c r="C43" s="604"/>
      <c r="D43" s="604"/>
      <c r="E43" s="604"/>
      <c r="F43" s="604"/>
      <c r="G43" s="604"/>
      <c r="H43" s="605"/>
    </row>
    <row r="44" spans="2:8" ht="15" customHeight="1" x14ac:dyDescent="0.4">
      <c r="B44" s="603" t="s">
        <v>344</v>
      </c>
      <c r="C44" s="604"/>
      <c r="D44" s="604"/>
      <c r="E44" s="604"/>
      <c r="F44" s="604"/>
      <c r="G44" s="604"/>
      <c r="H44" s="605"/>
    </row>
    <row r="45" spans="2:8" ht="15" thickBot="1" x14ac:dyDescent="0.45">
      <c r="B45" s="95"/>
      <c r="C45" s="96"/>
      <c r="D45" s="96"/>
      <c r="E45" s="96"/>
      <c r="F45" s="96"/>
      <c r="G45" s="96"/>
      <c r="H45" s="97"/>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3828125" defaultRowHeight="14.6" x14ac:dyDescent="0.4"/>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3828125" defaultRowHeight="14.6" x14ac:dyDescent="0.4"/>
  <sheetData>
    <row r="1" spans="1:4" x14ac:dyDescent="0.4">
      <c r="A1" t="s">
        <v>345</v>
      </c>
      <c r="B1" t="s">
        <v>61</v>
      </c>
      <c r="C1" t="s">
        <v>168</v>
      </c>
      <c r="D1" t="s">
        <v>169</v>
      </c>
    </row>
    <row r="2" spans="1:4" x14ac:dyDescent="0.4">
      <c r="A2" t="s">
        <v>346</v>
      </c>
      <c r="B2" t="s">
        <v>172</v>
      </c>
      <c r="C2" t="s">
        <v>193</v>
      </c>
      <c r="D2" t="s">
        <v>175</v>
      </c>
    </row>
    <row r="3" spans="1:4" x14ac:dyDescent="0.4">
      <c r="A3" t="s">
        <v>180</v>
      </c>
      <c r="B3" t="s">
        <v>183</v>
      </c>
      <c r="C3" t="s">
        <v>347</v>
      </c>
      <c r="D3" t="s">
        <v>111</v>
      </c>
    </row>
    <row r="4" spans="1:4" x14ac:dyDescent="0.4">
      <c r="A4" t="s">
        <v>348</v>
      </c>
      <c r="B4" t="s">
        <v>191</v>
      </c>
      <c r="C4" t="s">
        <v>110</v>
      </c>
      <c r="D4" t="s">
        <v>134</v>
      </c>
    </row>
    <row r="5" spans="1:4" x14ac:dyDescent="0.4">
      <c r="A5" t="s">
        <v>183</v>
      </c>
      <c r="B5" t="s">
        <v>108</v>
      </c>
      <c r="C5" t="s">
        <v>349</v>
      </c>
      <c r="D5" t="s">
        <v>122</v>
      </c>
    </row>
    <row r="6" spans="1:4" x14ac:dyDescent="0.4">
      <c r="A6" t="s">
        <v>106</v>
      </c>
      <c r="B6" t="s">
        <v>201</v>
      </c>
      <c r="C6" t="s">
        <v>122</v>
      </c>
    </row>
    <row r="7" spans="1:4" x14ac:dyDescent="0.4">
      <c r="A7" t="s">
        <v>350</v>
      </c>
      <c r="B7" t="s">
        <v>205</v>
      </c>
    </row>
    <row r="8" spans="1:4" x14ac:dyDescent="0.4">
      <c r="A8" t="s">
        <v>351</v>
      </c>
    </row>
    <row r="9" spans="1:4" x14ac:dyDescent="0.4">
      <c r="A9" t="s">
        <v>352</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3828125" defaultRowHeight="14.6" x14ac:dyDescent="0.4"/>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baseColWidth="10" defaultColWidth="11.3828125" defaultRowHeight="14.6" x14ac:dyDescent="0.4"/>
  <cols>
    <col min="1" max="1" width="2.53515625" style="68" customWidth="1"/>
    <col min="2" max="2" width="33.3046875" style="68" customWidth="1"/>
    <col min="3" max="4" width="11.3828125" style="68"/>
    <col min="5" max="5" width="5.69140625" style="68" customWidth="1"/>
    <col min="6" max="6" width="16.3046875" style="68" customWidth="1"/>
    <col min="7" max="7" width="11.3828125" style="68"/>
    <col min="8" max="8" width="13.69140625" style="68" customWidth="1"/>
    <col min="9" max="9" width="14.3046875" style="68" customWidth="1"/>
    <col min="10" max="10" width="14.69140625" style="68" customWidth="1"/>
    <col min="11" max="11" width="7.53515625" style="68" customWidth="1"/>
    <col min="12" max="12" width="2.3046875" style="68" customWidth="1"/>
    <col min="13" max="16384" width="11.3828125" style="68"/>
  </cols>
  <sheetData>
    <row r="1" spans="2:11" ht="6" customHeight="1" thickBot="1" x14ac:dyDescent="0.45"/>
    <row r="2" spans="2:11" ht="15" customHeight="1" x14ac:dyDescent="0.4">
      <c r="B2" s="612" t="s">
        <v>260</v>
      </c>
      <c r="C2" s="615" t="s">
        <v>1</v>
      </c>
      <c r="D2" s="616"/>
      <c r="E2" s="616"/>
      <c r="F2" s="616"/>
      <c r="G2" s="616"/>
      <c r="H2" s="616"/>
      <c r="I2" s="616"/>
      <c r="J2" s="399" t="s">
        <v>261</v>
      </c>
      <c r="K2" s="373"/>
    </row>
    <row r="3" spans="2:11" ht="15" customHeight="1" x14ac:dyDescent="0.4">
      <c r="B3" s="613"/>
      <c r="C3" s="617"/>
      <c r="D3" s="618"/>
      <c r="E3" s="618"/>
      <c r="F3" s="618"/>
      <c r="G3" s="618"/>
      <c r="H3" s="618"/>
      <c r="I3" s="618"/>
      <c r="J3" s="400" t="s">
        <v>353</v>
      </c>
      <c r="K3" s="375"/>
    </row>
    <row r="4" spans="2:11" ht="15" customHeight="1" x14ac:dyDescent="0.4">
      <c r="B4" s="613"/>
      <c r="C4" s="617"/>
      <c r="D4" s="618"/>
      <c r="E4" s="618"/>
      <c r="F4" s="618"/>
      <c r="G4" s="618"/>
      <c r="H4" s="618"/>
      <c r="I4" s="618"/>
      <c r="J4" s="400" t="s">
        <v>262</v>
      </c>
      <c r="K4" s="375" t="s">
        <v>262</v>
      </c>
    </row>
    <row r="5" spans="2:11" ht="15" customHeight="1" thickBot="1" x14ac:dyDescent="0.45">
      <c r="B5" s="614"/>
      <c r="C5" s="619"/>
      <c r="D5" s="620"/>
      <c r="E5" s="620"/>
      <c r="F5" s="620"/>
      <c r="G5" s="620"/>
      <c r="H5" s="620"/>
      <c r="I5" s="620"/>
      <c r="J5" s="401" t="s">
        <v>5</v>
      </c>
      <c r="K5" s="377" t="s">
        <v>5</v>
      </c>
    </row>
    <row r="6" spans="2:11" ht="15" thickBot="1" x14ac:dyDescent="0.45"/>
    <row r="7" spans="2:11" customFormat="1" ht="15" thickBot="1" x14ac:dyDescent="0.45">
      <c r="B7" s="621" t="s">
        <v>281</v>
      </c>
      <c r="C7" s="622"/>
      <c r="D7" s="623" t="s">
        <v>354</v>
      </c>
      <c r="E7" s="624"/>
      <c r="F7" s="623" t="s">
        <v>355</v>
      </c>
      <c r="G7" s="625"/>
      <c r="H7" s="625"/>
      <c r="I7" s="625"/>
      <c r="J7" s="625"/>
      <c r="K7" s="626"/>
    </row>
    <row r="8" spans="2:11" customFormat="1" ht="18" customHeight="1" thickBot="1" x14ac:dyDescent="0.45">
      <c r="B8" s="627"/>
      <c r="C8" s="628"/>
      <c r="D8" s="629">
        <v>1</v>
      </c>
      <c r="E8" s="630"/>
      <c r="F8" s="631"/>
      <c r="G8" s="631"/>
      <c r="H8" s="631"/>
      <c r="I8" s="631"/>
      <c r="J8" s="631"/>
      <c r="K8" s="632"/>
    </row>
    <row r="9" spans="2:11" customFormat="1" ht="18" customHeight="1" thickBot="1" x14ac:dyDescent="0.45">
      <c r="B9" s="627"/>
      <c r="C9" s="628"/>
      <c r="D9" s="629">
        <v>2</v>
      </c>
      <c r="E9" s="630"/>
      <c r="F9" s="631"/>
      <c r="G9" s="631"/>
      <c r="H9" s="631"/>
      <c r="I9" s="631"/>
      <c r="J9" s="631"/>
      <c r="K9" s="632"/>
    </row>
    <row r="10" spans="2:11" customFormat="1" ht="18" customHeight="1" thickBot="1" x14ac:dyDescent="0.45">
      <c r="B10" s="627"/>
      <c r="C10" s="628"/>
      <c r="D10" s="629">
        <v>3</v>
      </c>
      <c r="E10" s="630"/>
      <c r="F10" s="631"/>
      <c r="G10" s="631"/>
      <c r="H10" s="631"/>
      <c r="I10" s="631"/>
      <c r="J10" s="631"/>
      <c r="K10" s="632"/>
    </row>
    <row r="11" spans="2:11" customFormat="1" ht="18" customHeight="1" thickBot="1" x14ac:dyDescent="0.45">
      <c r="B11" s="627"/>
      <c r="C11" s="628"/>
      <c r="D11" s="629">
        <v>4</v>
      </c>
      <c r="E11" s="630"/>
      <c r="F11" s="631"/>
      <c r="G11" s="631"/>
      <c r="H11" s="631"/>
      <c r="I11" s="631"/>
      <c r="J11" s="631"/>
      <c r="K11" s="632"/>
    </row>
    <row r="12" spans="2:11" customFormat="1" ht="18" customHeight="1" thickBot="1" x14ac:dyDescent="0.45">
      <c r="B12" s="627"/>
      <c r="C12" s="628"/>
      <c r="D12" s="629">
        <v>5</v>
      </c>
      <c r="E12" s="630"/>
      <c r="F12" s="631"/>
      <c r="G12" s="631"/>
      <c r="H12" s="631"/>
      <c r="I12" s="631"/>
      <c r="J12" s="631"/>
      <c r="K12" s="632"/>
    </row>
    <row r="13" spans="2:11" customFormat="1" ht="18" customHeight="1" thickBot="1" x14ac:dyDescent="0.45">
      <c r="B13" s="627"/>
      <c r="C13" s="628"/>
      <c r="D13" s="629">
        <v>6</v>
      </c>
      <c r="E13" s="630"/>
      <c r="F13" s="631"/>
      <c r="G13" s="631"/>
      <c r="H13" s="631"/>
      <c r="I13" s="631"/>
      <c r="J13" s="631"/>
      <c r="K13" s="632"/>
    </row>
    <row r="14" spans="2:11" customFormat="1" ht="18" customHeight="1" thickBot="1" x14ac:dyDescent="0.45">
      <c r="B14" s="627"/>
      <c r="C14" s="628"/>
      <c r="D14" s="629">
        <v>7</v>
      </c>
      <c r="E14" s="630"/>
      <c r="F14" s="631"/>
      <c r="G14" s="631"/>
      <c r="H14" s="631"/>
      <c r="I14" s="631"/>
      <c r="J14" s="631"/>
      <c r="K14" s="632"/>
    </row>
    <row r="15" spans="2:11" customFormat="1" ht="18" customHeight="1" x14ac:dyDescent="0.4">
      <c r="B15" s="627">
        <v>45352</v>
      </c>
      <c r="C15" s="628"/>
      <c r="D15" s="629">
        <v>8</v>
      </c>
      <c r="E15" s="630"/>
      <c r="F15" s="631" t="s">
        <v>356</v>
      </c>
      <c r="G15" s="631"/>
      <c r="H15" s="631"/>
      <c r="I15" s="631"/>
      <c r="J15" s="631"/>
      <c r="K15" s="632"/>
    </row>
    <row r="16" spans="2:11" customFormat="1" ht="150.75" customHeight="1" x14ac:dyDescent="0.4">
      <c r="B16" s="627" t="s">
        <v>357</v>
      </c>
      <c r="C16" s="628"/>
      <c r="D16" s="629">
        <v>9</v>
      </c>
      <c r="E16" s="630"/>
      <c r="F16" s="631" t="s">
        <v>358</v>
      </c>
      <c r="G16" s="631"/>
      <c r="H16" s="631"/>
      <c r="I16" s="631"/>
      <c r="J16" s="631"/>
      <c r="K16" s="632"/>
    </row>
    <row r="17" spans="2:12" customFormat="1" ht="15.75" customHeight="1" x14ac:dyDescent="0.4">
      <c r="B17" s="633"/>
      <c r="C17" s="633"/>
      <c r="D17" s="633"/>
      <c r="E17" s="633"/>
      <c r="F17" s="633"/>
      <c r="G17" s="633"/>
      <c r="H17" s="633"/>
      <c r="I17" s="633"/>
      <c r="J17" s="633"/>
      <c r="K17" s="633"/>
    </row>
    <row r="18" spans="2:12" customFormat="1" ht="15.75" customHeight="1" thickBot="1" x14ac:dyDescent="0.45">
      <c r="B18" s="634" t="s">
        <v>359</v>
      </c>
      <c r="C18" s="635"/>
      <c r="D18" s="635"/>
      <c r="E18" s="636"/>
      <c r="F18" s="637" t="s">
        <v>360</v>
      </c>
      <c r="G18" s="638"/>
      <c r="H18" s="639"/>
      <c r="I18" s="640" t="s">
        <v>361</v>
      </c>
      <c r="J18" s="641"/>
      <c r="K18" s="636"/>
    </row>
    <row r="19" spans="2:12" customFormat="1" ht="27" customHeight="1" x14ac:dyDescent="0.4">
      <c r="B19" s="642"/>
      <c r="C19" s="643"/>
      <c r="D19" s="643"/>
      <c r="E19" s="643"/>
      <c r="F19" s="643"/>
      <c r="G19" s="643"/>
      <c r="H19" s="643"/>
      <c r="I19" s="644"/>
      <c r="J19" s="644"/>
      <c r="K19" s="645"/>
    </row>
    <row r="20" spans="2:12" customFormat="1" ht="15" customHeight="1" x14ac:dyDescent="0.4">
      <c r="B20" s="647" t="s">
        <v>362</v>
      </c>
      <c r="C20" s="648"/>
      <c r="D20" s="648"/>
      <c r="E20" s="648"/>
      <c r="F20" s="649" t="s">
        <v>363</v>
      </c>
      <c r="G20" s="649"/>
      <c r="H20" s="650"/>
      <c r="I20" s="649" t="s">
        <v>363</v>
      </c>
      <c r="J20" s="649"/>
      <c r="K20" s="650"/>
    </row>
    <row r="21" spans="2:12" customFormat="1" ht="22.5" customHeight="1" thickBot="1" x14ac:dyDescent="0.45">
      <c r="B21" s="651" t="s">
        <v>364</v>
      </c>
      <c r="C21" s="652"/>
      <c r="D21" s="652"/>
      <c r="E21" s="652"/>
      <c r="F21" s="652" t="s">
        <v>365</v>
      </c>
      <c r="G21" s="652"/>
      <c r="H21" s="653"/>
      <c r="I21" s="652" t="s">
        <v>365</v>
      </c>
      <c r="J21" s="652"/>
      <c r="K21" s="653"/>
    </row>
    <row r="22" spans="2:12" customFormat="1" ht="9" customHeight="1" thickBot="1" x14ac:dyDescent="0.45">
      <c r="B22" s="654"/>
      <c r="C22" s="654"/>
      <c r="D22" s="654"/>
      <c r="E22" s="654"/>
      <c r="F22" s="654"/>
      <c r="G22" s="654"/>
      <c r="H22" s="654"/>
      <c r="I22" s="654"/>
      <c r="J22" s="654"/>
      <c r="K22" s="654"/>
    </row>
    <row r="23" spans="2:12" customFormat="1" ht="15" thickBot="1" x14ac:dyDescent="0.45">
      <c r="B23" s="655" t="s">
        <v>138</v>
      </c>
      <c r="C23" s="656"/>
      <c r="D23" s="657"/>
      <c r="E23" s="123" t="s">
        <v>139</v>
      </c>
      <c r="F23" s="655" t="s">
        <v>140</v>
      </c>
      <c r="G23" s="657"/>
      <c r="H23" s="124" t="s">
        <v>141</v>
      </c>
      <c r="I23" s="655" t="s">
        <v>142</v>
      </c>
      <c r="J23" s="657"/>
      <c r="K23" s="125">
        <v>1</v>
      </c>
    </row>
    <row r="24" spans="2:12" ht="8.25" customHeight="1" x14ac:dyDescent="0.4"/>
    <row r="25" spans="2:12" x14ac:dyDescent="0.4">
      <c r="B25" s="646" t="s">
        <v>366</v>
      </c>
      <c r="C25" s="646"/>
      <c r="D25" s="646"/>
      <c r="E25" s="646"/>
      <c r="F25" s="646"/>
      <c r="G25" s="646"/>
      <c r="H25" s="646"/>
      <c r="I25" s="646"/>
      <c r="J25" s="646"/>
      <c r="K25" s="646"/>
      <c r="L25" s="646"/>
    </row>
    <row r="26" spans="2:12" x14ac:dyDescent="0.4">
      <c r="B26" s="646" t="s">
        <v>367</v>
      </c>
      <c r="C26" s="646"/>
      <c r="D26" s="646"/>
      <c r="E26" s="646"/>
      <c r="F26" s="646"/>
      <c r="G26" s="646"/>
      <c r="H26" s="646"/>
      <c r="I26" s="646"/>
      <c r="J26" s="646"/>
      <c r="K26" s="646"/>
      <c r="L26" s="646"/>
    </row>
    <row r="27" spans="2:12" ht="9" customHeight="1" x14ac:dyDescent="0.4"/>
  </sheetData>
  <mergeCells count="5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 ref="B26:L26"/>
    <mergeCell ref="B20:E20"/>
    <mergeCell ref="F20:H20"/>
    <mergeCell ref="I20:K20"/>
    <mergeCell ref="B21:E21"/>
    <mergeCell ref="F21:H21"/>
    <mergeCell ref="I21:K21"/>
    <mergeCell ref="B22:K22"/>
    <mergeCell ref="B23:D23"/>
    <mergeCell ref="F23:G23"/>
    <mergeCell ref="I23:J23"/>
    <mergeCell ref="B25:L25"/>
    <mergeCell ref="B17:K17"/>
    <mergeCell ref="B18:E18"/>
    <mergeCell ref="F18:H18"/>
    <mergeCell ref="I18:K18"/>
    <mergeCell ref="B19:E19"/>
    <mergeCell ref="F19:H19"/>
    <mergeCell ref="I19:K19"/>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2:B5"/>
    <mergeCell ref="C2:I5"/>
    <mergeCell ref="J2:K2"/>
    <mergeCell ref="J3:K3"/>
    <mergeCell ref="J4:K4"/>
    <mergeCell ref="J5:K5"/>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K13" sqref="K13"/>
    </sheetView>
  </sheetViews>
  <sheetFormatPr baseColWidth="10" defaultColWidth="11.3828125" defaultRowHeight="14.6" x14ac:dyDescent="0.4"/>
  <cols>
    <col min="2" max="2" width="24.3046875" customWidth="1"/>
    <col min="3" max="3" width="70.3046875" customWidth="1"/>
    <col min="4" max="4" width="29.69140625" customWidth="1"/>
  </cols>
  <sheetData>
    <row r="1" spans="1:37" ht="22.3" x14ac:dyDescent="0.4">
      <c r="A1" s="68"/>
      <c r="B1" s="658" t="s">
        <v>368</v>
      </c>
      <c r="C1" s="658"/>
      <c r="D1" s="658"/>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x14ac:dyDescent="0.4">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4.9" x14ac:dyDescent="0.4">
      <c r="A3" s="68"/>
      <c r="B3" s="3"/>
      <c r="C3" s="4" t="s">
        <v>369</v>
      </c>
      <c r="D3" s="4" t="s">
        <v>264</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49.75" x14ac:dyDescent="0.4">
      <c r="A4" s="68"/>
      <c r="B4" s="5" t="s">
        <v>370</v>
      </c>
      <c r="C4" s="6" t="s">
        <v>371</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49.75" x14ac:dyDescent="0.4">
      <c r="A5" s="68"/>
      <c r="B5" s="8" t="s">
        <v>372</v>
      </c>
      <c r="C5" s="9" t="s">
        <v>373</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49.75" x14ac:dyDescent="0.4">
      <c r="A6" s="68"/>
      <c r="B6" s="11" t="s">
        <v>374</v>
      </c>
      <c r="C6" s="9" t="s">
        <v>375</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4.599999999999994" x14ac:dyDescent="0.4">
      <c r="A7" s="68"/>
      <c r="B7" s="12" t="s">
        <v>376</v>
      </c>
      <c r="C7" s="9" t="s">
        <v>377</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49.75" x14ac:dyDescent="0.4">
      <c r="A8" s="68"/>
      <c r="B8" s="13" t="s">
        <v>378</v>
      </c>
      <c r="C8" s="9" t="s">
        <v>379</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x14ac:dyDescent="0.4">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x14ac:dyDescent="0.4">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x14ac:dyDescent="0.4">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x14ac:dyDescent="0.4">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x14ac:dyDescent="0.4">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x14ac:dyDescent="0.4">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x14ac:dyDescent="0.4">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x14ac:dyDescent="0.4">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x14ac:dyDescent="0.4">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x14ac:dyDescent="0.4">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x14ac:dyDescent="0.4">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x14ac:dyDescent="0.4">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x14ac:dyDescent="0.4">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x14ac:dyDescent="0.4">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x14ac:dyDescent="0.4">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x14ac:dyDescent="0.4">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x14ac:dyDescent="0.4">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x14ac:dyDescent="0.4">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x14ac:dyDescent="0.4">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x14ac:dyDescent="0.4">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x14ac:dyDescent="0.4">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x14ac:dyDescent="0.4">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x14ac:dyDescent="0.4">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x14ac:dyDescent="0.4">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x14ac:dyDescent="0.4">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x14ac:dyDescent="0.4">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x14ac:dyDescent="0.4">
      <c r="A35" s="68"/>
    </row>
    <row r="36" spans="1:31" x14ac:dyDescent="0.4">
      <c r="A36" s="68"/>
    </row>
    <row r="37" spans="1:31" x14ac:dyDescent="0.4">
      <c r="A37" s="68"/>
    </row>
    <row r="38" spans="1:31" x14ac:dyDescent="0.4">
      <c r="A38" s="68"/>
    </row>
    <row r="39" spans="1:31" x14ac:dyDescent="0.4">
      <c r="A39" s="68"/>
    </row>
    <row r="40" spans="1:31" x14ac:dyDescent="0.4">
      <c r="A40" s="68"/>
    </row>
    <row r="41" spans="1:31" x14ac:dyDescent="0.4">
      <c r="A41" s="68"/>
    </row>
    <row r="42" spans="1:31" x14ac:dyDescent="0.4">
      <c r="A42" s="68"/>
    </row>
    <row r="43" spans="1:31" x14ac:dyDescent="0.4">
      <c r="A43" s="68"/>
    </row>
    <row r="44" spans="1:31" x14ac:dyDescent="0.4">
      <c r="A44" s="68"/>
    </row>
    <row r="45" spans="1:31" x14ac:dyDescent="0.4">
      <c r="A45" s="68"/>
    </row>
    <row r="46" spans="1:31" x14ac:dyDescent="0.4">
      <c r="A46" s="68"/>
    </row>
    <row r="47" spans="1:31" x14ac:dyDescent="0.4">
      <c r="A47" s="68"/>
    </row>
    <row r="48" spans="1:31" x14ac:dyDescent="0.4">
      <c r="A48" s="68"/>
    </row>
    <row r="49" spans="1:1" x14ac:dyDescent="0.4">
      <c r="A49" s="68"/>
    </row>
    <row r="50" spans="1:1" x14ac:dyDescent="0.4">
      <c r="A50" s="68"/>
    </row>
    <row r="51" spans="1:1" x14ac:dyDescent="0.4">
      <c r="A51" s="68"/>
    </row>
    <row r="52" spans="1:1" x14ac:dyDescent="0.4">
      <c r="A52" s="68"/>
    </row>
    <row r="53" spans="1:1" x14ac:dyDescent="0.4">
      <c r="A53" s="68"/>
    </row>
    <row r="54" spans="1:1" x14ac:dyDescent="0.4">
      <c r="A54" s="68"/>
    </row>
    <row r="55" spans="1:1" x14ac:dyDescent="0.4">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73" zoomScale="55" zoomScaleNormal="55" workbookViewId="0">
      <selection activeCell="G1" sqref="G1"/>
    </sheetView>
  </sheetViews>
  <sheetFormatPr baseColWidth="10" defaultColWidth="11.3828125" defaultRowHeight="14.6" x14ac:dyDescent="0.4"/>
  <cols>
    <col min="2" max="2" width="40.3828125" customWidth="1"/>
    <col min="3" max="3" width="74.69140625" customWidth="1"/>
    <col min="4" max="4" width="135" bestFit="1" customWidth="1"/>
    <col min="5" max="5" width="144.69140625" bestFit="1" customWidth="1"/>
    <col min="6" max="6" width="136.53515625" bestFit="1" customWidth="1"/>
  </cols>
  <sheetData>
    <row r="1" spans="1:21" ht="32.6" x14ac:dyDescent="0.4">
      <c r="A1" s="68"/>
      <c r="B1" s="659" t="s">
        <v>380</v>
      </c>
      <c r="C1" s="659"/>
      <c r="D1" s="659"/>
      <c r="E1" s="68"/>
      <c r="F1" s="68"/>
      <c r="G1" s="68"/>
      <c r="H1" s="68"/>
      <c r="I1" s="68"/>
      <c r="J1" s="68"/>
      <c r="K1" s="68"/>
      <c r="L1" s="68"/>
      <c r="M1" s="68"/>
      <c r="N1" s="68"/>
      <c r="O1" s="68"/>
      <c r="P1" s="68"/>
      <c r="Q1" s="68"/>
      <c r="R1" s="68"/>
      <c r="S1" s="68"/>
      <c r="T1" s="68"/>
      <c r="U1" s="68"/>
    </row>
    <row r="2" spans="1:21" x14ac:dyDescent="0.4">
      <c r="A2" s="68"/>
      <c r="B2" s="68"/>
      <c r="C2" s="68"/>
      <c r="D2" s="68"/>
      <c r="E2" s="68"/>
      <c r="F2" s="68"/>
      <c r="G2" s="68"/>
      <c r="H2" s="68"/>
      <c r="I2" s="68"/>
      <c r="J2" s="68"/>
      <c r="K2" s="68"/>
      <c r="L2" s="68"/>
      <c r="M2" s="68"/>
      <c r="N2" s="68"/>
      <c r="O2" s="68"/>
      <c r="P2" s="68"/>
      <c r="Q2" s="68"/>
      <c r="R2" s="68"/>
      <c r="S2" s="68"/>
      <c r="T2" s="68"/>
      <c r="U2" s="68"/>
    </row>
    <row r="3" spans="1:21" ht="30" x14ac:dyDescent="0.4">
      <c r="A3" s="68"/>
      <c r="B3" s="85"/>
      <c r="C3" s="22" t="s">
        <v>381</v>
      </c>
      <c r="D3" s="22" t="s">
        <v>382</v>
      </c>
      <c r="E3" s="68"/>
      <c r="F3" s="68"/>
      <c r="G3" s="68"/>
      <c r="H3" s="68"/>
      <c r="I3" s="68"/>
      <c r="J3" s="68"/>
      <c r="K3" s="68"/>
      <c r="L3" s="68"/>
      <c r="M3" s="68"/>
      <c r="N3" s="68"/>
      <c r="O3" s="68"/>
      <c r="P3" s="68"/>
      <c r="Q3" s="68"/>
      <c r="R3" s="68"/>
      <c r="S3" s="68"/>
      <c r="T3" s="68"/>
      <c r="U3" s="68"/>
    </row>
    <row r="4" spans="1:21" ht="32.6" x14ac:dyDescent="0.4">
      <c r="A4" s="84" t="s">
        <v>383</v>
      </c>
      <c r="B4" s="25" t="s">
        <v>384</v>
      </c>
      <c r="C4" s="30" t="s">
        <v>385</v>
      </c>
      <c r="D4" s="23" t="s">
        <v>386</v>
      </c>
      <c r="E4" s="68"/>
      <c r="F4" s="68"/>
      <c r="G4" s="68"/>
      <c r="H4" s="68"/>
      <c r="I4" s="68"/>
      <c r="J4" s="68"/>
      <c r="K4" s="68"/>
      <c r="L4" s="68"/>
      <c r="M4" s="68"/>
      <c r="N4" s="68"/>
      <c r="O4" s="68"/>
      <c r="P4" s="68"/>
      <c r="Q4" s="68"/>
      <c r="R4" s="68"/>
      <c r="S4" s="68"/>
      <c r="T4" s="68"/>
      <c r="U4" s="68"/>
    </row>
    <row r="5" spans="1:21" ht="65.150000000000006" x14ac:dyDescent="0.4">
      <c r="A5" s="84" t="s">
        <v>150</v>
      </c>
      <c r="B5" s="26" t="s">
        <v>387</v>
      </c>
      <c r="C5" s="31" t="s">
        <v>388</v>
      </c>
      <c r="D5" s="24" t="s">
        <v>389</v>
      </c>
      <c r="E5" s="68"/>
      <c r="F5" s="68"/>
      <c r="G5" s="68"/>
      <c r="H5" s="68"/>
      <c r="I5" s="68"/>
      <c r="J5" s="68"/>
      <c r="K5" s="68"/>
      <c r="L5" s="68"/>
      <c r="M5" s="68"/>
      <c r="N5" s="68"/>
      <c r="O5" s="68"/>
      <c r="P5" s="68"/>
      <c r="Q5" s="68"/>
      <c r="R5" s="68"/>
      <c r="S5" s="68"/>
      <c r="T5" s="68"/>
      <c r="U5" s="68"/>
    </row>
    <row r="6" spans="1:21" ht="65.150000000000006" x14ac:dyDescent="0.4">
      <c r="A6" s="84" t="s">
        <v>152</v>
      </c>
      <c r="B6" s="27" t="s">
        <v>390</v>
      </c>
      <c r="C6" s="31" t="s">
        <v>391</v>
      </c>
      <c r="D6" s="24" t="s">
        <v>392</v>
      </c>
      <c r="E6" s="68"/>
      <c r="F6" s="68"/>
      <c r="G6" s="68"/>
      <c r="H6" s="68"/>
      <c r="I6" s="68"/>
      <c r="J6" s="68"/>
      <c r="K6" s="68"/>
      <c r="L6" s="68"/>
      <c r="M6" s="68"/>
      <c r="N6" s="68"/>
      <c r="O6" s="68"/>
      <c r="P6" s="68"/>
      <c r="Q6" s="68"/>
      <c r="R6" s="68"/>
      <c r="S6" s="68"/>
      <c r="T6" s="68"/>
      <c r="U6" s="68"/>
    </row>
    <row r="7" spans="1:21" ht="65.150000000000006" x14ac:dyDescent="0.4">
      <c r="A7" s="84" t="s">
        <v>154</v>
      </c>
      <c r="B7" s="28" t="s">
        <v>393</v>
      </c>
      <c r="C7" s="31" t="s">
        <v>394</v>
      </c>
      <c r="D7" s="24" t="s">
        <v>395</v>
      </c>
      <c r="E7" s="68"/>
      <c r="F7" s="68"/>
      <c r="G7" s="68"/>
      <c r="H7" s="68"/>
      <c r="I7" s="68"/>
      <c r="J7" s="68"/>
      <c r="K7" s="68"/>
      <c r="L7" s="68"/>
      <c r="M7" s="68"/>
      <c r="N7" s="68"/>
      <c r="O7" s="68"/>
      <c r="P7" s="68"/>
      <c r="Q7" s="68"/>
      <c r="R7" s="68"/>
      <c r="S7" s="68"/>
      <c r="T7" s="68"/>
      <c r="U7" s="68"/>
    </row>
    <row r="8" spans="1:21" ht="65.150000000000006" x14ac:dyDescent="0.4">
      <c r="A8" s="84" t="s">
        <v>156</v>
      </c>
      <c r="B8" s="29" t="s">
        <v>396</v>
      </c>
      <c r="C8" s="31" t="s">
        <v>397</v>
      </c>
      <c r="D8" s="24" t="s">
        <v>398</v>
      </c>
      <c r="E8" s="68"/>
      <c r="F8" s="68"/>
      <c r="G8" s="68"/>
      <c r="H8" s="68"/>
      <c r="I8" s="68"/>
      <c r="J8" s="68"/>
      <c r="K8" s="68"/>
      <c r="L8" s="68"/>
      <c r="M8" s="68"/>
      <c r="N8" s="68"/>
      <c r="O8" s="68"/>
      <c r="P8" s="68"/>
      <c r="Q8" s="68"/>
      <c r="R8" s="68"/>
      <c r="S8" s="68"/>
      <c r="T8" s="68"/>
      <c r="U8" s="68"/>
    </row>
    <row r="9" spans="1:21" ht="20.149999999999999" x14ac:dyDescent="0.4">
      <c r="A9" s="84"/>
      <c r="B9" s="84"/>
      <c r="C9" s="86"/>
      <c r="D9" s="86"/>
      <c r="E9" s="68"/>
      <c r="F9" s="68"/>
      <c r="G9" s="68"/>
      <c r="H9" s="68"/>
      <c r="I9" s="68"/>
      <c r="J9" s="68"/>
      <c r="K9" s="68"/>
      <c r="L9" s="68"/>
      <c r="M9" s="68"/>
      <c r="N9" s="68"/>
      <c r="O9" s="68"/>
      <c r="P9" s="68"/>
      <c r="Q9" s="68"/>
      <c r="R9" s="68"/>
      <c r="S9" s="68"/>
      <c r="T9" s="68"/>
      <c r="U9" s="68"/>
    </row>
    <row r="10" spans="1:21" x14ac:dyDescent="0.4">
      <c r="A10" s="84"/>
      <c r="B10" s="87"/>
      <c r="C10" s="87"/>
      <c r="D10" s="87"/>
      <c r="E10" s="68"/>
      <c r="F10" s="68"/>
      <c r="G10" s="68"/>
      <c r="H10" s="68"/>
      <c r="I10" s="68"/>
      <c r="J10" s="68"/>
      <c r="K10" s="68"/>
      <c r="L10" s="68"/>
      <c r="M10" s="68"/>
      <c r="N10" s="68"/>
      <c r="O10" s="68"/>
      <c r="P10" s="68"/>
      <c r="Q10" s="68"/>
      <c r="R10" s="68"/>
      <c r="S10" s="68"/>
      <c r="T10" s="68"/>
      <c r="U10" s="68"/>
    </row>
    <row r="11" spans="1:21" x14ac:dyDescent="0.4">
      <c r="A11" s="84"/>
      <c r="B11" s="84" t="s">
        <v>399</v>
      </c>
      <c r="C11" s="84" t="s">
        <v>147</v>
      </c>
      <c r="D11" s="84" t="s">
        <v>125</v>
      </c>
      <c r="E11" s="68"/>
      <c r="F11" s="68"/>
      <c r="G11" s="68"/>
      <c r="H11" s="68"/>
      <c r="I11" s="68"/>
      <c r="J11" s="68"/>
      <c r="K11" s="68"/>
      <c r="L11" s="68"/>
      <c r="M11" s="68"/>
      <c r="N11" s="68"/>
      <c r="O11" s="68"/>
      <c r="P11" s="68"/>
      <c r="Q11" s="68"/>
      <c r="R11" s="68"/>
      <c r="S11" s="68"/>
      <c r="T11" s="68"/>
      <c r="U11" s="68"/>
    </row>
    <row r="12" spans="1:21" x14ac:dyDescent="0.4">
      <c r="A12" s="84"/>
      <c r="B12" s="84" t="s">
        <v>400</v>
      </c>
      <c r="C12" s="84" t="s">
        <v>149</v>
      </c>
      <c r="D12" s="84" t="s">
        <v>157</v>
      </c>
      <c r="E12" s="68"/>
      <c r="F12" s="68"/>
      <c r="G12" s="68"/>
      <c r="H12" s="68"/>
      <c r="I12" s="68"/>
      <c r="J12" s="68"/>
      <c r="K12" s="68"/>
      <c r="L12" s="68"/>
      <c r="M12" s="68"/>
      <c r="N12" s="68"/>
      <c r="O12" s="68"/>
      <c r="P12" s="68"/>
      <c r="Q12" s="68"/>
      <c r="R12" s="68"/>
      <c r="S12" s="68"/>
      <c r="T12" s="68"/>
      <c r="U12" s="68"/>
    </row>
    <row r="13" spans="1:21" x14ac:dyDescent="0.4">
      <c r="A13" s="84"/>
      <c r="B13" s="84"/>
      <c r="C13" s="84" t="s">
        <v>151</v>
      </c>
      <c r="D13" s="84" t="s">
        <v>123</v>
      </c>
      <c r="E13" s="68"/>
      <c r="F13" s="68"/>
      <c r="G13" s="68"/>
      <c r="H13" s="68"/>
      <c r="I13" s="68"/>
      <c r="J13" s="68"/>
      <c r="K13" s="68"/>
      <c r="L13" s="68"/>
      <c r="M13" s="68"/>
      <c r="N13" s="68"/>
      <c r="O13" s="68"/>
      <c r="P13" s="68"/>
      <c r="Q13" s="68"/>
      <c r="R13" s="68"/>
      <c r="S13" s="68"/>
      <c r="T13" s="68"/>
      <c r="U13" s="68"/>
    </row>
    <row r="14" spans="1:21" x14ac:dyDescent="0.4">
      <c r="A14" s="84"/>
      <c r="B14" s="84"/>
      <c r="C14" s="84" t="s">
        <v>153</v>
      </c>
      <c r="D14" s="84" t="s">
        <v>158</v>
      </c>
      <c r="E14" s="68"/>
      <c r="F14" s="68"/>
      <c r="G14" s="68"/>
      <c r="H14" s="68"/>
      <c r="I14" s="68"/>
      <c r="J14" s="68"/>
      <c r="K14" s="68"/>
      <c r="L14" s="68"/>
      <c r="M14" s="68"/>
      <c r="N14" s="68"/>
      <c r="O14" s="68"/>
      <c r="P14" s="68"/>
      <c r="Q14" s="68"/>
      <c r="R14" s="68"/>
      <c r="S14" s="68"/>
      <c r="T14" s="68"/>
      <c r="U14" s="68"/>
    </row>
    <row r="15" spans="1:21" x14ac:dyDescent="0.4">
      <c r="A15" s="84"/>
      <c r="B15" s="84"/>
      <c r="C15" s="84" t="s">
        <v>155</v>
      </c>
      <c r="D15" s="84" t="s">
        <v>159</v>
      </c>
      <c r="E15" s="68"/>
      <c r="F15" s="68"/>
      <c r="G15" s="68"/>
      <c r="H15" s="68"/>
      <c r="I15" s="68"/>
      <c r="J15" s="68"/>
      <c r="K15" s="68"/>
      <c r="L15" s="68"/>
      <c r="M15" s="68"/>
      <c r="N15" s="68"/>
      <c r="O15" s="68"/>
      <c r="P15" s="68"/>
      <c r="Q15" s="68"/>
      <c r="R15" s="68"/>
      <c r="S15" s="68"/>
      <c r="T15" s="68"/>
      <c r="U15" s="68"/>
    </row>
    <row r="16" spans="1:21" x14ac:dyDescent="0.4">
      <c r="A16" s="84"/>
      <c r="B16" s="84"/>
      <c r="C16" s="84"/>
      <c r="D16" s="84"/>
      <c r="E16" s="68"/>
      <c r="F16" s="68"/>
      <c r="G16" s="68"/>
      <c r="H16" s="68"/>
      <c r="I16" s="68"/>
      <c r="J16" s="68"/>
      <c r="K16" s="68"/>
      <c r="L16" s="68"/>
      <c r="M16" s="68"/>
      <c r="N16" s="68"/>
      <c r="O16" s="68"/>
    </row>
    <row r="17" spans="1:15" x14ac:dyDescent="0.4">
      <c r="A17" s="84"/>
      <c r="B17" s="84"/>
      <c r="C17" s="84"/>
      <c r="D17" s="84"/>
      <c r="E17" s="68"/>
      <c r="F17" s="68"/>
      <c r="G17" s="68"/>
      <c r="H17" s="68"/>
      <c r="I17" s="68"/>
      <c r="J17" s="68"/>
      <c r="K17" s="68"/>
      <c r="L17" s="68"/>
      <c r="M17" s="68"/>
      <c r="N17" s="68"/>
      <c r="O17" s="68"/>
    </row>
    <row r="18" spans="1:15" x14ac:dyDescent="0.4">
      <c r="A18" s="84"/>
      <c r="B18" s="88"/>
      <c r="C18" s="88"/>
      <c r="D18" s="88"/>
      <c r="E18" s="68"/>
      <c r="F18" s="68"/>
      <c r="G18" s="68"/>
      <c r="H18" s="68"/>
      <c r="I18" s="68"/>
      <c r="J18" s="68"/>
      <c r="K18" s="68"/>
      <c r="L18" s="68"/>
      <c r="M18" s="68"/>
      <c r="N18" s="68"/>
      <c r="O18" s="68"/>
    </row>
    <row r="19" spans="1:15" x14ac:dyDescent="0.4">
      <c r="A19" s="84"/>
      <c r="B19" s="88"/>
      <c r="C19" s="88"/>
      <c r="D19" s="88"/>
      <c r="E19" s="68"/>
      <c r="F19" s="68"/>
      <c r="G19" s="68"/>
      <c r="H19" s="68"/>
      <c r="I19" s="68"/>
      <c r="J19" s="68"/>
      <c r="K19" s="68"/>
      <c r="L19" s="68"/>
      <c r="M19" s="68"/>
      <c r="N19" s="68"/>
      <c r="O19" s="68"/>
    </row>
    <row r="20" spans="1:15" x14ac:dyDescent="0.4">
      <c r="A20" s="84"/>
      <c r="B20" s="88"/>
      <c r="C20" s="88"/>
      <c r="D20" s="88"/>
      <c r="E20" s="68"/>
      <c r="F20" s="68"/>
      <c r="G20" s="68"/>
      <c r="H20" s="68"/>
      <c r="I20" s="68"/>
      <c r="J20" s="68"/>
      <c r="K20" s="68"/>
      <c r="L20" s="68"/>
      <c r="M20" s="68"/>
      <c r="N20" s="68"/>
      <c r="O20" s="68"/>
    </row>
    <row r="21" spans="1:15" x14ac:dyDescent="0.4">
      <c r="A21" s="84"/>
      <c r="B21" s="88"/>
      <c r="C21" s="88"/>
      <c r="D21" s="88"/>
      <c r="E21" s="68"/>
      <c r="F21" s="68"/>
      <c r="G21" s="68"/>
      <c r="H21" s="68"/>
      <c r="I21" s="68"/>
      <c r="J21" s="68"/>
      <c r="K21" s="68"/>
      <c r="L21" s="68"/>
      <c r="M21" s="68"/>
      <c r="N21" s="68"/>
      <c r="O21" s="68"/>
    </row>
    <row r="22" spans="1:15" ht="20.149999999999999" x14ac:dyDescent="0.4">
      <c r="A22" s="84"/>
      <c r="B22" s="84"/>
      <c r="C22" s="86"/>
      <c r="D22" s="86"/>
      <c r="E22" s="68"/>
      <c r="F22" s="68"/>
      <c r="G22" s="68"/>
      <c r="H22" s="68"/>
      <c r="I22" s="68"/>
      <c r="J22" s="68"/>
      <c r="K22" s="68"/>
      <c r="L22" s="68"/>
      <c r="M22" s="68"/>
      <c r="N22" s="68"/>
      <c r="O22" s="68"/>
    </row>
    <row r="23" spans="1:15" ht="20.149999999999999" x14ac:dyDescent="0.4">
      <c r="A23" s="84"/>
      <c r="B23" s="84"/>
      <c r="C23" s="86"/>
      <c r="D23" s="86"/>
      <c r="E23" s="68"/>
      <c r="F23" s="68"/>
      <c r="G23" s="68"/>
      <c r="H23" s="68"/>
      <c r="I23" s="68"/>
      <c r="J23" s="68"/>
      <c r="K23" s="68"/>
      <c r="L23" s="68"/>
      <c r="M23" s="68"/>
      <c r="N23" s="68"/>
      <c r="O23" s="68"/>
    </row>
    <row r="24" spans="1:15" ht="20.149999999999999" x14ac:dyDescent="0.4">
      <c r="A24" s="84"/>
      <c r="B24" s="84"/>
      <c r="C24" s="86"/>
      <c r="D24" s="86"/>
      <c r="E24" s="68"/>
      <c r="F24" s="68"/>
      <c r="G24" s="68"/>
      <c r="H24" s="68"/>
      <c r="I24" s="68"/>
      <c r="J24" s="68"/>
      <c r="K24" s="68"/>
      <c r="L24" s="68"/>
      <c r="M24" s="68"/>
      <c r="N24" s="68"/>
      <c r="O24" s="68"/>
    </row>
    <row r="25" spans="1:15" ht="20.149999999999999" x14ac:dyDescent="0.4">
      <c r="A25" s="84"/>
      <c r="B25" s="84"/>
      <c r="C25" s="86"/>
      <c r="D25" s="86"/>
      <c r="E25" s="68"/>
      <c r="F25" s="68"/>
      <c r="G25" s="68"/>
      <c r="H25" s="68"/>
      <c r="I25" s="68"/>
      <c r="J25" s="68"/>
      <c r="K25" s="68"/>
      <c r="L25" s="68"/>
      <c r="M25" s="68"/>
      <c r="N25" s="68"/>
      <c r="O25" s="68"/>
    </row>
    <row r="26" spans="1:15" ht="20.149999999999999" x14ac:dyDescent="0.4">
      <c r="A26" s="84"/>
      <c r="B26" s="84"/>
      <c r="C26" s="86"/>
      <c r="D26" s="86"/>
      <c r="E26" s="68"/>
      <c r="F26" s="68"/>
      <c r="G26" s="68"/>
      <c r="H26" s="68"/>
      <c r="I26" s="68"/>
      <c r="J26" s="68"/>
      <c r="K26" s="68"/>
      <c r="L26" s="68"/>
      <c r="M26" s="68"/>
      <c r="N26" s="68"/>
      <c r="O26" s="68"/>
    </row>
    <row r="27" spans="1:15" ht="20.149999999999999" x14ac:dyDescent="0.4">
      <c r="A27" s="84"/>
      <c r="B27" s="84"/>
      <c r="C27" s="86"/>
      <c r="D27" s="86"/>
      <c r="E27" s="68"/>
      <c r="F27" s="68"/>
      <c r="G27" s="68"/>
      <c r="H27" s="68"/>
      <c r="I27" s="68"/>
      <c r="J27" s="68"/>
      <c r="K27" s="68"/>
      <c r="L27" s="68"/>
      <c r="M27" s="68"/>
      <c r="N27" s="68"/>
      <c r="O27" s="68"/>
    </row>
    <row r="28" spans="1:15" ht="20.149999999999999" x14ac:dyDescent="0.4">
      <c r="A28" s="84"/>
      <c r="B28" s="84"/>
      <c r="C28" s="86"/>
      <c r="D28" s="86"/>
      <c r="E28" s="68"/>
      <c r="F28" s="68"/>
      <c r="G28" s="68"/>
      <c r="H28" s="68"/>
      <c r="I28" s="68"/>
      <c r="J28" s="68"/>
      <c r="K28" s="68"/>
      <c r="L28" s="68"/>
      <c r="M28" s="68"/>
      <c r="N28" s="68"/>
      <c r="O28" s="68"/>
    </row>
    <row r="29" spans="1:15" ht="20.149999999999999" x14ac:dyDescent="0.4">
      <c r="A29" s="84"/>
      <c r="B29" s="84"/>
      <c r="C29" s="86"/>
      <c r="D29" s="86"/>
      <c r="E29" s="68"/>
      <c r="F29" s="68"/>
      <c r="G29" s="68"/>
      <c r="H29" s="68"/>
      <c r="I29" s="68"/>
      <c r="J29" s="68"/>
      <c r="K29" s="68"/>
      <c r="L29" s="68"/>
      <c r="M29" s="68"/>
      <c r="N29" s="68"/>
      <c r="O29" s="68"/>
    </row>
    <row r="30" spans="1:15" ht="20.149999999999999" x14ac:dyDescent="0.4">
      <c r="A30" s="84"/>
      <c r="B30" s="84"/>
      <c r="C30" s="86"/>
      <c r="D30" s="86"/>
      <c r="E30" s="68"/>
      <c r="F30" s="68"/>
      <c r="G30" s="68"/>
      <c r="H30" s="68"/>
      <c r="I30" s="68"/>
      <c r="J30" s="68"/>
      <c r="K30" s="68"/>
      <c r="L30" s="68"/>
      <c r="M30" s="68"/>
      <c r="N30" s="68"/>
      <c r="O30" s="68"/>
    </row>
    <row r="31" spans="1:15" ht="20.149999999999999" x14ac:dyDescent="0.4">
      <c r="A31" s="84"/>
      <c r="B31" s="84"/>
      <c r="C31" s="86"/>
      <c r="D31" s="86"/>
      <c r="E31" s="68"/>
      <c r="F31" s="68"/>
      <c r="G31" s="68"/>
      <c r="H31" s="68"/>
      <c r="I31" s="68"/>
      <c r="J31" s="68"/>
      <c r="K31" s="68"/>
      <c r="L31" s="68"/>
      <c r="M31" s="68"/>
      <c r="N31" s="68"/>
      <c r="O31" s="68"/>
    </row>
    <row r="32" spans="1:15" ht="20.149999999999999" x14ac:dyDescent="0.4">
      <c r="A32" s="84"/>
      <c r="B32" s="84"/>
      <c r="C32" s="86"/>
      <c r="D32" s="86"/>
      <c r="E32" s="68"/>
      <c r="F32" s="68"/>
      <c r="G32" s="68"/>
      <c r="H32" s="68"/>
      <c r="I32" s="68"/>
      <c r="J32" s="68"/>
      <c r="K32" s="68"/>
      <c r="L32" s="68"/>
      <c r="M32" s="68"/>
      <c r="N32" s="68"/>
      <c r="O32" s="68"/>
    </row>
    <row r="33" spans="1:15" ht="20.149999999999999" x14ac:dyDescent="0.4">
      <c r="A33" s="84"/>
      <c r="B33" s="84"/>
      <c r="C33" s="86"/>
      <c r="D33" s="86"/>
      <c r="E33" s="68"/>
      <c r="F33" s="68"/>
      <c r="G33" s="68"/>
      <c r="H33" s="68"/>
      <c r="I33" s="68"/>
      <c r="J33" s="68"/>
      <c r="K33" s="68"/>
      <c r="L33" s="68"/>
      <c r="M33" s="68"/>
      <c r="N33" s="68"/>
      <c r="O33" s="68"/>
    </row>
    <row r="34" spans="1:15" ht="20.149999999999999" x14ac:dyDescent="0.4">
      <c r="A34" s="84"/>
      <c r="B34" s="84"/>
      <c r="C34" s="86"/>
      <c r="D34" s="86"/>
      <c r="E34" s="68"/>
      <c r="F34" s="68"/>
      <c r="G34" s="68"/>
      <c r="H34" s="68"/>
      <c r="I34" s="68"/>
      <c r="J34" s="68"/>
      <c r="K34" s="68"/>
      <c r="L34" s="68"/>
      <c r="M34" s="68"/>
      <c r="N34" s="68"/>
      <c r="O34" s="68"/>
    </row>
    <row r="35" spans="1:15" ht="20.149999999999999" x14ac:dyDescent="0.4">
      <c r="A35" s="84"/>
      <c r="B35" s="84"/>
      <c r="C35" s="86"/>
      <c r="D35" s="86"/>
      <c r="E35" s="68"/>
      <c r="F35" s="68"/>
      <c r="G35" s="68"/>
      <c r="H35" s="68"/>
      <c r="I35" s="68"/>
      <c r="J35" s="68"/>
      <c r="K35" s="68"/>
      <c r="L35" s="68"/>
      <c r="M35" s="68"/>
      <c r="N35" s="68"/>
      <c r="O35" s="68"/>
    </row>
    <row r="36" spans="1:15" ht="20.149999999999999" x14ac:dyDescent="0.4">
      <c r="A36" s="84"/>
      <c r="B36" s="84"/>
      <c r="C36" s="86"/>
      <c r="D36" s="86"/>
      <c r="E36" s="68"/>
      <c r="F36" s="68"/>
      <c r="G36" s="68"/>
      <c r="H36" s="68"/>
      <c r="I36" s="68"/>
      <c r="J36" s="68"/>
      <c r="K36" s="68"/>
      <c r="L36" s="68"/>
      <c r="M36" s="68"/>
      <c r="N36" s="68"/>
      <c r="O36" s="68"/>
    </row>
    <row r="37" spans="1:15" ht="20.149999999999999" x14ac:dyDescent="0.4">
      <c r="A37" s="84"/>
      <c r="B37" s="84"/>
      <c r="C37" s="86"/>
      <c r="D37" s="86"/>
      <c r="E37" s="68"/>
      <c r="F37" s="68"/>
      <c r="G37" s="68"/>
      <c r="H37" s="68"/>
      <c r="I37" s="68"/>
      <c r="J37" s="68"/>
      <c r="K37" s="68"/>
      <c r="L37" s="68"/>
      <c r="M37" s="68"/>
      <c r="N37" s="68"/>
      <c r="O37" s="68"/>
    </row>
    <row r="38" spans="1:15" ht="20.149999999999999" x14ac:dyDescent="0.4">
      <c r="A38" s="84"/>
      <c r="B38" s="84"/>
      <c r="C38" s="86"/>
      <c r="D38" s="86"/>
      <c r="E38" s="68"/>
      <c r="F38" s="68"/>
      <c r="G38" s="68"/>
      <c r="H38" s="68"/>
      <c r="I38" s="68"/>
      <c r="J38" s="68"/>
      <c r="K38" s="68"/>
      <c r="L38" s="68"/>
      <c r="M38" s="68"/>
      <c r="N38" s="68"/>
      <c r="O38" s="68"/>
    </row>
    <row r="39" spans="1:15" ht="20.149999999999999" x14ac:dyDescent="0.4">
      <c r="A39" s="84"/>
      <c r="B39" s="84"/>
      <c r="C39" s="86"/>
      <c r="D39" s="86"/>
      <c r="E39" s="68"/>
      <c r="F39" s="68"/>
      <c r="G39" s="68"/>
      <c r="H39" s="68"/>
      <c r="I39" s="68"/>
      <c r="J39" s="68"/>
      <c r="K39" s="68"/>
      <c r="L39" s="68"/>
      <c r="M39" s="68"/>
      <c r="N39" s="68"/>
      <c r="O39" s="68"/>
    </row>
    <row r="40" spans="1:15" ht="20.149999999999999" x14ac:dyDescent="0.4">
      <c r="A40" s="84"/>
      <c r="B40" s="84"/>
      <c r="C40" s="86"/>
      <c r="D40" s="86"/>
      <c r="E40" s="68"/>
      <c r="F40" s="68"/>
      <c r="G40" s="68"/>
      <c r="H40" s="68"/>
      <c r="I40" s="68"/>
      <c r="J40" s="68"/>
      <c r="K40" s="68"/>
      <c r="L40" s="68"/>
      <c r="M40" s="68"/>
      <c r="N40" s="68"/>
      <c r="O40" s="68"/>
    </row>
    <row r="41" spans="1:15" ht="20.149999999999999" x14ac:dyDescent="0.4">
      <c r="A41" s="84"/>
      <c r="B41" s="84"/>
      <c r="C41" s="86"/>
      <c r="D41" s="86"/>
      <c r="E41" s="68"/>
      <c r="F41" s="68"/>
      <c r="G41" s="68"/>
      <c r="H41" s="68"/>
      <c r="I41" s="68"/>
      <c r="J41" s="68"/>
      <c r="K41" s="68"/>
      <c r="L41" s="68"/>
      <c r="M41" s="68"/>
      <c r="N41" s="68"/>
      <c r="O41" s="68"/>
    </row>
    <row r="42" spans="1:15" ht="20.149999999999999" x14ac:dyDescent="0.4">
      <c r="A42" s="84"/>
      <c r="B42" s="84"/>
      <c r="C42" s="86"/>
      <c r="D42" s="86"/>
      <c r="E42" s="68"/>
      <c r="F42" s="68"/>
      <c r="G42" s="68"/>
      <c r="H42" s="68"/>
      <c r="I42" s="68"/>
      <c r="J42" s="68"/>
      <c r="K42" s="68"/>
      <c r="L42" s="68"/>
      <c r="M42" s="68"/>
      <c r="N42" s="68"/>
      <c r="O42" s="68"/>
    </row>
    <row r="43" spans="1:15" ht="20.149999999999999" x14ac:dyDescent="0.4">
      <c r="A43" s="84"/>
      <c r="B43" s="84"/>
      <c r="C43" s="86"/>
      <c r="D43" s="86"/>
      <c r="E43" s="68"/>
      <c r="F43" s="68"/>
      <c r="G43" s="68"/>
      <c r="H43" s="68"/>
      <c r="I43" s="68"/>
      <c r="J43" s="68"/>
      <c r="K43" s="68"/>
      <c r="L43" s="68"/>
      <c r="M43" s="68"/>
      <c r="N43" s="68"/>
      <c r="O43" s="68"/>
    </row>
    <row r="44" spans="1:15" ht="20.149999999999999" x14ac:dyDescent="0.4">
      <c r="A44" s="84"/>
      <c r="B44" s="84"/>
      <c r="C44" s="86"/>
      <c r="D44" s="86"/>
      <c r="E44" s="68"/>
      <c r="F44" s="68"/>
      <c r="G44" s="68"/>
      <c r="H44" s="68"/>
      <c r="I44" s="68"/>
      <c r="J44" s="68"/>
      <c r="K44" s="68"/>
      <c r="L44" s="68"/>
      <c r="M44" s="68"/>
      <c r="N44" s="68"/>
      <c r="O44" s="68"/>
    </row>
    <row r="45" spans="1:15" ht="20.149999999999999" x14ac:dyDescent="0.4">
      <c r="A45" s="84"/>
      <c r="B45" s="84"/>
      <c r="C45" s="86"/>
      <c r="D45" s="86"/>
      <c r="E45" s="68"/>
      <c r="F45" s="68"/>
      <c r="G45" s="68"/>
      <c r="H45" s="68"/>
      <c r="I45" s="68"/>
      <c r="J45" s="68"/>
      <c r="K45" s="68"/>
      <c r="L45" s="68"/>
      <c r="M45" s="68"/>
      <c r="N45" s="68"/>
      <c r="O45" s="68"/>
    </row>
    <row r="46" spans="1:15" ht="20.149999999999999" x14ac:dyDescent="0.4">
      <c r="A46" s="84"/>
      <c r="B46" s="84"/>
      <c r="C46" s="86"/>
      <c r="D46" s="86"/>
      <c r="E46" s="68"/>
      <c r="F46" s="68"/>
      <c r="G46" s="68"/>
      <c r="H46" s="68"/>
      <c r="I46" s="68"/>
      <c r="J46" s="68"/>
      <c r="K46" s="68"/>
      <c r="L46" s="68"/>
      <c r="M46" s="68"/>
      <c r="N46" s="68"/>
      <c r="O46" s="68"/>
    </row>
    <row r="47" spans="1:15" ht="20.149999999999999" x14ac:dyDescent="0.4">
      <c r="A47" s="84"/>
      <c r="B47" s="84"/>
      <c r="C47" s="86"/>
      <c r="D47" s="86"/>
      <c r="E47" s="68"/>
      <c r="F47" s="68"/>
      <c r="G47" s="68"/>
      <c r="H47" s="68"/>
      <c r="I47" s="68"/>
      <c r="J47" s="68"/>
      <c r="K47" s="68"/>
      <c r="L47" s="68"/>
      <c r="M47" s="68"/>
      <c r="N47" s="68"/>
      <c r="O47" s="68"/>
    </row>
    <row r="48" spans="1:15" ht="20.149999999999999" x14ac:dyDescent="0.4">
      <c r="A48" s="84"/>
      <c r="B48" s="84"/>
      <c r="C48" s="86"/>
      <c r="D48" s="86"/>
      <c r="E48" s="68"/>
      <c r="F48" s="68"/>
      <c r="G48" s="68"/>
      <c r="H48" s="68"/>
      <c r="I48" s="68"/>
      <c r="J48" s="68"/>
      <c r="K48" s="68"/>
      <c r="L48" s="68"/>
      <c r="M48" s="68"/>
      <c r="N48" s="68"/>
      <c r="O48" s="68"/>
    </row>
    <row r="49" spans="1:15" ht="20.149999999999999" x14ac:dyDescent="0.4">
      <c r="A49" s="84"/>
      <c r="B49" s="84"/>
      <c r="C49" s="86"/>
      <c r="D49" s="86"/>
      <c r="E49" s="68"/>
      <c r="F49" s="68"/>
      <c r="G49" s="68"/>
      <c r="H49" s="68"/>
      <c r="I49" s="68"/>
      <c r="J49" s="68"/>
      <c r="K49" s="68"/>
      <c r="L49" s="68"/>
      <c r="M49" s="68"/>
      <c r="N49" s="68"/>
      <c r="O49" s="68"/>
    </row>
    <row r="50" spans="1:15" ht="20.149999999999999" x14ac:dyDescent="0.4">
      <c r="A50" s="84"/>
      <c r="B50" s="84"/>
      <c r="C50" s="86"/>
      <c r="D50" s="86"/>
      <c r="E50" s="68"/>
      <c r="F50" s="68"/>
      <c r="G50" s="68"/>
      <c r="H50" s="68"/>
      <c r="I50" s="68"/>
      <c r="J50" s="68"/>
      <c r="K50" s="68"/>
      <c r="L50" s="68"/>
      <c r="M50" s="68"/>
      <c r="N50" s="68"/>
      <c r="O50" s="68"/>
    </row>
    <row r="51" spans="1:15" ht="20.149999999999999" x14ac:dyDescent="0.4">
      <c r="A51" s="84"/>
      <c r="B51" s="84"/>
      <c r="C51" s="86"/>
      <c r="D51" s="86"/>
      <c r="E51" s="68"/>
      <c r="F51" s="68"/>
      <c r="G51" s="68"/>
      <c r="H51" s="68"/>
      <c r="I51" s="68"/>
      <c r="J51" s="68"/>
      <c r="K51" s="68"/>
      <c r="L51" s="68"/>
      <c r="M51" s="68"/>
      <c r="N51" s="68"/>
      <c r="O51" s="68"/>
    </row>
    <row r="52" spans="1:15" ht="20.149999999999999" x14ac:dyDescent="0.4">
      <c r="A52" s="84"/>
      <c r="B52" s="15"/>
      <c r="C52" s="20"/>
      <c r="D52" s="20"/>
    </row>
    <row r="53" spans="1:15" ht="20.149999999999999" x14ac:dyDescent="0.4">
      <c r="A53" s="84"/>
      <c r="B53" s="15"/>
      <c r="C53" s="20"/>
      <c r="D53" s="20"/>
    </row>
    <row r="54" spans="1:15" ht="20.149999999999999" x14ac:dyDescent="0.4">
      <c r="A54" s="84"/>
      <c r="B54" s="15"/>
      <c r="C54" s="20"/>
      <c r="D54" s="20"/>
    </row>
    <row r="55" spans="1:15" ht="20.149999999999999" x14ac:dyDescent="0.4">
      <c r="A55" s="84"/>
      <c r="B55" s="15"/>
      <c r="C55" s="20"/>
      <c r="D55" s="20"/>
    </row>
    <row r="56" spans="1:15" ht="20.149999999999999" x14ac:dyDescent="0.4">
      <c r="A56" s="84"/>
      <c r="B56" s="15"/>
      <c r="C56" s="20"/>
      <c r="D56" s="20"/>
    </row>
    <row r="57" spans="1:15" ht="20.149999999999999" x14ac:dyDescent="0.4">
      <c r="A57" s="84"/>
      <c r="B57" s="15"/>
      <c r="C57" s="20"/>
      <c r="D57" s="20"/>
    </row>
    <row r="58" spans="1:15" ht="20.149999999999999" x14ac:dyDescent="0.4">
      <c r="A58" s="84"/>
      <c r="B58" s="15"/>
      <c r="C58" s="20"/>
      <c r="D58" s="20"/>
    </row>
    <row r="59" spans="1:15" ht="20.149999999999999" x14ac:dyDescent="0.4">
      <c r="A59" s="84"/>
      <c r="B59" s="15"/>
      <c r="C59" s="20"/>
      <c r="D59" s="20"/>
    </row>
    <row r="60" spans="1:15" ht="20.149999999999999" x14ac:dyDescent="0.4">
      <c r="A60" s="84"/>
      <c r="B60" s="15"/>
      <c r="C60" s="20"/>
      <c r="D60" s="20"/>
    </row>
    <row r="61" spans="1:15" ht="20.149999999999999" x14ac:dyDescent="0.4">
      <c r="A61" s="84"/>
      <c r="B61" s="15"/>
      <c r="C61" s="20"/>
      <c r="D61" s="20"/>
    </row>
    <row r="62" spans="1:15" ht="20.149999999999999" x14ac:dyDescent="0.4">
      <c r="A62" s="84"/>
      <c r="B62" s="15"/>
      <c r="C62" s="20"/>
      <c r="D62" s="20"/>
    </row>
    <row r="63" spans="1:15" ht="20.149999999999999" x14ac:dyDescent="0.4">
      <c r="A63" s="84"/>
      <c r="B63" s="15"/>
      <c r="C63" s="20"/>
      <c r="D63" s="20"/>
    </row>
    <row r="64" spans="1:15" ht="20.149999999999999" x14ac:dyDescent="0.4">
      <c r="A64" s="84"/>
      <c r="B64" s="15"/>
      <c r="C64" s="20"/>
      <c r="D64" s="20"/>
    </row>
    <row r="65" spans="1:4" ht="20.149999999999999" x14ac:dyDescent="0.4">
      <c r="A65" s="84"/>
      <c r="B65" s="15"/>
      <c r="C65" s="20"/>
      <c r="D65" s="20"/>
    </row>
    <row r="66" spans="1:4" ht="20.149999999999999" x14ac:dyDescent="0.4">
      <c r="A66" s="84"/>
      <c r="B66" s="15"/>
      <c r="C66" s="20"/>
      <c r="D66" s="20"/>
    </row>
    <row r="67" spans="1:4" ht="20.149999999999999" x14ac:dyDescent="0.4">
      <c r="A67" s="84"/>
      <c r="B67" s="15"/>
      <c r="C67" s="20"/>
      <c r="D67" s="20"/>
    </row>
    <row r="68" spans="1:4" ht="20.149999999999999" x14ac:dyDescent="0.4">
      <c r="A68" s="84"/>
      <c r="B68" s="15"/>
      <c r="C68" s="20"/>
      <c r="D68" s="20"/>
    </row>
    <row r="69" spans="1:4" ht="20.149999999999999" x14ac:dyDescent="0.4">
      <c r="A69" s="84"/>
      <c r="B69" s="15"/>
      <c r="C69" s="20"/>
      <c r="D69" s="20"/>
    </row>
    <row r="70" spans="1:4" ht="20.149999999999999" x14ac:dyDescent="0.4">
      <c r="A70" s="84"/>
      <c r="B70" s="15"/>
      <c r="C70" s="20"/>
      <c r="D70" s="20"/>
    </row>
    <row r="71" spans="1:4" ht="20.149999999999999" x14ac:dyDescent="0.4">
      <c r="A71" s="84"/>
      <c r="B71" s="15"/>
      <c r="C71" s="20"/>
      <c r="D71" s="20"/>
    </row>
    <row r="72" spans="1:4" ht="20.149999999999999" x14ac:dyDescent="0.4">
      <c r="A72" s="84"/>
      <c r="B72" s="15"/>
      <c r="C72" s="20"/>
      <c r="D72" s="20"/>
    </row>
    <row r="73" spans="1:4" ht="20.149999999999999" x14ac:dyDescent="0.4">
      <c r="A73" s="84"/>
      <c r="B73" s="15"/>
      <c r="C73" s="20"/>
      <c r="D73" s="20"/>
    </row>
    <row r="74" spans="1:4" ht="20.149999999999999" x14ac:dyDescent="0.4">
      <c r="A74" s="84"/>
      <c r="B74" s="15"/>
      <c r="C74" s="20"/>
      <c r="D74" s="20"/>
    </row>
    <row r="75" spans="1:4" ht="20.149999999999999" x14ac:dyDescent="0.4">
      <c r="A75" s="84"/>
      <c r="B75" s="15"/>
      <c r="C75" s="20"/>
      <c r="D75" s="20"/>
    </row>
    <row r="76" spans="1:4" ht="20.149999999999999" x14ac:dyDescent="0.4">
      <c r="A76" s="84"/>
      <c r="B76" s="15"/>
      <c r="C76" s="20"/>
      <c r="D76" s="20"/>
    </row>
    <row r="77" spans="1:4" ht="20.149999999999999" x14ac:dyDescent="0.4">
      <c r="A77" s="84"/>
      <c r="B77" s="15"/>
      <c r="C77" s="20"/>
      <c r="D77" s="20"/>
    </row>
    <row r="78" spans="1:4" ht="20.149999999999999" x14ac:dyDescent="0.4">
      <c r="A78" s="84"/>
      <c r="B78" s="15"/>
      <c r="C78" s="20"/>
      <c r="D78" s="20"/>
    </row>
    <row r="79" spans="1:4" ht="20.149999999999999" x14ac:dyDescent="0.4">
      <c r="A79" s="84"/>
      <c r="B79" s="15"/>
      <c r="C79" s="20"/>
      <c r="D79" s="20"/>
    </row>
    <row r="80" spans="1:4" ht="20.149999999999999" x14ac:dyDescent="0.4">
      <c r="A80" s="84"/>
      <c r="B80" s="15"/>
      <c r="C80" s="20"/>
      <c r="D80" s="20"/>
    </row>
    <row r="81" spans="1:4" ht="20.149999999999999" x14ac:dyDescent="0.4">
      <c r="A81" s="84"/>
      <c r="B81" s="15"/>
      <c r="C81" s="20"/>
      <c r="D81" s="20"/>
    </row>
    <row r="82" spans="1:4" ht="20.149999999999999" x14ac:dyDescent="0.4">
      <c r="A82" s="84"/>
      <c r="B82" s="15"/>
      <c r="C82" s="20"/>
      <c r="D82" s="20"/>
    </row>
    <row r="83" spans="1:4" ht="20.149999999999999" x14ac:dyDescent="0.4">
      <c r="A83" s="84"/>
      <c r="B83" s="15"/>
      <c r="C83" s="20"/>
      <c r="D83" s="20"/>
    </row>
    <row r="84" spans="1:4" ht="20.149999999999999" x14ac:dyDescent="0.4">
      <c r="A84" s="84"/>
      <c r="B84" s="15"/>
      <c r="C84" s="20"/>
      <c r="D84" s="20"/>
    </row>
    <row r="85" spans="1:4" ht="20.149999999999999" x14ac:dyDescent="0.4">
      <c r="A85" s="84"/>
      <c r="B85" s="15"/>
      <c r="C85" s="20"/>
      <c r="D85" s="20"/>
    </row>
    <row r="86" spans="1:4" ht="20.149999999999999" x14ac:dyDescent="0.4">
      <c r="A86" s="84"/>
      <c r="B86" s="15"/>
      <c r="C86" s="20"/>
      <c r="D86" s="20"/>
    </row>
    <row r="87" spans="1:4" ht="20.149999999999999" x14ac:dyDescent="0.4">
      <c r="A87" s="84"/>
      <c r="B87" s="15"/>
      <c r="C87" s="20"/>
      <c r="D87" s="20"/>
    </row>
    <row r="88" spans="1:4" ht="20.149999999999999" x14ac:dyDescent="0.4">
      <c r="A88" s="84"/>
      <c r="B88" s="15"/>
      <c r="C88" s="20"/>
      <c r="D88" s="20"/>
    </row>
    <row r="89" spans="1:4" ht="20.149999999999999" x14ac:dyDescent="0.4">
      <c r="A89" s="84"/>
      <c r="B89" s="15"/>
      <c r="C89" s="20"/>
      <c r="D89" s="20"/>
    </row>
    <row r="90" spans="1:4" ht="20.149999999999999" x14ac:dyDescent="0.4">
      <c r="A90" s="84"/>
      <c r="B90" s="15"/>
      <c r="C90" s="20"/>
      <c r="D90" s="20"/>
    </row>
    <row r="91" spans="1:4" ht="20.149999999999999" x14ac:dyDescent="0.4">
      <c r="A91" s="84"/>
      <c r="B91" s="15"/>
      <c r="C91" s="20"/>
      <c r="D91" s="20"/>
    </row>
    <row r="92" spans="1:4" ht="20.149999999999999" x14ac:dyDescent="0.4">
      <c r="A92" s="84"/>
      <c r="B92" s="15"/>
      <c r="C92" s="20"/>
      <c r="D92" s="20"/>
    </row>
    <row r="93" spans="1:4" ht="20.149999999999999" x14ac:dyDescent="0.4">
      <c r="A93" s="84"/>
      <c r="B93" s="15"/>
      <c r="C93" s="20"/>
      <c r="D93" s="20"/>
    </row>
    <row r="94" spans="1:4" ht="20.149999999999999" x14ac:dyDescent="0.4">
      <c r="A94" s="84"/>
      <c r="B94" s="15"/>
      <c r="C94" s="20"/>
      <c r="D94" s="20"/>
    </row>
    <row r="95" spans="1:4" ht="20.149999999999999" x14ac:dyDescent="0.4">
      <c r="A95" s="84"/>
      <c r="B95" s="15"/>
      <c r="C95" s="20"/>
      <c r="D95" s="20"/>
    </row>
    <row r="96" spans="1:4" ht="20.149999999999999" x14ac:dyDescent="0.4">
      <c r="A96" s="84"/>
      <c r="B96" s="15"/>
      <c r="C96" s="20"/>
      <c r="D96" s="20"/>
    </row>
    <row r="97" spans="1:4" ht="20.149999999999999" x14ac:dyDescent="0.4">
      <c r="A97" s="84"/>
      <c r="B97" s="15"/>
      <c r="C97" s="20"/>
      <c r="D97" s="20"/>
    </row>
    <row r="98" spans="1:4" ht="20.149999999999999" x14ac:dyDescent="0.4">
      <c r="A98" s="84"/>
      <c r="B98" s="15"/>
      <c r="C98" s="20"/>
      <c r="D98" s="20"/>
    </row>
    <row r="99" spans="1:4" ht="20.149999999999999" x14ac:dyDescent="0.4">
      <c r="A99" s="84"/>
      <c r="B99" s="15"/>
      <c r="C99" s="20"/>
      <c r="D99" s="20"/>
    </row>
    <row r="100" spans="1:4" ht="20.149999999999999" x14ac:dyDescent="0.4">
      <c r="A100" s="84"/>
      <c r="B100" s="15"/>
      <c r="C100" s="20"/>
      <c r="D100" s="20"/>
    </row>
    <row r="101" spans="1:4" ht="20.149999999999999" x14ac:dyDescent="0.4">
      <c r="A101" s="84"/>
      <c r="B101" s="15"/>
      <c r="C101" s="20"/>
      <c r="D101" s="20"/>
    </row>
    <row r="102" spans="1:4" ht="20.149999999999999" x14ac:dyDescent="0.4">
      <c r="A102" s="84"/>
      <c r="B102" s="15"/>
      <c r="C102" s="20"/>
      <c r="D102" s="20"/>
    </row>
    <row r="103" spans="1:4" ht="20.149999999999999" x14ac:dyDescent="0.4">
      <c r="A103" s="84"/>
      <c r="B103" s="15"/>
      <c r="C103" s="20"/>
      <c r="D103" s="20"/>
    </row>
    <row r="104" spans="1:4" ht="20.149999999999999" x14ac:dyDescent="0.4">
      <c r="A104" s="84"/>
      <c r="B104" s="15"/>
      <c r="C104" s="20"/>
      <c r="D104" s="20"/>
    </row>
    <row r="105" spans="1:4" ht="20.149999999999999" x14ac:dyDescent="0.4">
      <c r="A105" s="84"/>
      <c r="B105" s="15"/>
      <c r="C105" s="20"/>
      <c r="D105" s="20"/>
    </row>
    <row r="106" spans="1:4" ht="20.149999999999999" x14ac:dyDescent="0.4">
      <c r="A106" s="84"/>
      <c r="B106" s="15"/>
      <c r="C106" s="20"/>
      <c r="D106" s="20"/>
    </row>
    <row r="107" spans="1:4" ht="20.149999999999999" x14ac:dyDescent="0.4">
      <c r="A107" s="84"/>
      <c r="B107" s="15"/>
      <c r="C107" s="20"/>
      <c r="D107" s="20"/>
    </row>
    <row r="108" spans="1:4" ht="20.149999999999999" x14ac:dyDescent="0.4">
      <c r="A108" s="84"/>
      <c r="B108" s="15"/>
      <c r="C108" s="20"/>
      <c r="D108" s="20"/>
    </row>
    <row r="109" spans="1:4" ht="20.149999999999999" x14ac:dyDescent="0.4">
      <c r="A109" s="84"/>
      <c r="B109" s="15"/>
      <c r="C109" s="20"/>
      <c r="D109" s="20"/>
    </row>
    <row r="110" spans="1:4" ht="20.149999999999999" x14ac:dyDescent="0.4">
      <c r="A110" s="84"/>
      <c r="B110" s="15"/>
      <c r="C110" s="20"/>
      <c r="D110" s="20"/>
    </row>
    <row r="111" spans="1:4" ht="20.149999999999999" x14ac:dyDescent="0.4">
      <c r="A111" s="84"/>
      <c r="B111" s="15"/>
      <c r="C111" s="20"/>
      <c r="D111" s="20"/>
    </row>
    <row r="112" spans="1:4" ht="20.149999999999999" x14ac:dyDescent="0.4">
      <c r="A112" s="84"/>
      <c r="B112" s="15"/>
      <c r="C112" s="20"/>
      <c r="D112" s="20"/>
    </row>
    <row r="113" spans="1:4" ht="20.149999999999999" x14ac:dyDescent="0.4">
      <c r="A113" s="84"/>
      <c r="B113" s="15"/>
      <c r="C113" s="20"/>
      <c r="D113" s="20"/>
    </row>
    <row r="114" spans="1:4" ht="20.149999999999999" x14ac:dyDescent="0.4">
      <c r="A114" s="84"/>
      <c r="B114" s="15"/>
      <c r="C114" s="20"/>
      <c r="D114" s="20"/>
    </row>
    <row r="115" spans="1:4" ht="20.149999999999999" x14ac:dyDescent="0.4">
      <c r="A115" s="84"/>
      <c r="B115" s="15"/>
      <c r="C115" s="20"/>
      <c r="D115" s="20"/>
    </row>
    <row r="116" spans="1:4" ht="20.149999999999999" x14ac:dyDescent="0.4">
      <c r="A116" s="84"/>
      <c r="B116" s="15"/>
      <c r="C116" s="20"/>
      <c r="D116" s="20"/>
    </row>
    <row r="117" spans="1:4" ht="20.149999999999999" x14ac:dyDescent="0.4">
      <c r="A117" s="84"/>
      <c r="B117" s="15"/>
      <c r="C117" s="20"/>
      <c r="D117" s="20"/>
    </row>
    <row r="118" spans="1:4" ht="20.149999999999999" x14ac:dyDescent="0.4">
      <c r="A118" s="84"/>
      <c r="B118" s="15"/>
      <c r="C118" s="20"/>
      <c r="D118" s="20"/>
    </row>
    <row r="119" spans="1:4" ht="20.149999999999999" x14ac:dyDescent="0.4">
      <c r="A119" s="84"/>
      <c r="B119" s="15"/>
      <c r="C119" s="20"/>
      <c r="D119" s="20"/>
    </row>
    <row r="120" spans="1:4" ht="20.149999999999999" x14ac:dyDescent="0.4">
      <c r="A120" s="84"/>
      <c r="B120" s="15"/>
      <c r="C120" s="20"/>
      <c r="D120" s="20"/>
    </row>
    <row r="121" spans="1:4" ht="20.149999999999999" x14ac:dyDescent="0.4">
      <c r="A121" s="84"/>
      <c r="B121" s="15"/>
      <c r="C121" s="20"/>
      <c r="D121" s="20"/>
    </row>
    <row r="122" spans="1:4" ht="20.149999999999999" x14ac:dyDescent="0.4">
      <c r="A122" s="84"/>
      <c r="B122" s="15"/>
      <c r="C122" s="20"/>
      <c r="D122" s="20"/>
    </row>
    <row r="123" spans="1:4" ht="20.149999999999999" x14ac:dyDescent="0.4">
      <c r="A123" s="84"/>
      <c r="B123" s="15"/>
      <c r="C123" s="20"/>
      <c r="D123" s="20"/>
    </row>
    <row r="124" spans="1:4" ht="20.149999999999999" x14ac:dyDescent="0.4">
      <c r="A124" s="84"/>
      <c r="B124" s="15"/>
      <c r="C124" s="20"/>
      <c r="D124" s="20"/>
    </row>
    <row r="125" spans="1:4" ht="20.149999999999999" x14ac:dyDescent="0.4">
      <c r="A125" s="84"/>
      <c r="B125" s="15"/>
      <c r="C125" s="20"/>
      <c r="D125" s="20"/>
    </row>
    <row r="126" spans="1:4" ht="20.149999999999999" x14ac:dyDescent="0.4">
      <c r="A126" s="84"/>
      <c r="B126" s="15"/>
      <c r="C126" s="20"/>
      <c r="D126" s="20"/>
    </row>
    <row r="127" spans="1:4" ht="20.149999999999999" x14ac:dyDescent="0.4">
      <c r="A127" s="84"/>
      <c r="B127" s="15"/>
      <c r="C127" s="20"/>
      <c r="D127" s="20"/>
    </row>
    <row r="128" spans="1:4" ht="20.149999999999999" x14ac:dyDescent="0.4">
      <c r="A128" s="84"/>
      <c r="B128" s="15"/>
      <c r="C128" s="20"/>
      <c r="D128" s="20"/>
    </row>
    <row r="129" spans="1:4" ht="20.149999999999999" x14ac:dyDescent="0.4">
      <c r="A129" s="84"/>
      <c r="B129" s="15"/>
      <c r="C129" s="20"/>
      <c r="D129" s="20"/>
    </row>
    <row r="130" spans="1:4" ht="20.149999999999999" x14ac:dyDescent="0.4">
      <c r="A130" s="84"/>
      <c r="B130" s="15"/>
      <c r="C130" s="20"/>
      <c r="D130" s="20"/>
    </row>
    <row r="131" spans="1:4" ht="20.149999999999999" x14ac:dyDescent="0.4">
      <c r="A131" s="84"/>
      <c r="B131" s="15"/>
      <c r="C131" s="20"/>
      <c r="D131" s="20"/>
    </row>
    <row r="132" spans="1:4" ht="20.149999999999999" x14ac:dyDescent="0.4">
      <c r="A132" s="84"/>
      <c r="B132" s="15"/>
      <c r="C132" s="20"/>
      <c r="D132" s="20"/>
    </row>
    <row r="133" spans="1:4" ht="20.149999999999999" x14ac:dyDescent="0.4">
      <c r="A133" s="84"/>
      <c r="B133" s="15"/>
      <c r="C133" s="20"/>
      <c r="D133" s="20"/>
    </row>
    <row r="134" spans="1:4" ht="20.149999999999999" x14ac:dyDescent="0.4">
      <c r="A134" s="84"/>
      <c r="B134" s="15"/>
      <c r="C134" s="20"/>
      <c r="D134" s="20"/>
    </row>
    <row r="135" spans="1:4" ht="20.149999999999999" x14ac:dyDescent="0.4">
      <c r="A135" s="84"/>
      <c r="B135" s="15"/>
      <c r="C135" s="20"/>
      <c r="D135" s="20"/>
    </row>
    <row r="136" spans="1:4" ht="20.149999999999999" x14ac:dyDescent="0.4">
      <c r="A136" s="84"/>
      <c r="B136" s="15"/>
      <c r="C136" s="20"/>
      <c r="D136" s="20"/>
    </row>
    <row r="137" spans="1:4" ht="20.149999999999999" x14ac:dyDescent="0.4">
      <c r="A137" s="84"/>
      <c r="B137" s="15"/>
      <c r="C137" s="20"/>
      <c r="D137" s="20"/>
    </row>
    <row r="138" spans="1:4" ht="20.149999999999999" x14ac:dyDescent="0.4">
      <c r="A138" s="84"/>
      <c r="B138" s="15"/>
      <c r="C138" s="20"/>
      <c r="D138" s="20"/>
    </row>
    <row r="139" spans="1:4" ht="20.149999999999999" x14ac:dyDescent="0.4">
      <c r="A139" s="84"/>
      <c r="B139" s="15"/>
      <c r="C139" s="20"/>
      <c r="D139" s="20"/>
    </row>
    <row r="140" spans="1:4" ht="20.149999999999999" x14ac:dyDescent="0.4">
      <c r="A140" s="84"/>
      <c r="B140" s="15"/>
      <c r="C140" s="20"/>
      <c r="D140" s="20"/>
    </row>
    <row r="141" spans="1:4" ht="20.149999999999999" x14ac:dyDescent="0.4">
      <c r="A141" s="84"/>
      <c r="B141" s="15"/>
      <c r="C141" s="20"/>
      <c r="D141" s="20"/>
    </row>
    <row r="142" spans="1:4" ht="20.149999999999999" x14ac:dyDescent="0.4">
      <c r="A142" s="84"/>
      <c r="B142" s="15"/>
      <c r="C142" s="20"/>
      <c r="D142" s="20"/>
    </row>
    <row r="143" spans="1:4" ht="20.149999999999999" x14ac:dyDescent="0.4">
      <c r="A143" s="84"/>
      <c r="B143" s="15"/>
      <c r="C143" s="20"/>
      <c r="D143" s="20"/>
    </row>
    <row r="144" spans="1:4" ht="20.149999999999999" x14ac:dyDescent="0.4">
      <c r="A144" s="84"/>
      <c r="B144" s="15"/>
      <c r="C144" s="20"/>
      <c r="D144" s="20"/>
    </row>
    <row r="145" spans="1:4" ht="20.149999999999999" x14ac:dyDescent="0.4">
      <c r="A145" s="84"/>
      <c r="B145" s="15"/>
      <c r="C145" s="20"/>
      <c r="D145" s="20"/>
    </row>
    <row r="146" spans="1:4" ht="20.149999999999999" x14ac:dyDescent="0.4">
      <c r="A146" s="84"/>
      <c r="B146" s="15"/>
      <c r="C146" s="20"/>
      <c r="D146" s="20"/>
    </row>
    <row r="147" spans="1:4" ht="20.149999999999999" x14ac:dyDescent="0.4">
      <c r="A147" s="84"/>
      <c r="B147" s="15"/>
      <c r="C147" s="20"/>
      <c r="D147" s="20"/>
    </row>
    <row r="148" spans="1:4" ht="20.149999999999999" x14ac:dyDescent="0.4">
      <c r="A148" s="84"/>
      <c r="B148" s="15"/>
      <c r="C148" s="20"/>
      <c r="D148" s="20"/>
    </row>
    <row r="149" spans="1:4" ht="20.149999999999999" x14ac:dyDescent="0.4">
      <c r="A149" s="84"/>
      <c r="B149" s="15"/>
      <c r="C149" s="20"/>
      <c r="D149" s="20"/>
    </row>
    <row r="150" spans="1:4" ht="20.149999999999999" x14ac:dyDescent="0.4">
      <c r="A150" s="84"/>
      <c r="B150" s="15"/>
      <c r="C150" s="20"/>
      <c r="D150" s="20"/>
    </row>
    <row r="151" spans="1:4" ht="20.149999999999999" x14ac:dyDescent="0.4">
      <c r="A151" s="84"/>
      <c r="B151" s="15"/>
      <c r="C151" s="20"/>
      <c r="D151" s="20"/>
    </row>
    <row r="152" spans="1:4" ht="20.149999999999999" x14ac:dyDescent="0.4">
      <c r="A152" s="84"/>
      <c r="B152" s="15"/>
      <c r="C152" s="20"/>
      <c r="D152" s="20"/>
    </row>
    <row r="153" spans="1:4" ht="20.149999999999999" x14ac:dyDescent="0.4">
      <c r="A153" s="84"/>
      <c r="B153" s="15"/>
      <c r="C153" s="20"/>
      <c r="D153" s="20"/>
    </row>
    <row r="154" spans="1:4" ht="20.149999999999999" x14ac:dyDescent="0.4">
      <c r="A154" s="84"/>
      <c r="B154" s="15"/>
      <c r="C154" s="20"/>
      <c r="D154" s="20"/>
    </row>
    <row r="155" spans="1:4" ht="20.149999999999999" x14ac:dyDescent="0.4">
      <c r="A155" s="84"/>
      <c r="B155" s="15"/>
      <c r="C155" s="20"/>
      <c r="D155" s="20"/>
    </row>
    <row r="156" spans="1:4" ht="20.149999999999999" x14ac:dyDescent="0.4">
      <c r="A156" s="84"/>
      <c r="B156" s="15"/>
      <c r="C156" s="20"/>
      <c r="D156" s="20"/>
    </row>
    <row r="157" spans="1:4" ht="20.149999999999999" x14ac:dyDescent="0.4">
      <c r="A157" s="84"/>
      <c r="B157" s="15"/>
      <c r="C157" s="20"/>
      <c r="D157" s="20"/>
    </row>
    <row r="158" spans="1:4" ht="20.149999999999999" x14ac:dyDescent="0.4">
      <c r="A158" s="84"/>
      <c r="B158" s="15"/>
      <c r="C158" s="20"/>
      <c r="D158" s="20"/>
    </row>
    <row r="159" spans="1:4" ht="20.149999999999999" x14ac:dyDescent="0.4">
      <c r="A159" s="84"/>
      <c r="B159" s="15"/>
      <c r="C159" s="20"/>
      <c r="D159" s="20"/>
    </row>
    <row r="160" spans="1:4" ht="20.149999999999999" x14ac:dyDescent="0.4">
      <c r="A160" s="84"/>
      <c r="B160" s="15"/>
      <c r="C160" s="20"/>
      <c r="D160" s="20"/>
    </row>
    <row r="161" spans="1:4" ht="20.149999999999999" x14ac:dyDescent="0.4">
      <c r="A161" s="84"/>
      <c r="B161" s="15"/>
      <c r="C161" s="20"/>
      <c r="D161" s="20"/>
    </row>
    <row r="162" spans="1:4" ht="20.149999999999999" x14ac:dyDescent="0.4">
      <c r="A162" s="84"/>
      <c r="B162" s="15"/>
      <c r="C162" s="20"/>
      <c r="D162" s="20"/>
    </row>
    <row r="163" spans="1:4" ht="20.149999999999999" x14ac:dyDescent="0.4">
      <c r="A163" s="84"/>
      <c r="B163" s="15"/>
      <c r="C163" s="20"/>
      <c r="D163" s="20"/>
    </row>
    <row r="164" spans="1:4" ht="20.149999999999999" x14ac:dyDescent="0.4">
      <c r="A164" s="84"/>
      <c r="B164" s="15"/>
      <c r="C164" s="20"/>
      <c r="D164" s="20"/>
    </row>
    <row r="165" spans="1:4" ht="20.149999999999999" x14ac:dyDescent="0.4">
      <c r="A165" s="84"/>
      <c r="B165" s="15"/>
      <c r="C165" s="20"/>
      <c r="D165" s="20"/>
    </row>
    <row r="166" spans="1:4" ht="20.149999999999999" x14ac:dyDescent="0.4">
      <c r="A166" s="84"/>
      <c r="B166" s="15"/>
      <c r="C166" s="20"/>
      <c r="D166" s="20"/>
    </row>
    <row r="167" spans="1:4" ht="20.149999999999999" x14ac:dyDescent="0.4">
      <c r="A167" s="84"/>
      <c r="B167" s="15"/>
      <c r="C167" s="20"/>
      <c r="D167" s="20"/>
    </row>
    <row r="168" spans="1:4" ht="20.149999999999999" x14ac:dyDescent="0.4">
      <c r="A168" s="84"/>
      <c r="B168" s="15"/>
      <c r="C168" s="20"/>
      <c r="D168" s="20"/>
    </row>
    <row r="169" spans="1:4" ht="20.149999999999999" x14ac:dyDescent="0.4">
      <c r="A169" s="84"/>
      <c r="B169" s="15"/>
      <c r="C169" s="20"/>
      <c r="D169" s="20"/>
    </row>
    <row r="170" spans="1:4" ht="20.149999999999999" x14ac:dyDescent="0.4">
      <c r="A170" s="84"/>
      <c r="B170" s="15"/>
      <c r="C170" s="20"/>
      <c r="D170" s="20"/>
    </row>
    <row r="171" spans="1:4" ht="20.149999999999999" x14ac:dyDescent="0.4">
      <c r="A171" s="84"/>
      <c r="B171" s="15"/>
      <c r="C171" s="20"/>
      <c r="D171" s="20"/>
    </row>
    <row r="172" spans="1:4" ht="20.149999999999999" x14ac:dyDescent="0.4">
      <c r="A172" s="84"/>
      <c r="B172" s="15"/>
      <c r="C172" s="20"/>
      <c r="D172" s="20"/>
    </row>
    <row r="173" spans="1:4" ht="20.149999999999999" x14ac:dyDescent="0.4">
      <c r="A173" s="84"/>
      <c r="B173" s="15"/>
      <c r="C173" s="20"/>
      <c r="D173" s="20"/>
    </row>
    <row r="174" spans="1:4" ht="20.149999999999999" x14ac:dyDescent="0.4">
      <c r="A174" s="84"/>
      <c r="B174" s="15"/>
      <c r="C174" s="20"/>
      <c r="D174" s="20"/>
    </row>
    <row r="175" spans="1:4" ht="20.149999999999999" x14ac:dyDescent="0.4">
      <c r="A175" s="84"/>
      <c r="B175" s="15"/>
      <c r="C175" s="20"/>
      <c r="D175" s="20"/>
    </row>
    <row r="176" spans="1:4" ht="20.149999999999999" x14ac:dyDescent="0.4">
      <c r="A176" s="84"/>
      <c r="B176" s="15"/>
      <c r="C176" s="20"/>
      <c r="D176" s="20"/>
    </row>
    <row r="177" spans="1:4" ht="20.149999999999999" x14ac:dyDescent="0.4">
      <c r="A177" s="84"/>
      <c r="B177" s="15"/>
      <c r="C177" s="20"/>
      <c r="D177" s="20"/>
    </row>
    <row r="178" spans="1:4" ht="20.149999999999999" x14ac:dyDescent="0.4">
      <c r="A178" s="84"/>
      <c r="B178" s="15"/>
      <c r="C178" s="20"/>
      <c r="D178" s="20"/>
    </row>
    <row r="179" spans="1:4" ht="20.149999999999999" x14ac:dyDescent="0.4">
      <c r="A179" s="84"/>
      <c r="B179" s="15"/>
      <c r="C179" s="20"/>
      <c r="D179" s="20"/>
    </row>
    <row r="180" spans="1:4" ht="20.149999999999999" x14ac:dyDescent="0.4">
      <c r="A180" s="84"/>
      <c r="B180" s="15"/>
      <c r="C180" s="20"/>
      <c r="D180" s="20"/>
    </row>
    <row r="181" spans="1:4" ht="20.149999999999999" x14ac:dyDescent="0.4">
      <c r="A181" s="84"/>
      <c r="B181" s="15"/>
      <c r="C181" s="20"/>
      <c r="D181" s="20"/>
    </row>
    <row r="182" spans="1:4" ht="20.149999999999999" x14ac:dyDescent="0.4">
      <c r="A182" s="84"/>
      <c r="B182" s="15"/>
      <c r="C182" s="20"/>
      <c r="D182" s="20"/>
    </row>
    <row r="183" spans="1:4" ht="20.149999999999999" x14ac:dyDescent="0.4">
      <c r="A183" s="84"/>
      <c r="B183" s="15"/>
      <c r="C183" s="20"/>
      <c r="D183" s="20"/>
    </row>
    <row r="184" spans="1:4" ht="20.149999999999999" x14ac:dyDescent="0.4">
      <c r="A184" s="84"/>
      <c r="B184" s="15"/>
      <c r="C184" s="20"/>
      <c r="D184" s="20"/>
    </row>
    <row r="185" spans="1:4" ht="20.149999999999999" x14ac:dyDescent="0.4">
      <c r="A185" s="84"/>
      <c r="B185" s="15"/>
      <c r="C185" s="20"/>
      <c r="D185" s="20"/>
    </row>
    <row r="186" spans="1:4" ht="20.149999999999999" x14ac:dyDescent="0.4">
      <c r="A186" s="84"/>
      <c r="B186" s="15"/>
      <c r="C186" s="20"/>
      <c r="D186" s="20"/>
    </row>
    <row r="187" spans="1:4" ht="20.149999999999999" x14ac:dyDescent="0.4">
      <c r="A187" s="84"/>
      <c r="B187" s="15"/>
      <c r="C187" s="20"/>
      <c r="D187" s="20"/>
    </row>
    <row r="188" spans="1:4" ht="20.149999999999999" x14ac:dyDescent="0.4">
      <c r="A188" s="84"/>
      <c r="B188" s="15"/>
      <c r="C188" s="20"/>
      <c r="D188" s="20"/>
    </row>
    <row r="189" spans="1:4" ht="20.149999999999999" x14ac:dyDescent="0.4">
      <c r="A189" s="84"/>
      <c r="B189" s="15"/>
      <c r="C189" s="20"/>
      <c r="D189" s="20"/>
    </row>
    <row r="190" spans="1:4" ht="20.149999999999999" x14ac:dyDescent="0.4">
      <c r="A190" s="84"/>
      <c r="B190" s="15"/>
      <c r="C190" s="20"/>
      <c r="D190" s="20"/>
    </row>
    <row r="191" spans="1:4" ht="20.149999999999999" x14ac:dyDescent="0.4">
      <c r="A191" s="84"/>
      <c r="B191" s="15"/>
      <c r="C191" s="20"/>
      <c r="D191" s="20"/>
    </row>
    <row r="192" spans="1:4" ht="20.149999999999999" x14ac:dyDescent="0.4">
      <c r="A192" s="84"/>
      <c r="B192" s="15"/>
      <c r="C192" s="20"/>
      <c r="D192" s="20"/>
    </row>
    <row r="193" spans="1:4" ht="20.149999999999999" x14ac:dyDescent="0.4">
      <c r="A193" s="84"/>
      <c r="B193" s="15"/>
      <c r="C193" s="20"/>
      <c r="D193" s="20"/>
    </row>
    <row r="194" spans="1:4" ht="20.149999999999999" x14ac:dyDescent="0.4">
      <c r="A194" s="84"/>
      <c r="B194" s="15"/>
      <c r="C194" s="20"/>
      <c r="D194" s="20"/>
    </row>
    <row r="195" spans="1:4" ht="20.149999999999999" x14ac:dyDescent="0.4">
      <c r="A195" s="84"/>
      <c r="B195" s="15"/>
      <c r="C195" s="20"/>
      <c r="D195" s="20"/>
    </row>
    <row r="196" spans="1:4" ht="20.149999999999999" x14ac:dyDescent="0.4">
      <c r="A196" s="84"/>
      <c r="B196" s="15"/>
      <c r="C196" s="20"/>
      <c r="D196" s="20"/>
    </row>
    <row r="197" spans="1:4" ht="20.149999999999999" x14ac:dyDescent="0.4">
      <c r="A197" s="84"/>
      <c r="B197" s="15"/>
      <c r="C197" s="20"/>
      <c r="D197" s="20"/>
    </row>
    <row r="198" spans="1:4" ht="20.149999999999999" x14ac:dyDescent="0.4">
      <c r="A198" s="84"/>
      <c r="B198" s="15"/>
      <c r="C198" s="20"/>
      <c r="D198" s="20"/>
    </row>
    <row r="199" spans="1:4" ht="20.149999999999999" x14ac:dyDescent="0.4">
      <c r="A199" s="84"/>
      <c r="B199" s="15"/>
      <c r="C199" s="20"/>
      <c r="D199" s="20"/>
    </row>
    <row r="200" spans="1:4" ht="20.149999999999999" x14ac:dyDescent="0.4">
      <c r="A200" s="84"/>
      <c r="B200" s="15"/>
      <c r="C200" s="20"/>
      <c r="D200" s="20"/>
    </row>
    <row r="201" spans="1:4" ht="20.149999999999999" x14ac:dyDescent="0.4">
      <c r="A201" s="84"/>
      <c r="B201" s="15"/>
      <c r="C201" s="20"/>
      <c r="D201" s="20"/>
    </row>
    <row r="202" spans="1:4" ht="20.149999999999999" x14ac:dyDescent="0.4">
      <c r="A202" s="84"/>
      <c r="B202" s="15"/>
      <c r="C202" s="20"/>
      <c r="D202" s="20"/>
    </row>
    <row r="203" spans="1:4" ht="20.149999999999999" x14ac:dyDescent="0.4">
      <c r="A203" s="84"/>
      <c r="B203" s="15"/>
      <c r="C203" s="20"/>
      <c r="D203" s="20"/>
    </row>
    <row r="204" spans="1:4" ht="20.149999999999999" x14ac:dyDescent="0.4">
      <c r="A204" s="84"/>
      <c r="B204" s="15"/>
      <c r="C204" s="20"/>
      <c r="D204" s="20"/>
    </row>
    <row r="205" spans="1:4" ht="20.149999999999999" x14ac:dyDescent="0.4">
      <c r="A205" s="84"/>
      <c r="B205" s="15"/>
      <c r="C205" s="20"/>
      <c r="D205" s="20"/>
    </row>
    <row r="206" spans="1:4" ht="20.149999999999999" x14ac:dyDescent="0.4">
      <c r="A206" s="84"/>
      <c r="B206" s="15"/>
      <c r="C206" s="20"/>
      <c r="D206" s="20"/>
    </row>
    <row r="207" spans="1:4" ht="20.149999999999999" x14ac:dyDescent="0.4">
      <c r="A207" s="84"/>
      <c r="B207" s="15"/>
      <c r="C207" s="20"/>
      <c r="D207" s="20"/>
    </row>
    <row r="208" spans="1:4" x14ac:dyDescent="0.4">
      <c r="A208" s="68"/>
      <c r="B208" s="15"/>
      <c r="C208" s="15"/>
      <c r="D208" s="15"/>
    </row>
    <row r="209" spans="1:8" ht="20.149999999999999" x14ac:dyDescent="0.4">
      <c r="A209" s="68"/>
      <c r="B209" s="16" t="s">
        <v>401</v>
      </c>
      <c r="C209" s="16" t="s">
        <v>402</v>
      </c>
      <c r="D209" s="19" t="s">
        <v>401</v>
      </c>
      <c r="E209" s="19" t="s">
        <v>402</v>
      </c>
    </row>
    <row r="210" spans="1:8" ht="20.6" x14ac:dyDescent="0.55000000000000004">
      <c r="A210" s="68"/>
      <c r="B210" s="17" t="s">
        <v>403</v>
      </c>
      <c r="C210" s="17" t="s">
        <v>404</v>
      </c>
      <c r="D210" t="s">
        <v>403</v>
      </c>
      <c r="F210" t="str">
        <f>IF(NOT(ISBLANK(D210)),D210,IF(NOT(ISBLANK(E210)),"     "&amp;E210,FALSE))</f>
        <v>Afectación Económica o presupuestal</v>
      </c>
      <c r="G210" t="s">
        <v>403</v>
      </c>
      <c r="H210" t="str">
        <f>IF(NOT(ISERROR(MATCH(G210,_xlfn.ANCHORARRAY(B221),0))),F223&amp;"Por favor no seleccionar los criterios de impacto",G210)</f>
        <v>❌Por favor no seleccionar los criterios de impacto</v>
      </c>
    </row>
    <row r="211" spans="1:8" ht="20.6" x14ac:dyDescent="0.55000000000000004">
      <c r="A211" s="68"/>
      <c r="B211" s="17" t="s">
        <v>403</v>
      </c>
      <c r="C211" s="17" t="s">
        <v>388</v>
      </c>
      <c r="E211" t="s">
        <v>404</v>
      </c>
      <c r="F211" t="str">
        <f t="shared" ref="F211:F221" si="0">IF(NOT(ISBLANK(D211)),D211,IF(NOT(ISBLANK(E211)),"     "&amp;E211,FALSE))</f>
        <v xml:space="preserve">     Afectación menor a 10 SMLMV .</v>
      </c>
    </row>
    <row r="212" spans="1:8" ht="20.6" x14ac:dyDescent="0.55000000000000004">
      <c r="A212" s="68"/>
      <c r="B212" s="17" t="s">
        <v>403</v>
      </c>
      <c r="C212" s="17" t="s">
        <v>391</v>
      </c>
      <c r="E212" t="s">
        <v>388</v>
      </c>
      <c r="F212" t="str">
        <f t="shared" si="0"/>
        <v xml:space="preserve">     Entre 10 y 50 SMLMV </v>
      </c>
    </row>
    <row r="213" spans="1:8" ht="20.6" x14ac:dyDescent="0.55000000000000004">
      <c r="A213" s="68"/>
      <c r="B213" s="17" t="s">
        <v>403</v>
      </c>
      <c r="C213" s="17" t="s">
        <v>394</v>
      </c>
      <c r="E213" t="s">
        <v>391</v>
      </c>
      <c r="F213" t="str">
        <f t="shared" si="0"/>
        <v xml:space="preserve">     Entre 50 y 100 SMLMV </v>
      </c>
    </row>
    <row r="214" spans="1:8" ht="20.6" x14ac:dyDescent="0.55000000000000004">
      <c r="A214" s="68"/>
      <c r="B214" s="17" t="s">
        <v>403</v>
      </c>
      <c r="C214" s="17" t="s">
        <v>397</v>
      </c>
      <c r="E214" t="s">
        <v>394</v>
      </c>
      <c r="F214" t="str">
        <f t="shared" si="0"/>
        <v xml:space="preserve">     Entre 100 y 500 SMLMV </v>
      </c>
    </row>
    <row r="215" spans="1:8" ht="20.6" x14ac:dyDescent="0.55000000000000004">
      <c r="A215" s="68"/>
      <c r="B215" s="17" t="s">
        <v>382</v>
      </c>
      <c r="C215" s="17" t="s">
        <v>386</v>
      </c>
      <c r="E215" t="s">
        <v>397</v>
      </c>
      <c r="F215" t="str">
        <f t="shared" si="0"/>
        <v xml:space="preserve">     Mayor a 500 SMLMV </v>
      </c>
    </row>
    <row r="216" spans="1:8" ht="20.6" x14ac:dyDescent="0.55000000000000004">
      <c r="A216" s="68"/>
      <c r="B216" s="17" t="s">
        <v>382</v>
      </c>
      <c r="C216" s="17" t="s">
        <v>389</v>
      </c>
      <c r="D216" t="s">
        <v>382</v>
      </c>
      <c r="F216" t="str">
        <f t="shared" si="0"/>
        <v>Pérdida Reputacional</v>
      </c>
    </row>
    <row r="217" spans="1:8" ht="20.6" x14ac:dyDescent="0.55000000000000004">
      <c r="A217" s="68"/>
      <c r="B217" s="17" t="s">
        <v>382</v>
      </c>
      <c r="C217" s="17" t="s">
        <v>392</v>
      </c>
      <c r="E217" t="s">
        <v>386</v>
      </c>
      <c r="F217" t="str">
        <f t="shared" si="0"/>
        <v xml:space="preserve">     El riesgo afecta la imagen de alguna área de la organización</v>
      </c>
    </row>
    <row r="218" spans="1:8" ht="20.6" x14ac:dyDescent="0.55000000000000004">
      <c r="A218" s="68"/>
      <c r="B218" s="17" t="s">
        <v>382</v>
      </c>
      <c r="C218" s="17" t="s">
        <v>405</v>
      </c>
      <c r="E218" t="s">
        <v>389</v>
      </c>
      <c r="F218" t="str">
        <f t="shared" si="0"/>
        <v xml:space="preserve">     El riesgo afecta la imagen de la entidad internamente, de conocimiento general, nivel interno, de junta dircetiva y accionistas y/o de provedores</v>
      </c>
    </row>
    <row r="219" spans="1:8" ht="20.6" x14ac:dyDescent="0.55000000000000004">
      <c r="A219" s="68"/>
      <c r="B219" s="17" t="s">
        <v>382</v>
      </c>
      <c r="C219" s="17" t="s">
        <v>398</v>
      </c>
      <c r="E219" t="s">
        <v>392</v>
      </c>
      <c r="F219" t="str">
        <f t="shared" si="0"/>
        <v xml:space="preserve">     El riesgo afecta la imagen de la entidad con algunos usuarios de relevancia frente al logro de los objetivos</v>
      </c>
    </row>
    <row r="220" spans="1:8" x14ac:dyDescent="0.4">
      <c r="A220" s="68"/>
      <c r="B220" s="18"/>
      <c r="C220" s="18"/>
      <c r="E220" t="s">
        <v>405</v>
      </c>
      <c r="F220" t="str">
        <f t="shared" si="0"/>
        <v xml:space="preserve">     El riesgo afecta la imagen de de la entidad con efecto publicitario sostenido a nivel de sector administrativo, nivel departamental o municipal</v>
      </c>
    </row>
    <row r="221" spans="1:8" x14ac:dyDescent="0.4">
      <c r="A221" s="68"/>
      <c r="B221" s="18" t="str">
        <f t="array" ref="B221:B223">_xlfn.UNIQUE(Tabla1[[#All],[Criterios]])</f>
        <v>Criterios</v>
      </c>
      <c r="C221" s="18"/>
      <c r="E221" t="s">
        <v>398</v>
      </c>
      <c r="F221" t="str">
        <f t="shared" si="0"/>
        <v xml:space="preserve">     El riesgo afecta la imagen de la entidad a nivel nacional, con efecto publicitarios sostenible a nivel país</v>
      </c>
    </row>
    <row r="222" spans="1:8" x14ac:dyDescent="0.4">
      <c r="A222" s="68"/>
      <c r="B222" s="18" t="str">
        <v>Afectación Económica o presupuestal</v>
      </c>
      <c r="C222" s="18"/>
    </row>
    <row r="223" spans="1:8" x14ac:dyDescent="0.4">
      <c r="B223" s="18" t="str">
        <v>Pérdida Reputacional</v>
      </c>
      <c r="C223" s="18"/>
      <c r="F223" s="21" t="s">
        <v>406</v>
      </c>
    </row>
    <row r="224" spans="1:8" x14ac:dyDescent="0.4">
      <c r="B224" s="14"/>
      <c r="C224" s="14"/>
      <c r="F224" s="21" t="s">
        <v>407</v>
      </c>
    </row>
    <row r="225" spans="2:4" x14ac:dyDescent="0.4">
      <c r="B225" s="14"/>
      <c r="C225" s="14"/>
    </row>
    <row r="226" spans="2:4" x14ac:dyDescent="0.4">
      <c r="B226" s="14"/>
      <c r="C226" s="14"/>
    </row>
    <row r="227" spans="2:4" x14ac:dyDescent="0.4">
      <c r="B227" s="14"/>
      <c r="C227" s="14"/>
      <c r="D227" s="14"/>
    </row>
    <row r="228" spans="2:4" x14ac:dyDescent="0.4">
      <c r="B228" s="14"/>
      <c r="C228" s="14"/>
      <c r="D228" s="14"/>
    </row>
    <row r="229" spans="2:4" x14ac:dyDescent="0.4">
      <c r="B229" s="14"/>
      <c r="C229" s="14"/>
      <c r="D229" s="14"/>
    </row>
    <row r="230" spans="2:4" x14ac:dyDescent="0.4">
      <c r="B230" s="14"/>
      <c r="C230" s="14"/>
      <c r="D230" s="14"/>
    </row>
    <row r="231" spans="2:4" x14ac:dyDescent="0.4">
      <c r="B231" s="14"/>
      <c r="C231" s="14"/>
      <c r="D231" s="14"/>
    </row>
    <row r="232" spans="2:4" x14ac:dyDescent="0.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I11" sqref="I11"/>
    </sheetView>
  </sheetViews>
  <sheetFormatPr baseColWidth="10" defaultColWidth="14.3046875" defaultRowHeight="12.9" x14ac:dyDescent="0.35"/>
  <cols>
    <col min="1" max="2" width="14.3046875" style="73"/>
    <col min="3" max="3" width="17" style="73" customWidth="1"/>
    <col min="4" max="4" width="14.3046875" style="73"/>
    <col min="5" max="5" width="46" style="73" customWidth="1"/>
    <col min="6" max="16384" width="14.3046875" style="73"/>
  </cols>
  <sheetData>
    <row r="1" spans="2:6" ht="24" customHeight="1" thickBot="1" x14ac:dyDescent="0.4">
      <c r="B1" s="660" t="s">
        <v>408</v>
      </c>
      <c r="C1" s="661"/>
      <c r="D1" s="661"/>
      <c r="E1" s="661"/>
      <c r="F1" s="662"/>
    </row>
    <row r="2" spans="2:6" ht="16.3" thickBot="1" x14ac:dyDescent="0.5">
      <c r="B2" s="74"/>
      <c r="C2" s="74"/>
      <c r="D2" s="74"/>
      <c r="E2" s="74"/>
      <c r="F2" s="74"/>
    </row>
    <row r="3" spans="2:6" ht="15.9" thickBot="1" x14ac:dyDescent="0.4">
      <c r="B3" s="664" t="s">
        <v>409</v>
      </c>
      <c r="C3" s="665"/>
      <c r="D3" s="665"/>
      <c r="E3" s="208" t="s">
        <v>410</v>
      </c>
      <c r="F3" s="83" t="s">
        <v>411</v>
      </c>
    </row>
    <row r="4" spans="2:6" ht="30.9" x14ac:dyDescent="0.35">
      <c r="B4" s="666" t="s">
        <v>412</v>
      </c>
      <c r="C4" s="668" t="s">
        <v>101</v>
      </c>
      <c r="D4" s="209" t="s">
        <v>120</v>
      </c>
      <c r="E4" s="75" t="s">
        <v>413</v>
      </c>
      <c r="F4" s="76">
        <v>0.25</v>
      </c>
    </row>
    <row r="5" spans="2:6" ht="46.3" x14ac:dyDescent="0.35">
      <c r="B5" s="667"/>
      <c r="C5" s="669"/>
      <c r="D5" s="210" t="s">
        <v>113</v>
      </c>
      <c r="E5" s="77" t="s">
        <v>414</v>
      </c>
      <c r="F5" s="78">
        <v>0.15</v>
      </c>
    </row>
    <row r="6" spans="2:6" ht="46.3" x14ac:dyDescent="0.35">
      <c r="B6" s="667"/>
      <c r="C6" s="669"/>
      <c r="D6" s="210" t="s">
        <v>194</v>
      </c>
      <c r="E6" s="77" t="s">
        <v>415</v>
      </c>
      <c r="F6" s="78">
        <v>0.1</v>
      </c>
    </row>
    <row r="7" spans="2:6" ht="61.75" x14ac:dyDescent="0.35">
      <c r="B7" s="667"/>
      <c r="C7" s="669" t="s">
        <v>102</v>
      </c>
      <c r="D7" s="210" t="s">
        <v>176</v>
      </c>
      <c r="E7" s="77" t="s">
        <v>416</v>
      </c>
      <c r="F7" s="78">
        <v>0.25</v>
      </c>
    </row>
    <row r="8" spans="2:6" ht="30.9" x14ac:dyDescent="0.35">
      <c r="B8" s="667"/>
      <c r="C8" s="669"/>
      <c r="D8" s="210" t="s">
        <v>114</v>
      </c>
      <c r="E8" s="77" t="s">
        <v>417</v>
      </c>
      <c r="F8" s="78">
        <v>0.15</v>
      </c>
    </row>
    <row r="9" spans="2:6" ht="46.3" x14ac:dyDescent="0.35">
      <c r="B9" s="667" t="s">
        <v>418</v>
      </c>
      <c r="C9" s="669" t="s">
        <v>54</v>
      </c>
      <c r="D9" s="210" t="s">
        <v>127</v>
      </c>
      <c r="E9" s="77" t="s">
        <v>419</v>
      </c>
      <c r="F9" s="79" t="s">
        <v>420</v>
      </c>
    </row>
    <row r="10" spans="2:6" ht="46.3" x14ac:dyDescent="0.35">
      <c r="B10" s="667"/>
      <c r="C10" s="669"/>
      <c r="D10" s="210" t="s">
        <v>115</v>
      </c>
      <c r="E10" s="77" t="s">
        <v>421</v>
      </c>
      <c r="F10" s="79" t="s">
        <v>420</v>
      </c>
    </row>
    <row r="11" spans="2:6" ht="30.9" x14ac:dyDescent="0.35">
      <c r="B11" s="667"/>
      <c r="C11" s="669" t="s">
        <v>104</v>
      </c>
      <c r="D11" s="210" t="s">
        <v>116</v>
      </c>
      <c r="E11" s="77" t="s">
        <v>422</v>
      </c>
      <c r="F11" s="79" t="s">
        <v>420</v>
      </c>
    </row>
    <row r="12" spans="2:6" ht="46.3" x14ac:dyDescent="0.35">
      <c r="B12" s="667"/>
      <c r="C12" s="669"/>
      <c r="D12" s="210" t="s">
        <v>128</v>
      </c>
      <c r="E12" s="77" t="s">
        <v>423</v>
      </c>
      <c r="F12" s="79" t="s">
        <v>420</v>
      </c>
    </row>
    <row r="13" spans="2:6" ht="30.9" x14ac:dyDescent="0.35">
      <c r="B13" s="667"/>
      <c r="C13" s="669" t="s">
        <v>105</v>
      </c>
      <c r="D13" s="210" t="s">
        <v>117</v>
      </c>
      <c r="E13" s="77" t="s">
        <v>424</v>
      </c>
      <c r="F13" s="79" t="s">
        <v>420</v>
      </c>
    </row>
    <row r="14" spans="2:6" ht="15.9" thickBot="1" x14ac:dyDescent="0.4">
      <c r="B14" s="670"/>
      <c r="C14" s="671"/>
      <c r="D14" s="211" t="s">
        <v>129</v>
      </c>
      <c r="E14" s="80" t="s">
        <v>425</v>
      </c>
      <c r="F14" s="81" t="s">
        <v>420</v>
      </c>
    </row>
    <row r="15" spans="2:6" ht="49.5" customHeight="1" x14ac:dyDescent="0.35">
      <c r="B15" s="663" t="s">
        <v>426</v>
      </c>
      <c r="C15" s="663"/>
      <c r="D15" s="663"/>
      <c r="E15" s="663"/>
      <c r="F15" s="663"/>
    </row>
    <row r="16" spans="2:6" ht="27" customHeight="1" x14ac:dyDescent="0.35">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L25" sqref="L25"/>
    </sheetView>
  </sheetViews>
  <sheetFormatPr baseColWidth="10" defaultColWidth="11.3828125" defaultRowHeight="14.6" x14ac:dyDescent="0.4"/>
  <cols>
    <col min="1" max="1" width="17.3828125" customWidth="1"/>
    <col min="2" max="2" width="9.69140625" customWidth="1"/>
    <col min="4" max="4" width="72.3046875" customWidth="1"/>
    <col min="5" max="6" width="11" customWidth="1"/>
    <col min="7" max="7" width="11.3828125" style="138"/>
    <col min="8" max="8" width="11.3828125" style="15"/>
  </cols>
  <sheetData>
    <row r="1" spans="1:8" ht="15" thickBot="1" x14ac:dyDescent="0.45"/>
    <row r="2" spans="1:8" ht="19.5" customHeight="1" x14ac:dyDescent="0.4">
      <c r="B2" s="366" t="s">
        <v>0</v>
      </c>
      <c r="C2" s="367"/>
      <c r="D2" s="383" t="s">
        <v>7</v>
      </c>
      <c r="E2" s="399" t="s">
        <v>8</v>
      </c>
      <c r="F2" s="373"/>
    </row>
    <row r="3" spans="1:8" ht="19.5" customHeight="1" x14ac:dyDescent="0.4">
      <c r="B3" s="368"/>
      <c r="C3" s="369"/>
      <c r="D3" s="384"/>
      <c r="E3" s="400" t="s">
        <v>3</v>
      </c>
      <c r="F3" s="375"/>
    </row>
    <row r="4" spans="1:8" ht="19.5" customHeight="1" x14ac:dyDescent="0.4">
      <c r="B4" s="368"/>
      <c r="C4" s="369"/>
      <c r="D4" s="384"/>
      <c r="E4" s="400" t="s">
        <v>4</v>
      </c>
      <c r="F4" s="375"/>
    </row>
    <row r="5" spans="1:8" ht="19.5" customHeight="1" thickBot="1" x14ac:dyDescent="0.45">
      <c r="A5" t="s">
        <v>9</v>
      </c>
      <c r="B5" s="370"/>
      <c r="C5" s="371"/>
      <c r="D5" s="385"/>
      <c r="E5" s="401" t="s">
        <v>5</v>
      </c>
      <c r="F5" s="377"/>
    </row>
    <row r="6" spans="1:8" ht="15" thickBot="1" x14ac:dyDescent="0.45"/>
    <row r="7" spans="1:8" x14ac:dyDescent="0.4">
      <c r="B7" s="386" t="s">
        <v>10</v>
      </c>
      <c r="C7" s="389" t="s">
        <v>11</v>
      </c>
      <c r="D7" s="390"/>
      <c r="E7" s="395" t="s">
        <v>12</v>
      </c>
      <c r="F7" s="396"/>
    </row>
    <row r="8" spans="1:8" ht="15" thickBot="1" x14ac:dyDescent="0.45">
      <c r="B8" s="387"/>
      <c r="C8" s="391"/>
      <c r="D8" s="392"/>
      <c r="E8" s="397"/>
      <c r="F8" s="398"/>
      <c r="H8" s="148"/>
    </row>
    <row r="9" spans="1:8" ht="15" thickBot="1" x14ac:dyDescent="0.45">
      <c r="B9" s="388"/>
      <c r="C9" s="393" t="s">
        <v>13</v>
      </c>
      <c r="D9" s="394"/>
      <c r="E9" s="145" t="s">
        <v>14</v>
      </c>
      <c r="F9" s="145" t="s">
        <v>15</v>
      </c>
      <c r="H9" s="148"/>
    </row>
    <row r="10" spans="1:8" ht="15" thickBot="1" x14ac:dyDescent="0.45">
      <c r="B10" s="144">
        <v>1</v>
      </c>
      <c r="C10" s="378" t="s">
        <v>16</v>
      </c>
      <c r="D10" s="379"/>
      <c r="E10" s="140"/>
      <c r="F10" s="141"/>
      <c r="H10" s="148"/>
    </row>
    <row r="11" spans="1:8" ht="15" thickBot="1" x14ac:dyDescent="0.45">
      <c r="B11" s="144">
        <v>2</v>
      </c>
      <c r="C11" s="378" t="s">
        <v>17</v>
      </c>
      <c r="D11" s="379" t="s">
        <v>17</v>
      </c>
      <c r="E11" s="140"/>
      <c r="F11" s="141"/>
      <c r="H11" s="149"/>
    </row>
    <row r="12" spans="1:8" ht="15" thickBot="1" x14ac:dyDescent="0.45">
      <c r="B12" s="144">
        <v>3</v>
      </c>
      <c r="C12" s="378" t="s">
        <v>18</v>
      </c>
      <c r="D12" s="379" t="s">
        <v>18</v>
      </c>
      <c r="E12" s="140"/>
      <c r="F12" s="141"/>
    </row>
    <row r="13" spans="1:8" ht="15" thickBot="1" x14ac:dyDescent="0.45">
      <c r="B13" s="144">
        <v>4</v>
      </c>
      <c r="C13" s="378" t="s">
        <v>19</v>
      </c>
      <c r="D13" s="379" t="s">
        <v>20</v>
      </c>
      <c r="E13" s="140"/>
      <c r="F13" s="141"/>
    </row>
    <row r="14" spans="1:8" ht="15" thickBot="1" x14ac:dyDescent="0.45">
      <c r="B14" s="144">
        <v>5</v>
      </c>
      <c r="C14" s="378" t="s">
        <v>21</v>
      </c>
      <c r="D14" s="379" t="s">
        <v>21</v>
      </c>
      <c r="E14" s="140"/>
      <c r="F14" s="141"/>
    </row>
    <row r="15" spans="1:8" ht="15" thickBot="1" x14ac:dyDescent="0.45">
      <c r="B15" s="144">
        <v>6</v>
      </c>
      <c r="C15" s="378" t="s">
        <v>22</v>
      </c>
      <c r="D15" s="379" t="s">
        <v>22</v>
      </c>
      <c r="E15" s="140"/>
      <c r="F15" s="141"/>
    </row>
    <row r="16" spans="1:8" ht="15" thickBot="1" x14ac:dyDescent="0.45">
      <c r="B16" s="144">
        <v>7</v>
      </c>
      <c r="C16" s="378" t="s">
        <v>23</v>
      </c>
      <c r="D16" s="379" t="s">
        <v>23</v>
      </c>
      <c r="E16" s="140"/>
      <c r="F16" s="141"/>
    </row>
    <row r="17" spans="1:7" ht="28.5" customHeight="1" thickBot="1" x14ac:dyDescent="0.45">
      <c r="B17" s="144">
        <v>8</v>
      </c>
      <c r="C17" s="378" t="s">
        <v>24</v>
      </c>
      <c r="D17" s="379" t="s">
        <v>24</v>
      </c>
      <c r="E17" s="140"/>
      <c r="F17" s="141"/>
    </row>
    <row r="18" spans="1:7" ht="18.75" customHeight="1" thickBot="1" x14ac:dyDescent="0.45">
      <c r="B18" s="144">
        <v>9</v>
      </c>
      <c r="C18" s="378" t="s">
        <v>25</v>
      </c>
      <c r="D18" s="379" t="s">
        <v>25</v>
      </c>
      <c r="E18" s="140"/>
      <c r="F18" s="141"/>
    </row>
    <row r="19" spans="1:7" ht="15" thickBot="1" x14ac:dyDescent="0.45">
      <c r="B19" s="144">
        <v>10</v>
      </c>
      <c r="C19" s="378" t="s">
        <v>26</v>
      </c>
      <c r="D19" s="379" t="s">
        <v>26</v>
      </c>
      <c r="E19" s="140"/>
      <c r="F19" s="141"/>
    </row>
    <row r="20" spans="1:7" ht="15" thickBot="1" x14ac:dyDescent="0.45">
      <c r="B20" s="144">
        <v>11</v>
      </c>
      <c r="C20" s="378" t="s">
        <v>27</v>
      </c>
      <c r="D20" s="379" t="s">
        <v>27</v>
      </c>
      <c r="E20" s="140"/>
      <c r="F20" s="141"/>
    </row>
    <row r="21" spans="1:7" ht="15" thickBot="1" x14ac:dyDescent="0.45">
      <c r="B21" s="144">
        <v>12</v>
      </c>
      <c r="C21" s="378" t="s">
        <v>28</v>
      </c>
      <c r="D21" s="379" t="s">
        <v>28</v>
      </c>
      <c r="E21" s="140"/>
      <c r="F21" s="141"/>
    </row>
    <row r="22" spans="1:7" ht="15" thickBot="1" x14ac:dyDescent="0.45">
      <c r="B22" s="144">
        <v>13</v>
      </c>
      <c r="C22" s="378" t="s">
        <v>29</v>
      </c>
      <c r="D22" s="379" t="s">
        <v>29</v>
      </c>
      <c r="E22" s="140"/>
      <c r="F22" s="141"/>
    </row>
    <row r="23" spans="1:7" ht="15" thickBot="1" x14ac:dyDescent="0.45">
      <c r="B23" s="144">
        <v>14</v>
      </c>
      <c r="C23" s="378" t="s">
        <v>30</v>
      </c>
      <c r="D23" s="379" t="s">
        <v>30</v>
      </c>
      <c r="E23" s="140"/>
      <c r="F23" s="141"/>
    </row>
    <row r="24" spans="1:7" ht="15" thickBot="1" x14ac:dyDescent="0.45">
      <c r="B24" s="144">
        <v>15</v>
      </c>
      <c r="C24" s="378" t="s">
        <v>31</v>
      </c>
      <c r="D24" s="379" t="s">
        <v>31</v>
      </c>
      <c r="E24" s="140"/>
      <c r="F24" s="141"/>
    </row>
    <row r="25" spans="1:7" ht="15" thickBot="1" x14ac:dyDescent="0.45">
      <c r="B25" s="144">
        <v>16</v>
      </c>
      <c r="C25" s="378" t="s">
        <v>32</v>
      </c>
      <c r="D25" s="379" t="s">
        <v>32</v>
      </c>
      <c r="E25" s="140"/>
      <c r="F25" s="141"/>
    </row>
    <row r="26" spans="1:7" ht="15" thickBot="1" x14ac:dyDescent="0.45">
      <c r="B26" s="144">
        <v>17</v>
      </c>
      <c r="C26" s="378" t="s">
        <v>33</v>
      </c>
      <c r="D26" s="379" t="s">
        <v>33</v>
      </c>
      <c r="E26" s="140"/>
      <c r="F26" s="141"/>
    </row>
    <row r="27" spans="1:7" ht="15" thickBot="1" x14ac:dyDescent="0.45">
      <c r="B27" s="144">
        <v>18</v>
      </c>
      <c r="C27" s="378" t="s">
        <v>34</v>
      </c>
      <c r="D27" s="379" t="s">
        <v>34</v>
      </c>
      <c r="E27" s="140"/>
      <c r="F27" s="141"/>
    </row>
    <row r="28" spans="1:7" ht="15" thickBot="1" x14ac:dyDescent="0.45">
      <c r="B28" s="144">
        <v>19</v>
      </c>
      <c r="C28" s="378" t="s">
        <v>35</v>
      </c>
      <c r="D28" s="379" t="s">
        <v>35</v>
      </c>
      <c r="E28" s="140"/>
      <c r="F28" s="141"/>
    </row>
    <row r="29" spans="1:7" x14ac:dyDescent="0.4">
      <c r="C29" s="139"/>
      <c r="D29" s="139"/>
      <c r="E29" s="147">
        <f>COUNTIF(E10:E28,"x")</f>
        <v>0</v>
      </c>
      <c r="F29" s="147">
        <f>COUNTIF(F10:F28,"x")</f>
        <v>0</v>
      </c>
      <c r="G29" s="146" t="str">
        <f>IF(E29=0,"",IF(E29&lt;=5,"Moderado",IF(E29&lt;=11,"Mayor",IF(E29&lt;=19,"Catastrófico",""))))</f>
        <v/>
      </c>
    </row>
    <row r="30" spans="1:7" x14ac:dyDescent="0.4">
      <c r="C30" s="137"/>
      <c r="D30" s="137"/>
      <c r="E30" s="137"/>
      <c r="F30" s="137"/>
    </row>
    <row r="31" spans="1:7" ht="66" customHeight="1" x14ac:dyDescent="0.4">
      <c r="A31" s="380" t="s">
        <v>36</v>
      </c>
      <c r="B31" s="381"/>
      <c r="C31" s="381"/>
      <c r="D31" s="381"/>
      <c r="E31" s="381"/>
      <c r="F31" s="382"/>
    </row>
  </sheetData>
  <mergeCells count="30">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s>
  <conditionalFormatting sqref="G29">
    <cfRule type="cellIs" dxfId="21" priority="1" stopIfTrue="1" operator="equal">
      <formula>"Catastrófico"</formula>
    </cfRule>
    <cfRule type="cellIs" dxfId="20" priority="2" stopIfTrue="1" operator="equal">
      <formula>"Moderado"</formula>
    </cfRule>
    <cfRule type="cellIs" dxfId="19"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baseColWidth="10" defaultColWidth="9.15234375" defaultRowHeight="14.6" x14ac:dyDescent="0.4"/>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9.15234375" defaultRowHeight="14.6" x14ac:dyDescent="0.4"/>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3828125" defaultRowHeight="14.6" x14ac:dyDescent="0.4"/>
  <sheetData>
    <row r="2" spans="2:5" x14ac:dyDescent="0.4">
      <c r="B2" t="s">
        <v>178</v>
      </c>
      <c r="E2" t="s">
        <v>132</v>
      </c>
    </row>
    <row r="3" spans="2:5" x14ac:dyDescent="0.4">
      <c r="B3" t="s">
        <v>186</v>
      </c>
      <c r="E3" t="s">
        <v>107</v>
      </c>
    </row>
    <row r="4" spans="2:5" x14ac:dyDescent="0.4">
      <c r="B4" t="s">
        <v>204</v>
      </c>
      <c r="E4" t="s">
        <v>189</v>
      </c>
    </row>
    <row r="5" spans="2:5" x14ac:dyDescent="0.4">
      <c r="B5" t="s">
        <v>118</v>
      </c>
    </row>
    <row r="8" spans="2:5" x14ac:dyDescent="0.4">
      <c r="B8" t="s">
        <v>170</v>
      </c>
    </row>
    <row r="9" spans="2:5" x14ac:dyDescent="0.4">
      <c r="B9" t="s">
        <v>179</v>
      </c>
    </row>
    <row r="10" spans="2:5" x14ac:dyDescent="0.4">
      <c r="B10" t="s">
        <v>187</v>
      </c>
    </row>
    <row r="13" spans="2:5" x14ac:dyDescent="0.4">
      <c r="B13" t="s">
        <v>173</v>
      </c>
    </row>
    <row r="14" spans="2:5" x14ac:dyDescent="0.4">
      <c r="B14" t="s">
        <v>109</v>
      </c>
    </row>
    <row r="15" spans="2:5" x14ac:dyDescent="0.4">
      <c r="B15" t="s">
        <v>192</v>
      </c>
    </row>
    <row r="16" spans="2:5" x14ac:dyDescent="0.4">
      <c r="B16" t="s">
        <v>198</v>
      </c>
    </row>
    <row r="17" spans="2:2" x14ac:dyDescent="0.4">
      <c r="B17" t="s">
        <v>202</v>
      </c>
    </row>
    <row r="18" spans="2:2" x14ac:dyDescent="0.4">
      <c r="B18" t="s">
        <v>206</v>
      </c>
    </row>
    <row r="19" spans="2:2" x14ac:dyDescent="0.4">
      <c r="B19" t="s">
        <v>124</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3828125" defaultRowHeight="12.9" x14ac:dyDescent="0.35"/>
  <cols>
    <col min="1" max="1" width="32.69140625" style="1" customWidth="1"/>
    <col min="2" max="16384" width="11.3828125" style="1"/>
  </cols>
  <sheetData>
    <row r="3" spans="1:1" x14ac:dyDescent="0.35">
      <c r="A3" s="2" t="s">
        <v>120</v>
      </c>
    </row>
    <row r="4" spans="1:1" x14ac:dyDescent="0.35">
      <c r="A4" s="2" t="s">
        <v>113</v>
      </c>
    </row>
    <row r="5" spans="1:1" x14ac:dyDescent="0.35">
      <c r="A5" s="2" t="s">
        <v>194</v>
      </c>
    </row>
    <row r="6" spans="1:1" x14ac:dyDescent="0.35">
      <c r="A6" s="2" t="s">
        <v>176</v>
      </c>
    </row>
    <row r="7" spans="1:1" x14ac:dyDescent="0.35">
      <c r="A7" s="2" t="s">
        <v>114</v>
      </c>
    </row>
    <row r="8" spans="1:1" x14ac:dyDescent="0.35">
      <c r="A8" s="2" t="s">
        <v>127</v>
      </c>
    </row>
    <row r="9" spans="1:1" x14ac:dyDescent="0.35">
      <c r="A9" s="2" t="s">
        <v>115</v>
      </c>
    </row>
    <row r="10" spans="1:1" x14ac:dyDescent="0.35">
      <c r="A10" s="2" t="s">
        <v>116</v>
      </c>
    </row>
    <row r="11" spans="1:1" x14ac:dyDescent="0.35">
      <c r="A11" s="2" t="s">
        <v>128</v>
      </c>
    </row>
    <row r="12" spans="1:1" x14ac:dyDescent="0.35">
      <c r="A12" s="2" t="s">
        <v>177</v>
      </c>
    </row>
    <row r="13" spans="1:1" x14ac:dyDescent="0.35">
      <c r="A13" s="2" t="s">
        <v>185</v>
      </c>
    </row>
    <row r="14" spans="1:1" x14ac:dyDescent="0.35">
      <c r="A14" s="2" t="s">
        <v>195</v>
      </c>
    </row>
    <row r="16" spans="1:1" x14ac:dyDescent="0.35">
      <c r="A16" s="2" t="s">
        <v>196</v>
      </c>
    </row>
    <row r="17" spans="1:1" x14ac:dyDescent="0.35">
      <c r="A17" s="2" t="s">
        <v>178</v>
      </c>
    </row>
    <row r="18" spans="1:1" x14ac:dyDescent="0.35">
      <c r="A18" s="2" t="s">
        <v>186</v>
      </c>
    </row>
    <row r="20" spans="1:1" x14ac:dyDescent="0.35">
      <c r="A20" s="2" t="s">
        <v>179</v>
      </c>
    </row>
    <row r="21" spans="1:1" x14ac:dyDescent="0.35">
      <c r="A21" s="2" t="s">
        <v>187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29"/>
  <sheetViews>
    <sheetView tabSelected="1" topLeftCell="S21" zoomScale="80" zoomScaleNormal="80" workbookViewId="0">
      <selection activeCell="W22" sqref="W22"/>
    </sheetView>
  </sheetViews>
  <sheetFormatPr baseColWidth="10" defaultColWidth="11.3828125" defaultRowHeight="14.15" x14ac:dyDescent="0.35"/>
  <cols>
    <col min="1" max="1" width="0" style="169" hidden="1" customWidth="1"/>
    <col min="2" max="2" width="4.53515625" style="169" customWidth="1"/>
    <col min="3" max="3" width="6.3046875" style="169" customWidth="1"/>
    <col min="4" max="4" width="4.69140625" style="170" customWidth="1"/>
    <col min="5" max="5" width="21" style="170" customWidth="1"/>
    <col min="6" max="7" width="20.69140625" style="170" customWidth="1"/>
    <col min="8" max="8" width="18.3046875" style="170" customWidth="1"/>
    <col min="9" max="9" width="31" style="170" customWidth="1"/>
    <col min="10" max="10" width="25.53515625" style="170" customWidth="1"/>
    <col min="11" max="11" width="58.3046875" style="169" customWidth="1"/>
    <col min="12" max="12" width="25.53515625" style="171" customWidth="1"/>
    <col min="13" max="13" width="31.84375" style="171" customWidth="1"/>
    <col min="14" max="14" width="23.84375" style="171" customWidth="1"/>
    <col min="15" max="15" width="11.53515625" style="169" customWidth="1"/>
    <col min="16" max="16" width="16.3828125" style="169" customWidth="1"/>
    <col min="17" max="17" width="8.84375" style="169" customWidth="1"/>
    <col min="18" max="18" width="21.3046875" style="169" customWidth="1"/>
    <col min="19" max="19" width="17.3828125" style="169" customWidth="1"/>
    <col min="20" max="20" width="10.53515625" style="169" customWidth="1"/>
    <col min="21" max="21" width="16" style="169" customWidth="1"/>
    <col min="22" max="22" width="5.69140625" style="169" customWidth="1"/>
    <col min="23" max="23" width="74.84375" style="169" customWidth="1"/>
    <col min="24" max="24" width="57.3046875" style="169" customWidth="1"/>
    <col min="25" max="25" width="15.3046875" style="169" customWidth="1"/>
    <col min="26" max="26" width="6.69140625" style="169" customWidth="1"/>
    <col min="27" max="27" width="5" style="169" customWidth="1"/>
    <col min="28" max="28" width="5.3828125" style="169" customWidth="1"/>
    <col min="29" max="29" width="7.3046875" style="169" customWidth="1"/>
    <col min="30" max="30" width="6.69140625" style="169" customWidth="1"/>
    <col min="31" max="31" width="8.3046875" style="169" customWidth="1"/>
    <col min="32" max="32" width="12" style="169" customWidth="1"/>
    <col min="33" max="33" width="13.69140625" style="169" customWidth="1"/>
    <col min="34" max="38" width="16.15234375" style="169" customWidth="1"/>
    <col min="39" max="40" width="7.3046875" style="169" customWidth="1"/>
    <col min="41" max="41" width="46.53515625" style="169" customWidth="1"/>
    <col min="42" max="42" width="24.3046875" style="169" customWidth="1"/>
    <col min="43" max="43" width="23.15234375" style="169" customWidth="1"/>
    <col min="44" max="46" width="19.69140625" style="169" customWidth="1"/>
    <col min="47" max="47" width="35.53515625" style="169" customWidth="1"/>
    <col min="48" max="50" width="34.69140625" style="169" customWidth="1"/>
    <col min="51" max="51" width="29" style="169" customWidth="1"/>
    <col min="52" max="52" width="23.3046875" style="169" customWidth="1"/>
    <col min="53" max="53" width="68.3828125" style="169" customWidth="1"/>
    <col min="54" max="54" width="31.3828125" style="169" customWidth="1"/>
    <col min="55" max="55" width="30.53515625" style="169" customWidth="1"/>
    <col min="56" max="56" width="53" style="169" customWidth="1"/>
    <col min="57" max="59" width="0" style="169" hidden="1" customWidth="1"/>
    <col min="60" max="61" width="11.3828125" style="169" hidden="1" customWidth="1"/>
    <col min="62" max="63" width="0" style="169" hidden="1" customWidth="1"/>
    <col min="64" max="16384" width="11.3828125" style="169"/>
  </cols>
  <sheetData>
    <row r="1" spans="1:82" ht="14.6" thickBot="1" x14ac:dyDescent="0.4"/>
    <row r="2" spans="1:82" ht="27.75" customHeight="1" x14ac:dyDescent="0.35">
      <c r="D2" s="313" t="s">
        <v>37</v>
      </c>
      <c r="E2" s="314"/>
      <c r="F2" s="314"/>
      <c r="G2" s="314"/>
      <c r="H2" s="315"/>
      <c r="I2" s="322" t="s">
        <v>38</v>
      </c>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c r="AO2" s="322"/>
      <c r="AP2" s="322"/>
      <c r="AQ2" s="322"/>
      <c r="AR2" s="322"/>
      <c r="AS2" s="322"/>
      <c r="AT2" s="322"/>
      <c r="AU2" s="322"/>
      <c r="AV2" s="322"/>
      <c r="AW2" s="322"/>
      <c r="AX2" s="322"/>
      <c r="AY2" s="322"/>
      <c r="AZ2" s="322"/>
      <c r="BA2" s="322"/>
      <c r="BB2" s="322"/>
      <c r="BC2" s="322"/>
      <c r="BD2" s="214" t="s">
        <v>8</v>
      </c>
    </row>
    <row r="3" spans="1:82" ht="27.75" customHeight="1" x14ac:dyDescent="0.35">
      <c r="D3" s="316"/>
      <c r="E3" s="317"/>
      <c r="F3" s="317"/>
      <c r="G3" s="317"/>
      <c r="H3" s="318"/>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c r="AO3" s="322"/>
      <c r="AP3" s="322"/>
      <c r="AQ3" s="322"/>
      <c r="AR3" s="322"/>
      <c r="AS3" s="322"/>
      <c r="AT3" s="322"/>
      <c r="AU3" s="322"/>
      <c r="AV3" s="322"/>
      <c r="AW3" s="322"/>
      <c r="AX3" s="322"/>
      <c r="AY3" s="322"/>
      <c r="AZ3" s="322"/>
      <c r="BA3" s="322"/>
      <c r="BB3" s="322"/>
      <c r="BC3" s="322"/>
      <c r="BD3" s="225" t="s">
        <v>39</v>
      </c>
    </row>
    <row r="4" spans="1:82" ht="27.75" customHeight="1" x14ac:dyDescent="0.35">
      <c r="D4" s="316"/>
      <c r="E4" s="317"/>
      <c r="F4" s="317"/>
      <c r="G4" s="317"/>
      <c r="H4" s="318"/>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c r="AZ4" s="322"/>
      <c r="BA4" s="322"/>
      <c r="BB4" s="322"/>
      <c r="BC4" s="322"/>
      <c r="BD4" s="215" t="s">
        <v>4</v>
      </c>
    </row>
    <row r="5" spans="1:82" ht="27.75" customHeight="1" thickBot="1" x14ac:dyDescent="0.4">
      <c r="D5" s="319"/>
      <c r="E5" s="320"/>
      <c r="F5" s="320"/>
      <c r="G5" s="320"/>
      <c r="H5" s="321"/>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322"/>
      <c r="AW5" s="322"/>
      <c r="AX5" s="322"/>
      <c r="AY5" s="322"/>
      <c r="AZ5" s="322"/>
      <c r="BA5" s="322"/>
      <c r="BB5" s="322"/>
      <c r="BC5" s="322"/>
      <c r="BD5" s="215" t="s">
        <v>40</v>
      </c>
    </row>
    <row r="6" spans="1:82" ht="13.95" customHeight="1" x14ac:dyDescent="0.4">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x14ac:dyDescent="0.35">
      <c r="D7" s="325" t="s">
        <v>41</v>
      </c>
      <c r="E7" s="326"/>
      <c r="F7" s="326"/>
      <c r="G7" s="327"/>
      <c r="H7" s="323" t="s">
        <v>42</v>
      </c>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30" customHeight="1" x14ac:dyDescent="0.35">
      <c r="D8" s="325" t="s">
        <v>43</v>
      </c>
      <c r="E8" s="326"/>
      <c r="F8" s="326"/>
      <c r="G8" s="327"/>
      <c r="H8" s="323" t="s">
        <v>44</v>
      </c>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x14ac:dyDescent="0.35">
      <c r="D9" s="325" t="s">
        <v>45</v>
      </c>
      <c r="E9" s="326"/>
      <c r="F9" s="326"/>
      <c r="G9" s="327"/>
      <c r="H9" s="323" t="s">
        <v>46</v>
      </c>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x14ac:dyDescent="0.35">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6"/>
      <c r="AT10" s="216"/>
      <c r="AU10" s="216"/>
      <c r="AV10" s="216"/>
      <c r="AW10" s="216"/>
      <c r="AX10" s="216"/>
      <c r="AY10" s="216"/>
      <c r="AZ10" s="179"/>
      <c r="BA10" s="179"/>
      <c r="BB10" s="179"/>
      <c r="BC10" s="179"/>
      <c r="BD10" s="179"/>
    </row>
    <row r="11" spans="1:82" s="174" customFormat="1" ht="25.5" customHeight="1" x14ac:dyDescent="0.35">
      <c r="A11" s="263" t="s">
        <v>9</v>
      </c>
      <c r="B11" s="263"/>
      <c r="C11" s="264"/>
      <c r="D11" s="309" t="s">
        <v>47</v>
      </c>
      <c r="E11" s="310"/>
      <c r="F11" s="310"/>
      <c r="G11" s="310"/>
      <c r="H11" s="310"/>
      <c r="I11" s="310"/>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0"/>
      <c r="AN11" s="310"/>
      <c r="AO11" s="310"/>
      <c r="AP11" s="310"/>
      <c r="AQ11" s="310"/>
      <c r="AR11" s="311"/>
      <c r="AS11" s="312" t="s">
        <v>48</v>
      </c>
      <c r="AT11" s="312"/>
      <c r="AU11" s="312"/>
      <c r="AV11" s="312"/>
      <c r="AW11" s="312"/>
      <c r="AX11" s="312"/>
      <c r="AY11" s="312"/>
      <c r="AZ11" s="329" t="s">
        <v>49</v>
      </c>
      <c r="BA11" s="330"/>
      <c r="BB11" s="330"/>
      <c r="BC11" s="303" t="s">
        <v>50</v>
      </c>
      <c r="BD11" s="304"/>
    </row>
    <row r="12" spans="1:82" ht="27" customHeight="1" x14ac:dyDescent="0.35">
      <c r="D12" s="271" t="s">
        <v>51</v>
      </c>
      <c r="E12" s="271"/>
      <c r="F12" s="271"/>
      <c r="G12" s="271"/>
      <c r="H12" s="271"/>
      <c r="I12" s="266"/>
      <c r="J12" s="266"/>
      <c r="K12" s="266"/>
      <c r="L12" s="266"/>
      <c r="M12" s="266"/>
      <c r="N12" s="266"/>
      <c r="O12" s="266"/>
      <c r="P12" s="266" t="s">
        <v>52</v>
      </c>
      <c r="Q12" s="266"/>
      <c r="R12" s="266"/>
      <c r="S12" s="266"/>
      <c r="T12" s="266"/>
      <c r="U12" s="266"/>
      <c r="V12" s="266" t="s">
        <v>53</v>
      </c>
      <c r="W12" s="266"/>
      <c r="X12" s="266"/>
      <c r="Y12" s="266"/>
      <c r="Z12" s="266"/>
      <c r="AA12" s="266"/>
      <c r="AB12" s="266"/>
      <c r="AC12" s="266"/>
      <c r="AD12" s="266"/>
      <c r="AE12" s="266"/>
      <c r="AF12" s="260" t="s">
        <v>54</v>
      </c>
      <c r="AG12" s="266" t="s">
        <v>55</v>
      </c>
      <c r="AH12" s="266"/>
      <c r="AI12" s="266"/>
      <c r="AJ12" s="266"/>
      <c r="AK12" s="266"/>
      <c r="AL12" s="266"/>
      <c r="AM12" s="266"/>
      <c r="AN12" s="217"/>
      <c r="AO12" s="309" t="s">
        <v>56</v>
      </c>
      <c r="AP12" s="310"/>
      <c r="AQ12" s="310"/>
      <c r="AR12" s="310"/>
      <c r="AS12" s="312"/>
      <c r="AT12" s="312"/>
      <c r="AU12" s="312"/>
      <c r="AV12" s="312"/>
      <c r="AW12" s="312"/>
      <c r="AX12" s="312"/>
      <c r="AY12" s="312"/>
      <c r="AZ12" s="329"/>
      <c r="BA12" s="330"/>
      <c r="BB12" s="330"/>
      <c r="BC12" s="305"/>
      <c r="BD12" s="306"/>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x14ac:dyDescent="0.35">
      <c r="D13" s="328" t="s">
        <v>57</v>
      </c>
      <c r="E13" s="270" t="s">
        <v>58</v>
      </c>
      <c r="F13" s="265" t="s">
        <v>59</v>
      </c>
      <c r="G13" s="267" t="s">
        <v>60</v>
      </c>
      <c r="H13" s="271" t="s">
        <v>61</v>
      </c>
      <c r="I13" s="270" t="s">
        <v>62</v>
      </c>
      <c r="J13" s="270" t="s">
        <v>63</v>
      </c>
      <c r="K13" s="270" t="s">
        <v>64</v>
      </c>
      <c r="L13" s="267" t="s">
        <v>65</v>
      </c>
      <c r="M13" s="258" t="s">
        <v>66</v>
      </c>
      <c r="N13" s="259"/>
      <c r="O13" s="270" t="s">
        <v>67</v>
      </c>
      <c r="P13" s="270" t="s">
        <v>68</v>
      </c>
      <c r="Q13" s="271" t="s">
        <v>69</v>
      </c>
      <c r="R13" s="270" t="s">
        <v>70</v>
      </c>
      <c r="S13" s="270" t="s">
        <v>71</v>
      </c>
      <c r="T13" s="271" t="s">
        <v>69</v>
      </c>
      <c r="U13" s="270" t="s">
        <v>72</v>
      </c>
      <c r="V13" s="269" t="s">
        <v>73</v>
      </c>
      <c r="W13" s="270" t="s">
        <v>74</v>
      </c>
      <c r="X13" s="270" t="s">
        <v>75</v>
      </c>
      <c r="Y13" s="270" t="s">
        <v>76</v>
      </c>
      <c r="Z13" s="270" t="s">
        <v>77</v>
      </c>
      <c r="AA13" s="270"/>
      <c r="AB13" s="270"/>
      <c r="AC13" s="270"/>
      <c r="AD13" s="270"/>
      <c r="AE13" s="270"/>
      <c r="AF13" s="261"/>
      <c r="AG13" s="269" t="s">
        <v>78</v>
      </c>
      <c r="AH13" s="269" t="s">
        <v>79</v>
      </c>
      <c r="AI13" s="269" t="s">
        <v>69</v>
      </c>
      <c r="AJ13" s="269" t="s">
        <v>80</v>
      </c>
      <c r="AK13" s="269" t="s">
        <v>69</v>
      </c>
      <c r="AL13" s="269" t="s">
        <v>81</v>
      </c>
      <c r="AM13" s="269" t="s">
        <v>82</v>
      </c>
      <c r="AN13" s="269" t="s">
        <v>83</v>
      </c>
      <c r="AO13" s="270" t="s">
        <v>84</v>
      </c>
      <c r="AP13" s="270" t="s">
        <v>85</v>
      </c>
      <c r="AQ13" s="270" t="s">
        <v>86</v>
      </c>
      <c r="AR13" s="267" t="s">
        <v>87</v>
      </c>
      <c r="AS13" s="307" t="s">
        <v>88</v>
      </c>
      <c r="AT13" s="307" t="s">
        <v>89</v>
      </c>
      <c r="AU13" s="307" t="s">
        <v>90</v>
      </c>
      <c r="AV13" s="307" t="s">
        <v>91</v>
      </c>
      <c r="AW13" s="307" t="s">
        <v>92</v>
      </c>
      <c r="AX13" s="307" t="s">
        <v>93</v>
      </c>
      <c r="AY13" s="307" t="s">
        <v>94</v>
      </c>
      <c r="AZ13" s="270" t="s">
        <v>95</v>
      </c>
      <c r="BA13" s="270" t="s">
        <v>96</v>
      </c>
      <c r="BB13" s="270" t="s">
        <v>97</v>
      </c>
      <c r="BC13" s="307" t="s">
        <v>95</v>
      </c>
      <c r="BD13" s="307" t="s">
        <v>98</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106.5" customHeight="1" x14ac:dyDescent="0.4">
      <c r="A14" s="180"/>
      <c r="B14" s="180"/>
      <c r="C14" s="180"/>
      <c r="D14" s="328"/>
      <c r="E14" s="270"/>
      <c r="F14" s="266"/>
      <c r="G14" s="268"/>
      <c r="H14" s="271"/>
      <c r="I14" s="270"/>
      <c r="J14" s="270"/>
      <c r="K14" s="271"/>
      <c r="L14" s="268"/>
      <c r="M14" s="191" t="s">
        <v>99</v>
      </c>
      <c r="N14" s="191" t="s">
        <v>100</v>
      </c>
      <c r="O14" s="270"/>
      <c r="P14" s="270"/>
      <c r="Q14" s="271"/>
      <c r="R14" s="270"/>
      <c r="S14" s="271"/>
      <c r="T14" s="271"/>
      <c r="U14" s="270"/>
      <c r="V14" s="269"/>
      <c r="W14" s="270"/>
      <c r="X14" s="270"/>
      <c r="Y14" s="270"/>
      <c r="Z14" s="206" t="s">
        <v>101</v>
      </c>
      <c r="AA14" s="206" t="s">
        <v>102</v>
      </c>
      <c r="AB14" s="206" t="s">
        <v>103</v>
      </c>
      <c r="AC14" s="206" t="s">
        <v>54</v>
      </c>
      <c r="AD14" s="206" t="s">
        <v>104</v>
      </c>
      <c r="AE14" s="206" t="s">
        <v>105</v>
      </c>
      <c r="AF14" s="262"/>
      <c r="AG14" s="269"/>
      <c r="AH14" s="269"/>
      <c r="AI14" s="269"/>
      <c r="AJ14" s="269"/>
      <c r="AK14" s="269"/>
      <c r="AL14" s="269"/>
      <c r="AM14" s="269"/>
      <c r="AN14" s="269"/>
      <c r="AO14" s="270"/>
      <c r="AP14" s="270"/>
      <c r="AQ14" s="270"/>
      <c r="AR14" s="268"/>
      <c r="AS14" s="308"/>
      <c r="AT14" s="308"/>
      <c r="AU14" s="308"/>
      <c r="AV14" s="308"/>
      <c r="AW14" s="308"/>
      <c r="AX14" s="308"/>
      <c r="AY14" s="308"/>
      <c r="AZ14" s="267"/>
      <c r="BA14" s="267"/>
      <c r="BB14" s="267"/>
      <c r="BC14" s="308"/>
      <c r="BD14" s="308"/>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192" customFormat="1" ht="124.5" customHeight="1" x14ac:dyDescent="0.4">
      <c r="D15" s="276">
        <v>1</v>
      </c>
      <c r="E15" s="278" t="s">
        <v>106</v>
      </c>
      <c r="F15" s="278" t="s">
        <v>107</v>
      </c>
      <c r="G15" s="278"/>
      <c r="H15" s="278" t="s">
        <v>108</v>
      </c>
      <c r="I15" s="272" t="s">
        <v>440</v>
      </c>
      <c r="J15" s="272" t="s">
        <v>442</v>
      </c>
      <c r="K15" s="272" t="s">
        <v>441</v>
      </c>
      <c r="L15" s="272" t="s">
        <v>124</v>
      </c>
      <c r="M15" s="274" t="s">
        <v>122</v>
      </c>
      <c r="N15" s="274" t="s">
        <v>122</v>
      </c>
      <c r="O15" s="337">
        <v>300</v>
      </c>
      <c r="P15" s="339" t="str">
        <f>IF(O15&lt;=0,"",IF(O15&lt;=2,"Muy Baja",IF(O15&lt;=24,"Baja",IF(O15&lt;=500,"Media",IF(O15&lt;=5000,"Alta","Muy Alta")))))</f>
        <v>Media</v>
      </c>
      <c r="Q15" s="295">
        <f>IF(P15="","",IF(P15="Muy Baja",0.2,IF(P15="Baja",0.4,IF(P15="Media",0.6,IF(P15="Alta",0.8,IF(P15="Muy Alta",1,))))))</f>
        <v>0.6</v>
      </c>
      <c r="R15" s="272" t="s">
        <v>123</v>
      </c>
      <c r="S15" s="280" t="str">
        <f>IFERROR(VLOOKUP(R15,Criterios[],2,FALSE),"")</f>
        <v>Moderado</v>
      </c>
      <c r="T15" s="295">
        <f t="shared" ref="T15" si="0">IF(S15="","",IF(S15="Leve",0.2,IF(S15="Menor",0.4,IF(S15="Moderado",0.6,IF(S15="Mayor",0.8,IF(S15="Catastrófico",1,))))))</f>
        <v>0.6</v>
      </c>
      <c r="U15" s="280"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278">
        <v>1</v>
      </c>
      <c r="W15" s="282" t="s">
        <v>443</v>
      </c>
      <c r="X15" s="282" t="s">
        <v>444</v>
      </c>
      <c r="Y15" s="349" t="str">
        <f>IF(OR(Z15="Preventivo",Z15="Detectivo"),"Probabilidad",IF(Z15="Correctivo","Impacto",""))</f>
        <v>Probabilidad</v>
      </c>
      <c r="Z15" s="291" t="s">
        <v>120</v>
      </c>
      <c r="AA15" s="291" t="s">
        <v>114</v>
      </c>
      <c r="AB15" s="295" t="str">
        <f t="shared" ref="AB15:AB22" si="1">IF(AND(Z15="Preventivo",AA15="Automático"),"50%",IF(AND(Z15="Preventivo",AA15="Manual"),"40%",IF(AND(Z15="Detectivo",AA15="Automático"),"40%",IF(AND(Z15="Detectivo",AA15="Manual"),"30%",IF(AND(Z15="Correctivo",AA15="Automático"),"35%",IF(AND(Z15="Correctivo",AA15="Manual"),"25%",""))))))</f>
        <v>40%</v>
      </c>
      <c r="AC15" s="291" t="s">
        <v>127</v>
      </c>
      <c r="AD15" s="291" t="s">
        <v>116</v>
      </c>
      <c r="AE15" s="291" t="s">
        <v>117</v>
      </c>
      <c r="AF15" s="347" t="s">
        <v>445</v>
      </c>
      <c r="AG15" s="299">
        <f>IFERROR(IF(Y15="Probabilidad",(Q15-(+ Q15*AB15)),IF(Y15="Impacto",Q15,"")),"")</f>
        <v>0.36</v>
      </c>
      <c r="AH15" s="301" t="str">
        <f>IFERROR(IF(AG15="","",IF(AG15&lt;=0.2,"Muy Baja",IF(AG15&lt;=0.4,"Baja",IF(AG15&lt;=0.6,"Media",IF(AG15&lt;=0.8,"Alta","Muy Alta"))))),"")</f>
        <v>Baja</v>
      </c>
      <c r="AI15" s="295">
        <f>+AG15</f>
        <v>0.36</v>
      </c>
      <c r="AJ15" s="301" t="str">
        <f>IFERROR(IF(AK15="","",IF(AK15&lt;=0.2,"Leve",IF(AK15&lt;=0.4,"Menor",IF(AK15&lt;=0.6,"Moderado",IF(AK15&lt;=0.8,"Mayor","Catastrófico"))))),"")</f>
        <v>Moderado</v>
      </c>
      <c r="AK15" s="295">
        <f>IFERROR(IF(Y15="Impacto",(T15-(+T15*AB15)),IF(Y15="Probabilidad",T15,"")),"")</f>
        <v>0.6</v>
      </c>
      <c r="AL15" s="301"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291" t="s">
        <v>118</v>
      </c>
      <c r="AN15" s="278">
        <v>1</v>
      </c>
      <c r="AO15" s="274" t="s">
        <v>446</v>
      </c>
      <c r="AP15" s="343" t="s">
        <v>119</v>
      </c>
      <c r="AQ15" s="345" t="s">
        <v>447</v>
      </c>
      <c r="AR15" s="345" t="s">
        <v>448</v>
      </c>
      <c r="AS15" s="293"/>
      <c r="AT15" s="224" t="s">
        <v>15</v>
      </c>
      <c r="AU15" s="293" t="s">
        <v>430</v>
      </c>
      <c r="AV15" s="224" t="s">
        <v>431</v>
      </c>
      <c r="AW15" s="224" t="s">
        <v>428</v>
      </c>
      <c r="AX15" s="224" t="s">
        <v>429</v>
      </c>
      <c r="AY15" s="224" t="s">
        <v>137</v>
      </c>
      <c r="AZ15" s="351"/>
      <c r="BA15" s="220"/>
      <c r="BB15" s="221"/>
      <c r="BC15" s="353"/>
      <c r="BD15" s="218"/>
      <c r="BE15" s="212"/>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row>
    <row r="16" spans="1:82" s="192" customFormat="1" ht="126" customHeight="1" x14ac:dyDescent="0.4">
      <c r="D16" s="277"/>
      <c r="E16" s="279"/>
      <c r="F16" s="279"/>
      <c r="G16" s="279"/>
      <c r="H16" s="279"/>
      <c r="I16" s="273"/>
      <c r="J16" s="273"/>
      <c r="K16" s="273"/>
      <c r="L16" s="273"/>
      <c r="M16" s="275"/>
      <c r="N16" s="275"/>
      <c r="O16" s="338"/>
      <c r="P16" s="340"/>
      <c r="Q16" s="296"/>
      <c r="R16" s="273"/>
      <c r="S16" s="281"/>
      <c r="T16" s="296"/>
      <c r="U16" s="281"/>
      <c r="V16" s="279"/>
      <c r="W16" s="283"/>
      <c r="X16" s="283"/>
      <c r="Y16" s="350"/>
      <c r="Z16" s="292"/>
      <c r="AA16" s="292"/>
      <c r="AB16" s="296"/>
      <c r="AC16" s="292"/>
      <c r="AD16" s="292"/>
      <c r="AE16" s="292"/>
      <c r="AF16" s="348"/>
      <c r="AG16" s="300"/>
      <c r="AH16" s="302"/>
      <c r="AI16" s="296"/>
      <c r="AJ16" s="302"/>
      <c r="AK16" s="296"/>
      <c r="AL16" s="302"/>
      <c r="AM16" s="292"/>
      <c r="AN16" s="279"/>
      <c r="AO16" s="275"/>
      <c r="AP16" s="344"/>
      <c r="AQ16" s="346"/>
      <c r="AR16" s="346"/>
      <c r="AS16" s="355"/>
      <c r="AT16" s="224" t="s">
        <v>15</v>
      </c>
      <c r="AU16" s="294"/>
      <c r="AV16" s="224" t="s">
        <v>433</v>
      </c>
      <c r="AW16" s="224" t="s">
        <v>428</v>
      </c>
      <c r="AX16" s="224" t="s">
        <v>429</v>
      </c>
      <c r="AY16" s="224" t="s">
        <v>137</v>
      </c>
      <c r="AZ16" s="352"/>
      <c r="BA16" s="220"/>
      <c r="BB16" s="222"/>
      <c r="BC16" s="354"/>
      <c r="BD16" s="218"/>
      <c r="BE16" s="213"/>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row>
    <row r="17" spans="4:82" s="192" customFormat="1" ht="155.25" customHeight="1" x14ac:dyDescent="0.4">
      <c r="D17" s="276">
        <v>2</v>
      </c>
      <c r="E17" s="278" t="s">
        <v>106</v>
      </c>
      <c r="F17" s="278" t="s">
        <v>107</v>
      </c>
      <c r="G17" s="278"/>
      <c r="H17" s="278" t="s">
        <v>108</v>
      </c>
      <c r="I17" s="272" t="s">
        <v>121</v>
      </c>
      <c r="J17" s="272" t="s">
        <v>449</v>
      </c>
      <c r="K17" s="272" t="s">
        <v>473</v>
      </c>
      <c r="L17" s="272" t="s">
        <v>124</v>
      </c>
      <c r="M17" s="272" t="s">
        <v>122</v>
      </c>
      <c r="N17" s="274" t="s">
        <v>122</v>
      </c>
      <c r="O17" s="337">
        <v>250</v>
      </c>
      <c r="P17" s="339" t="str">
        <f>IF(O17&lt;=0,"",IF(O17&lt;=2,"Muy Baja",IF(O17&lt;=24,"Baja",IF(O17&lt;=500,"Media",IF(O17&lt;=5000,"Alta","Muy Alta")))))</f>
        <v>Media</v>
      </c>
      <c r="Q17" s="295">
        <f t="shared" ref="Q17" si="2">IF(P17="","",IF(P17="Muy Baja",0.2,IF(P17="Baja",0.4,IF(P17="Media",0.6,IF(P17="Alta",0.8,IF(P17="Muy Alta",1,))))))</f>
        <v>0.6</v>
      </c>
      <c r="R17" s="341" t="s">
        <v>123</v>
      </c>
      <c r="S17" s="280" t="str">
        <f>IFERROR(VLOOKUP(R17,Criterios[],2,FALSE),"")</f>
        <v>Moderado</v>
      </c>
      <c r="T17" s="295">
        <f t="shared" ref="T17" si="3">IF(S17="","",IF(S17="Leve",0.2,IF(S17="Menor",0.4,IF(S17="Moderado",0.6,IF(S17="Mayor",0.8,IF(S17="Catastrófico",1,))))))</f>
        <v>0.6</v>
      </c>
      <c r="U17" s="280"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Moderado</v>
      </c>
      <c r="V17" s="278">
        <v>1</v>
      </c>
      <c r="W17" s="284" t="s">
        <v>450</v>
      </c>
      <c r="X17" s="284" t="s">
        <v>451</v>
      </c>
      <c r="Y17" s="284" t="str">
        <f t="shared" ref="Y17:Y21" si="4">IF(OR(Z17="Preventivo",Z17="Detectivo"),"Probabilidad",IF(Z17="Correctivo","Impacto",""))</f>
        <v>Probabilidad</v>
      </c>
      <c r="Z17" s="291" t="s">
        <v>120</v>
      </c>
      <c r="AA17" s="291" t="s">
        <v>114</v>
      </c>
      <c r="AB17" s="295" t="str">
        <f t="shared" si="1"/>
        <v>40%</v>
      </c>
      <c r="AC17" s="291" t="s">
        <v>127</v>
      </c>
      <c r="AD17" s="291" t="s">
        <v>116</v>
      </c>
      <c r="AE17" s="291" t="s">
        <v>117</v>
      </c>
      <c r="AF17" s="343" t="s">
        <v>452</v>
      </c>
      <c r="AG17" s="299">
        <f>IFERROR(IF(Y17="Probabilidad",(Q17-(+ Q17*AB17)),IF(Y17="Impacto",Q17,"")),"")</f>
        <v>0.36</v>
      </c>
      <c r="AH17" s="301" t="str">
        <f t="shared" ref="AH17:AH22" si="5">IFERROR(IF(AG17="","",IF(AG17&lt;=0.2,"Muy Baja",IF(AG17&lt;=0.4,"Baja",IF(AG17&lt;=0.6,"Media",IF(AG17&lt;=0.8,"Alta","Muy Alta"))))),"")</f>
        <v>Baja</v>
      </c>
      <c r="AI17" s="295">
        <f t="shared" ref="AI17:AI22" si="6">+AG17</f>
        <v>0.36</v>
      </c>
      <c r="AJ17" s="301" t="str">
        <f t="shared" ref="AJ17:AJ21" si="7">IFERROR(IF(AK17="","",IF(AK17&lt;=0.2,"Leve",IF(AK17&lt;=0.4,"Menor",IF(AK17&lt;=0.6,"Moderado",IF(AK17&lt;=0.8,"Mayor","Catastrófico"))))),"")</f>
        <v>Moderado</v>
      </c>
      <c r="AK17" s="295">
        <f>IFERROR(IF(Y17="Impacto",(T107-(+T17*AB17)),IF(Y17="Probabilidad",T17,"")),"")</f>
        <v>0.6</v>
      </c>
      <c r="AL17" s="301" t="str">
        <f t="shared" ref="AL17:AL21" si="8">IFERROR(IF(OR(AND(AH17="Muy Baja",AJ17="Leve"),AND(AH17="Muy Baja",AJ17="Menor"),AND(AH17="Baja",AJ17="Leve")),"Bajo",IF(OR(AND(AH17="Muy baja",AJ17="Moderado"),AND(AH17="Baja",AJ17="Menor"),AND(AH17="Baja",AJ17="Moderado"),AND(AH17="Media",AJ17="Leve"),AND(AH17="Media",AJ17="Menor"),AND(AH17="Media",AJ17="Moderado"),AND(AH17="Alta",AJ17="Leve"),AND(AH17="Alta",AJ17="Menor")),"Moderado",IF(OR(AND(AH17="Muy Baja",AJ17="Mayor"),AND(AH17="Baja",AJ17="Mayor"),AND(AH17="Media",AJ17="Mayor"),AND(AH17="Alta",AJ17="Moderado"),AND(AH17="Alta",AJ17="Mayor"),AND(AH17="Muy Alta",AJ17="Leve"),AND(AH17="Muy Alta",AJ17="Menor"),AND(AH17="Muy Alta",AJ17="Moderado"),AND(AH17="Muy Alta",AJ17="Mayor")),"Alto",IF(OR(AND(AH17="Muy Baja",AJ17="Catastrófico"),AND(AH17="Baja",AJ17="Catastrófico"),AND(AH17="Media",AJ17="Catastrófico"),AND(AH17="Alta",AJ17="Catastrófico"),AND(AH17="Muy Alta",AJ17="Catastrófico")),"Extremo","")))),"")</f>
        <v>Moderado</v>
      </c>
      <c r="AM17" s="291" t="s">
        <v>118</v>
      </c>
      <c r="AN17" s="278">
        <v>1</v>
      </c>
      <c r="AO17" s="343" t="s">
        <v>453</v>
      </c>
      <c r="AP17" s="343" t="s">
        <v>119</v>
      </c>
      <c r="AQ17" s="345" t="s">
        <v>427</v>
      </c>
      <c r="AR17" s="345" t="s">
        <v>448</v>
      </c>
      <c r="AS17" s="355"/>
      <c r="AT17" s="224" t="s">
        <v>15</v>
      </c>
      <c r="AU17" s="293" t="s">
        <v>432</v>
      </c>
      <c r="AV17" s="224" t="s">
        <v>434</v>
      </c>
      <c r="AW17" s="224" t="s">
        <v>428</v>
      </c>
      <c r="AX17" s="224" t="s">
        <v>429</v>
      </c>
      <c r="AY17" s="224" t="s">
        <v>137</v>
      </c>
      <c r="AZ17" s="352"/>
      <c r="BA17" s="220"/>
      <c r="BB17" s="222"/>
      <c r="BC17" s="354"/>
      <c r="BD17" s="218"/>
      <c r="BE17" s="199"/>
      <c r="BF17" s="213"/>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row>
    <row r="18" spans="4:82" s="192" customFormat="1" ht="117" customHeight="1" x14ac:dyDescent="0.4">
      <c r="D18" s="277"/>
      <c r="E18" s="279"/>
      <c r="F18" s="279"/>
      <c r="G18" s="279"/>
      <c r="H18" s="279"/>
      <c r="I18" s="273"/>
      <c r="J18" s="273"/>
      <c r="K18" s="273"/>
      <c r="L18" s="273"/>
      <c r="M18" s="273"/>
      <c r="N18" s="275"/>
      <c r="O18" s="338"/>
      <c r="P18" s="340"/>
      <c r="Q18" s="296"/>
      <c r="R18" s="342"/>
      <c r="S18" s="281"/>
      <c r="T18" s="296"/>
      <c r="U18" s="281"/>
      <c r="V18" s="279"/>
      <c r="W18" s="285"/>
      <c r="X18" s="285"/>
      <c r="Y18" s="285"/>
      <c r="Z18" s="292"/>
      <c r="AA18" s="292"/>
      <c r="AB18" s="296"/>
      <c r="AC18" s="292"/>
      <c r="AD18" s="292"/>
      <c r="AE18" s="292"/>
      <c r="AF18" s="344"/>
      <c r="AG18" s="300"/>
      <c r="AH18" s="302"/>
      <c r="AI18" s="296"/>
      <c r="AJ18" s="302"/>
      <c r="AK18" s="296"/>
      <c r="AL18" s="302"/>
      <c r="AM18" s="292"/>
      <c r="AN18" s="279"/>
      <c r="AO18" s="344"/>
      <c r="AP18" s="344"/>
      <c r="AQ18" s="346"/>
      <c r="AR18" s="346"/>
      <c r="AS18" s="355"/>
      <c r="AT18" s="224" t="s">
        <v>15</v>
      </c>
      <c r="AU18" s="294"/>
      <c r="AV18" s="224" t="s">
        <v>434</v>
      </c>
      <c r="AW18" s="224" t="s">
        <v>428</v>
      </c>
      <c r="AX18" s="224" t="s">
        <v>429</v>
      </c>
      <c r="AY18" s="224" t="s">
        <v>137</v>
      </c>
      <c r="AZ18" s="352"/>
      <c r="BA18" s="220"/>
      <c r="BB18" s="222"/>
      <c r="BC18" s="354"/>
      <c r="BD18" s="218"/>
      <c r="BE18" s="199"/>
      <c r="BF18" s="213"/>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row>
    <row r="19" spans="4:82" s="183" customFormat="1" ht="76.5" customHeight="1" x14ac:dyDescent="0.4">
      <c r="D19" s="335">
        <v>3</v>
      </c>
      <c r="E19" s="278" t="s">
        <v>106</v>
      </c>
      <c r="F19" s="278" t="s">
        <v>107</v>
      </c>
      <c r="G19" s="278"/>
      <c r="H19" s="278" t="s">
        <v>108</v>
      </c>
      <c r="I19" s="272" t="s">
        <v>455</v>
      </c>
      <c r="J19" s="272" t="s">
        <v>456</v>
      </c>
      <c r="K19" s="272" t="s">
        <v>454</v>
      </c>
      <c r="L19" s="272" t="s">
        <v>124</v>
      </c>
      <c r="M19" s="272" t="s">
        <v>122</v>
      </c>
      <c r="N19" s="274" t="s">
        <v>122</v>
      </c>
      <c r="O19" s="274">
        <v>400</v>
      </c>
      <c r="P19" s="339" t="str">
        <f>IF(O19&lt;=0,"",IF(O19&lt;=2,"Muy Baja",IF(O19&lt;=24,"Baja",IF(O19&lt;=500,"Media",IF(O19&lt;=5000,"Alta","Muy Alta")))))</f>
        <v>Media</v>
      </c>
      <c r="Q19" s="295">
        <f t="shared" ref="Q19" si="9">IF(P19="","",IF(P19="Muy Baja",0.2,IF(P19="Baja",0.4,IF(P19="Media",0.6,IF(P19="Alta",0.8,IF(P19="Muy Alta",1,))))))</f>
        <v>0.6</v>
      </c>
      <c r="R19" s="341" t="s">
        <v>123</v>
      </c>
      <c r="S19" s="280" t="str">
        <f>IFERROR(VLOOKUP(R19,Criterios[],2,FALSE),"")</f>
        <v>Moderado</v>
      </c>
      <c r="T19" s="295">
        <f t="shared" ref="T19" si="10">IF(S19="","",IF(S19="Leve",0.2,IF(S19="Menor",0.4,IF(S19="Moderado",0.6,IF(S19="Mayor",0.8,IF(S19="Catastrófico",1,))))))</f>
        <v>0.6</v>
      </c>
      <c r="U19" s="280"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Moderado</v>
      </c>
      <c r="V19" s="278">
        <v>1</v>
      </c>
      <c r="W19" s="282" t="s">
        <v>457</v>
      </c>
      <c r="X19" s="284" t="s">
        <v>126</v>
      </c>
      <c r="Y19" s="286" t="str">
        <f t="shared" si="4"/>
        <v>Probabilidad</v>
      </c>
      <c r="Z19" s="291" t="s">
        <v>120</v>
      </c>
      <c r="AA19" s="291" t="s">
        <v>114</v>
      </c>
      <c r="AB19" s="295" t="str">
        <f t="shared" si="1"/>
        <v>40%</v>
      </c>
      <c r="AC19" s="291" t="s">
        <v>127</v>
      </c>
      <c r="AD19" s="291" t="s">
        <v>128</v>
      </c>
      <c r="AE19" s="297" t="s">
        <v>129</v>
      </c>
      <c r="AF19" s="274" t="s">
        <v>126</v>
      </c>
      <c r="AG19" s="299">
        <f>IFERROR(IF(Y19="Probabilidad",(Q19-(+ Q19*AB19)),IF(Y19="Impacto",Q19,"")),"")</f>
        <v>0.36</v>
      </c>
      <c r="AH19" s="301" t="str">
        <f t="shared" si="5"/>
        <v>Baja</v>
      </c>
      <c r="AI19" s="295">
        <f t="shared" si="6"/>
        <v>0.36</v>
      </c>
      <c r="AJ19" s="301" t="str">
        <f t="shared" si="7"/>
        <v>Moderado</v>
      </c>
      <c r="AK19" s="295">
        <f>IFERROR(IF(Y19="Impacto",(T19-(+T19*AB19)),IF(Y19="Probabilidad",T19,"")),"")</f>
        <v>0.6</v>
      </c>
      <c r="AL19" s="301" t="str">
        <f t="shared" si="8"/>
        <v>Moderado</v>
      </c>
      <c r="AM19" s="291" t="s">
        <v>118</v>
      </c>
      <c r="AN19" s="278">
        <v>1</v>
      </c>
      <c r="AO19" s="274" t="s">
        <v>130</v>
      </c>
      <c r="AP19" s="274" t="s">
        <v>119</v>
      </c>
      <c r="AQ19" s="345" t="s">
        <v>435</v>
      </c>
      <c r="AR19" s="345" t="s">
        <v>448</v>
      </c>
      <c r="AS19" s="355"/>
      <c r="AT19" s="293" t="s">
        <v>15</v>
      </c>
      <c r="AU19" s="293" t="s">
        <v>437</v>
      </c>
      <c r="AV19" s="293" t="s">
        <v>436</v>
      </c>
      <c r="AW19" s="293" t="s">
        <v>428</v>
      </c>
      <c r="AX19" s="224" t="s">
        <v>429</v>
      </c>
      <c r="AY19" s="224" t="s">
        <v>137</v>
      </c>
      <c r="AZ19" s="352"/>
      <c r="BA19" s="223"/>
      <c r="BB19" s="223"/>
      <c r="BC19" s="354"/>
      <c r="BD19" s="219"/>
      <c r="BE19" s="185"/>
      <c r="BF19" s="185"/>
      <c r="BG19" s="185"/>
      <c r="BH19" s="18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row>
    <row r="20" spans="4:82" s="183" customFormat="1" ht="76.5" customHeight="1" x14ac:dyDescent="0.4">
      <c r="D20" s="336"/>
      <c r="E20" s="279"/>
      <c r="F20" s="279"/>
      <c r="G20" s="279"/>
      <c r="H20" s="279"/>
      <c r="I20" s="273"/>
      <c r="J20" s="273"/>
      <c r="K20" s="273"/>
      <c r="L20" s="273"/>
      <c r="M20" s="273"/>
      <c r="N20" s="275"/>
      <c r="O20" s="275"/>
      <c r="P20" s="340"/>
      <c r="Q20" s="296"/>
      <c r="R20" s="342"/>
      <c r="S20" s="281"/>
      <c r="T20" s="296"/>
      <c r="U20" s="281"/>
      <c r="V20" s="279"/>
      <c r="W20" s="283"/>
      <c r="X20" s="285"/>
      <c r="Y20" s="287"/>
      <c r="Z20" s="292"/>
      <c r="AA20" s="292"/>
      <c r="AB20" s="296"/>
      <c r="AC20" s="292"/>
      <c r="AD20" s="292"/>
      <c r="AE20" s="298"/>
      <c r="AF20" s="275"/>
      <c r="AG20" s="300"/>
      <c r="AH20" s="302"/>
      <c r="AI20" s="296"/>
      <c r="AJ20" s="302"/>
      <c r="AK20" s="296"/>
      <c r="AL20" s="302"/>
      <c r="AM20" s="292"/>
      <c r="AN20" s="279"/>
      <c r="AO20" s="275"/>
      <c r="AP20" s="275"/>
      <c r="AQ20" s="346"/>
      <c r="AR20" s="346"/>
      <c r="AS20" s="355"/>
      <c r="AT20" s="294"/>
      <c r="AU20" s="294"/>
      <c r="AV20" s="294"/>
      <c r="AW20" s="294"/>
      <c r="AX20" s="224" t="s">
        <v>429</v>
      </c>
      <c r="AY20" s="224" t="s">
        <v>137</v>
      </c>
      <c r="AZ20" s="352"/>
      <c r="BA20" s="223"/>
      <c r="BB20" s="223"/>
      <c r="BC20" s="354"/>
      <c r="BD20" s="219"/>
      <c r="BE20" s="185"/>
      <c r="BF20" s="185"/>
      <c r="BG20" s="185"/>
      <c r="BH20" s="185"/>
      <c r="BI20" s="185"/>
      <c r="BJ20" s="185"/>
      <c r="BK20" s="185"/>
      <c r="BL20" s="185"/>
      <c r="BM20" s="185"/>
      <c r="BN20" s="185"/>
      <c r="BO20" s="185"/>
      <c r="BP20" s="185"/>
      <c r="BQ20" s="185"/>
      <c r="BR20" s="185"/>
      <c r="BS20" s="185"/>
      <c r="BT20" s="185"/>
      <c r="BU20" s="185"/>
      <c r="BV20" s="185"/>
      <c r="BW20" s="185"/>
      <c r="BX20" s="185"/>
      <c r="BY20" s="185"/>
      <c r="BZ20" s="185"/>
      <c r="CA20" s="185"/>
      <c r="CB20" s="185"/>
      <c r="CC20" s="185"/>
      <c r="CD20" s="185"/>
    </row>
    <row r="21" spans="4:82" s="183" customFormat="1" ht="123.75" customHeight="1" x14ac:dyDescent="0.4">
      <c r="D21" s="242">
        <v>4</v>
      </c>
      <c r="E21" s="228" t="s">
        <v>131</v>
      </c>
      <c r="F21" s="228" t="s">
        <v>189</v>
      </c>
      <c r="G21" s="228" t="s">
        <v>133</v>
      </c>
      <c r="H21" s="228" t="s">
        <v>108</v>
      </c>
      <c r="I21" s="228" t="s">
        <v>458</v>
      </c>
      <c r="J21" s="228" t="s">
        <v>463</v>
      </c>
      <c r="K21" s="228" t="s">
        <v>464</v>
      </c>
      <c r="L21" s="228" t="s">
        <v>124</v>
      </c>
      <c r="M21" s="228" t="s">
        <v>122</v>
      </c>
      <c r="N21" s="228" t="s">
        <v>122</v>
      </c>
      <c r="O21" s="229">
        <v>1500</v>
      </c>
      <c r="P21" s="231" t="str">
        <f t="shared" ref="P21" si="11">IF(O21&lt;=0,"",IF(O21&lt;=2,"Muy Baja",IF(O21&lt;=24,"Baja",IF(O21&lt;=500,"Media",IF(O21&lt;=5000,"Alta","Muy Alta")))))</f>
        <v>Alta</v>
      </c>
      <c r="Q21" s="237">
        <f t="shared" ref="Q21:Q22" si="12">IF(P21="","",IF(P21="Muy Baja",0.2,IF(P21="Baja",0.4,IF(P21="Media",0.6,IF(P21="Alta",0.8,IF(P21="Muy Alta",1,))))))</f>
        <v>0.8</v>
      </c>
      <c r="R21" s="228" t="s">
        <v>123</v>
      </c>
      <c r="S21" s="231" t="str">
        <f>IFERROR(VLOOKUP(R21,Criterios[],2,FALSE),"")</f>
        <v>Moderado</v>
      </c>
      <c r="T21" s="237">
        <f t="shared" ref="T21:T22" si="13">IF(S21="","",IF(S21="Leve",0.2,IF(S21="Menor",0.4,IF(S21="Moderado",0.6,IF(S21="Mayor",0.8,IF(S21="Catastrófico",1,))))))</f>
        <v>0.6</v>
      </c>
      <c r="U21" s="231"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Alto</v>
      </c>
      <c r="V21" s="230">
        <v>1</v>
      </c>
      <c r="W21" s="232" t="s">
        <v>465</v>
      </c>
      <c r="X21" s="233" t="s">
        <v>466</v>
      </c>
      <c r="Y21" s="234" t="str">
        <f t="shared" si="4"/>
        <v>Probabilidad</v>
      </c>
      <c r="Z21" s="235" t="s">
        <v>113</v>
      </c>
      <c r="AA21" s="235" t="s">
        <v>114</v>
      </c>
      <c r="AB21" s="237" t="str">
        <f t="shared" si="1"/>
        <v>30%</v>
      </c>
      <c r="AC21" s="235" t="s">
        <v>127</v>
      </c>
      <c r="AD21" s="235" t="s">
        <v>116</v>
      </c>
      <c r="AE21" s="238" t="s">
        <v>117</v>
      </c>
      <c r="AF21" s="248" t="s">
        <v>445</v>
      </c>
      <c r="AG21" s="239">
        <f>IFERROR(IF(Y21="Probabilidad",(Q21-(+ Q21*AB21)),IF(Y21="Impacto",Q21,"")),"")</f>
        <v>0.56000000000000005</v>
      </c>
      <c r="AH21" s="240" t="str">
        <f t="shared" si="5"/>
        <v>Media</v>
      </c>
      <c r="AI21" s="237">
        <f t="shared" si="6"/>
        <v>0.56000000000000005</v>
      </c>
      <c r="AJ21" s="240" t="str">
        <f t="shared" si="7"/>
        <v>Moderado</v>
      </c>
      <c r="AK21" s="237">
        <f>IFERROR(IF(Y21="Impacto",(T21-(+T21*AB21)),IF(Y21="Probabilidad",T21,"")),"")</f>
        <v>0.6</v>
      </c>
      <c r="AL21" s="240" t="str">
        <f t="shared" si="8"/>
        <v>Moderado</v>
      </c>
      <c r="AM21" s="235" t="s">
        <v>118</v>
      </c>
      <c r="AN21" s="230">
        <v>1</v>
      </c>
      <c r="AO21" s="243" t="s">
        <v>467</v>
      </c>
      <c r="AP21" s="243" t="s">
        <v>459</v>
      </c>
      <c r="AQ21" s="243" t="s">
        <v>460</v>
      </c>
      <c r="AR21" s="241" t="s">
        <v>448</v>
      </c>
      <c r="AS21" s="355"/>
      <c r="AT21" s="236" t="s">
        <v>15</v>
      </c>
      <c r="AU21" s="236" t="s">
        <v>438</v>
      </c>
      <c r="AV21" s="236" t="s">
        <v>439</v>
      </c>
      <c r="AW21" s="236" t="s">
        <v>428</v>
      </c>
      <c r="AX21" s="236" t="s">
        <v>429</v>
      </c>
      <c r="AY21" s="236" t="s">
        <v>137</v>
      </c>
      <c r="AZ21" s="352"/>
      <c r="BA21" s="223"/>
      <c r="BB21" s="223"/>
      <c r="BC21" s="354"/>
      <c r="BD21" s="219"/>
      <c r="BE21" s="185"/>
      <c r="BF21" s="185"/>
      <c r="BG21" s="185"/>
      <c r="BH21" s="185"/>
      <c r="BI21" s="185"/>
      <c r="BJ21" s="185"/>
      <c r="BK21" s="185"/>
      <c r="BL21" s="185"/>
      <c r="BM21" s="185"/>
      <c r="BN21" s="185"/>
      <c r="BO21" s="185"/>
      <c r="BP21" s="185"/>
      <c r="BQ21" s="185"/>
      <c r="BR21" s="185"/>
      <c r="BS21" s="185"/>
      <c r="BT21" s="185"/>
      <c r="BU21" s="185"/>
      <c r="BV21" s="185"/>
      <c r="BW21" s="185"/>
      <c r="BX21" s="185"/>
      <c r="BY21" s="185"/>
      <c r="BZ21" s="185"/>
      <c r="CA21" s="185"/>
      <c r="CB21" s="185"/>
      <c r="CC21" s="185"/>
      <c r="CD21" s="185"/>
    </row>
    <row r="22" spans="4:82" s="183" customFormat="1" ht="162" customHeight="1" x14ac:dyDescent="0.4">
      <c r="D22" s="249">
        <v>5</v>
      </c>
      <c r="E22" s="250" t="s">
        <v>66</v>
      </c>
      <c r="F22" s="250" t="s">
        <v>107</v>
      </c>
      <c r="G22" s="250"/>
      <c r="H22" s="250" t="s">
        <v>205</v>
      </c>
      <c r="I22" s="250" t="s">
        <v>461</v>
      </c>
      <c r="J22" s="250" t="s">
        <v>468</v>
      </c>
      <c r="K22" s="250" t="s">
        <v>462</v>
      </c>
      <c r="L22" s="250" t="s">
        <v>124</v>
      </c>
      <c r="M22" s="250" t="s">
        <v>122</v>
      </c>
      <c r="N22" s="250" t="s">
        <v>122</v>
      </c>
      <c r="O22" s="251">
        <v>2000</v>
      </c>
      <c r="P22" s="252" t="str">
        <f t="shared" ref="P22" si="14">IF(O22&lt;=0,"",IF(O22&lt;=2,"Muy Baja",IF(O22&lt;=24,"Baja",IF(O22&lt;=500,"Media",IF(O22&lt;=5000,"Alta","Muy Alta")))))</f>
        <v>Alta</v>
      </c>
      <c r="Q22" s="196">
        <f t="shared" si="12"/>
        <v>0.8</v>
      </c>
      <c r="R22" s="253" t="s">
        <v>123</v>
      </c>
      <c r="S22" s="252" t="str">
        <f>IFERROR(VLOOKUP(R22,Criterios[],2,FALSE),"")</f>
        <v>Moderado</v>
      </c>
      <c r="T22" s="196">
        <f t="shared" si="13"/>
        <v>0.6</v>
      </c>
      <c r="U22" s="252" t="str">
        <f>IF(OR(AND(P22="Muy Baja",S22="Leve"),AND(P22="Muy Baja",S22="Menor"),AND(P22="Baja",S22="Leve")),"Bajo",IF(OR(AND(P22="Muy baja",S22="Moderado"),AND(P22="Baja",S22="Menor"),AND(P22="Baja",S22="Moderado"),AND(P22="Media",S22="Leve"),AND(P22="Media",S22="Menor"),AND(P22="Media",S22="Moderado"),AND(P22="Alta",S22="Leve"),AND(P22="Alta",S22="Menor")),"Moderado",IF(OR(AND(P22="Muy Baja",S22="Mayor"),AND(P22="Baja",S22="Mayor"),AND(P22="Media",S22="Mayor"),AND(P22="Alta",S22="Moderado"),AND(P22="Alta",S22="Mayor"),AND(P22="Muy Alta",S22="Leve"),AND(P22="Muy Alta",S22="Menor"),AND(P22="Muy Alta",S22="Moderado"),AND(P22="Muy Alta",S22="Mayor")),"Alto",IF(OR(AND(P22="Muy Baja",S22="Catastrófico"),AND(P22="Baja",S22="Catastrófico"),AND(P22="Media",S22="Catastrófico"),AND(P22="Alta",S22="Catastrófico"),AND(P22="Muy Alta",S22="Catastrófico")),"Extremo",""))))</f>
        <v>Alto</v>
      </c>
      <c r="V22" s="193">
        <v>1</v>
      </c>
      <c r="W22" s="226" t="s">
        <v>474</v>
      </c>
      <c r="X22" s="155" t="s">
        <v>469</v>
      </c>
      <c r="Y22" s="194" t="s">
        <v>264</v>
      </c>
      <c r="Z22" s="194" t="s">
        <v>120</v>
      </c>
      <c r="AA22" s="195" t="s">
        <v>114</v>
      </c>
      <c r="AB22" s="196" t="str">
        <f t="shared" si="1"/>
        <v>40%</v>
      </c>
      <c r="AC22" s="195" t="s">
        <v>127</v>
      </c>
      <c r="AD22" s="195" t="s">
        <v>116</v>
      </c>
      <c r="AE22" s="184" t="s">
        <v>117</v>
      </c>
      <c r="AF22" s="227" t="s">
        <v>470</v>
      </c>
      <c r="AG22" s="197">
        <f>IFERROR(IF(Y22="Probabilidad",(Q22-(+ Q22*AB22)),IF(Y22="Impacto",Q22,"")),"")</f>
        <v>0.48</v>
      </c>
      <c r="AH22" s="198" t="str">
        <f t="shared" si="5"/>
        <v>Media</v>
      </c>
      <c r="AI22" s="196">
        <f t="shared" si="6"/>
        <v>0.48</v>
      </c>
      <c r="AJ22" s="198" t="str">
        <f t="shared" ref="AJ22" si="15">IFERROR(IF(AK22="","",IF(AK22&lt;=0.2,"Leve",IF(AK22&lt;=0.4,"Menor",IF(AK22&lt;=0.6,"Moderado",IF(AK22&lt;=0.8,"Mayor","Catastrófico"))))),"")</f>
        <v>Moderado</v>
      </c>
      <c r="AK22" s="196">
        <f>IFERROR(IF(Y22="Impacto",(T22-(+T22*AB22)),IF(Y22="Probabilidad",T22,"")),"")</f>
        <v>0.6</v>
      </c>
      <c r="AL22" s="198" t="str">
        <f t="shared" ref="AL22" si="16">IFERROR(IF(OR(AND(AH22="Muy Baja",AJ22="Leve"),AND(AH22="Muy Baja",AJ22="Menor"),AND(AH22="Baja",AJ22="Leve")),"Bajo",IF(OR(AND(AH22="Muy baja",AJ22="Moderado"),AND(AH22="Baja",AJ22="Menor"),AND(AH22="Baja",AJ22="Moderado"),AND(AH22="Media",AJ22="Leve"),AND(AH22="Media",AJ22="Menor"),AND(AH22="Media",AJ22="Moderado"),AND(AH22="Alta",AJ22="Leve"),AND(AH22="Alta",AJ22="Menor")),"Moderado",IF(OR(AND(AH22="Muy Baja",AJ22="Mayor"),AND(AH22="Baja",AJ22="Mayor"),AND(AH22="Media",AJ22="Mayor"),AND(AH22="Alta",AJ22="Moderado"),AND(AH22="Alta",AJ22="Mayor"),AND(AH22="Muy Alta",AJ22="Leve"),AND(AH22="Muy Alta",AJ22="Menor"),AND(AH22="Muy Alta",AJ22="Moderado"),AND(AH22="Muy Alta",AJ22="Mayor")),"Alto",IF(OR(AND(AH22="Muy Baja",AJ22="Catastrófico"),AND(AH22="Baja",AJ22="Catastrófico"),AND(AH22="Media",AJ22="Catastrófico"),AND(AH22="Alta",AJ22="Catastrófico"),AND(AH22="Muy Alta",AJ22="Catastrófico")),"Extremo","")))),"")</f>
        <v>Moderado</v>
      </c>
      <c r="AM22" s="195" t="s">
        <v>118</v>
      </c>
      <c r="AN22" s="193">
        <v>1</v>
      </c>
      <c r="AO22" s="250" t="s">
        <v>471</v>
      </c>
      <c r="AP22" s="250" t="s">
        <v>459</v>
      </c>
      <c r="AQ22" s="255" t="s">
        <v>460</v>
      </c>
      <c r="AR22" s="254" t="s">
        <v>448</v>
      </c>
      <c r="AS22" s="224"/>
      <c r="AT22" s="224"/>
      <c r="AU22" s="224"/>
      <c r="AV22" s="224"/>
      <c r="AW22" s="224"/>
      <c r="AX22" s="224"/>
      <c r="AY22" s="224"/>
      <c r="AZ22" s="244"/>
      <c r="BA22" s="245"/>
      <c r="BB22" s="245"/>
      <c r="BC22" s="246"/>
      <c r="BD22" s="247"/>
      <c r="BE22" s="185"/>
      <c r="BF22" s="185"/>
      <c r="BG22" s="185"/>
      <c r="BH22" s="185"/>
      <c r="BI22" s="185"/>
      <c r="BJ22" s="185"/>
      <c r="BK22" s="185"/>
      <c r="BL22" s="185"/>
      <c r="BM22" s="185"/>
      <c r="BN22" s="185"/>
      <c r="BO22" s="185"/>
      <c r="BP22" s="185"/>
      <c r="BQ22" s="185"/>
      <c r="BR22" s="185"/>
      <c r="BS22" s="185"/>
      <c r="BT22" s="185"/>
      <c r="BU22" s="185"/>
      <c r="BV22" s="185"/>
      <c r="BW22" s="185"/>
      <c r="BX22" s="185"/>
      <c r="BY22" s="185"/>
      <c r="BZ22" s="185"/>
      <c r="CA22" s="185"/>
      <c r="CB22" s="185"/>
      <c r="CC22" s="185"/>
      <c r="CD22" s="185"/>
    </row>
    <row r="23" spans="4:82" ht="49.5" customHeight="1" x14ac:dyDescent="0.35">
      <c r="D23" s="186"/>
      <c r="E23" s="187"/>
      <c r="F23" s="187"/>
      <c r="G23" s="187"/>
      <c r="H23" s="187"/>
      <c r="I23" s="290" t="s">
        <v>135</v>
      </c>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row>
    <row r="25" spans="4:82" ht="15.45" x14ac:dyDescent="0.35">
      <c r="D25" s="104"/>
      <c r="E25" s="105"/>
      <c r="F25" s="105"/>
      <c r="G25" s="105"/>
      <c r="H25" s="105"/>
      <c r="I25" s="105"/>
      <c r="J25" s="105"/>
      <c r="K25" s="105"/>
      <c r="L25" s="169"/>
      <c r="M25" s="169"/>
      <c r="N25" s="169"/>
      <c r="P25" s="106"/>
      <c r="Q25" s="105"/>
      <c r="R25" s="105"/>
      <c r="S25" s="105"/>
      <c r="T25" s="105"/>
      <c r="U25" s="105"/>
      <c r="V25" s="105"/>
      <c r="W25" s="105"/>
      <c r="X25" s="105"/>
      <c r="Y25" s="107"/>
      <c r="Z25" s="107"/>
      <c r="AA25" s="105"/>
      <c r="AB25" s="105"/>
      <c r="AC25" s="105"/>
      <c r="AD25" s="105"/>
      <c r="AE25" s="105"/>
      <c r="AF25" s="105"/>
      <c r="AG25" s="105"/>
      <c r="AH25" s="105"/>
      <c r="AI25" s="105"/>
      <c r="AJ25" s="105"/>
      <c r="AK25" s="105"/>
      <c r="AL25" s="105"/>
      <c r="AM25" s="108"/>
      <c r="AN25" s="108"/>
      <c r="AO25" s="108"/>
      <c r="AP25" s="105"/>
      <c r="AQ25" s="105"/>
      <c r="AR25" s="105"/>
      <c r="AS25" s="105"/>
      <c r="AT25" s="105"/>
      <c r="AU25" s="105"/>
      <c r="AV25" s="105"/>
      <c r="AW25" s="105"/>
      <c r="AX25" s="105"/>
      <c r="AY25" s="105"/>
      <c r="AZ25" s="105"/>
      <c r="BA25" s="105"/>
    </row>
    <row r="26" spans="4:82" ht="17.600000000000001" x14ac:dyDescent="0.35">
      <c r="D26" s="334" t="s">
        <v>472</v>
      </c>
      <c r="E26" s="334"/>
      <c r="F26" s="334"/>
      <c r="G26" s="334"/>
      <c r="H26" s="334"/>
      <c r="I26" s="334"/>
      <c r="J26" s="334"/>
      <c r="K26" s="334"/>
      <c r="L26" s="169"/>
      <c r="M26" s="169"/>
      <c r="N26" s="169"/>
      <c r="O26" s="331"/>
      <c r="P26" s="332"/>
      <c r="Q26" s="332"/>
      <c r="R26" s="333"/>
      <c r="S26" s="105"/>
      <c r="T26" s="105"/>
      <c r="U26" s="105"/>
      <c r="V26" s="105"/>
      <c r="W26" s="105"/>
      <c r="X26" s="108"/>
      <c r="Y26" s="107"/>
      <c r="Z26" s="107"/>
      <c r="AA26" s="105"/>
      <c r="AB26" s="107"/>
      <c r="AC26" s="107"/>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H26" s="169" t="s">
        <v>136</v>
      </c>
    </row>
    <row r="27" spans="4:82" ht="14.6" thickBot="1" x14ac:dyDescent="0.4">
      <c r="D27" s="169"/>
      <c r="E27" s="169"/>
      <c r="F27" s="169"/>
      <c r="G27" s="169"/>
      <c r="H27" s="169"/>
      <c r="I27" s="169"/>
      <c r="J27" s="169"/>
      <c r="L27" s="169"/>
      <c r="M27" s="169"/>
      <c r="N27" s="169"/>
      <c r="P27" s="171" t="str">
        <f>+IFERROR(VLOOKUP(L27,$L$182:$P$186,3,FALSE)*VLOOKUP(O27,$O$182:$P$186,3,FALSE),"")</f>
        <v/>
      </c>
      <c r="Y27" s="171"/>
      <c r="Z27" s="188"/>
      <c r="AB27" s="188"/>
      <c r="AC27" s="188"/>
      <c r="AD27" s="189"/>
      <c r="AE27" s="189"/>
      <c r="AF27" s="189"/>
      <c r="AG27" s="189"/>
      <c r="AH27" s="189"/>
      <c r="AI27" s="109"/>
      <c r="AJ27" s="109"/>
      <c r="AK27" s="189"/>
      <c r="AL27" s="190"/>
      <c r="AQ27" s="189"/>
      <c r="AY27" s="189"/>
      <c r="AZ27" s="189"/>
      <c r="BH27" s="169" t="s">
        <v>137</v>
      </c>
    </row>
    <row r="28" spans="4:82" ht="17.7" customHeight="1" thickTop="1" thickBot="1" x14ac:dyDescent="0.4">
      <c r="D28" s="288" t="s">
        <v>138</v>
      </c>
      <c r="E28" s="288"/>
      <c r="F28" s="288"/>
      <c r="G28" s="288"/>
      <c r="H28" s="288"/>
      <c r="I28" s="288"/>
      <c r="J28" s="288"/>
      <c r="K28" s="207" t="s">
        <v>139</v>
      </c>
      <c r="L28" s="288" t="s">
        <v>140</v>
      </c>
      <c r="M28" s="288"/>
      <c r="N28" s="288"/>
      <c r="O28" s="288"/>
      <c r="P28" s="288"/>
      <c r="Q28" s="288"/>
      <c r="R28" s="288"/>
      <c r="S28" s="289" t="s">
        <v>141</v>
      </c>
      <c r="T28" s="289"/>
      <c r="U28" s="289"/>
      <c r="V28" s="288" t="s">
        <v>142</v>
      </c>
      <c r="W28" s="288"/>
      <c r="X28" s="288"/>
      <c r="Y28" s="288"/>
      <c r="Z28" s="289">
        <v>1</v>
      </c>
      <c r="AA28" s="289"/>
      <c r="AB28" s="289"/>
      <c r="AC28" s="289"/>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0"/>
      <c r="BH28" s="169" t="s">
        <v>143</v>
      </c>
    </row>
    <row r="29" spans="4:82" ht="13.5" customHeight="1" thickTop="1" x14ac:dyDescent="0.4">
      <c r="D29" s="256" t="s">
        <v>144</v>
      </c>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BH29" s="169" t="s">
        <v>145</v>
      </c>
    </row>
  </sheetData>
  <sheetProtection formatCells="0" formatColumns="0" formatRows="0" selectLockedCells="1"/>
  <protectedRanges>
    <protectedRange sqref="P1:P1048576" name="Rango1"/>
  </protectedRanges>
  <dataConsolidate/>
  <mergeCells count="206">
    <mergeCell ref="AZ15:AZ21"/>
    <mergeCell ref="BC15:BC21"/>
    <mergeCell ref="AS15:AS21"/>
    <mergeCell ref="AR17:AR18"/>
    <mergeCell ref="AQ19:AQ20"/>
    <mergeCell ref="AR19:AR20"/>
    <mergeCell ref="AQ15:AQ16"/>
    <mergeCell ref="U19:U20"/>
    <mergeCell ref="AM17:AM18"/>
    <mergeCell ref="AM19:AM20"/>
    <mergeCell ref="AL19:AL20"/>
    <mergeCell ref="AP17:AP18"/>
    <mergeCell ref="AQ17:AQ18"/>
    <mergeCell ref="AO17:AO18"/>
    <mergeCell ref="AW19:AW20"/>
    <mergeCell ref="V15:V16"/>
    <mergeCell ref="W15:W16"/>
    <mergeCell ref="X15:X16"/>
    <mergeCell ref="Y15:Y16"/>
    <mergeCell ref="Z15:Z16"/>
    <mergeCell ref="AA15:AA16"/>
    <mergeCell ref="AB15:AB16"/>
    <mergeCell ref="AC15:AC16"/>
    <mergeCell ref="AD15:AD16"/>
    <mergeCell ref="AI17:AI18"/>
    <mergeCell ref="AJ17:AJ18"/>
    <mergeCell ref="AK17:AK18"/>
    <mergeCell ref="AL17:AL18"/>
    <mergeCell ref="AN17:AN18"/>
    <mergeCell ref="M19:M20"/>
    <mergeCell ref="L19:L20"/>
    <mergeCell ref="T17:T18"/>
    <mergeCell ref="T19:T20"/>
    <mergeCell ref="S19:S20"/>
    <mergeCell ref="R19:R20"/>
    <mergeCell ref="Q17:Q18"/>
    <mergeCell ref="Q19:Q20"/>
    <mergeCell ref="O19:O20"/>
    <mergeCell ref="G15:G16"/>
    <mergeCell ref="H15:H16"/>
    <mergeCell ref="AR15:AR16"/>
    <mergeCell ref="E17:E18"/>
    <mergeCell ref="D17:D18"/>
    <mergeCell ref="F17:F18"/>
    <mergeCell ref="G17:G18"/>
    <mergeCell ref="H17:H18"/>
    <mergeCell ref="J17:J18"/>
    <mergeCell ref="L17:L18"/>
    <mergeCell ref="N17:N18"/>
    <mergeCell ref="P17:P18"/>
    <mergeCell ref="I17:I18"/>
    <mergeCell ref="O17:O18"/>
    <mergeCell ref="K17:K18"/>
    <mergeCell ref="M17:M18"/>
    <mergeCell ref="AE15:AE16"/>
    <mergeCell ref="AF15:AF16"/>
    <mergeCell ref="AG15:AG16"/>
    <mergeCell ref="AH15:AH16"/>
    <mergeCell ref="AI15:AI16"/>
    <mergeCell ref="AJ15:AJ16"/>
    <mergeCell ref="AK15:AK16"/>
    <mergeCell ref="AL15:AL16"/>
    <mergeCell ref="AO13:AO14"/>
    <mergeCell ref="AG12:AM12"/>
    <mergeCell ref="Z13:AE13"/>
    <mergeCell ref="AO12:AR12"/>
    <mergeCell ref="R17:R18"/>
    <mergeCell ref="S17:S18"/>
    <mergeCell ref="U17:U18"/>
    <mergeCell ref="AN13:AN14"/>
    <mergeCell ref="AO15:AO16"/>
    <mergeCell ref="AP15:AP16"/>
    <mergeCell ref="AN15:AN16"/>
    <mergeCell ref="V17:V18"/>
    <mergeCell ref="W17:W18"/>
    <mergeCell ref="X17:X18"/>
    <mergeCell ref="Y17:Y18"/>
    <mergeCell ref="Z17:Z18"/>
    <mergeCell ref="AA17:AA18"/>
    <mergeCell ref="AB17:AB18"/>
    <mergeCell ref="AC17:AC18"/>
    <mergeCell ref="AD17:AD18"/>
    <mergeCell ref="AE17:AE18"/>
    <mergeCell ref="AF17:AF18"/>
    <mergeCell ref="AG17:AG18"/>
    <mergeCell ref="AH17:AH18"/>
    <mergeCell ref="D28:J28"/>
    <mergeCell ref="O26:R26"/>
    <mergeCell ref="L28:R28"/>
    <mergeCell ref="S28:U28"/>
    <mergeCell ref="D26:K26"/>
    <mergeCell ref="I15:I16"/>
    <mergeCell ref="J15:J16"/>
    <mergeCell ref="K15:K16"/>
    <mergeCell ref="F15:F16"/>
    <mergeCell ref="E19:E20"/>
    <mergeCell ref="F19:F20"/>
    <mergeCell ref="G19:G20"/>
    <mergeCell ref="H19:H20"/>
    <mergeCell ref="D19:D20"/>
    <mergeCell ref="N15:N16"/>
    <mergeCell ref="O15:O16"/>
    <mergeCell ref="P15:P16"/>
    <mergeCell ref="Q15:Q16"/>
    <mergeCell ref="R15:R16"/>
    <mergeCell ref="I19:I20"/>
    <mergeCell ref="J19:J20"/>
    <mergeCell ref="N19:N20"/>
    <mergeCell ref="P19:P20"/>
    <mergeCell ref="S15:S16"/>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V13:V14"/>
    <mergeCell ref="D8:G8"/>
    <mergeCell ref="D9:G9"/>
    <mergeCell ref="H9:BD9"/>
    <mergeCell ref="H8:BD8"/>
    <mergeCell ref="D13:D14"/>
    <mergeCell ref="AZ11:BB12"/>
    <mergeCell ref="BC11:BD12"/>
    <mergeCell ref="U13:U14"/>
    <mergeCell ref="AX13:AX14"/>
    <mergeCell ref="AR13:AR14"/>
    <mergeCell ref="AQ13:AQ14"/>
    <mergeCell ref="AP13:AP14"/>
    <mergeCell ref="AJ13:AJ14"/>
    <mergeCell ref="D11:AR11"/>
    <mergeCell ref="AS13:AS14"/>
    <mergeCell ref="BA13:BA14"/>
    <mergeCell ref="AW13:AW14"/>
    <mergeCell ref="AY13:AY14"/>
    <mergeCell ref="BC13:BC14"/>
    <mergeCell ref="E13:E14"/>
    <mergeCell ref="Y13:Y14"/>
    <mergeCell ref="H13:H14"/>
    <mergeCell ref="BB13:BB14"/>
    <mergeCell ref="BD13:BD14"/>
    <mergeCell ref="AZ13:AZ14"/>
    <mergeCell ref="AU13:AU14"/>
    <mergeCell ref="AV13:AV14"/>
    <mergeCell ref="AT13:AT14"/>
    <mergeCell ref="W13:W14"/>
    <mergeCell ref="AS11:AY12"/>
    <mergeCell ref="I23:AY23"/>
    <mergeCell ref="AM15:AM16"/>
    <mergeCell ref="AU15:AU16"/>
    <mergeCell ref="AU17:AU18"/>
    <mergeCell ref="Z19:Z20"/>
    <mergeCell ref="AA19:AA20"/>
    <mergeCell ref="AB19:AB20"/>
    <mergeCell ref="AC19:AC20"/>
    <mergeCell ref="AD19:AD20"/>
    <mergeCell ref="AE19:AE20"/>
    <mergeCell ref="AF19:AF20"/>
    <mergeCell ref="AG19:AG20"/>
    <mergeCell ref="AH19:AH20"/>
    <mergeCell ref="AI19:AI20"/>
    <mergeCell ref="AJ19:AJ20"/>
    <mergeCell ref="AK19:AK20"/>
    <mergeCell ref="AN19:AN20"/>
    <mergeCell ref="AO19:AO20"/>
    <mergeCell ref="AP19:AP20"/>
    <mergeCell ref="AT19:AT20"/>
    <mergeCell ref="AU19:AU20"/>
    <mergeCell ref="AV19:AV20"/>
    <mergeCell ref="T15:T16"/>
    <mergeCell ref="K19:K20"/>
    <mergeCell ref="D29:AC29"/>
    <mergeCell ref="M13:N13"/>
    <mergeCell ref="AF12:AF14"/>
    <mergeCell ref="A11:C11"/>
    <mergeCell ref="F13:F14"/>
    <mergeCell ref="G13:G14"/>
    <mergeCell ref="AH13:AH14"/>
    <mergeCell ref="AI13:AI14"/>
    <mergeCell ref="O13:O14"/>
    <mergeCell ref="P13:P14"/>
    <mergeCell ref="Q13:Q14"/>
    <mergeCell ref="S13:S14"/>
    <mergeCell ref="T13:T14"/>
    <mergeCell ref="L15:L16"/>
    <mergeCell ref="M15:M16"/>
    <mergeCell ref="D15:D16"/>
    <mergeCell ref="E15:E16"/>
    <mergeCell ref="U15:U16"/>
    <mergeCell ref="W19:W20"/>
    <mergeCell ref="V19:V20"/>
    <mergeCell ref="X19:X20"/>
    <mergeCell ref="Y19:Y20"/>
    <mergeCell ref="V28:Y28"/>
    <mergeCell ref="Z28:AC28"/>
  </mergeCells>
  <conditionalFormatting sqref="P15 AH15 P17 AH17 P19 AH19 P21:P22 AH21:AH22">
    <cfRule type="cellIs" dxfId="18" priority="51" operator="equal">
      <formula>"Muy Alta"</formula>
    </cfRule>
    <cfRule type="cellIs" dxfId="17" priority="52" operator="equal">
      <formula>"Alta"</formula>
    </cfRule>
    <cfRule type="cellIs" dxfId="16" priority="53" operator="equal">
      <formula>"Media"</formula>
    </cfRule>
    <cfRule type="cellIs" dxfId="15" priority="54" operator="equal">
      <formula>"Baja"</formula>
    </cfRule>
    <cfRule type="cellIs" dxfId="14" priority="55" operator="equal">
      <formula>"Muy Baja"</formula>
    </cfRule>
  </conditionalFormatting>
  <conditionalFormatting sqref="S15 AJ15 S17 AJ17 S19 AJ19 S21:S22 AJ21:AJ22">
    <cfRule type="cellIs" dxfId="13" priority="46" operator="equal">
      <formula>"Catastrófico"</formula>
    </cfRule>
    <cfRule type="cellIs" dxfId="12" priority="47" operator="equal">
      <formula>"Mayor"</formula>
    </cfRule>
    <cfRule type="cellIs" dxfId="11" priority="48" operator="equal">
      <formula>"Moderado"</formula>
    </cfRule>
    <cfRule type="cellIs" dxfId="10" priority="49" operator="equal">
      <formula>"Menor"</formula>
    </cfRule>
    <cfRule type="cellIs" dxfId="9" priority="50" operator="equal">
      <formula>"Leve"</formula>
    </cfRule>
  </conditionalFormatting>
  <conditionalFormatting sqref="U15 AL15 U17 AL17 U19 AL19 U21:U22 AL21:AL22">
    <cfRule type="cellIs" dxfId="8" priority="42" operator="equal">
      <formula>"Extremo"</formula>
    </cfRule>
    <cfRule type="cellIs" dxfId="7" priority="43" operator="equal">
      <formula>"Alto"</formula>
    </cfRule>
    <cfRule type="cellIs" dxfId="6" priority="44" operator="equal">
      <formula>"Moderado"</formula>
    </cfRule>
    <cfRule type="cellIs" dxfId="5" priority="45" operator="equal">
      <formula>"Bajo"</formula>
    </cfRule>
  </conditionalFormatting>
  <conditionalFormatting sqref="AI25:AI27">
    <cfRule type="cellIs" dxfId="4" priority="16" operator="equal">
      <formula>#REF!</formula>
    </cfRule>
    <cfRule type="cellIs" dxfId="3" priority="17" operator="equal">
      <formula>#REF!</formula>
    </cfRule>
  </conditionalFormatting>
  <conditionalFormatting sqref="AI25:AJ27">
    <cfRule type="cellIs" dxfId="2" priority="15" stopIfTrue="1" operator="equal">
      <formula>#REF!</formula>
    </cfRule>
  </conditionalFormatting>
  <conditionalFormatting sqref="AJ25:AJ27">
    <cfRule type="cellIs" dxfId="1" priority="19" stopIfTrue="1" operator="equal">
      <formula>#REF!</formula>
    </cfRule>
    <cfRule type="cellIs" dxfId="0" priority="20" stopIfTrue="1" operator="equal">
      <formula>#REF!</formula>
    </cfRule>
  </conditionalFormatting>
  <dataValidations count="8">
    <dataValidation type="list" allowBlank="1" showInputMessage="1" showErrorMessage="1" sqref="K25" xr:uid="{7ED538AA-75D4-4515-8341-5FEAFF8194F7}">
      <formula1>$K$182:$K$191</formula1>
    </dataValidation>
    <dataValidation type="list" allowBlank="1" showInputMessage="1" showErrorMessage="1" sqref="K27 AI27:AJ27" xr:uid="{ED4A54EB-6777-4EB9-986E-87B815365F5B}">
      <formula1>#REF!</formula1>
    </dataValidation>
    <dataValidation type="list" allowBlank="1" showInputMessage="1" showErrorMessage="1" sqref="Y27" xr:uid="{8777ED77-687A-4E43-8A9B-99B4EFEC1E4D}">
      <formula1>$R$182:$R$183</formula1>
    </dataValidation>
    <dataValidation type="list" allowBlank="1" showInputMessage="1" showErrorMessage="1" sqref="O27" xr:uid="{2D3F5B52-745D-4310-86FA-215C61516939}">
      <formula1>$O$182:$O$186</formula1>
    </dataValidation>
    <dataValidation type="list" allowBlank="1" showInputMessage="1" showErrorMessage="1" sqref="L27:N27" xr:uid="{DBC488D1-C4A8-4922-A5A0-51418993CDA2}">
      <formula1>$L$182:$L$186</formula1>
    </dataValidation>
    <dataValidation type="list" allowBlank="1" showInputMessage="1" showErrorMessage="1" sqref="AB27:AH27 Z27 AQ27 AY27:AZ27" xr:uid="{3044F3B0-3DD7-4555-B83D-CF97743AB8CB}">
      <formula1>$AQ$182:$AQ$189</formula1>
    </dataValidation>
    <dataValidation type="list" allowBlank="1" showInputMessage="1" showErrorMessage="1" error="Recuerde que las acciones se generan bajo la medida de mitigar el riesgo" sqref="AY15:AY22" xr:uid="{066AFBAC-EA94-41AE-8520-50C32B546319}">
      <formula1>$BH$26:$BH$29</formula1>
    </dataValidation>
    <dataValidation type="list" allowBlank="1" showInputMessage="1" showErrorMessage="1" sqref="R15:R22" xr:uid="{07A7AD55-932B-4DB0-88BA-277B49717F06}">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2">
        <x14:dataValidation type="list" allowBlank="1" showInputMessage="1" showErrorMessage="1" xr:uid="{BEECC01C-A167-4966-BA07-B4CB18D32289}">
          <x14:formula1>
            <xm:f>'Opciones Tratamiento'!$B$13:$B$19</xm:f>
          </x14:formula1>
          <xm:sqref>L15 L17:L22</xm:sqref>
        </x14:dataValidation>
        <x14:dataValidation type="list" allowBlank="1" showInputMessage="1" showErrorMessage="1" xr:uid="{22BF644B-C9F8-45F6-BB76-26E2A1DA8A40}">
          <x14:formula1>
            <xm:f>'Opciones Tratamiento'!$B$2:$B$5</xm:f>
          </x14:formula1>
          <xm:sqref>AM21:AM22 AM19 AM17 AM15</xm:sqref>
        </x14:dataValidation>
        <x14:dataValidation type="list" allowBlank="1" showInputMessage="1" showErrorMessage="1" xr:uid="{261B5548-DA5C-4549-B47A-FCFA0BED2C0B}">
          <x14:formula1>
            <xm:f>Listas!$B$2:$B$7</xm:f>
          </x14:formula1>
          <xm:sqref>H15 H17:H22</xm:sqref>
        </x14:dataValidation>
        <x14:dataValidation type="list" allowBlank="1" showInputMessage="1" showErrorMessage="1" xr:uid="{F66B926F-BAB7-4A1C-AB2B-C999777E30CC}">
          <x14:formula1>
            <xm:f>Listas!$C$2:$C$6</xm:f>
          </x14:formula1>
          <xm:sqref>M15 M17:M22</xm:sqref>
        </x14:dataValidation>
        <x14:dataValidation type="list" allowBlank="1" showInputMessage="1" showErrorMessage="1" xr:uid="{BA5FD8C8-377E-4AE2-B126-A18AF657231E}">
          <x14:formula1>
            <xm:f>Listas!$D$2:$D$5</xm:f>
          </x14:formula1>
          <xm:sqref>N15 N17:N22</xm:sqref>
        </x14:dataValidation>
        <x14:dataValidation type="custom" allowBlank="1" showInputMessage="1" showErrorMessage="1" error="Recuerde que las acciones se generan bajo la medida de mitigar el riesgo" xr:uid="{E9A3AC64-30B9-41CA-A181-813BF37548BF}">
          <x14:formula1>
            <xm:f>IF(OR(AM16='Opciones Tratamiento'!$B$2,AM16='Opciones Tratamiento'!$B$3,AM16='Opciones Tratamiento'!$B$4),ISBLANK(AM16),ISTEXT(AM16))</xm:f>
          </x14:formula1>
          <xm:sqref>AU15:AX15 AW17:AW19 AR15:AS15 AW16:AX16 AR17 AX17:AX20 AR19</xm:sqref>
        </x14:dataValidation>
        <x14:dataValidation type="custom" allowBlank="1" showInputMessage="1" showErrorMessage="1" error="Recuerde que las acciones se generan bajo la medida de mitigar el riesgo" xr:uid="{BA69E8FE-B1E8-4E3E-9FB0-AF7EE909E3DF}">
          <x14:formula1>
            <xm:f>IF(OR(#REF!='Opciones Tratamiento'!$B$2,#REF!='Opciones Tratamiento'!$B$3,#REF!='Opciones Tratamiento'!$B$4),ISBLANK(#REF!),ISTEXT(#REF!))</xm:f>
          </x14:formula1>
          <xm:sqref>BC15 BD15:BD22 AU21:AU22 AW21:AX22 AQ21:AR22</xm:sqref>
        </x14:dataValidation>
        <x14:dataValidation type="list" allowBlank="1" showInputMessage="1" showErrorMessage="1" xr:uid="{EED3F0AF-D62B-40B5-A338-11595176B477}">
          <x14:formula1>
            <xm:f>Formulas!$B$3:$B$6</xm:f>
          </x14:formula1>
          <xm:sqref>E15:E16</xm:sqref>
        </x14:dataValidation>
        <x14:dataValidation type="list" allowBlank="1" showInputMessage="1" showErrorMessage="1" xr:uid="{6470B934-8C4B-42AA-976D-B623BF1C1C13}">
          <x14:formula1>
            <xm:f>Formulas!$E$3:$E$5</xm:f>
          </x14:formula1>
          <xm:sqref>G15:G16</xm:sqref>
        </x14:dataValidation>
        <x14:dataValidation type="custom" allowBlank="1" showInputMessage="1" showErrorMessage="1" error="Recuerde que las acciones se generan bajo la medida de mitigar el riesgo" xr:uid="{FA3659CF-2BAF-41BC-8D81-0F681AB55599}">
          <x14:formula1>
            <xm:f>IF(OR(AM16='Opciones Tratamiento'!$B$2,AM16='Opciones Tratamiento'!$B$3,AM16='Opciones Tratamiento'!$B$4),ISBLANK(AM16),ISTEXT(AM16))</xm:f>
          </x14:formula1>
          <xm:sqref>AQ15 AQ19 AU17 AU19:AV19 AQ17</xm:sqref>
        </x14:dataValidation>
        <x14:dataValidation type="custom" allowBlank="1" showInputMessage="1" showErrorMessage="1" error="Recuerde que las acciones se generan bajo la medida de mitigar el riesgo" xr:uid="{F396063C-59E2-4651-B5F7-009D260669E4}">
          <x14:formula1>
            <xm:f>IF(OR(AQ17='Opciones Tratamiento'!$B$2,AQ17='Opciones Tratamiento'!$B$3,AQ17='Opciones Tratamiento'!$B$4),ISBLANK(AQ17),ISTEXT(AQ17))</xm:f>
          </x14:formula1>
          <xm:sqref>AV17:AV18 AV21:AV22</xm:sqref>
        </x14:dataValidation>
        <x14:dataValidation type="list" allowBlank="1" showInputMessage="1" showErrorMessage="1" xr:uid="{2E180FAA-E8A2-4956-893D-AD2FB45EE15F}">
          <x14:formula1>
            <xm:f>'Tabla Valoración controles'!$D$4:$D$6</xm:f>
          </x14:formula1>
          <xm:sqref>Z21:Z22 Z15 Z17 Z19</xm:sqref>
        </x14:dataValidation>
        <x14:dataValidation type="list" allowBlank="1" showInputMessage="1" showErrorMessage="1" xr:uid="{2C8651CF-F5E0-4AB8-B50C-262CBC04D7ED}">
          <x14:formula1>
            <xm:f>'Tabla Valoración controles'!$D$7:$D$8</xm:f>
          </x14:formula1>
          <xm:sqref>AA21:AA22 AA15 AA17 AA19</xm:sqref>
        </x14:dataValidation>
        <x14:dataValidation type="list" allowBlank="1" showInputMessage="1" showErrorMessage="1" xr:uid="{324CEBFE-D784-4A30-9FC2-23F7B73EBA90}">
          <x14:formula1>
            <xm:f>'Tabla Valoración controles'!$D$9:$D$10</xm:f>
          </x14:formula1>
          <xm:sqref>AC21:AC22 AC15 AC17 AC19</xm:sqref>
        </x14:dataValidation>
        <x14:dataValidation type="list" allowBlank="1" showInputMessage="1" showErrorMessage="1" xr:uid="{A9CDC8C2-1D10-48B6-A857-C30FA952720E}">
          <x14:formula1>
            <xm:f>'Tabla Valoración controles'!$D$11:$D$12</xm:f>
          </x14:formula1>
          <xm:sqref>AD21:AD22 AD15 AD17 AD19</xm:sqref>
        </x14:dataValidation>
        <x14:dataValidation type="list" allowBlank="1" showInputMessage="1" showErrorMessage="1" xr:uid="{6A416160-E12A-43D8-B514-7B20231A35C8}">
          <x14:formula1>
            <xm:f>'Tabla Valoración controles'!$D$13:$D$14</xm:f>
          </x14:formula1>
          <xm:sqref>AE21:AE22 AE15 AE17 AE19</xm:sqref>
        </x14:dataValidation>
        <x14:dataValidation type="list" allowBlank="1" showInputMessage="1" showErrorMessage="1" error="Recuerde que las acciones se generan bajo la medida de mitigar el riesgo" xr:uid="{7988A6F9-33E4-4ABC-B0FD-C00A0E5AEA9A}">
          <x14:formula1>
            <xm:f>Formulas!$H$3:$H$4</xm:f>
          </x14:formula1>
          <xm:sqref>AT15:AT19 AT21:AT22</xm:sqref>
        </x14:dataValidation>
        <x14:dataValidation type="list" allowBlank="1" showInputMessage="1" showErrorMessage="1" xr:uid="{E16EBE63-14DE-4111-A066-5C09F898971B}">
          <x14:formula1>
            <xm:f>'Opciones Tratamiento'!$B$9:$B$10</xm:f>
          </x14:formula1>
          <xm:sqref>BB19:BB22</xm:sqref>
        </x14:dataValidation>
        <x14:dataValidation type="list" allowBlank="1" showInputMessage="1" showErrorMessage="1" xr:uid="{9A7BF2B7-1898-4AF0-BF97-B7CBD1541E5F}">
          <x14:formula1>
            <xm:f>Formulas!$B$3:$B$18</xm:f>
          </x14:formula1>
          <xm:sqref>E17:E22</xm:sqref>
        </x14:dataValidation>
        <x14:dataValidation type="list" allowBlank="1" showInputMessage="1" showErrorMessage="1" xr:uid="{916512AC-1E2A-403C-BFCC-D20239FB2A6A}">
          <x14:formula1>
            <xm:f>Formulas!$E$3:$E$23</xm:f>
          </x14:formula1>
          <xm:sqref>G17:G22</xm:sqref>
        </x14:dataValidation>
        <x14:dataValidation type="list" allowBlank="1" showInputMessage="1" showErrorMessage="1" xr:uid="{0A9BD987-33B4-4E5B-8EF1-B03D7DAE6F7F}">
          <x14:formula1>
            <xm:f>Formulas!$D$3:$D$6</xm:f>
          </x14:formula1>
          <xm:sqref>F15:F22</xm:sqref>
        </x14:dataValidation>
        <x14:dataValidation type="custom" allowBlank="1" showInputMessage="1" showErrorMessage="1" error="Recuerde que las acciones se generan bajo la medida de mitigar el riesgo" xr:uid="{CDB4497E-DEA6-4CCE-9D30-648ED0E4FD76}">
          <x14:formula1>
            <xm:f>IF(OR(AQ19='Opciones Tratamiento'!$B$2,AQ19='Opciones Tratamiento'!$B$3,AQ19='Opciones Tratamiento'!$B$4),ISBLANK(AQ19),ISTEXT(AQ19))</xm:f>
          </x14:formula1>
          <xm:sqref>BA19:BA22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3828125" defaultRowHeight="14.6" x14ac:dyDescent="0.4"/>
  <cols>
    <col min="1" max="1" width="129.69140625" bestFit="1" customWidth="1"/>
  </cols>
  <sheetData>
    <row r="1" spans="1:2" x14ac:dyDescent="0.4">
      <c r="A1" t="s">
        <v>146</v>
      </c>
      <c r="B1" t="s">
        <v>103</v>
      </c>
    </row>
    <row r="2" spans="1:2" x14ac:dyDescent="0.4">
      <c r="A2" t="s">
        <v>147</v>
      </c>
      <c r="B2" t="s">
        <v>148</v>
      </c>
    </row>
    <row r="3" spans="1:2" x14ac:dyDescent="0.4">
      <c r="A3" t="s">
        <v>149</v>
      </c>
      <c r="B3" t="s">
        <v>150</v>
      </c>
    </row>
    <row r="4" spans="1:2" x14ac:dyDescent="0.4">
      <c r="A4" t="s">
        <v>151</v>
      </c>
      <c r="B4" t="s">
        <v>152</v>
      </c>
    </row>
    <row r="5" spans="1:2" x14ac:dyDescent="0.4">
      <c r="A5" t="s">
        <v>153</v>
      </c>
      <c r="B5" t="s">
        <v>154</v>
      </c>
    </row>
    <row r="6" spans="1:2" x14ac:dyDescent="0.4">
      <c r="A6" t="s">
        <v>155</v>
      </c>
      <c r="B6" t="s">
        <v>156</v>
      </c>
    </row>
    <row r="7" spans="1:2" x14ac:dyDescent="0.4">
      <c r="A7" t="s">
        <v>125</v>
      </c>
      <c r="B7" t="s">
        <v>148</v>
      </c>
    </row>
    <row r="8" spans="1:2" x14ac:dyDescent="0.4">
      <c r="A8" t="s">
        <v>157</v>
      </c>
      <c r="B8" t="s">
        <v>150</v>
      </c>
    </row>
    <row r="9" spans="1:2" x14ac:dyDescent="0.4">
      <c r="A9" t="s">
        <v>123</v>
      </c>
      <c r="B9" t="s">
        <v>152</v>
      </c>
    </row>
    <row r="10" spans="1:2" x14ac:dyDescent="0.4">
      <c r="A10" t="s">
        <v>158</v>
      </c>
      <c r="B10" t="s">
        <v>154</v>
      </c>
    </row>
    <row r="11" spans="1:2" x14ac:dyDescent="0.4">
      <c r="A11" t="s">
        <v>159</v>
      </c>
      <c r="B11" t="s">
        <v>156</v>
      </c>
    </row>
    <row r="12" spans="1:2" x14ac:dyDescent="0.4">
      <c r="A12" t="s">
        <v>112</v>
      </c>
      <c r="B12" t="s">
        <v>152</v>
      </c>
    </row>
    <row r="13" spans="1:2" x14ac:dyDescent="0.4">
      <c r="A13" t="s">
        <v>160</v>
      </c>
      <c r="B13" t="s">
        <v>154</v>
      </c>
    </row>
    <row r="14" spans="1:2" x14ac:dyDescent="0.4">
      <c r="A14" t="s">
        <v>161</v>
      </c>
      <c r="B14" t="s">
        <v>156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3828125" defaultRowHeight="14.6" x14ac:dyDescent="0.4"/>
  <cols>
    <col min="1" max="1" width="4" customWidth="1"/>
    <col min="2" max="3" width="31.3046875" customWidth="1"/>
    <col min="4" max="4" width="30.3828125" customWidth="1"/>
    <col min="5" max="5" width="24.3828125" customWidth="1"/>
    <col min="6" max="6" width="22.69140625" customWidth="1"/>
    <col min="7" max="7" width="37" customWidth="1"/>
    <col min="8" max="8" width="21.3046875" customWidth="1"/>
    <col min="9" max="9" width="13.69140625" customWidth="1"/>
    <col min="10" max="10" width="17.3046875" customWidth="1"/>
    <col min="13" max="13" width="15.69140625" customWidth="1"/>
    <col min="14" max="14" width="14.69140625" customWidth="1"/>
    <col min="17" max="17" width="24.69140625" customWidth="1"/>
    <col min="18" max="18" width="29.53515625" customWidth="1"/>
  </cols>
  <sheetData>
    <row r="1" spans="2:18" x14ac:dyDescent="0.4">
      <c r="B1" s="402" t="s">
        <v>51</v>
      </c>
      <c r="C1" s="402"/>
      <c r="D1" s="402"/>
      <c r="E1" s="402"/>
      <c r="F1" s="402"/>
      <c r="G1" s="402"/>
      <c r="H1" s="402"/>
      <c r="I1" s="402"/>
      <c r="J1" s="402"/>
      <c r="L1" s="402" t="s">
        <v>53</v>
      </c>
      <c r="M1" s="402"/>
      <c r="N1" s="402"/>
      <c r="O1" s="402"/>
      <c r="P1" s="402"/>
      <c r="Q1" s="402"/>
      <c r="R1" s="402"/>
    </row>
    <row r="2" spans="2:18" ht="50.25" customHeight="1" x14ac:dyDescent="0.4">
      <c r="B2" s="167" t="s">
        <v>162</v>
      </c>
      <c r="C2" s="167" t="s">
        <v>163</v>
      </c>
      <c r="D2" s="166" t="s">
        <v>59</v>
      </c>
      <c r="E2" s="166" t="s">
        <v>164</v>
      </c>
      <c r="F2" s="166" t="s">
        <v>165</v>
      </c>
      <c r="G2" s="167" t="s">
        <v>166</v>
      </c>
      <c r="H2" s="167" t="s">
        <v>167</v>
      </c>
      <c r="I2" s="167" t="s">
        <v>168</v>
      </c>
      <c r="J2" s="166" t="s">
        <v>169</v>
      </c>
      <c r="L2" s="165" t="s">
        <v>101</v>
      </c>
      <c r="M2" s="165" t="s">
        <v>102</v>
      </c>
      <c r="N2" s="165" t="s">
        <v>54</v>
      </c>
      <c r="O2" s="165" t="s">
        <v>104</v>
      </c>
      <c r="P2" s="165" t="s">
        <v>105</v>
      </c>
      <c r="Q2" s="165" t="s">
        <v>82</v>
      </c>
      <c r="R2" s="168" t="s">
        <v>170</v>
      </c>
    </row>
    <row r="3" spans="2:18" ht="25.75" x14ac:dyDescent="0.4">
      <c r="B3" s="18" t="s">
        <v>106</v>
      </c>
      <c r="C3" s="18" t="s">
        <v>171</v>
      </c>
      <c r="D3" s="111" t="s">
        <v>132</v>
      </c>
      <c r="E3" s="111" t="s">
        <v>133</v>
      </c>
      <c r="F3" t="s">
        <v>172</v>
      </c>
      <c r="G3" s="111" t="s">
        <v>173</v>
      </c>
      <c r="H3" t="s">
        <v>14</v>
      </c>
      <c r="I3" t="s">
        <v>174</v>
      </c>
      <c r="J3" t="s">
        <v>175</v>
      </c>
      <c r="L3" s="2" t="s">
        <v>120</v>
      </c>
      <c r="M3" s="2" t="s">
        <v>176</v>
      </c>
      <c r="N3" s="2" t="s">
        <v>127</v>
      </c>
      <c r="O3" s="2" t="s">
        <v>116</v>
      </c>
      <c r="P3" s="2" t="s">
        <v>177</v>
      </c>
      <c r="Q3" s="2" t="s">
        <v>178</v>
      </c>
      <c r="R3" t="s">
        <v>179</v>
      </c>
    </row>
    <row r="4" spans="2:18" ht="31.5" customHeight="1" x14ac:dyDescent="0.4">
      <c r="B4" s="18" t="s">
        <v>180</v>
      </c>
      <c r="C4" s="18" t="s">
        <v>181</v>
      </c>
      <c r="D4" s="111" t="s">
        <v>107</v>
      </c>
      <c r="E4" s="111" t="s">
        <v>182</v>
      </c>
      <c r="F4" t="s">
        <v>183</v>
      </c>
      <c r="G4" s="111" t="s">
        <v>109</v>
      </c>
      <c r="H4" t="s">
        <v>15</v>
      </c>
      <c r="I4" t="s">
        <v>184</v>
      </c>
      <c r="J4" t="s">
        <v>111</v>
      </c>
      <c r="L4" s="2" t="s">
        <v>113</v>
      </c>
      <c r="M4" s="2" t="s">
        <v>114</v>
      </c>
      <c r="N4" s="2" t="s">
        <v>115</v>
      </c>
      <c r="O4" s="2" t="s">
        <v>128</v>
      </c>
      <c r="P4" s="2" t="s">
        <v>185</v>
      </c>
      <c r="Q4" s="2" t="s">
        <v>186</v>
      </c>
      <c r="R4" t="s">
        <v>187</v>
      </c>
    </row>
    <row r="5" spans="2:18" ht="26.25" customHeight="1" x14ac:dyDescent="0.4">
      <c r="B5" s="18" t="s">
        <v>131</v>
      </c>
      <c r="C5" s="18" t="s">
        <v>188</v>
      </c>
      <c r="D5" s="111" t="s">
        <v>189</v>
      </c>
      <c r="E5" s="111" t="s">
        <v>190</v>
      </c>
      <c r="F5" t="s">
        <v>191</v>
      </c>
      <c r="G5" s="111" t="s">
        <v>192</v>
      </c>
      <c r="I5" t="s">
        <v>193</v>
      </c>
      <c r="J5" t="s">
        <v>134</v>
      </c>
      <c r="L5" s="2" t="s">
        <v>194</v>
      </c>
      <c r="P5" s="2" t="s">
        <v>195</v>
      </c>
      <c r="Q5" s="2" t="s">
        <v>196</v>
      </c>
    </row>
    <row r="6" spans="2:18" ht="24.75" customHeight="1" x14ac:dyDescent="0.4">
      <c r="B6" s="18" t="s">
        <v>66</v>
      </c>
      <c r="C6" s="18" t="s">
        <v>197</v>
      </c>
      <c r="D6" s="111"/>
      <c r="F6" t="s">
        <v>108</v>
      </c>
      <c r="G6" s="111" t="s">
        <v>198</v>
      </c>
      <c r="I6" t="s">
        <v>110</v>
      </c>
      <c r="J6" t="s">
        <v>199</v>
      </c>
      <c r="Q6" s="2" t="s">
        <v>118</v>
      </c>
    </row>
    <row r="7" spans="2:18" ht="26.25" customHeight="1" x14ac:dyDescent="0.4">
      <c r="B7" s="18"/>
      <c r="C7" s="18" t="s">
        <v>200</v>
      </c>
      <c r="D7" s="111"/>
      <c r="F7" t="s">
        <v>201</v>
      </c>
      <c r="G7" s="111" t="s">
        <v>202</v>
      </c>
      <c r="I7" t="s">
        <v>203</v>
      </c>
      <c r="Q7" s="2" t="s">
        <v>204</v>
      </c>
    </row>
    <row r="8" spans="2:18" ht="29.15" x14ac:dyDescent="0.4">
      <c r="B8" s="18"/>
      <c r="C8" s="18"/>
      <c r="D8" s="111"/>
      <c r="F8" t="s">
        <v>205</v>
      </c>
      <c r="G8" s="111" t="s">
        <v>206</v>
      </c>
      <c r="I8" s="111" t="s">
        <v>207</v>
      </c>
    </row>
    <row r="9" spans="2:18" ht="31.5" customHeight="1" x14ac:dyDescent="0.4">
      <c r="B9" s="18"/>
      <c r="C9" s="18"/>
      <c r="D9" s="111"/>
      <c r="G9" s="111" t="s">
        <v>124</v>
      </c>
      <c r="I9" t="s">
        <v>208</v>
      </c>
    </row>
    <row r="10" spans="2:18" x14ac:dyDescent="0.4">
      <c r="B10" s="18"/>
      <c r="C10" s="18"/>
      <c r="D10" s="111"/>
      <c r="I10" t="s">
        <v>209</v>
      </c>
    </row>
    <row r="11" spans="2:18" x14ac:dyDescent="0.4">
      <c r="B11" s="18"/>
      <c r="C11" s="18"/>
      <c r="D11" s="111"/>
    </row>
    <row r="12" spans="2:18" x14ac:dyDescent="0.4">
      <c r="B12" s="18"/>
      <c r="C12" s="18"/>
      <c r="I12" t="s">
        <v>209</v>
      </c>
    </row>
    <row r="13" spans="2:18" x14ac:dyDescent="0.4">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baseColWidth="10" defaultColWidth="11.3828125" defaultRowHeight="14.6" x14ac:dyDescent="0.4"/>
  <sheetData>
    <row r="2" spans="2:2" x14ac:dyDescent="0.4">
      <c r="B2" t="s">
        <v>210</v>
      </c>
    </row>
    <row r="30" spans="2:2" x14ac:dyDescent="0.4">
      <c r="B30" t="s">
        <v>211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3828125" defaultRowHeight="14.6" x14ac:dyDescent="0.4"/>
  <cols>
    <col min="3" max="3" width="119" customWidth="1"/>
    <col min="4" max="4" width="33.3046875" customWidth="1"/>
  </cols>
  <sheetData>
    <row r="1" spans="3:4" ht="15" thickBot="1" x14ac:dyDescent="0.45"/>
    <row r="2" spans="3:4" x14ac:dyDescent="0.4">
      <c r="C2" s="403" t="s">
        <v>212</v>
      </c>
      <c r="D2" s="404"/>
    </row>
    <row r="3" spans="3:4" x14ac:dyDescent="0.4">
      <c r="C3" s="405"/>
      <c r="D3" s="406"/>
    </row>
    <row r="4" spans="3:4" ht="15" thickBot="1" x14ac:dyDescent="0.45">
      <c r="C4" s="150" t="s">
        <v>213</v>
      </c>
      <c r="D4" s="151" t="s">
        <v>214</v>
      </c>
    </row>
    <row r="5" spans="3:4" ht="30" customHeight="1" x14ac:dyDescent="0.4">
      <c r="C5" s="152" t="s">
        <v>215</v>
      </c>
      <c r="D5" s="153">
        <v>1</v>
      </c>
    </row>
    <row r="6" spans="3:4" ht="28.5" customHeight="1" x14ac:dyDescent="0.4">
      <c r="C6" s="154" t="s">
        <v>216</v>
      </c>
      <c r="D6" s="155">
        <v>1</v>
      </c>
    </row>
    <row r="7" spans="3:4" ht="28.5" customHeight="1" x14ac:dyDescent="0.4">
      <c r="C7" s="156" t="s">
        <v>217</v>
      </c>
      <c r="D7" s="155">
        <v>1</v>
      </c>
    </row>
    <row r="8" spans="3:4" ht="28.5" customHeight="1" x14ac:dyDescent="0.4">
      <c r="C8" s="156" t="s">
        <v>218</v>
      </c>
      <c r="D8" s="155">
        <v>1</v>
      </c>
    </row>
    <row r="9" spans="3:4" ht="18.649999999999999" customHeight="1" x14ac:dyDescent="0.4">
      <c r="C9" s="156" t="s">
        <v>219</v>
      </c>
      <c r="D9" s="155">
        <v>1</v>
      </c>
    </row>
    <row r="10" spans="3:4" ht="28.5" customHeight="1" x14ac:dyDescent="0.4">
      <c r="C10" s="156" t="s">
        <v>220</v>
      </c>
      <c r="D10" s="155">
        <v>1</v>
      </c>
    </row>
    <row r="11" spans="3:4" ht="21" customHeight="1" x14ac:dyDescent="0.4">
      <c r="C11" s="154" t="s">
        <v>221</v>
      </c>
      <c r="D11" s="155">
        <v>1</v>
      </c>
    </row>
    <row r="12" spans="3:4" ht="21" customHeight="1" x14ac:dyDescent="0.4">
      <c r="C12" s="154" t="s">
        <v>222</v>
      </c>
      <c r="D12" s="155">
        <v>1</v>
      </c>
    </row>
    <row r="13" spans="3:4" ht="21.65" customHeight="1" x14ac:dyDescent="0.4">
      <c r="C13" s="154" t="s">
        <v>223</v>
      </c>
      <c r="D13" s="155">
        <v>1</v>
      </c>
    </row>
    <row r="14" spans="3:4" ht="28.5" customHeight="1" x14ac:dyDescent="0.4">
      <c r="C14" s="154" t="s">
        <v>224</v>
      </c>
      <c r="D14" s="155">
        <v>1</v>
      </c>
    </row>
    <row r="15" spans="3:4" ht="22.5" customHeight="1" x14ac:dyDescent="0.4">
      <c r="C15" s="157"/>
      <c r="D15" s="155">
        <v>1</v>
      </c>
    </row>
    <row r="16" spans="3:4" ht="28.5" customHeight="1" x14ac:dyDescent="0.4">
      <c r="C16" s="158" t="s">
        <v>225</v>
      </c>
      <c r="D16" s="159"/>
    </row>
    <row r="17" spans="3:4" ht="28.5" customHeight="1" x14ac:dyDescent="0.4">
      <c r="C17" s="152" t="s">
        <v>226</v>
      </c>
      <c r="D17" s="155">
        <v>1</v>
      </c>
    </row>
    <row r="18" spans="3:4" ht="28.5" customHeight="1" x14ac:dyDescent="0.4">
      <c r="C18" s="152" t="s">
        <v>227</v>
      </c>
      <c r="D18" s="155">
        <v>1</v>
      </c>
    </row>
    <row r="19" spans="3:4" ht="28.5" customHeight="1" x14ac:dyDescent="0.4">
      <c r="C19" s="152" t="s">
        <v>228</v>
      </c>
      <c r="D19" s="155">
        <v>1</v>
      </c>
    </row>
    <row r="20" spans="3:4" ht="28.5" customHeight="1" x14ac:dyDescent="0.4">
      <c r="C20" s="154" t="s">
        <v>229</v>
      </c>
      <c r="D20" s="155">
        <v>1</v>
      </c>
    </row>
    <row r="21" spans="3:4" ht="28.5" customHeight="1" x14ac:dyDescent="0.4">
      <c r="C21" s="152" t="s">
        <v>230</v>
      </c>
      <c r="D21" s="155">
        <v>1</v>
      </c>
    </row>
    <row r="22" spans="3:4" ht="28.5" customHeight="1" x14ac:dyDescent="0.4">
      <c r="C22" s="160" t="s">
        <v>231</v>
      </c>
      <c r="D22" s="155">
        <v>1</v>
      </c>
    </row>
    <row r="23" spans="3:4" ht="28.5" customHeight="1" x14ac:dyDescent="0.4">
      <c r="C23" s="152" t="s">
        <v>232</v>
      </c>
      <c r="D23" s="155">
        <v>1</v>
      </c>
    </row>
    <row r="24" spans="3:4" ht="28.5" customHeight="1" x14ac:dyDescent="0.4">
      <c r="C24" s="152" t="s">
        <v>233</v>
      </c>
      <c r="D24" s="155">
        <v>1</v>
      </c>
    </row>
    <row r="25" spans="3:4" ht="28.5" customHeight="1" x14ac:dyDescent="0.4">
      <c r="C25" s="157"/>
      <c r="D25" s="155">
        <v>1</v>
      </c>
    </row>
    <row r="26" spans="3:4" ht="28.5" customHeight="1" x14ac:dyDescent="0.4">
      <c r="C26" s="157"/>
      <c r="D26" s="155">
        <v>1</v>
      </c>
    </row>
    <row r="27" spans="3:4" ht="28.5" customHeight="1" x14ac:dyDescent="0.4">
      <c r="C27" s="158" t="s">
        <v>234</v>
      </c>
      <c r="D27" s="161"/>
    </row>
    <row r="28" spans="3:4" ht="28.5" customHeight="1" x14ac:dyDescent="0.4">
      <c r="C28" s="156" t="s">
        <v>235</v>
      </c>
      <c r="D28" s="155">
        <v>1</v>
      </c>
    </row>
    <row r="29" spans="3:4" ht="28.5" customHeight="1" x14ac:dyDescent="0.4">
      <c r="C29" s="156" t="s">
        <v>236</v>
      </c>
      <c r="D29" s="155">
        <v>1</v>
      </c>
    </row>
    <row r="30" spans="3:4" ht="28.5" customHeight="1" x14ac:dyDescent="0.4">
      <c r="C30" s="156" t="s">
        <v>237</v>
      </c>
      <c r="D30" s="155">
        <v>1</v>
      </c>
    </row>
    <row r="31" spans="3:4" ht="28.5" customHeight="1" x14ac:dyDescent="0.4">
      <c r="C31" s="156" t="s">
        <v>238</v>
      </c>
      <c r="D31" s="155">
        <v>1</v>
      </c>
    </row>
    <row r="32" spans="3:4" ht="28.5" customHeight="1" x14ac:dyDescent="0.4">
      <c r="C32" s="156" t="s">
        <v>239</v>
      </c>
      <c r="D32" s="155">
        <v>1</v>
      </c>
    </row>
    <row r="33" spans="3:4" ht="28.5" customHeight="1" x14ac:dyDescent="0.4">
      <c r="C33" s="162" t="s">
        <v>240</v>
      </c>
      <c r="D33" s="155">
        <v>1</v>
      </c>
    </row>
    <row r="34" spans="3:4" ht="28.5" customHeight="1" x14ac:dyDescent="0.4">
      <c r="C34" s="154" t="s">
        <v>241</v>
      </c>
      <c r="D34" s="155">
        <v>1</v>
      </c>
    </row>
    <row r="35" spans="3:4" ht="28.5" customHeight="1" x14ac:dyDescent="0.4">
      <c r="C35" s="156" t="s">
        <v>242</v>
      </c>
      <c r="D35" s="155">
        <v>1</v>
      </c>
    </row>
    <row r="36" spans="3:4" ht="28.5" customHeight="1" x14ac:dyDescent="0.4">
      <c r="C36" s="156" t="s">
        <v>243</v>
      </c>
      <c r="D36" s="155">
        <v>1</v>
      </c>
    </row>
    <row r="37" spans="3:4" ht="28.5" customHeight="1" x14ac:dyDescent="0.4">
      <c r="C37" s="156" t="s">
        <v>244</v>
      </c>
      <c r="D37" s="155">
        <v>1</v>
      </c>
    </row>
    <row r="38" spans="3:4" ht="28.5" customHeight="1" x14ac:dyDescent="0.4">
      <c r="C38" s="154" t="s">
        <v>245</v>
      </c>
      <c r="D38" s="155">
        <v>1</v>
      </c>
    </row>
    <row r="39" spans="3:4" ht="28.5" customHeight="1" x14ac:dyDescent="0.4">
      <c r="C39" s="162" t="s">
        <v>246</v>
      </c>
      <c r="D39" s="155">
        <v>1</v>
      </c>
    </row>
    <row r="40" spans="3:4" ht="28.5" customHeight="1" x14ac:dyDescent="0.4">
      <c r="C40" s="162" t="s">
        <v>247</v>
      </c>
      <c r="D40" s="155">
        <v>1</v>
      </c>
    </row>
    <row r="41" spans="3:4" ht="28.5" customHeight="1" x14ac:dyDescent="0.4">
      <c r="C41" s="162" t="s">
        <v>248</v>
      </c>
      <c r="D41" s="155">
        <v>1</v>
      </c>
    </row>
    <row r="42" spans="3:4" ht="28.5" customHeight="1" x14ac:dyDescent="0.4">
      <c r="C42" s="162" t="s">
        <v>249</v>
      </c>
      <c r="D42" s="155">
        <v>1</v>
      </c>
    </row>
    <row r="43" spans="3:4" ht="28.5" customHeight="1" x14ac:dyDescent="0.4">
      <c r="C43" s="163"/>
      <c r="D43" s="155"/>
    </row>
    <row r="44" spans="3:4" ht="28.5" customHeight="1" x14ac:dyDescent="0.4">
      <c r="C44" s="163"/>
      <c r="D44" s="155"/>
    </row>
    <row r="45" spans="3:4" ht="28.5" customHeight="1" x14ac:dyDescent="0.4">
      <c r="C45" s="158" t="s">
        <v>250</v>
      </c>
      <c r="D45" s="161"/>
    </row>
    <row r="46" spans="3:4" ht="28.5" customHeight="1" x14ac:dyDescent="0.4">
      <c r="C46" s="162" t="s">
        <v>251</v>
      </c>
      <c r="D46" s="155">
        <v>1</v>
      </c>
    </row>
    <row r="47" spans="3:4" ht="28.5" customHeight="1" x14ac:dyDescent="0.4">
      <c r="C47" s="162" t="s">
        <v>252</v>
      </c>
      <c r="D47" s="155">
        <v>1</v>
      </c>
    </row>
    <row r="48" spans="3:4" ht="28.5" customHeight="1" x14ac:dyDescent="0.4">
      <c r="C48" s="162" t="s">
        <v>253</v>
      </c>
      <c r="D48" s="155">
        <v>1</v>
      </c>
    </row>
    <row r="49" spans="3:4" ht="28.5" customHeight="1" x14ac:dyDescent="0.4">
      <c r="C49" s="162" t="s">
        <v>254</v>
      </c>
      <c r="D49" s="155">
        <v>1</v>
      </c>
    </row>
    <row r="50" spans="3:4" ht="28.5" customHeight="1" x14ac:dyDescent="0.4">
      <c r="C50" s="164" t="s">
        <v>255</v>
      </c>
      <c r="D50" s="155">
        <v>1</v>
      </c>
    </row>
    <row r="51" spans="3:4" ht="28.5" customHeight="1" x14ac:dyDescent="0.4">
      <c r="C51" s="164" t="s">
        <v>256</v>
      </c>
      <c r="D51" s="155">
        <v>1</v>
      </c>
    </row>
    <row r="52" spans="3:4" ht="28.5" customHeight="1" x14ac:dyDescent="0.4">
      <c r="C52" s="164" t="s">
        <v>257</v>
      </c>
      <c r="D52" s="155">
        <v>1</v>
      </c>
    </row>
    <row r="53" spans="3:4" ht="28.5" customHeight="1" x14ac:dyDescent="0.4">
      <c r="C53" s="152" t="s">
        <v>258</v>
      </c>
      <c r="D53" s="155">
        <v>1</v>
      </c>
    </row>
    <row r="54" spans="3:4" ht="28.5" customHeight="1" x14ac:dyDescent="0.4">
      <c r="C54" s="152" t="s">
        <v>259</v>
      </c>
      <c r="D54" s="155">
        <v>1</v>
      </c>
    </row>
    <row r="55" spans="3:4" ht="28.5" customHeight="1" x14ac:dyDescent="0.4"/>
    <row r="56" spans="3:4" ht="11.15" customHeight="1" x14ac:dyDescent="0.4"/>
    <row r="57" spans="3:4" ht="11.15" customHeight="1" x14ac:dyDescent="0.4"/>
    <row r="58" spans="3:4" ht="11.15" customHeight="1" x14ac:dyDescent="0.4"/>
    <row r="59" spans="3:4" ht="11.15" customHeight="1" x14ac:dyDescent="0.4"/>
    <row r="60" spans="3:4" ht="11.15" customHeight="1" x14ac:dyDescent="0.4"/>
    <row r="61" spans="3:4" ht="11.15" customHeight="1" x14ac:dyDescent="0.4"/>
    <row r="62" spans="3:4" ht="11.15" customHeight="1" x14ac:dyDescent="0.4"/>
    <row r="63" spans="3:4" ht="11.15" customHeight="1" x14ac:dyDescent="0.4"/>
    <row r="64" spans="3:4" ht="11.15" customHeight="1" x14ac:dyDescent="0.4"/>
    <row r="65" ht="11.15" customHeight="1" x14ac:dyDescent="0.4"/>
    <row r="66" ht="11.15" customHeight="1" x14ac:dyDescent="0.4"/>
    <row r="67" ht="11.15" customHeight="1" x14ac:dyDescent="0.4"/>
    <row r="68" ht="11.15" customHeight="1" x14ac:dyDescent="0.4"/>
    <row r="69" ht="11.15" customHeight="1" x14ac:dyDescent="0.4"/>
    <row r="70" ht="11.15" customHeight="1" x14ac:dyDescent="0.4"/>
    <row r="71" ht="11.15" customHeight="1" x14ac:dyDescent="0.4"/>
    <row r="72" ht="11.15" customHeight="1" x14ac:dyDescent="0.4"/>
    <row r="73" ht="11.15" customHeight="1" x14ac:dyDescent="0.4"/>
    <row r="74" ht="11.15" customHeight="1" x14ac:dyDescent="0.4"/>
    <row r="75" ht="11.15" customHeight="1" x14ac:dyDescent="0.4"/>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P3" sqref="AP3:AV3"/>
    </sheetView>
  </sheetViews>
  <sheetFormatPr baseColWidth="10" defaultColWidth="11.3828125" defaultRowHeight="14.6" x14ac:dyDescent="0.4"/>
  <cols>
    <col min="1" max="1" width="5.3046875" customWidth="1"/>
    <col min="2" max="2" width="8.69140625" customWidth="1"/>
    <col min="3" max="3" width="9" customWidth="1"/>
    <col min="4" max="41" width="5.69140625" customWidth="1"/>
    <col min="43" max="48" width="5.69140625" customWidth="1"/>
  </cols>
  <sheetData>
    <row r="1" spans="1:101" ht="15" thickBot="1" x14ac:dyDescent="0.45"/>
    <row r="2" spans="1:101" ht="15" customHeight="1" x14ac:dyDescent="0.4">
      <c r="D2" s="467" t="s">
        <v>260</v>
      </c>
      <c r="E2" s="468"/>
      <c r="F2" s="468"/>
      <c r="G2" s="468"/>
      <c r="H2" s="468"/>
      <c r="I2" s="468"/>
      <c r="J2" s="468"/>
      <c r="K2" s="469"/>
      <c r="L2" s="458" t="s">
        <v>38</v>
      </c>
      <c r="M2" s="459"/>
      <c r="N2" s="459"/>
      <c r="O2" s="459"/>
      <c r="P2" s="459"/>
      <c r="Q2" s="459"/>
      <c r="R2" s="459"/>
      <c r="S2" s="459"/>
      <c r="T2" s="459"/>
      <c r="U2" s="459"/>
      <c r="V2" s="459"/>
      <c r="W2" s="459"/>
      <c r="X2" s="459"/>
      <c r="Y2" s="459"/>
      <c r="Z2" s="459"/>
      <c r="AA2" s="459"/>
      <c r="AB2" s="459"/>
      <c r="AC2" s="459"/>
      <c r="AD2" s="459"/>
      <c r="AE2" s="459"/>
      <c r="AF2" s="459"/>
      <c r="AG2" s="459"/>
      <c r="AH2" s="459"/>
      <c r="AI2" s="459"/>
      <c r="AJ2" s="459"/>
      <c r="AK2" s="459"/>
      <c r="AL2" s="459"/>
      <c r="AM2" s="459"/>
      <c r="AN2" s="459"/>
      <c r="AO2" s="460"/>
      <c r="AP2" s="399" t="s">
        <v>261</v>
      </c>
      <c r="AQ2" s="455"/>
      <c r="AR2" s="455"/>
      <c r="AS2" s="455"/>
      <c r="AT2" s="455"/>
      <c r="AU2" s="455"/>
      <c r="AV2" s="373"/>
    </row>
    <row r="3" spans="1:101" x14ac:dyDescent="0.4">
      <c r="D3" s="470"/>
      <c r="E3" s="471"/>
      <c r="F3" s="471"/>
      <c r="G3" s="471"/>
      <c r="H3" s="471"/>
      <c r="I3" s="471"/>
      <c r="J3" s="471"/>
      <c r="K3" s="472"/>
      <c r="L3" s="461"/>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2"/>
      <c r="AO3" s="463"/>
      <c r="AP3" s="400" t="s">
        <v>3</v>
      </c>
      <c r="AQ3" s="456"/>
      <c r="AR3" s="456"/>
      <c r="AS3" s="456"/>
      <c r="AT3" s="456"/>
      <c r="AU3" s="456"/>
      <c r="AV3" s="375"/>
    </row>
    <row r="4" spans="1:101" x14ac:dyDescent="0.4">
      <c r="D4" s="470"/>
      <c r="E4" s="471"/>
      <c r="F4" s="471"/>
      <c r="G4" s="471"/>
      <c r="H4" s="471"/>
      <c r="I4" s="471"/>
      <c r="J4" s="471"/>
      <c r="K4" s="472"/>
      <c r="L4" s="461"/>
      <c r="M4" s="462"/>
      <c r="N4" s="462"/>
      <c r="O4" s="462"/>
      <c r="P4" s="462"/>
      <c r="Q4" s="462"/>
      <c r="R4" s="462"/>
      <c r="S4" s="462"/>
      <c r="T4" s="462"/>
      <c r="U4" s="462"/>
      <c r="V4" s="462"/>
      <c r="W4" s="462"/>
      <c r="X4" s="462"/>
      <c r="Y4" s="462"/>
      <c r="Z4" s="462"/>
      <c r="AA4" s="462"/>
      <c r="AB4" s="462"/>
      <c r="AC4" s="462"/>
      <c r="AD4" s="462"/>
      <c r="AE4" s="462"/>
      <c r="AF4" s="462"/>
      <c r="AG4" s="462"/>
      <c r="AH4" s="462"/>
      <c r="AI4" s="462"/>
      <c r="AJ4" s="462"/>
      <c r="AK4" s="462"/>
      <c r="AL4" s="462"/>
      <c r="AM4" s="462"/>
      <c r="AN4" s="462"/>
      <c r="AO4" s="463"/>
      <c r="AP4" s="400" t="s">
        <v>4</v>
      </c>
      <c r="AQ4" s="456" t="s">
        <v>262</v>
      </c>
      <c r="AR4" s="456"/>
      <c r="AS4" s="456"/>
      <c r="AT4" s="456"/>
      <c r="AU4" s="456"/>
      <c r="AV4" s="375"/>
    </row>
    <row r="5" spans="1:101" ht="15" thickBot="1" x14ac:dyDescent="0.45">
      <c r="D5" s="473"/>
      <c r="E5" s="474"/>
      <c r="F5" s="474"/>
      <c r="G5" s="474"/>
      <c r="H5" s="474"/>
      <c r="I5" s="474"/>
      <c r="J5" s="474"/>
      <c r="K5" s="475"/>
      <c r="L5" s="464"/>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6"/>
      <c r="AP5" s="401" t="s">
        <v>5</v>
      </c>
      <c r="AQ5" s="457" t="s">
        <v>5</v>
      </c>
      <c r="AR5" s="457"/>
      <c r="AS5" s="457"/>
      <c r="AT5" s="457"/>
      <c r="AU5" s="457"/>
      <c r="AV5" s="377"/>
    </row>
    <row r="7" spans="1:101" ht="18" customHeight="1" x14ac:dyDescent="0.4">
      <c r="C7" s="68"/>
      <c r="D7" s="407" t="s">
        <v>263</v>
      </c>
      <c r="E7" s="407"/>
      <c r="F7" s="407"/>
      <c r="G7" s="407"/>
      <c r="H7" s="407"/>
      <c r="I7" s="407"/>
      <c r="J7" s="407"/>
      <c r="K7" s="407"/>
      <c r="L7" s="514" t="s">
        <v>59</v>
      </c>
      <c r="M7" s="514"/>
      <c r="N7" s="514"/>
      <c r="O7" s="514"/>
      <c r="P7" s="514"/>
      <c r="Q7" s="514"/>
      <c r="R7" s="514"/>
      <c r="S7" s="514"/>
      <c r="T7" s="514"/>
      <c r="U7" s="514"/>
      <c r="V7" s="514"/>
      <c r="W7" s="514"/>
      <c r="X7" s="514"/>
      <c r="Y7" s="514"/>
      <c r="Z7" s="514"/>
      <c r="AA7" s="514"/>
      <c r="AB7" s="514"/>
      <c r="AC7" s="514"/>
      <c r="AD7" s="514"/>
      <c r="AE7" s="514"/>
      <c r="AF7" s="514"/>
      <c r="AG7" s="514"/>
      <c r="AH7" s="514"/>
      <c r="AI7" s="514"/>
      <c r="AJ7" s="514"/>
      <c r="AK7" s="514"/>
      <c r="AL7" s="514"/>
      <c r="AM7" s="514"/>
      <c r="AN7" s="514"/>
      <c r="AO7" s="514"/>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x14ac:dyDescent="0.4">
      <c r="A8" s="263" t="s">
        <v>9</v>
      </c>
      <c r="B8" s="263"/>
      <c r="C8" s="264"/>
      <c r="D8" s="407"/>
      <c r="E8" s="407"/>
      <c r="F8" s="407"/>
      <c r="G8" s="407"/>
      <c r="H8" s="407"/>
      <c r="I8" s="407"/>
      <c r="J8" s="407"/>
      <c r="K8" s="407"/>
      <c r="L8" s="514"/>
      <c r="M8" s="514"/>
      <c r="N8" s="514"/>
      <c r="O8" s="514"/>
      <c r="P8" s="514"/>
      <c r="Q8" s="514"/>
      <c r="R8" s="514"/>
      <c r="S8" s="514"/>
      <c r="T8" s="514"/>
      <c r="U8" s="514"/>
      <c r="V8" s="514"/>
      <c r="W8" s="514"/>
      <c r="X8" s="514"/>
      <c r="Y8" s="514"/>
      <c r="Z8" s="514"/>
      <c r="AA8" s="514"/>
      <c r="AB8" s="514"/>
      <c r="AC8" s="514"/>
      <c r="AD8" s="514"/>
      <c r="AE8" s="514"/>
      <c r="AF8" s="514"/>
      <c r="AG8" s="514"/>
      <c r="AH8" s="514"/>
      <c r="AI8" s="514"/>
      <c r="AJ8" s="514"/>
      <c r="AK8" s="514"/>
      <c r="AL8" s="514"/>
      <c r="AM8" s="514"/>
      <c r="AN8" s="514"/>
      <c r="AO8" s="514"/>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x14ac:dyDescent="0.4">
      <c r="C9" s="68"/>
      <c r="D9" s="407"/>
      <c r="E9" s="407"/>
      <c r="F9" s="407"/>
      <c r="G9" s="407"/>
      <c r="H9" s="407"/>
      <c r="I9" s="407"/>
      <c r="J9" s="407"/>
      <c r="K9" s="407"/>
      <c r="L9" s="514"/>
      <c r="M9" s="514"/>
      <c r="N9" s="514"/>
      <c r="O9" s="514"/>
      <c r="P9" s="514"/>
      <c r="Q9" s="514"/>
      <c r="R9" s="514"/>
      <c r="S9" s="514"/>
      <c r="T9" s="514"/>
      <c r="U9" s="514"/>
      <c r="V9" s="514"/>
      <c r="W9" s="514"/>
      <c r="X9" s="514"/>
      <c r="Y9" s="514"/>
      <c r="Z9" s="514"/>
      <c r="AA9" s="514"/>
      <c r="AB9" s="514"/>
      <c r="AC9" s="514"/>
      <c r="AD9" s="514"/>
      <c r="AE9" s="514"/>
      <c r="AF9" s="514"/>
      <c r="AG9" s="514"/>
      <c r="AH9" s="514"/>
      <c r="AI9" s="514"/>
      <c r="AJ9" s="514"/>
      <c r="AK9" s="514"/>
      <c r="AL9" s="514"/>
      <c r="AM9" s="514"/>
      <c r="AN9" s="514"/>
      <c r="AO9" s="514"/>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5" thickBot="1" x14ac:dyDescent="0.45">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x14ac:dyDescent="0.4">
      <c r="C11" s="68"/>
      <c r="D11" s="476" t="s">
        <v>264</v>
      </c>
      <c r="E11" s="476"/>
      <c r="F11" s="477"/>
      <c r="G11" s="444" t="s">
        <v>265</v>
      </c>
      <c r="H11" s="446"/>
      <c r="I11" s="446"/>
      <c r="J11" s="446"/>
      <c r="K11" s="446"/>
      <c r="L11" s="441"/>
      <c r="M11" s="442"/>
      <c r="N11" s="442" t="str">
        <f>IF(AND('Mapa final'!$K$15="Muy Alta",'Mapa final'!$O$15="Leve"),CONCATENATE("R",'Mapa final'!$A$16),"")</f>
        <v/>
      </c>
      <c r="O11" s="442"/>
      <c r="P11" s="442" t="str">
        <f>IF(AND('Mapa final'!$K$17="Muy Alta",'Mapa final'!$O$17="Leve"),CONCATENATE("R",'Mapa final'!$A$17),"")</f>
        <v/>
      </c>
      <c r="Q11" s="443"/>
      <c r="R11" s="441"/>
      <c r="S11" s="442"/>
      <c r="T11" s="442" t="str">
        <f>IF(AND('Mapa final'!$P$15="Muy Alta",'Mapa final'!$S$15="Menor"),CONCATENATE("R",'Mapa final'!$A$16),"")</f>
        <v/>
      </c>
      <c r="U11" s="442"/>
      <c r="V11" s="442" t="str">
        <f>IF(AND('Mapa final'!$P$17="Muy Alta",'Mapa final'!$S$17="Menor"),CONCATENATE("R",'Mapa final'!$A$17),"")</f>
        <v/>
      </c>
      <c r="W11" s="442"/>
      <c r="X11" s="441"/>
      <c r="Y11" s="442"/>
      <c r="Z11" s="442" t="str">
        <f>IF(AND('Mapa final'!P$15="Muy Alta",'Mapa final'!$S$15="Moderado"),CONCATENATE("R",'Mapa final'!$A$16),"")</f>
        <v/>
      </c>
      <c r="AA11" s="442"/>
      <c r="AB11" s="442" t="str">
        <f>IF(AND('Mapa final'!$P$17="Muy Alta",'Mapa final'!$S$17="Moderado"),CONCATENATE("R",'Mapa final'!$A$17),"")</f>
        <v/>
      </c>
      <c r="AC11" s="442"/>
      <c r="AD11" s="441"/>
      <c r="AE11" s="442"/>
      <c r="AF11" s="442" t="str">
        <f>IF(AND('Mapa final'!$P$15="Muy Alta",'Mapa final'!$S$15="Mayor"),CONCATENATE("R",'Mapa final'!$A$16),"")</f>
        <v/>
      </c>
      <c r="AG11" s="442"/>
      <c r="AH11" s="442" t="str">
        <f>IF(AND('Mapa final'!$P$17="Muy Alta",'Mapa final'!$S$17="Mayor"),CONCATENATE("R",'Mapa final'!$A$17),"")</f>
        <v/>
      </c>
      <c r="AI11" s="442"/>
      <c r="AJ11" s="432"/>
      <c r="AK11" s="433"/>
      <c r="AL11" s="433" t="str">
        <f>IF(AND('Mapa final'!$P$15="Muy Alta",'Mapa final'!$S$15="Catastrófico"),CONCATENATE("R",'Mapa final'!$A$16),"")</f>
        <v/>
      </c>
      <c r="AM11" s="433"/>
      <c r="AN11" s="433" t="str">
        <f>IF(AND('Mapa final'!$P$17="Muy Alta",'Mapa final'!$S$17="Catastrófico"),CONCATENATE("R",'Mapa final'!$A$17),"")</f>
        <v/>
      </c>
      <c r="AO11" s="434"/>
      <c r="AQ11" s="478" t="s">
        <v>266</v>
      </c>
      <c r="AR11" s="479"/>
      <c r="AS11" s="479"/>
      <c r="AT11" s="479"/>
      <c r="AU11" s="479"/>
      <c r="AV11" s="480"/>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x14ac:dyDescent="0.4">
      <c r="C12" s="68"/>
      <c r="D12" s="476"/>
      <c r="E12" s="476"/>
      <c r="F12" s="477"/>
      <c r="G12" s="448"/>
      <c r="H12" s="449"/>
      <c r="I12" s="449"/>
      <c r="J12" s="449"/>
      <c r="K12" s="449"/>
      <c r="L12" s="435"/>
      <c r="M12" s="436"/>
      <c r="N12" s="436"/>
      <c r="O12" s="436"/>
      <c r="P12" s="436"/>
      <c r="Q12" s="437"/>
      <c r="R12" s="435"/>
      <c r="S12" s="436"/>
      <c r="T12" s="436"/>
      <c r="U12" s="436"/>
      <c r="V12" s="436"/>
      <c r="W12" s="436"/>
      <c r="X12" s="435"/>
      <c r="Y12" s="436"/>
      <c r="Z12" s="436"/>
      <c r="AA12" s="436"/>
      <c r="AB12" s="436"/>
      <c r="AC12" s="436"/>
      <c r="AD12" s="435"/>
      <c r="AE12" s="436"/>
      <c r="AF12" s="436"/>
      <c r="AG12" s="436"/>
      <c r="AH12" s="436"/>
      <c r="AI12" s="436"/>
      <c r="AJ12" s="426"/>
      <c r="AK12" s="427"/>
      <c r="AL12" s="427"/>
      <c r="AM12" s="427"/>
      <c r="AN12" s="427"/>
      <c r="AO12" s="428"/>
      <c r="AP12" s="68"/>
      <c r="AQ12" s="481"/>
      <c r="AR12" s="482"/>
      <c r="AS12" s="482"/>
      <c r="AT12" s="482"/>
      <c r="AU12" s="482"/>
      <c r="AV12" s="483"/>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x14ac:dyDescent="0.4">
      <c r="C13" s="68"/>
      <c r="D13" s="476"/>
      <c r="E13" s="476"/>
      <c r="F13" s="477"/>
      <c r="G13" s="448"/>
      <c r="H13" s="449"/>
      <c r="I13" s="449"/>
      <c r="J13" s="449"/>
      <c r="K13" s="449"/>
      <c r="L13" s="435" t="e">
        <f>IF(AND('Mapa final'!#REF!="Muy Alta",'Mapa final'!#REF!="Leve"),CONCATENATE("R",'Mapa final'!#REF!),"")</f>
        <v>#REF!</v>
      </c>
      <c r="M13" s="436"/>
      <c r="N13" s="436" t="str">
        <f>IF(AND('Mapa final'!$K$19="Muy Alta",'Mapa final'!$O$19="Leve"),CONCATENATE("R",'Mapa final'!$A$19),"")</f>
        <v/>
      </c>
      <c r="O13" s="436"/>
      <c r="P13" s="436" t="str">
        <f>IF(AND('Mapa final'!$K$20="Muy Alta",'Mapa final'!$O$20="Leve"),CONCATENATE("R",'Mapa final'!$A$20),"")</f>
        <v/>
      </c>
      <c r="Q13" s="437"/>
      <c r="R13" s="435" t="e">
        <f>IF(AND('Mapa final'!#REF!="Muy Alta",'Mapa final'!#REF!="Menor"),CONCATENATE("R",'Mapa final'!#REF!),"")</f>
        <v>#REF!</v>
      </c>
      <c r="S13" s="436"/>
      <c r="T13" s="436" t="str">
        <f>IF(AND('Mapa final'!$P$19="Muy Alta",'Mapa final'!$S$19="Menor"),CONCATENATE("R",'Mapa final'!$A$19),"")</f>
        <v/>
      </c>
      <c r="U13" s="436"/>
      <c r="V13" s="436" t="str">
        <f>IF(AND('Mapa final'!$P$20="Muy Alta",'Mapa final'!$S$20="Menor"),CONCATENATE("R",'Mapa final'!$A$20),"")</f>
        <v/>
      </c>
      <c r="W13" s="436"/>
      <c r="X13" s="435" t="e">
        <f>IF(AND('Mapa final'!#REF!="Muy Alta",'Mapa final'!#REF!="Moderado"),CONCATENATE("R",'Mapa final'!#REF!),"")</f>
        <v>#REF!</v>
      </c>
      <c r="Y13" s="436"/>
      <c r="Z13" s="436" t="str">
        <f>IF(AND('Mapa final'!$P$19="Muy Alta",'Mapa final'!$S$19="Moderado"),CONCATENATE("R",'Mapa final'!$A$19),"")</f>
        <v/>
      </c>
      <c r="AA13" s="436"/>
      <c r="AB13" s="436" t="str">
        <f>IF(AND('Mapa final'!$P$20="Muy Alta",'Mapa final'!$S$20="Moderado"),CONCATENATE("R",'Mapa final'!$A$20),"")</f>
        <v/>
      </c>
      <c r="AC13" s="436"/>
      <c r="AD13" s="435" t="e">
        <f>IF(AND('Mapa final'!#REF!="Muy Alta",'Mapa final'!#REF!="Mayor"),CONCATENATE("R",'Mapa final'!#REF!),"")</f>
        <v>#REF!</v>
      </c>
      <c r="AE13" s="436"/>
      <c r="AF13" s="436" t="str">
        <f>IF(AND('Mapa final'!$P$19="Muy Alta",'Mapa final'!$S$19="Mayor"),CONCATENATE("R",'Mapa final'!$A$19),"")</f>
        <v/>
      </c>
      <c r="AG13" s="436"/>
      <c r="AH13" s="436" t="str">
        <f>IF(AND('Mapa final'!$P$20="Muy Alta",'Mapa final'!$S$20="Mayor"),CONCATENATE("R",'Mapa final'!$A$20),"")</f>
        <v/>
      </c>
      <c r="AI13" s="436"/>
      <c r="AJ13" s="426" t="e">
        <f>IF(AND('Mapa final'!#REF!="Muy Alta",'Mapa final'!#REF!="Catastrófico"),CONCATENATE("R",'Mapa final'!#REF!),"")</f>
        <v>#REF!</v>
      </c>
      <c r="AK13" s="427"/>
      <c r="AL13" s="427" t="str">
        <f>IF(AND('Mapa final'!$P$19="Muy Alta",'Mapa final'!$S$19="Catastrófico"),CONCATENATE("R",'Mapa final'!$A$19),"")</f>
        <v/>
      </c>
      <c r="AM13" s="427"/>
      <c r="AN13" s="427" t="str">
        <f>IF(AND('Mapa final'!$P$20="Muy Alta",'Mapa final'!$K$20="Catastrófico"),CONCATENATE("R",'Mapa final'!$A$20),"")</f>
        <v/>
      </c>
      <c r="AO13" s="428"/>
      <c r="AP13" s="68"/>
      <c r="AQ13" s="481"/>
      <c r="AR13" s="482"/>
      <c r="AS13" s="482"/>
      <c r="AT13" s="482"/>
      <c r="AU13" s="482"/>
      <c r="AV13" s="483"/>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x14ac:dyDescent="0.4">
      <c r="C14" s="68"/>
      <c r="D14" s="476"/>
      <c r="E14" s="476"/>
      <c r="F14" s="477"/>
      <c r="G14" s="448"/>
      <c r="H14" s="449"/>
      <c r="I14" s="449"/>
      <c r="J14" s="449"/>
      <c r="K14" s="449"/>
      <c r="L14" s="435"/>
      <c r="M14" s="436"/>
      <c r="N14" s="436"/>
      <c r="O14" s="436"/>
      <c r="P14" s="436"/>
      <c r="Q14" s="437"/>
      <c r="R14" s="435"/>
      <c r="S14" s="436"/>
      <c r="T14" s="436"/>
      <c r="U14" s="436"/>
      <c r="V14" s="436"/>
      <c r="W14" s="436"/>
      <c r="X14" s="435"/>
      <c r="Y14" s="436"/>
      <c r="Z14" s="436"/>
      <c r="AA14" s="436"/>
      <c r="AB14" s="436"/>
      <c r="AC14" s="436"/>
      <c r="AD14" s="435"/>
      <c r="AE14" s="436"/>
      <c r="AF14" s="436"/>
      <c r="AG14" s="436"/>
      <c r="AH14" s="436"/>
      <c r="AI14" s="436"/>
      <c r="AJ14" s="426"/>
      <c r="AK14" s="427"/>
      <c r="AL14" s="427"/>
      <c r="AM14" s="427"/>
      <c r="AN14" s="427"/>
      <c r="AO14" s="428"/>
      <c r="AP14" s="68"/>
      <c r="AQ14" s="481"/>
      <c r="AR14" s="482"/>
      <c r="AS14" s="482"/>
      <c r="AT14" s="482"/>
      <c r="AU14" s="482"/>
      <c r="AV14" s="483"/>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x14ac:dyDescent="0.4">
      <c r="C15" s="68"/>
      <c r="D15" s="476"/>
      <c r="E15" s="476"/>
      <c r="F15" s="477"/>
      <c r="G15" s="448"/>
      <c r="H15" s="449"/>
      <c r="I15" s="449"/>
      <c r="J15" s="449"/>
      <c r="K15" s="449"/>
      <c r="L15" s="435" t="str">
        <f>IF(AND('Mapa final'!$P$21="Muy Alta",'Mapa final'!$S$21="Leve"),CONCATENATE("R",'Mapa final'!$A$21),"")</f>
        <v/>
      </c>
      <c r="M15" s="436"/>
      <c r="N15" s="436" t="e">
        <f>IF(AND('Mapa final'!#REF!="Muy Alta",'Mapa final'!#REF!="Leve"),CONCATENATE("R",'Mapa final'!#REF!),"")</f>
        <v>#REF!</v>
      </c>
      <c r="O15" s="436"/>
      <c r="P15" s="436" t="str">
        <f>IF(AND('Mapa final'!$K$23="Muy Alta",'Mapa final'!$O$23="Leve"),CONCATENATE("R",'Mapa final'!$A$23),"")</f>
        <v/>
      </c>
      <c r="Q15" s="437"/>
      <c r="R15" s="435" t="str">
        <f>IF(AND('Mapa final'!$P$21="Muy Alta",'Mapa final'!$S$21="Menor"),CONCATENATE("R",'Mapa final'!$A$21),"")</f>
        <v/>
      </c>
      <c r="S15" s="436"/>
      <c r="T15" s="436" t="e">
        <f>IF(AND('Mapa final'!#REF!="Muy Alta",'Mapa final'!#REF!="Menor"),CONCATENATE("R",'Mapa final'!#REF!),"")</f>
        <v>#REF!</v>
      </c>
      <c r="U15" s="436"/>
      <c r="V15" s="436" t="str">
        <f>IF(AND('Mapa final'!$P$23="Muy Alta",'Mapa final'!$S$23="Menor"),CONCATENATE("R",'Mapa final'!$A$23),"")</f>
        <v/>
      </c>
      <c r="W15" s="436"/>
      <c r="X15" s="435" t="str">
        <f>IF(AND('Mapa final'!$P$21="Muy Alta",'Mapa final'!$S$21="Moderado"),CONCATENATE("R",'Mapa final'!$A$21),"")</f>
        <v/>
      </c>
      <c r="Y15" s="436"/>
      <c r="Z15" s="436" t="e">
        <f>IF(AND('Mapa final'!#REF!="Muy Alta",'Mapa final'!#REF!="Moderado"),CONCATENATE("R",'Mapa final'!#REF!),"")</f>
        <v>#REF!</v>
      </c>
      <c r="AA15" s="436"/>
      <c r="AB15" s="436" t="str">
        <f>IF(AND('Mapa final'!$P$23="Muy Alta",'Mapa final'!$S$23="Moderado"),CONCATENATE("R",'Mapa final'!$A$23),"")</f>
        <v/>
      </c>
      <c r="AC15" s="436"/>
      <c r="AD15" s="435" t="str">
        <f>IF(AND('Mapa final'!$P$21="Muy Alta",'Mapa final'!$S$21="Mayor"),CONCATENATE("R",'Mapa final'!$A$21),"")</f>
        <v/>
      </c>
      <c r="AE15" s="436"/>
      <c r="AF15" s="436" t="e">
        <f>IF(AND('Mapa final'!#REF!="Muy Alta",'Mapa final'!#REF!="Mayor"),CONCATENATE("R",'Mapa final'!#REF!),"")</f>
        <v>#REF!</v>
      </c>
      <c r="AG15" s="436"/>
      <c r="AH15" s="436" t="str">
        <f>IF(AND('Mapa final'!$P$23="Muy Alta",'Mapa final'!$S$23="Mayor"),CONCATENATE("R",'Mapa final'!$A$23),"")</f>
        <v/>
      </c>
      <c r="AI15" s="436"/>
      <c r="AJ15" s="426" t="str">
        <f>IF(AND('Mapa final'!$P$21="Muy Alta",'Mapa final'!$S$21="Catastrófico"),CONCATENATE("R",'Mapa final'!$A$21),"")</f>
        <v/>
      </c>
      <c r="AK15" s="427"/>
      <c r="AL15" s="427" t="e">
        <f>IF(AND('Mapa final'!#REF!="Muy Alta",'Mapa final'!#REF!="Catastrófico"),CONCATENATE("R",'Mapa final'!#REF!),"")</f>
        <v>#REF!</v>
      </c>
      <c r="AM15" s="427"/>
      <c r="AN15" s="427" t="str">
        <f>IF(AND('Mapa final'!$P$23="Muy Alta",'Mapa final'!$S$23="Catastrófico"),CONCATENATE("R",'Mapa final'!$A$23),"")</f>
        <v/>
      </c>
      <c r="AO15" s="428"/>
      <c r="AP15" s="68"/>
      <c r="AQ15" s="481"/>
      <c r="AR15" s="482"/>
      <c r="AS15" s="482"/>
      <c r="AT15" s="482"/>
      <c r="AU15" s="482"/>
      <c r="AV15" s="483"/>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x14ac:dyDescent="0.4">
      <c r="C16" s="68"/>
      <c r="D16" s="476"/>
      <c r="E16" s="476"/>
      <c r="F16" s="477"/>
      <c r="G16" s="448"/>
      <c r="H16" s="449"/>
      <c r="I16" s="449"/>
      <c r="J16" s="449"/>
      <c r="K16" s="449"/>
      <c r="L16" s="435"/>
      <c r="M16" s="436"/>
      <c r="N16" s="436"/>
      <c r="O16" s="436"/>
      <c r="P16" s="436"/>
      <c r="Q16" s="437"/>
      <c r="R16" s="435"/>
      <c r="S16" s="436"/>
      <c r="T16" s="436"/>
      <c r="U16" s="436"/>
      <c r="V16" s="436"/>
      <c r="W16" s="436"/>
      <c r="X16" s="435"/>
      <c r="Y16" s="436"/>
      <c r="Z16" s="436"/>
      <c r="AA16" s="436"/>
      <c r="AB16" s="436"/>
      <c r="AC16" s="436"/>
      <c r="AD16" s="435"/>
      <c r="AE16" s="436"/>
      <c r="AF16" s="436"/>
      <c r="AG16" s="436"/>
      <c r="AH16" s="436"/>
      <c r="AI16" s="436"/>
      <c r="AJ16" s="426"/>
      <c r="AK16" s="427"/>
      <c r="AL16" s="427"/>
      <c r="AM16" s="427"/>
      <c r="AN16" s="427"/>
      <c r="AO16" s="428"/>
      <c r="AP16" s="68"/>
      <c r="AQ16" s="481"/>
      <c r="AR16" s="482"/>
      <c r="AS16" s="482"/>
      <c r="AT16" s="482"/>
      <c r="AU16" s="482"/>
      <c r="AV16" s="483"/>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x14ac:dyDescent="0.4">
      <c r="C17" s="68"/>
      <c r="D17" s="476"/>
      <c r="E17" s="476"/>
      <c r="F17" s="477"/>
      <c r="G17" s="448"/>
      <c r="H17" s="449"/>
      <c r="I17" s="449"/>
      <c r="J17" s="449"/>
      <c r="K17" s="449"/>
      <c r="L17" s="435" t="str">
        <f>IF(AND('Mapa final'!$P$24="Muy Alta",'Mapa final'!$S$24="Leve"),CONCATENATE("R",'Mapa final'!$A$24),"")</f>
        <v/>
      </c>
      <c r="M17" s="436"/>
      <c r="N17" s="436" t="str">
        <f>IF(AND('Mapa final'!$K$25="Muy Alta",'Mapa final'!$O$25="Leve"),CONCATENATE("R",'Mapa final'!$A$25),"")</f>
        <v/>
      </c>
      <c r="O17" s="436"/>
      <c r="P17" s="436" t="str">
        <f>IF(AND('Mapa final'!$K$26="Muy Alta",'Mapa final'!$O$26="Leve"),CONCATENATE("R",'Mapa final'!$A$26),"")</f>
        <v/>
      </c>
      <c r="Q17" s="437"/>
      <c r="R17" s="435" t="str">
        <f>IF(AND('Mapa final'!$P$24="Muy Alta",'Mapa final'!$S$24="Menor"),CONCATENATE("R",'Mapa final'!$A$24),"")</f>
        <v/>
      </c>
      <c r="S17" s="436"/>
      <c r="T17" s="436" t="str">
        <f>IF(AND('Mapa final'!$P$25="Muy Alta",'Mapa final'!$S$25="Menor"),CONCATENATE("R",'Mapa final'!$A$25),"")</f>
        <v/>
      </c>
      <c r="U17" s="436"/>
      <c r="V17" s="436" t="str">
        <f>IF(AND('Mapa final'!$P$26="Muy Alta",'Mapa final'!$S$26="Menor"),CONCATENATE("R",'Mapa final'!$A$26),"")</f>
        <v/>
      </c>
      <c r="W17" s="436"/>
      <c r="X17" s="435" t="str">
        <f>IF(AND('Mapa final'!$P$24="Muy Alta",'Mapa final'!$S$24="Moderado"),CONCATENATE("R",'Mapa final'!$A$24),"")</f>
        <v/>
      </c>
      <c r="Y17" s="436"/>
      <c r="Z17" s="436" t="str">
        <f>IF(AND('Mapa final'!$P$25="Muy Alta",'Mapa final'!$S$25="Moderado"),CONCATENATE("R",'Mapa final'!$A$25),"")</f>
        <v/>
      </c>
      <c r="AA17" s="436"/>
      <c r="AB17" s="436" t="str">
        <f>IF(AND('Mapa final'!$P$26="Muy Alta",'Mapa final'!$S$26="Moderado"),CONCATENATE("R",'Mapa final'!$A$26),"")</f>
        <v/>
      </c>
      <c r="AC17" s="436"/>
      <c r="AD17" s="435" t="str">
        <f>IF(AND('Mapa final'!$P$24="Muy Alta",'Mapa final'!$S$24="Mayor"),CONCATENATE("R",'Mapa final'!$A$24),"")</f>
        <v/>
      </c>
      <c r="AE17" s="436"/>
      <c r="AF17" s="436" t="str">
        <f>IF(AND('Mapa final'!$P$25="Muy Alta",'Mapa final'!$S$25="Mayor"),CONCATENATE("R",'Mapa final'!$A$25),"")</f>
        <v/>
      </c>
      <c r="AG17" s="436"/>
      <c r="AH17" s="436" t="str">
        <f>IF(AND('Mapa final'!$P$26="Muy Alta",'Mapa final'!$S$26="Mayor"),CONCATENATE("R",'Mapa final'!$A$26),"")</f>
        <v/>
      </c>
      <c r="AI17" s="436"/>
      <c r="AJ17" s="426" t="str">
        <f>IF(AND('Mapa final'!$P$24="Muy Alta",'Mapa final'!$S$24="Catastrófico"),CONCATENATE("R",'Mapa final'!$A$24),"")</f>
        <v/>
      </c>
      <c r="AK17" s="427"/>
      <c r="AL17" s="427" t="str">
        <f>IF(AND('Mapa final'!$P$25="Muy Alta",'Mapa final'!$S$25="Catastrófico"),CONCATENATE("R",'Mapa final'!$A$25),"")</f>
        <v/>
      </c>
      <c r="AM17" s="427"/>
      <c r="AN17" s="427" t="str">
        <f>IF(AND('Mapa final'!$P$26="Muy Alta",'Mapa final'!$S$26="Catastrófico"),CONCATENATE("R",'Mapa final'!$A$26),"")</f>
        <v/>
      </c>
      <c r="AO17" s="428"/>
      <c r="AP17" s="68"/>
      <c r="AQ17" s="481"/>
      <c r="AR17" s="482"/>
      <c r="AS17" s="482"/>
      <c r="AT17" s="482"/>
      <c r="AU17" s="482"/>
      <c r="AV17" s="483"/>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x14ac:dyDescent="0.45">
      <c r="C18" s="68"/>
      <c r="D18" s="476"/>
      <c r="E18" s="476"/>
      <c r="F18" s="477"/>
      <c r="G18" s="451"/>
      <c r="H18" s="452"/>
      <c r="I18" s="452"/>
      <c r="J18" s="452"/>
      <c r="K18" s="452"/>
      <c r="L18" s="438"/>
      <c r="M18" s="439"/>
      <c r="N18" s="439"/>
      <c r="O18" s="439"/>
      <c r="P18" s="439"/>
      <c r="Q18" s="440"/>
      <c r="R18" s="438"/>
      <c r="S18" s="439"/>
      <c r="T18" s="439"/>
      <c r="U18" s="439"/>
      <c r="V18" s="439"/>
      <c r="W18" s="439"/>
      <c r="X18" s="435"/>
      <c r="Y18" s="436"/>
      <c r="Z18" s="436"/>
      <c r="AA18" s="436"/>
      <c r="AB18" s="436"/>
      <c r="AC18" s="436"/>
      <c r="AD18" s="435"/>
      <c r="AE18" s="436"/>
      <c r="AF18" s="436"/>
      <c r="AG18" s="436"/>
      <c r="AH18" s="436"/>
      <c r="AI18" s="436"/>
      <c r="AJ18" s="426"/>
      <c r="AK18" s="427"/>
      <c r="AL18" s="427"/>
      <c r="AM18" s="427"/>
      <c r="AN18" s="427"/>
      <c r="AO18" s="428"/>
      <c r="AP18" s="68"/>
      <c r="AQ18" s="484"/>
      <c r="AR18" s="485"/>
      <c r="AS18" s="485"/>
      <c r="AT18" s="485"/>
      <c r="AU18" s="485"/>
      <c r="AV18" s="486"/>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x14ac:dyDescent="0.4">
      <c r="C19" s="68"/>
      <c r="D19" s="476"/>
      <c r="E19" s="476"/>
      <c r="F19" s="477"/>
      <c r="G19" s="444" t="s">
        <v>267</v>
      </c>
      <c r="H19" s="446"/>
      <c r="I19" s="446"/>
      <c r="J19" s="446"/>
      <c r="K19" s="446"/>
      <c r="L19" s="423"/>
      <c r="M19" s="424"/>
      <c r="N19" s="424" t="str">
        <f>IF(AND('Mapa final'!$K$15="Alta",'Mapa final'!$O$15="Leve"),CONCATENATE("R",'Mapa final'!$A$16),"")</f>
        <v/>
      </c>
      <c r="O19" s="424"/>
      <c r="P19" s="424" t="str">
        <f>IF(AND('Mapa final'!$K$17="Alta",'Mapa final'!$O$17="Leve"),CONCATENATE("R",'Mapa final'!$A$17),"")</f>
        <v/>
      </c>
      <c r="Q19" s="425"/>
      <c r="R19" s="423"/>
      <c r="S19" s="424"/>
      <c r="T19" s="418" t="str">
        <f>IF(AND('Mapa final'!$P$15="Alta",'Mapa final'!$S$15="Menor"),CONCATENATE("R",'Mapa final'!$A$16),"")</f>
        <v/>
      </c>
      <c r="U19" s="418"/>
      <c r="V19" s="418" t="str">
        <f>IF(AND('Mapa final'!$P$17="Alta",'Mapa final'!$S$17="Menor"),CONCATENATE("R",'Mapa final'!$A$17),"")</f>
        <v/>
      </c>
      <c r="W19" s="418"/>
      <c r="X19" s="441"/>
      <c r="Y19" s="442"/>
      <c r="Z19" s="442" t="str">
        <f>IF(AND('Mapa final'!P$15="Alta",'Mapa final'!$S$15="Moderado"),CONCATENATE("R",'Mapa final'!$A$16),"")</f>
        <v/>
      </c>
      <c r="AA19" s="442"/>
      <c r="AB19" s="442" t="str">
        <f>IF(AND('Mapa final'!$P$17="Alta",'Mapa final'!$S$17="Moderado"),CONCATENATE("R",'Mapa final'!$A$17),"")</f>
        <v/>
      </c>
      <c r="AC19" s="442"/>
      <c r="AD19" s="441"/>
      <c r="AE19" s="442"/>
      <c r="AF19" s="442" t="str">
        <f>IF(AND('Mapa final'!$P$15="Alta",'Mapa final'!$S$15="Mayor"),CONCATENATE("R",'Mapa final'!$A$16),"")</f>
        <v/>
      </c>
      <c r="AG19" s="442"/>
      <c r="AH19" s="442" t="str">
        <f>IF(AND('Mapa final'!$P$17="Alta",'Mapa final'!$S$17="Mayor"),CONCATENATE("R",'Mapa final'!$A$17),"")</f>
        <v/>
      </c>
      <c r="AI19" s="442"/>
      <c r="AJ19" s="432"/>
      <c r="AK19" s="433"/>
      <c r="AL19" s="433" t="str">
        <f>IF(AND('Mapa final'!$P$15="Alta",'Mapa final'!$S$15="Catastrófico"),CONCATENATE("R",'Mapa final'!$A$16),"")</f>
        <v/>
      </c>
      <c r="AM19" s="433"/>
      <c r="AN19" s="433" t="str">
        <f>IF(AND('Mapa final'!$P$17="Alta",'Mapa final'!$S$17="Catastrófico"),CONCATENATE("R",'Mapa final'!$A$17),"")</f>
        <v/>
      </c>
      <c r="AO19" s="434"/>
      <c r="AP19" s="68"/>
      <c r="AQ19" s="487" t="s">
        <v>268</v>
      </c>
      <c r="AR19" s="488"/>
      <c r="AS19" s="488"/>
      <c r="AT19" s="488"/>
      <c r="AU19" s="488"/>
      <c r="AV19" s="489"/>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x14ac:dyDescent="0.4">
      <c r="C20" s="68"/>
      <c r="D20" s="476"/>
      <c r="E20" s="476"/>
      <c r="F20" s="477"/>
      <c r="G20" s="448"/>
      <c r="H20" s="449"/>
      <c r="I20" s="449"/>
      <c r="J20" s="449"/>
      <c r="K20" s="449"/>
      <c r="L20" s="417"/>
      <c r="M20" s="418"/>
      <c r="N20" s="418"/>
      <c r="O20" s="418"/>
      <c r="P20" s="418"/>
      <c r="Q20" s="419"/>
      <c r="R20" s="417"/>
      <c r="S20" s="418"/>
      <c r="T20" s="418"/>
      <c r="U20" s="418"/>
      <c r="V20" s="418"/>
      <c r="W20" s="418"/>
      <c r="X20" s="435"/>
      <c r="Y20" s="436"/>
      <c r="Z20" s="436"/>
      <c r="AA20" s="436"/>
      <c r="AB20" s="436"/>
      <c r="AC20" s="436"/>
      <c r="AD20" s="435"/>
      <c r="AE20" s="436"/>
      <c r="AF20" s="436"/>
      <c r="AG20" s="436"/>
      <c r="AH20" s="436"/>
      <c r="AI20" s="436"/>
      <c r="AJ20" s="426"/>
      <c r="AK20" s="427"/>
      <c r="AL20" s="427"/>
      <c r="AM20" s="427"/>
      <c r="AN20" s="427"/>
      <c r="AO20" s="428"/>
      <c r="AP20" s="68"/>
      <c r="AQ20" s="490"/>
      <c r="AR20" s="491"/>
      <c r="AS20" s="491"/>
      <c r="AT20" s="491"/>
      <c r="AU20" s="491"/>
      <c r="AV20" s="492"/>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x14ac:dyDescent="0.4">
      <c r="C21" s="68"/>
      <c r="D21" s="476"/>
      <c r="E21" s="476"/>
      <c r="F21" s="477"/>
      <c r="G21" s="448"/>
      <c r="H21" s="449"/>
      <c r="I21" s="449"/>
      <c r="J21" s="449"/>
      <c r="K21" s="449"/>
      <c r="L21" s="417" t="e">
        <f>IF(AND('Mapa final'!#REF!="Alta",'Mapa final'!#REF!="Leve"),CONCATENATE("R",'Mapa final'!#REF!),"")</f>
        <v>#REF!</v>
      </c>
      <c r="M21" s="418"/>
      <c r="N21" s="418" t="str">
        <f>IF(AND('Mapa final'!$K$19="Alta",'Mapa final'!$O$19="Leve"),CONCATENATE("R",'Mapa final'!$A$19),"")</f>
        <v/>
      </c>
      <c r="O21" s="418"/>
      <c r="P21" s="418" t="str">
        <f>IF(AND('Mapa final'!$K$20="Alta",'Mapa final'!$O$20="Leve"),CONCATENATE("R",'Mapa final'!$A$20),"")</f>
        <v/>
      </c>
      <c r="Q21" s="419"/>
      <c r="R21" s="417" t="e">
        <f>IF(AND('Mapa final'!#REF!="Alta",'Mapa final'!#REF!="Menor"),CONCATENATE("R",'Mapa final'!#REF!),"")</f>
        <v>#REF!</v>
      </c>
      <c r="S21" s="418"/>
      <c r="T21" s="418" t="str">
        <f>IF(AND('Mapa final'!$P$19="Alta",'Mapa final'!$S$19="Menor"),CONCATENATE("R",'Mapa final'!$A$19),"")</f>
        <v/>
      </c>
      <c r="U21" s="418"/>
      <c r="V21" s="418" t="str">
        <f>IF(AND('Mapa final'!$P$20="Alta",'Mapa final'!$S$20="Menor"),CONCATENATE("R",'Mapa final'!$A$20),"")</f>
        <v/>
      </c>
      <c r="W21" s="418"/>
      <c r="X21" s="435" t="e">
        <f>IF(AND('Mapa final'!#REF!="Alta",'Mapa final'!#REF!="Moderado"),CONCATENATE("R",'Mapa final'!#REF!),"")</f>
        <v>#REF!</v>
      </c>
      <c r="Y21" s="436"/>
      <c r="Z21" s="436" t="str">
        <f>IF(AND('Mapa final'!$P$19="Alta",'Mapa final'!$S$19="Moderado"),CONCATENATE("R",'Mapa final'!$A$19),"")</f>
        <v/>
      </c>
      <c r="AA21" s="436"/>
      <c r="AB21" s="436" t="str">
        <f>IF(AND('Mapa final'!$P$20="Alta",'Mapa final'!$S$20="Moderado"),CONCATENATE("R",'Mapa final'!$A$20),"")</f>
        <v/>
      </c>
      <c r="AC21" s="436"/>
      <c r="AD21" s="435" t="e">
        <f>IF(AND('Mapa final'!#REF!="Alta",'Mapa final'!#REF!="Mayor"),CONCATENATE("R",'Mapa final'!#REF!),"")</f>
        <v>#REF!</v>
      </c>
      <c r="AE21" s="436"/>
      <c r="AF21" s="436" t="str">
        <f>IF(AND('Mapa final'!$P$19="Alta",'Mapa final'!$S$19="Mayor"),CONCATENATE("R",'Mapa final'!$A$19),"")</f>
        <v/>
      </c>
      <c r="AG21" s="436"/>
      <c r="AH21" s="436" t="str">
        <f>IF(AND('Mapa final'!$P$20="Alta",'Mapa final'!$S$20="Mayor"),CONCATENATE("R",'Mapa final'!$A$20),"")</f>
        <v/>
      </c>
      <c r="AI21" s="436"/>
      <c r="AJ21" s="426" t="e">
        <f>IF(AND('Mapa final'!#REF!="Alta",'Mapa final'!#REF!="Catastrófico"),CONCATENATE("R",'Mapa final'!#REF!),"")</f>
        <v>#REF!</v>
      </c>
      <c r="AK21" s="427"/>
      <c r="AL21" s="427" t="str">
        <f>IF(AND('Mapa final'!$P$19="Alta",'Mapa final'!$S$19="Catastrófico"),CONCATENATE("R",'Mapa final'!$A$19),"")</f>
        <v/>
      </c>
      <c r="AM21" s="427"/>
      <c r="AN21" s="427" t="str">
        <f>IF(AND('Mapa final'!$P$20="Alta",'Mapa final'!$K$20="Catastrófico"),CONCATENATE("R",'Mapa final'!$A$20),"")</f>
        <v/>
      </c>
      <c r="AO21" s="428"/>
      <c r="AP21" s="68"/>
      <c r="AQ21" s="490"/>
      <c r="AR21" s="491"/>
      <c r="AS21" s="491"/>
      <c r="AT21" s="491"/>
      <c r="AU21" s="491"/>
      <c r="AV21" s="492"/>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x14ac:dyDescent="0.4">
      <c r="C22" s="68"/>
      <c r="D22" s="476"/>
      <c r="E22" s="476"/>
      <c r="F22" s="477"/>
      <c r="G22" s="448"/>
      <c r="H22" s="449"/>
      <c r="I22" s="449"/>
      <c r="J22" s="449"/>
      <c r="K22" s="449"/>
      <c r="L22" s="417"/>
      <c r="M22" s="418"/>
      <c r="N22" s="418"/>
      <c r="O22" s="418"/>
      <c r="P22" s="418"/>
      <c r="Q22" s="419"/>
      <c r="R22" s="417"/>
      <c r="S22" s="418"/>
      <c r="T22" s="418"/>
      <c r="U22" s="418"/>
      <c r="V22" s="418"/>
      <c r="W22" s="418"/>
      <c r="X22" s="435"/>
      <c r="Y22" s="436"/>
      <c r="Z22" s="436"/>
      <c r="AA22" s="436"/>
      <c r="AB22" s="436"/>
      <c r="AC22" s="436"/>
      <c r="AD22" s="435"/>
      <c r="AE22" s="436"/>
      <c r="AF22" s="436"/>
      <c r="AG22" s="436"/>
      <c r="AH22" s="436"/>
      <c r="AI22" s="436"/>
      <c r="AJ22" s="426"/>
      <c r="AK22" s="427"/>
      <c r="AL22" s="427"/>
      <c r="AM22" s="427"/>
      <c r="AN22" s="427"/>
      <c r="AO22" s="428"/>
      <c r="AP22" s="68"/>
      <c r="AQ22" s="490"/>
      <c r="AR22" s="491"/>
      <c r="AS22" s="491"/>
      <c r="AT22" s="491"/>
      <c r="AU22" s="491"/>
      <c r="AV22" s="492"/>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x14ac:dyDescent="0.4">
      <c r="C23" s="68"/>
      <c r="D23" s="476"/>
      <c r="E23" s="476"/>
      <c r="F23" s="477"/>
      <c r="G23" s="448"/>
      <c r="H23" s="449"/>
      <c r="I23" s="449"/>
      <c r="J23" s="449"/>
      <c r="K23" s="449"/>
      <c r="L23" s="417" t="str">
        <f>IF(AND('Mapa final'!$P$21="Alta",'Mapa final'!$S$21="Leve"),CONCATENATE("R",'Mapa final'!$A$21),"")</f>
        <v/>
      </c>
      <c r="M23" s="418"/>
      <c r="N23" s="418" t="e">
        <f>IF(AND('Mapa final'!#REF!="Alta",'Mapa final'!#REF!="Leve"),CONCATENATE("R",'Mapa final'!#REF!),"")</f>
        <v>#REF!</v>
      </c>
      <c r="O23" s="418"/>
      <c r="P23" s="418" t="str">
        <f>IF(AND('Mapa final'!$K$23="Alta",'Mapa final'!$O$23="Leve"),CONCATENATE("R",'Mapa final'!$A$23),"")</f>
        <v/>
      </c>
      <c r="Q23" s="419"/>
      <c r="R23" s="417" t="str">
        <f>IF(AND('Mapa final'!$P$21="Alta",'Mapa final'!$S$21="Menor"),CONCATENATE("R",'Mapa final'!$A$21),"")</f>
        <v/>
      </c>
      <c r="S23" s="418"/>
      <c r="T23" s="418" t="e">
        <f>IF(AND('Mapa final'!#REF!="Alta",'Mapa final'!#REF!="Menor"),CONCATENATE("R",'Mapa final'!#REF!),"")</f>
        <v>#REF!</v>
      </c>
      <c r="U23" s="418"/>
      <c r="V23" s="418" t="str">
        <f>IF(AND('Mapa final'!$P$23="Alta",'Mapa final'!$S$23="Menor"),CONCATENATE("R",'Mapa final'!$A$23),"")</f>
        <v/>
      </c>
      <c r="W23" s="418"/>
      <c r="X23" s="435" t="str">
        <f>IF(AND('Mapa final'!$P$21="Alta",'Mapa final'!$S$21="Moderado"),CONCATENATE("R",'Mapa final'!$A$21),"")</f>
        <v>R</v>
      </c>
      <c r="Y23" s="436"/>
      <c r="Z23" s="436" t="e">
        <f>IF(AND('Mapa final'!#REF!="Alta",'Mapa final'!#REF!="Moderado"),CONCATENATE("R",'Mapa final'!#REF!),"")</f>
        <v>#REF!</v>
      </c>
      <c r="AA23" s="436"/>
      <c r="AB23" s="436" t="str">
        <f>IF(AND('Mapa final'!$P$23="Alta",'Mapa final'!$S$23="Moderado"),CONCATENATE("R",'Mapa final'!$A$23),"")</f>
        <v/>
      </c>
      <c r="AC23" s="436"/>
      <c r="AD23" s="435" t="str">
        <f>IF(AND('Mapa final'!$P$21="Alta",'Mapa final'!$S$21="Mayor"),CONCATENATE("R",'Mapa final'!$A$21),"")</f>
        <v/>
      </c>
      <c r="AE23" s="436"/>
      <c r="AF23" s="436" t="e">
        <f>IF(AND('Mapa final'!#REF!="Alta",'Mapa final'!#REF!="Mayor"),CONCATENATE("R",'Mapa final'!#REF!),"")</f>
        <v>#REF!</v>
      </c>
      <c r="AG23" s="436"/>
      <c r="AH23" s="436" t="str">
        <f>IF(AND('Mapa final'!$P$23="Alta",'Mapa final'!$S$23="Mayor"),CONCATENATE("R",'Mapa final'!$A$23),"")</f>
        <v/>
      </c>
      <c r="AI23" s="436"/>
      <c r="AJ23" s="426" t="str">
        <f>IF(AND('Mapa final'!$P$21="Alta",'Mapa final'!$S$21="Catastrófico"),CONCATENATE("R",'Mapa final'!$A$21),"")</f>
        <v/>
      </c>
      <c r="AK23" s="427"/>
      <c r="AL23" s="427" t="e">
        <f>IF(AND('Mapa final'!#REF!="Alta",'Mapa final'!#REF!="Catastrófico"),CONCATENATE("R",'Mapa final'!#REF!),"")</f>
        <v>#REF!</v>
      </c>
      <c r="AM23" s="427"/>
      <c r="AN23" s="427" t="str">
        <f>IF(AND('Mapa final'!$P$23="Alta",'Mapa final'!$S$23="Catastrófico"),CONCATENATE("R",'Mapa final'!$A$23),"")</f>
        <v/>
      </c>
      <c r="AO23" s="428"/>
      <c r="AP23" s="68"/>
      <c r="AQ23" s="490"/>
      <c r="AR23" s="491"/>
      <c r="AS23" s="491"/>
      <c r="AT23" s="491"/>
      <c r="AU23" s="491"/>
      <c r="AV23" s="492"/>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x14ac:dyDescent="0.4">
      <c r="C24" s="68"/>
      <c r="D24" s="476"/>
      <c r="E24" s="476"/>
      <c r="F24" s="477"/>
      <c r="G24" s="448"/>
      <c r="H24" s="449"/>
      <c r="I24" s="449"/>
      <c r="J24" s="449"/>
      <c r="K24" s="449"/>
      <c r="L24" s="417"/>
      <c r="M24" s="418"/>
      <c r="N24" s="418"/>
      <c r="O24" s="418"/>
      <c r="P24" s="418"/>
      <c r="Q24" s="419"/>
      <c r="R24" s="417"/>
      <c r="S24" s="418"/>
      <c r="T24" s="418"/>
      <c r="U24" s="418"/>
      <c r="V24" s="418"/>
      <c r="W24" s="418"/>
      <c r="X24" s="435"/>
      <c r="Y24" s="436"/>
      <c r="Z24" s="436"/>
      <c r="AA24" s="436"/>
      <c r="AB24" s="436"/>
      <c r="AC24" s="436"/>
      <c r="AD24" s="435"/>
      <c r="AE24" s="436"/>
      <c r="AF24" s="436"/>
      <c r="AG24" s="436"/>
      <c r="AH24" s="436"/>
      <c r="AI24" s="436"/>
      <c r="AJ24" s="426"/>
      <c r="AK24" s="427"/>
      <c r="AL24" s="427"/>
      <c r="AM24" s="427"/>
      <c r="AN24" s="427"/>
      <c r="AO24" s="428"/>
      <c r="AP24" s="68"/>
      <c r="AQ24" s="490"/>
      <c r="AR24" s="491"/>
      <c r="AS24" s="491"/>
      <c r="AT24" s="491"/>
      <c r="AU24" s="491"/>
      <c r="AV24" s="492"/>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x14ac:dyDescent="0.4">
      <c r="C25" s="68"/>
      <c r="D25" s="476"/>
      <c r="E25" s="476"/>
      <c r="F25" s="477"/>
      <c r="G25" s="448"/>
      <c r="H25" s="449"/>
      <c r="I25" s="449"/>
      <c r="J25" s="449"/>
      <c r="K25" s="449"/>
      <c r="L25" s="417" t="str">
        <f>IF(AND('Mapa final'!$P$24="Alta",'Mapa final'!$S$24="Leve"),CONCATENATE("R",'Mapa final'!$A$24),"")</f>
        <v/>
      </c>
      <c r="M25" s="418"/>
      <c r="N25" s="418" t="str">
        <f>IF(AND('Mapa final'!$K$25="Alta",'Mapa final'!$O$25="Leve"),CONCATENATE("R",'Mapa final'!$A$25),"")</f>
        <v/>
      </c>
      <c r="O25" s="418"/>
      <c r="P25" s="418" t="str">
        <f>IF(AND('Mapa final'!$K$26="Alta",'Mapa final'!$O$26="Leve"),CONCATENATE("R",'Mapa final'!$A$26),"")</f>
        <v/>
      </c>
      <c r="Q25" s="419"/>
      <c r="R25" s="417" t="str">
        <f>IF(AND('Mapa final'!$P$24="Alta",'Mapa final'!$S$24="Menor"),CONCATENATE("R",'Mapa final'!$A$24),"")</f>
        <v/>
      </c>
      <c r="S25" s="418"/>
      <c r="T25" s="418" t="str">
        <f>IF(AND('Mapa final'!$P$25="Alta",'Mapa final'!$S$25="Menor"),CONCATENATE("R",'Mapa final'!$A$25),"")</f>
        <v/>
      </c>
      <c r="U25" s="418"/>
      <c r="V25" s="418" t="str">
        <f>IF(AND('Mapa final'!$P$26="Alta",'Mapa final'!$S$26="Menor"),CONCATENATE("R",'Mapa final'!$A$26),"")</f>
        <v/>
      </c>
      <c r="W25" s="418"/>
      <c r="X25" s="435" t="str">
        <f>IF(AND('Mapa final'!$P$24="Alta",'Mapa final'!$S$24="Moderado"),CONCATENATE("R",'Mapa final'!$A$24),"")</f>
        <v/>
      </c>
      <c r="Y25" s="436"/>
      <c r="Z25" s="436" t="str">
        <f>IF(AND('Mapa final'!$P$25="Alta",'Mapa final'!$S$25="Moderado"),CONCATENATE("R",'Mapa final'!$A$25),"")</f>
        <v/>
      </c>
      <c r="AA25" s="436"/>
      <c r="AB25" s="436" t="str">
        <f>IF(AND('Mapa final'!$P$26="Alta",'Mapa final'!$S$26="Moderado"),CONCATENATE("R",'Mapa final'!$A$26),"")</f>
        <v/>
      </c>
      <c r="AC25" s="436"/>
      <c r="AD25" s="435" t="str">
        <f>IF(AND('Mapa final'!$P$24="Alta",'Mapa final'!$S$24="Mayor"),CONCATENATE("R",'Mapa final'!$A$24),"")</f>
        <v/>
      </c>
      <c r="AE25" s="436"/>
      <c r="AF25" s="436" t="str">
        <f>IF(AND('Mapa final'!$P$25="Alta",'Mapa final'!$S$25="Mayor"),CONCATENATE("R",'Mapa final'!$A$25),"")</f>
        <v/>
      </c>
      <c r="AG25" s="436"/>
      <c r="AH25" s="436" t="str">
        <f>IF(AND('Mapa final'!$P$26="Alta",'Mapa final'!$S$26="Mayor"),CONCATENATE("R",'Mapa final'!$A$26),"")</f>
        <v/>
      </c>
      <c r="AI25" s="436"/>
      <c r="AJ25" s="426" t="str">
        <f>IF(AND('Mapa final'!$P$24="Alta",'Mapa final'!$S$24="Catastrófico"),CONCATENATE("R",'Mapa final'!$A$24),"")</f>
        <v/>
      </c>
      <c r="AK25" s="427"/>
      <c r="AL25" s="427" t="str">
        <f>IF(AND('Mapa final'!$P$25="Alta",'Mapa final'!$S$25="Catastrófico"),CONCATENATE("R",'Mapa final'!$A$25),"")</f>
        <v/>
      </c>
      <c r="AM25" s="427"/>
      <c r="AN25" s="427" t="str">
        <f>IF(AND('Mapa final'!$P$26="Alta",'Mapa final'!$S$26="Catastrófico"),CONCATENATE("R",'Mapa final'!$A$26),"")</f>
        <v/>
      </c>
      <c r="AO25" s="428"/>
      <c r="AP25" s="68"/>
      <c r="AQ25" s="490"/>
      <c r="AR25" s="491"/>
      <c r="AS25" s="491"/>
      <c r="AT25" s="491"/>
      <c r="AU25" s="491"/>
      <c r="AV25" s="492"/>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x14ac:dyDescent="0.45">
      <c r="C26" s="68"/>
      <c r="D26" s="476"/>
      <c r="E26" s="476"/>
      <c r="F26" s="477"/>
      <c r="G26" s="451"/>
      <c r="H26" s="452"/>
      <c r="I26" s="452"/>
      <c r="J26" s="452"/>
      <c r="K26" s="452"/>
      <c r="L26" s="420"/>
      <c r="M26" s="421"/>
      <c r="N26" s="421"/>
      <c r="O26" s="421"/>
      <c r="P26" s="421"/>
      <c r="Q26" s="422"/>
      <c r="R26" s="420"/>
      <c r="S26" s="421"/>
      <c r="T26" s="418"/>
      <c r="U26" s="418"/>
      <c r="V26" s="418"/>
      <c r="W26" s="418"/>
      <c r="X26" s="435"/>
      <c r="Y26" s="436"/>
      <c r="Z26" s="436"/>
      <c r="AA26" s="436"/>
      <c r="AB26" s="436"/>
      <c r="AC26" s="436"/>
      <c r="AD26" s="435"/>
      <c r="AE26" s="436"/>
      <c r="AF26" s="436"/>
      <c r="AG26" s="436"/>
      <c r="AH26" s="436"/>
      <c r="AI26" s="436"/>
      <c r="AJ26" s="426"/>
      <c r="AK26" s="427"/>
      <c r="AL26" s="427"/>
      <c r="AM26" s="427"/>
      <c r="AN26" s="427"/>
      <c r="AO26" s="428"/>
      <c r="AP26" s="68"/>
      <c r="AQ26" s="493"/>
      <c r="AR26" s="494"/>
      <c r="AS26" s="494"/>
      <c r="AT26" s="494"/>
      <c r="AU26" s="494"/>
      <c r="AV26" s="495"/>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x14ac:dyDescent="0.4">
      <c r="C27" s="68"/>
      <c r="D27" s="476"/>
      <c r="E27" s="476"/>
      <c r="F27" s="477"/>
      <c r="G27" s="444" t="s">
        <v>269</v>
      </c>
      <c r="H27" s="446"/>
      <c r="I27" s="446"/>
      <c r="J27" s="446"/>
      <c r="K27" s="446"/>
      <c r="L27" s="423"/>
      <c r="M27" s="424"/>
      <c r="N27" s="424" t="str">
        <f>IF(AND('Mapa final'!$K$15="Media",'Mapa final'!$O$15="Leve"),CONCATENATE("R",'Mapa final'!$A$16),"")</f>
        <v/>
      </c>
      <c r="O27" s="424"/>
      <c r="P27" s="424" t="str">
        <f>IF(AND('Mapa final'!$K$17="Media",'Mapa final'!$O$17="Leve"),CONCATENATE("R",'Mapa final'!$A$17),"")</f>
        <v/>
      </c>
      <c r="Q27" s="425"/>
      <c r="R27" s="423"/>
      <c r="S27" s="424"/>
      <c r="T27" s="424" t="str">
        <f>IF(AND('Mapa final'!$P$15="Media",'Mapa final'!$S$15="Menor"),CONCATENATE("R",'Mapa final'!$A$16),"")</f>
        <v/>
      </c>
      <c r="U27" s="424"/>
      <c r="V27" s="424" t="str">
        <f>IF(AND('Mapa final'!$P$17="Media",'Mapa final'!$S$17="Menor"),CONCATENATE("R",'Mapa final'!$A$17),"")</f>
        <v/>
      </c>
      <c r="W27" s="424"/>
      <c r="X27" s="423"/>
      <c r="Y27" s="424"/>
      <c r="Z27" s="424" t="str">
        <f>IF(AND('Mapa final'!P$15="Media",'Mapa final'!$S$15="Moderado"),CONCATENATE("R",'Mapa final'!$A$16),"")</f>
        <v>R</v>
      </c>
      <c r="AA27" s="424"/>
      <c r="AB27" s="424" t="str">
        <f>IF(AND('Mapa final'!$P$17="Media",'Mapa final'!$S$17="Moderado"),CONCATENATE("R",'Mapa final'!$A$17),"")</f>
        <v>R</v>
      </c>
      <c r="AC27" s="424"/>
      <c r="AD27" s="441"/>
      <c r="AE27" s="442"/>
      <c r="AF27" s="442" t="str">
        <f>IF(AND('Mapa final'!$P$15="Media",'Mapa final'!$S$15="Mayor"),CONCATENATE("R",'Mapa final'!$A$16),"")</f>
        <v/>
      </c>
      <c r="AG27" s="442"/>
      <c r="AH27" s="442" t="str">
        <f>IF(AND('Mapa final'!$P$17="Media",'Mapa final'!$S$17="Mayor"),CONCATENATE("R",'Mapa final'!$A$17),"")</f>
        <v/>
      </c>
      <c r="AI27" s="442"/>
      <c r="AJ27" s="432"/>
      <c r="AK27" s="433"/>
      <c r="AL27" s="433" t="str">
        <f>IF(AND('Mapa final'!$P$15="Media",'Mapa final'!$S$15="Catastrófico"),CONCATENATE("R",'Mapa final'!$A$16),"")</f>
        <v/>
      </c>
      <c r="AM27" s="433"/>
      <c r="AN27" s="433" t="str">
        <f>IF(AND('Mapa final'!$P$17="Media",'Mapa final'!$S$17="Catastrófico"),CONCATENATE("R",'Mapa final'!$A$17),"")</f>
        <v/>
      </c>
      <c r="AO27" s="434"/>
      <c r="AP27" s="68"/>
      <c r="AQ27" s="496" t="s">
        <v>152</v>
      </c>
      <c r="AR27" s="497"/>
      <c r="AS27" s="497"/>
      <c r="AT27" s="497"/>
      <c r="AU27" s="497"/>
      <c r="AV27" s="49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x14ac:dyDescent="0.4">
      <c r="C28" s="68"/>
      <c r="D28" s="476"/>
      <c r="E28" s="476"/>
      <c r="F28" s="477"/>
      <c r="G28" s="448"/>
      <c r="H28" s="449"/>
      <c r="I28" s="449"/>
      <c r="J28" s="449"/>
      <c r="K28" s="449"/>
      <c r="L28" s="417"/>
      <c r="M28" s="418"/>
      <c r="N28" s="418"/>
      <c r="O28" s="418"/>
      <c r="P28" s="418"/>
      <c r="Q28" s="419"/>
      <c r="R28" s="417"/>
      <c r="S28" s="418"/>
      <c r="T28" s="418"/>
      <c r="U28" s="418"/>
      <c r="V28" s="418"/>
      <c r="W28" s="418"/>
      <c r="X28" s="417"/>
      <c r="Y28" s="418"/>
      <c r="Z28" s="418"/>
      <c r="AA28" s="418"/>
      <c r="AB28" s="418"/>
      <c r="AC28" s="418"/>
      <c r="AD28" s="435"/>
      <c r="AE28" s="436"/>
      <c r="AF28" s="436"/>
      <c r="AG28" s="436"/>
      <c r="AH28" s="436"/>
      <c r="AI28" s="436"/>
      <c r="AJ28" s="426"/>
      <c r="AK28" s="427"/>
      <c r="AL28" s="427"/>
      <c r="AM28" s="427"/>
      <c r="AN28" s="427"/>
      <c r="AO28" s="428"/>
      <c r="AP28" s="68"/>
      <c r="AQ28" s="499"/>
      <c r="AR28" s="500"/>
      <c r="AS28" s="500"/>
      <c r="AT28" s="500"/>
      <c r="AU28" s="500"/>
      <c r="AV28" s="501"/>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x14ac:dyDescent="0.4">
      <c r="C29" s="68"/>
      <c r="D29" s="476"/>
      <c r="E29" s="476"/>
      <c r="F29" s="477"/>
      <c r="G29" s="448"/>
      <c r="H29" s="449"/>
      <c r="I29" s="449"/>
      <c r="J29" s="449"/>
      <c r="K29" s="449"/>
      <c r="L29" s="417" t="e">
        <f>IF(AND('Mapa final'!#REF!="Media",'Mapa final'!#REF!="Leve"),CONCATENATE("R",'Mapa final'!#REF!),"")</f>
        <v>#REF!</v>
      </c>
      <c r="M29" s="418"/>
      <c r="N29" s="418" t="str">
        <f>IF(AND('Mapa final'!$K$19="Media",'Mapa final'!$O$19="Leve"),CONCATENATE("R",'Mapa final'!$A$19),"")</f>
        <v/>
      </c>
      <c r="O29" s="418"/>
      <c r="P29" s="418" t="str">
        <f>IF(AND('Mapa final'!$K$20="Media",'Mapa final'!$O$20="Leve"),CONCATENATE("R",'Mapa final'!$A$20),"")</f>
        <v/>
      </c>
      <c r="Q29" s="419"/>
      <c r="R29" s="417" t="e">
        <f>IF(AND('Mapa final'!#REF!="Media",'Mapa final'!#REF!="Menor"),CONCATENATE("R",'Mapa final'!#REF!),"")</f>
        <v>#REF!</v>
      </c>
      <c r="S29" s="418"/>
      <c r="T29" s="418" t="str">
        <f>IF(AND('Mapa final'!$P$19="Media",'Mapa final'!$S$19="Menor"),CONCATENATE("R",'Mapa final'!$A$19),"")</f>
        <v/>
      </c>
      <c r="U29" s="418"/>
      <c r="V29" s="418" t="str">
        <f>IF(AND('Mapa final'!$P$20="Media",'Mapa final'!$S$20="Menor"),CONCATENATE("R",'Mapa final'!$A$20),"")</f>
        <v/>
      </c>
      <c r="W29" s="418"/>
      <c r="X29" s="417" t="e">
        <f>IF(AND('Mapa final'!#REF!="Media",'Mapa final'!#REF!="Moderado"),CONCATENATE("R",'Mapa final'!#REF!),"")</f>
        <v>#REF!</v>
      </c>
      <c r="Y29" s="418"/>
      <c r="Z29" s="418" t="str">
        <f>IF(AND('Mapa final'!$P$19="Media",'Mapa final'!$S$19="Moderado"),CONCATENATE("R",'Mapa final'!$A$19),"")</f>
        <v>R</v>
      </c>
      <c r="AA29" s="418"/>
      <c r="AB29" s="418" t="str">
        <f>IF(AND('Mapa final'!$P$20="Media",'Mapa final'!$S$20="Moderado"),CONCATENATE("R",'Mapa final'!$A$20),"")</f>
        <v/>
      </c>
      <c r="AC29" s="418"/>
      <c r="AD29" s="435" t="e">
        <f>IF(AND('Mapa final'!#REF!="Media",'Mapa final'!#REF!="Mayor"),CONCATENATE("R",'Mapa final'!#REF!),"")</f>
        <v>#REF!</v>
      </c>
      <c r="AE29" s="436"/>
      <c r="AF29" s="436" t="str">
        <f>IF(AND('Mapa final'!$P$19="Media",'Mapa final'!$S$19="Mayor"),CONCATENATE("R",'Mapa final'!$A$19),"")</f>
        <v/>
      </c>
      <c r="AG29" s="436"/>
      <c r="AH29" s="436" t="str">
        <f>IF(AND('Mapa final'!$P$20="Media",'Mapa final'!$S$20="Mayor"),CONCATENATE("R",'Mapa final'!$A$20),"")</f>
        <v/>
      </c>
      <c r="AI29" s="436"/>
      <c r="AJ29" s="426" t="e">
        <f>IF(AND('Mapa final'!#REF!="Media",'Mapa final'!#REF!="Catastrófico"),CONCATENATE("R",'Mapa final'!#REF!),"")</f>
        <v>#REF!</v>
      </c>
      <c r="AK29" s="427"/>
      <c r="AL29" s="427" t="str">
        <f>IF(AND('Mapa final'!$P$19="Media",'Mapa final'!$S$19="Catastrófico"),CONCATENATE("R",'Mapa final'!$A$19),"")</f>
        <v/>
      </c>
      <c r="AM29" s="427"/>
      <c r="AN29" s="427" t="str">
        <f>IF(AND('Mapa final'!$P$20="Media",'Mapa final'!$K$20="Catastrófico"),CONCATENATE("R",'Mapa final'!$A$20),"")</f>
        <v/>
      </c>
      <c r="AO29" s="428"/>
      <c r="AP29" s="68"/>
      <c r="AQ29" s="499"/>
      <c r="AR29" s="500"/>
      <c r="AS29" s="500"/>
      <c r="AT29" s="500"/>
      <c r="AU29" s="500"/>
      <c r="AV29" s="501"/>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x14ac:dyDescent="0.4">
      <c r="C30" s="68"/>
      <c r="D30" s="476"/>
      <c r="E30" s="476"/>
      <c r="F30" s="477"/>
      <c r="G30" s="448"/>
      <c r="H30" s="449"/>
      <c r="I30" s="449"/>
      <c r="J30" s="449"/>
      <c r="K30" s="449"/>
      <c r="L30" s="417"/>
      <c r="M30" s="418"/>
      <c r="N30" s="418"/>
      <c r="O30" s="418"/>
      <c r="P30" s="418"/>
      <c r="Q30" s="419"/>
      <c r="R30" s="417"/>
      <c r="S30" s="418"/>
      <c r="T30" s="418"/>
      <c r="U30" s="418"/>
      <c r="V30" s="418"/>
      <c r="W30" s="418"/>
      <c r="X30" s="417"/>
      <c r="Y30" s="418"/>
      <c r="Z30" s="418"/>
      <c r="AA30" s="418"/>
      <c r="AB30" s="418"/>
      <c r="AC30" s="418"/>
      <c r="AD30" s="435"/>
      <c r="AE30" s="436"/>
      <c r="AF30" s="436"/>
      <c r="AG30" s="436"/>
      <c r="AH30" s="436"/>
      <c r="AI30" s="436"/>
      <c r="AJ30" s="426"/>
      <c r="AK30" s="427"/>
      <c r="AL30" s="427"/>
      <c r="AM30" s="427"/>
      <c r="AN30" s="427"/>
      <c r="AO30" s="428"/>
      <c r="AP30" s="68"/>
      <c r="AQ30" s="499"/>
      <c r="AR30" s="500"/>
      <c r="AS30" s="500"/>
      <c r="AT30" s="500"/>
      <c r="AU30" s="500"/>
      <c r="AV30" s="501"/>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x14ac:dyDescent="0.4">
      <c r="C31" s="68"/>
      <c r="D31" s="476"/>
      <c r="E31" s="476"/>
      <c r="F31" s="477"/>
      <c r="G31" s="448"/>
      <c r="H31" s="449"/>
      <c r="I31" s="449"/>
      <c r="J31" s="449"/>
      <c r="K31" s="449"/>
      <c r="L31" s="417" t="str">
        <f>IF(AND('Mapa final'!$P$21="Media",'Mapa final'!$S$21="Leve"),CONCATENATE("R",'Mapa final'!$A$21),"")</f>
        <v/>
      </c>
      <c r="M31" s="418"/>
      <c r="N31" s="418" t="e">
        <f>IF(AND('Mapa final'!#REF!="Media",'Mapa final'!#REF!="Leve"),CONCATENATE("R",'Mapa final'!#REF!),"")</f>
        <v>#REF!</v>
      </c>
      <c r="O31" s="418"/>
      <c r="P31" s="418" t="str">
        <f>IF(AND('Mapa final'!$K$23="Media",'Mapa final'!$O$23="Leve"),CONCATENATE("R",'Mapa final'!$A$23),"")</f>
        <v/>
      </c>
      <c r="Q31" s="419"/>
      <c r="R31" s="417" t="str">
        <f>IF(AND('Mapa final'!$P$21="Media",'Mapa final'!$S$21="Menor"),CONCATENATE("R",'Mapa final'!$A$21),"")</f>
        <v/>
      </c>
      <c r="S31" s="418"/>
      <c r="T31" s="418" t="e">
        <f>IF(AND('Mapa final'!#REF!="Media",'Mapa final'!#REF!="Menor"),CONCATENATE("R",'Mapa final'!#REF!),"")</f>
        <v>#REF!</v>
      </c>
      <c r="U31" s="418"/>
      <c r="V31" s="418" t="str">
        <f>IF(AND('Mapa final'!$P$23="Media",'Mapa final'!$S$23="Menor"),CONCATENATE("R",'Mapa final'!$A$23),"")</f>
        <v/>
      </c>
      <c r="W31" s="418"/>
      <c r="X31" s="417" t="str">
        <f>IF(AND('Mapa final'!$P$21="Media",'Mapa final'!$S$21="Moderado"),CONCATENATE("R",'Mapa final'!$A$21),"")</f>
        <v/>
      </c>
      <c r="Y31" s="418"/>
      <c r="Z31" s="418" t="e">
        <f>IF(AND('Mapa final'!#REF!="Media",'Mapa final'!#REF!="Moderado"),CONCATENATE("R",'Mapa final'!#REF!),"")</f>
        <v>#REF!</v>
      </c>
      <c r="AA31" s="418"/>
      <c r="AB31" s="418" t="str">
        <f>IF(AND('Mapa final'!$P$23="Media",'Mapa final'!$S$23="Moderado"),CONCATENATE("R",'Mapa final'!$A$23),"")</f>
        <v/>
      </c>
      <c r="AC31" s="418"/>
      <c r="AD31" s="435" t="str">
        <f>IF(AND('Mapa final'!$P$21="Media",'Mapa final'!$S$21="Mayor"),CONCATENATE("R",'Mapa final'!$A$21),"")</f>
        <v/>
      </c>
      <c r="AE31" s="436"/>
      <c r="AF31" s="436" t="e">
        <f>IF(AND('Mapa final'!#REF!="Media",'Mapa final'!#REF!="Mayor"),CONCATENATE("R",'Mapa final'!#REF!),"")</f>
        <v>#REF!</v>
      </c>
      <c r="AG31" s="436"/>
      <c r="AH31" s="436" t="str">
        <f>IF(AND('Mapa final'!$P$23="Media",'Mapa final'!$S$23="Mayor"),CONCATENATE("R",'Mapa final'!$A$23),"")</f>
        <v/>
      </c>
      <c r="AI31" s="436"/>
      <c r="AJ31" s="426" t="str">
        <f>IF(AND('Mapa final'!$P$21="Media",'Mapa final'!$S$21="Catastrófico"),CONCATENATE("R",'Mapa final'!$A$21),"")</f>
        <v/>
      </c>
      <c r="AK31" s="427"/>
      <c r="AL31" s="427" t="e">
        <f>IF(AND('Mapa final'!#REF!="Media",'Mapa final'!#REF!="Catastrófico"),CONCATENATE("R",'Mapa final'!#REF!),"")</f>
        <v>#REF!</v>
      </c>
      <c r="AM31" s="427"/>
      <c r="AN31" s="427" t="str">
        <f>IF(AND('Mapa final'!$P$23="Media",'Mapa final'!$S$23="Catastrófico"),CONCATENATE("R",'Mapa final'!$A$23),"")</f>
        <v/>
      </c>
      <c r="AO31" s="428"/>
      <c r="AP31" s="68"/>
      <c r="AQ31" s="499"/>
      <c r="AR31" s="500"/>
      <c r="AS31" s="500"/>
      <c r="AT31" s="500"/>
      <c r="AU31" s="500"/>
      <c r="AV31" s="501"/>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x14ac:dyDescent="0.4">
      <c r="C32" s="68"/>
      <c r="D32" s="476"/>
      <c r="E32" s="476"/>
      <c r="F32" s="477"/>
      <c r="G32" s="448"/>
      <c r="H32" s="449"/>
      <c r="I32" s="449"/>
      <c r="J32" s="449"/>
      <c r="K32" s="449"/>
      <c r="L32" s="417"/>
      <c r="M32" s="418"/>
      <c r="N32" s="418"/>
      <c r="O32" s="418"/>
      <c r="P32" s="418"/>
      <c r="Q32" s="419"/>
      <c r="R32" s="417"/>
      <c r="S32" s="418"/>
      <c r="T32" s="418"/>
      <c r="U32" s="418"/>
      <c r="V32" s="418"/>
      <c r="W32" s="418"/>
      <c r="X32" s="417"/>
      <c r="Y32" s="418"/>
      <c r="Z32" s="418"/>
      <c r="AA32" s="418"/>
      <c r="AB32" s="418"/>
      <c r="AC32" s="418"/>
      <c r="AD32" s="435"/>
      <c r="AE32" s="436"/>
      <c r="AF32" s="436"/>
      <c r="AG32" s="436"/>
      <c r="AH32" s="436"/>
      <c r="AI32" s="436"/>
      <c r="AJ32" s="426"/>
      <c r="AK32" s="427"/>
      <c r="AL32" s="427"/>
      <c r="AM32" s="427"/>
      <c r="AN32" s="427"/>
      <c r="AO32" s="428"/>
      <c r="AP32" s="68"/>
      <c r="AQ32" s="499"/>
      <c r="AR32" s="500"/>
      <c r="AS32" s="500"/>
      <c r="AT32" s="500"/>
      <c r="AU32" s="500"/>
      <c r="AV32" s="501"/>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x14ac:dyDescent="0.4">
      <c r="C33" s="68"/>
      <c r="D33" s="476"/>
      <c r="E33" s="476"/>
      <c r="F33" s="477"/>
      <c r="G33" s="448"/>
      <c r="H33" s="449"/>
      <c r="I33" s="449"/>
      <c r="J33" s="449"/>
      <c r="K33" s="449"/>
      <c r="L33" s="417" t="str">
        <f>IF(AND('Mapa final'!$P$24="Mediaa",'Mapa final'!$S$24="Leve"),CONCATENATE("R",'Mapa final'!$A$24),"")</f>
        <v/>
      </c>
      <c r="M33" s="418"/>
      <c r="N33" s="418" t="str">
        <f>IF(AND('Mapa final'!$K$25="Media",'Mapa final'!$O$25="Leve"),CONCATENATE("R",'Mapa final'!$A$25),"")</f>
        <v/>
      </c>
      <c r="O33" s="418"/>
      <c r="P33" s="418" t="str">
        <f>IF(AND('Mapa final'!$K$26="Media",'Mapa final'!$O$26="Leve"),CONCATENATE("R",'Mapa final'!$A$26),"")</f>
        <v/>
      </c>
      <c r="Q33" s="419"/>
      <c r="R33" s="417" t="str">
        <f>IF(AND('Mapa final'!$P$24="Media",'Mapa final'!$S$24="Menor"),CONCATENATE("R",'Mapa final'!$A$24),"")</f>
        <v/>
      </c>
      <c r="S33" s="418"/>
      <c r="T33" s="418" t="str">
        <f>IF(AND('Mapa final'!$P$25="Media",'Mapa final'!$S$25="Menor"),CONCATENATE("R",'Mapa final'!$A$25),"")</f>
        <v/>
      </c>
      <c r="U33" s="418"/>
      <c r="V33" s="418" t="str">
        <f>IF(AND('Mapa final'!$P$26="Media",'Mapa final'!$S$26="Menor"),CONCATENATE("R",'Mapa final'!$A$26),"")</f>
        <v/>
      </c>
      <c r="W33" s="418"/>
      <c r="X33" s="417" t="str">
        <f>IF(AND('Mapa final'!$P$24="Media",'Mapa final'!$S$24="Moderado"),CONCATENATE("R",'Mapa final'!$A$24),"")</f>
        <v/>
      </c>
      <c r="Y33" s="418"/>
      <c r="Z33" s="418" t="str">
        <f>IF(AND('Mapa final'!$P$25="Media",'Mapa final'!$S$25="Moderado"),CONCATENATE("R",'Mapa final'!$A$25),"")</f>
        <v/>
      </c>
      <c r="AA33" s="418"/>
      <c r="AB33" s="418" t="str">
        <f>IF(AND('Mapa final'!$P$26="Media",'Mapa final'!$S$26="Moderado"),CONCATENATE("R",'Mapa final'!$A$26),"")</f>
        <v/>
      </c>
      <c r="AC33" s="418"/>
      <c r="AD33" s="435" t="str">
        <f>IF(AND('Mapa final'!$P$24="Media",'Mapa final'!$S$24="Mayor"),CONCATENATE("R",'Mapa final'!$A$24),"")</f>
        <v/>
      </c>
      <c r="AE33" s="436"/>
      <c r="AF33" s="436" t="str">
        <f>IF(AND('Mapa final'!$P$25="Media",'Mapa final'!$S$25="Mayor"),CONCATENATE("R",'Mapa final'!$A$25),"")</f>
        <v/>
      </c>
      <c r="AG33" s="436"/>
      <c r="AH33" s="436" t="str">
        <f>IF(AND('Mapa final'!$P$26="Media",'Mapa final'!$S$26="Mayor"),CONCATENATE("R",'Mapa final'!$A$26),"")</f>
        <v/>
      </c>
      <c r="AI33" s="436"/>
      <c r="AJ33" s="426" t="str">
        <f>IF(AND('Mapa final'!$P$24="Media",'Mapa final'!$S$24="Catastrófico"),CONCATENATE("R",'Mapa final'!$A$24),"")</f>
        <v/>
      </c>
      <c r="AK33" s="427"/>
      <c r="AL33" s="427" t="str">
        <f>IF(AND('Mapa final'!$P$25="Media",'Mapa final'!$S$25="Catastrófico"),CONCATENATE("R",'Mapa final'!$A$25),"")</f>
        <v/>
      </c>
      <c r="AM33" s="427"/>
      <c r="AN33" s="427" t="str">
        <f>IF(AND('Mapa final'!$P$26="Media",'Mapa final'!$S$26="Catastrófico"),CONCATENATE("R",'Mapa final'!$A$26),"")</f>
        <v/>
      </c>
      <c r="AO33" s="428"/>
      <c r="AP33" s="68"/>
      <c r="AQ33" s="499"/>
      <c r="AR33" s="500"/>
      <c r="AS33" s="500"/>
      <c r="AT33" s="500"/>
      <c r="AU33" s="500"/>
      <c r="AV33" s="501"/>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x14ac:dyDescent="0.45">
      <c r="C34" s="68"/>
      <c r="D34" s="476"/>
      <c r="E34" s="476"/>
      <c r="F34" s="477"/>
      <c r="G34" s="451"/>
      <c r="H34" s="452"/>
      <c r="I34" s="452"/>
      <c r="J34" s="452"/>
      <c r="K34" s="452"/>
      <c r="L34" s="420"/>
      <c r="M34" s="421"/>
      <c r="N34" s="421"/>
      <c r="O34" s="421"/>
      <c r="P34" s="421"/>
      <c r="Q34" s="422"/>
      <c r="R34" s="420"/>
      <c r="S34" s="421"/>
      <c r="T34" s="421"/>
      <c r="U34" s="421"/>
      <c r="V34" s="421"/>
      <c r="W34" s="421"/>
      <c r="X34" s="420"/>
      <c r="Y34" s="421"/>
      <c r="Z34" s="421"/>
      <c r="AA34" s="421"/>
      <c r="AB34" s="421"/>
      <c r="AC34" s="421"/>
      <c r="AD34" s="438"/>
      <c r="AE34" s="439"/>
      <c r="AF34" s="439"/>
      <c r="AG34" s="439"/>
      <c r="AH34" s="439"/>
      <c r="AI34" s="439"/>
      <c r="AJ34" s="426"/>
      <c r="AK34" s="427"/>
      <c r="AL34" s="427"/>
      <c r="AM34" s="427"/>
      <c r="AN34" s="427"/>
      <c r="AO34" s="428"/>
      <c r="AP34" s="68"/>
      <c r="AQ34" s="502"/>
      <c r="AR34" s="503"/>
      <c r="AS34" s="503"/>
      <c r="AT34" s="503"/>
      <c r="AU34" s="503"/>
      <c r="AV34" s="504"/>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x14ac:dyDescent="0.4">
      <c r="C35" s="68"/>
      <c r="D35" s="476"/>
      <c r="E35" s="476"/>
      <c r="F35" s="477"/>
      <c r="G35" s="444" t="s">
        <v>270</v>
      </c>
      <c r="H35" s="446"/>
      <c r="I35" s="446"/>
      <c r="J35" s="446"/>
      <c r="K35" s="446"/>
      <c r="L35" s="413"/>
      <c r="M35" s="414"/>
      <c r="N35" s="414" t="str">
        <f>IF(AND('Mapa final'!$K$15="Baja",'Mapa final'!$O$15="Leve"),CONCATENATE("R",'Mapa final'!$A$16),"")</f>
        <v/>
      </c>
      <c r="O35" s="414"/>
      <c r="P35" s="414" t="str">
        <f>IF(AND('Mapa final'!$K$17="Baja",'Mapa final'!$O$17="Leve"),CONCATENATE("R",'Mapa final'!$A$17),"")</f>
        <v/>
      </c>
      <c r="Q35" s="415"/>
      <c r="R35" s="423"/>
      <c r="S35" s="424"/>
      <c r="T35" s="418" t="str">
        <f>IF(AND('Mapa final'!$P$15="Baja",'Mapa final'!$S$15="Menor"),CONCATENATE("R",'Mapa final'!$A$16),"")</f>
        <v/>
      </c>
      <c r="U35" s="418"/>
      <c r="V35" s="418" t="str">
        <f>IF(AND('Mapa final'!$P$17="Baja",'Mapa final'!$S$17="Menor"),CONCATENATE("R",'Mapa final'!$A$17),"")</f>
        <v/>
      </c>
      <c r="W35" s="419"/>
      <c r="X35" s="417"/>
      <c r="Y35" s="418"/>
      <c r="Z35" s="418" t="str">
        <f>IF(AND('Mapa final'!P$15="Baja",'Mapa final'!$S$15="Moderado"),CONCATENATE("R",'Mapa final'!$A$16),"")</f>
        <v/>
      </c>
      <c r="AA35" s="418"/>
      <c r="AB35" s="418" t="str">
        <f>IF(AND('Mapa final'!$P$17="Baja",'Mapa final'!$S$17="Moderado"),CONCATENATE("R",'Mapa final'!$A$17),"")</f>
        <v/>
      </c>
      <c r="AC35" s="419"/>
      <c r="AD35" s="435"/>
      <c r="AE35" s="436"/>
      <c r="AF35" s="436" t="str">
        <f>IF(AND('Mapa final'!$P$15="Baja",'Mapa final'!$S$15="Mayor"),CONCATENATE("R",'Mapa final'!$A$16),"")</f>
        <v/>
      </c>
      <c r="AG35" s="436"/>
      <c r="AH35" s="436" t="str">
        <f>IF(AND('Mapa final'!$P$17="Baja",'Mapa final'!$S$17="Mayor"),CONCATENATE("R",'Mapa final'!$A$17),"")</f>
        <v/>
      </c>
      <c r="AI35" s="436"/>
      <c r="AJ35" s="432"/>
      <c r="AK35" s="433"/>
      <c r="AL35" s="433" t="str">
        <f>IF(AND('Mapa final'!$P$15="Baja",'Mapa final'!$S$15="Catastrófico"),CONCATENATE("R",'Mapa final'!$A$16),"")</f>
        <v/>
      </c>
      <c r="AM35" s="433"/>
      <c r="AN35" s="433" t="str">
        <f>IF(AND('Mapa final'!$P$17="Baja",'Mapa final'!$S$17="Catastrófico"),CONCATENATE("R",'Mapa final'!$A$17),"")</f>
        <v/>
      </c>
      <c r="AO35" s="434"/>
      <c r="AP35" s="68"/>
      <c r="AQ35" s="505" t="s">
        <v>271</v>
      </c>
      <c r="AR35" s="506"/>
      <c r="AS35" s="506"/>
      <c r="AT35" s="506"/>
      <c r="AU35" s="506"/>
      <c r="AV35" s="507"/>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x14ac:dyDescent="0.4">
      <c r="C36" s="68"/>
      <c r="D36" s="476"/>
      <c r="E36" s="476"/>
      <c r="F36" s="477"/>
      <c r="G36" s="448"/>
      <c r="H36" s="449"/>
      <c r="I36" s="449"/>
      <c r="J36" s="449"/>
      <c r="K36" s="449"/>
      <c r="L36" s="408"/>
      <c r="M36" s="409"/>
      <c r="N36" s="409"/>
      <c r="O36" s="409"/>
      <c r="P36" s="409"/>
      <c r="Q36" s="410"/>
      <c r="R36" s="417"/>
      <c r="S36" s="418"/>
      <c r="T36" s="418"/>
      <c r="U36" s="418"/>
      <c r="V36" s="418"/>
      <c r="W36" s="419"/>
      <c r="X36" s="417"/>
      <c r="Y36" s="418"/>
      <c r="Z36" s="418"/>
      <c r="AA36" s="418"/>
      <c r="AB36" s="418"/>
      <c r="AC36" s="419"/>
      <c r="AD36" s="435"/>
      <c r="AE36" s="436"/>
      <c r="AF36" s="436"/>
      <c r="AG36" s="436"/>
      <c r="AH36" s="436"/>
      <c r="AI36" s="436"/>
      <c r="AJ36" s="426"/>
      <c r="AK36" s="427"/>
      <c r="AL36" s="427"/>
      <c r="AM36" s="427"/>
      <c r="AN36" s="427"/>
      <c r="AO36" s="428"/>
      <c r="AP36" s="68"/>
      <c r="AQ36" s="508"/>
      <c r="AR36" s="509"/>
      <c r="AS36" s="509"/>
      <c r="AT36" s="509"/>
      <c r="AU36" s="509"/>
      <c r="AV36" s="510"/>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x14ac:dyDescent="0.4">
      <c r="C37" s="68"/>
      <c r="D37" s="476"/>
      <c r="E37" s="476"/>
      <c r="F37" s="477"/>
      <c r="G37" s="448"/>
      <c r="H37" s="449"/>
      <c r="I37" s="449"/>
      <c r="J37" s="449"/>
      <c r="K37" s="449"/>
      <c r="L37" s="408" t="e">
        <f>IF(AND('Mapa final'!#REF!="Baja",'Mapa final'!#REF!="Leve"),CONCATENATE("R",'Mapa final'!#REF!),"")</f>
        <v>#REF!</v>
      </c>
      <c r="M37" s="409"/>
      <c r="N37" s="409" t="str">
        <f>IF(AND('Mapa final'!$K$19="Baja",'Mapa final'!$O$19="Leve"),CONCATENATE("R",'Mapa final'!$A$19),"")</f>
        <v/>
      </c>
      <c r="O37" s="409"/>
      <c r="P37" s="409" t="str">
        <f>IF(AND('Mapa final'!$K$20="Baja",'Mapa final'!$O$20="Leve"),CONCATENATE("R",'Mapa final'!$A$20),"")</f>
        <v/>
      </c>
      <c r="Q37" s="410"/>
      <c r="R37" s="417" t="e">
        <f>IF(AND('Mapa final'!#REF!="Baja",'Mapa final'!#REF!="Menor"),CONCATENATE("R",'Mapa final'!#REF!),"")</f>
        <v>#REF!</v>
      </c>
      <c r="S37" s="418"/>
      <c r="T37" s="418" t="str">
        <f>IF(AND('Mapa final'!$P$19="Baja",'Mapa final'!$S$19="Menor"),CONCATENATE("R",'Mapa final'!$A$19),"")</f>
        <v/>
      </c>
      <c r="U37" s="418"/>
      <c r="V37" s="418" t="str">
        <f>IF(AND('Mapa final'!$P$20="Baja",'Mapa final'!$S$20="Menor"),CONCATENATE("R",'Mapa final'!$A$20),"")</f>
        <v/>
      </c>
      <c r="W37" s="419"/>
      <c r="X37" s="417" t="e">
        <f>IF(AND('Mapa final'!#REF!="Baja",'Mapa final'!#REF!="Moderado"),CONCATENATE("R",'Mapa final'!#REF!),"")</f>
        <v>#REF!</v>
      </c>
      <c r="Y37" s="418"/>
      <c r="Z37" s="418" t="str">
        <f>IF(AND('Mapa final'!$P$19="Baja",'Mapa final'!$S$19="Moderado"),CONCATENATE("R",'Mapa final'!$A$19),"")</f>
        <v/>
      </c>
      <c r="AA37" s="418"/>
      <c r="AB37" s="418" t="str">
        <f>IF(AND('Mapa final'!$P$20="Baja",'Mapa final'!$S$20="Moderado"),CONCATENATE("R",'Mapa final'!$A$20),"")</f>
        <v/>
      </c>
      <c r="AC37" s="419"/>
      <c r="AD37" s="435" t="e">
        <f>IF(AND('Mapa final'!#REF!="Baja",'Mapa final'!#REF!="Mayor"),CONCATENATE("R",'Mapa final'!#REF!),"")</f>
        <v>#REF!</v>
      </c>
      <c r="AE37" s="436"/>
      <c r="AF37" s="436" t="str">
        <f>IF(AND('Mapa final'!$P$19="Baja",'Mapa final'!$S$19="Mayor"),CONCATENATE("R",'Mapa final'!$A$19),"")</f>
        <v/>
      </c>
      <c r="AG37" s="436"/>
      <c r="AH37" s="436" t="str">
        <f>IF(AND('Mapa final'!$P$20="Baja",'Mapa final'!$S$20="Mayor"),CONCATENATE("R",'Mapa final'!$A$20),"")</f>
        <v/>
      </c>
      <c r="AI37" s="436"/>
      <c r="AJ37" s="426" t="e">
        <f>IF(AND('Mapa final'!#REF!="Baja",'Mapa final'!#REF!="Catastrófico"),CONCATENATE("R",'Mapa final'!#REF!),"")</f>
        <v>#REF!</v>
      </c>
      <c r="AK37" s="427"/>
      <c r="AL37" s="427" t="str">
        <f>IF(AND('Mapa final'!$P$19="Baja",'Mapa final'!$S$19="Catastrófico"),CONCATENATE("R",'Mapa final'!$A$19),"")</f>
        <v/>
      </c>
      <c r="AM37" s="427"/>
      <c r="AN37" s="427" t="str">
        <f>IF(AND('Mapa final'!$P$20="Baja",'Mapa final'!$K$20="Catastrófico"),CONCATENATE("R",'Mapa final'!$A$20),"")</f>
        <v/>
      </c>
      <c r="AO37" s="428"/>
      <c r="AP37" s="68"/>
      <c r="AQ37" s="508"/>
      <c r="AR37" s="509"/>
      <c r="AS37" s="509"/>
      <c r="AT37" s="509"/>
      <c r="AU37" s="509"/>
      <c r="AV37" s="510"/>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x14ac:dyDescent="0.4">
      <c r="C38" s="68"/>
      <c r="D38" s="476"/>
      <c r="E38" s="476"/>
      <c r="F38" s="477"/>
      <c r="G38" s="448"/>
      <c r="H38" s="449"/>
      <c r="I38" s="449"/>
      <c r="J38" s="449"/>
      <c r="K38" s="449"/>
      <c r="L38" s="408"/>
      <c r="M38" s="409"/>
      <c r="N38" s="409"/>
      <c r="O38" s="409"/>
      <c r="P38" s="409"/>
      <c r="Q38" s="410"/>
      <c r="R38" s="417"/>
      <c r="S38" s="418"/>
      <c r="T38" s="418"/>
      <c r="U38" s="418"/>
      <c r="V38" s="418"/>
      <c r="W38" s="419"/>
      <c r="X38" s="417"/>
      <c r="Y38" s="418"/>
      <c r="Z38" s="418"/>
      <c r="AA38" s="418"/>
      <c r="AB38" s="418"/>
      <c r="AC38" s="419"/>
      <c r="AD38" s="435"/>
      <c r="AE38" s="436"/>
      <c r="AF38" s="436"/>
      <c r="AG38" s="436"/>
      <c r="AH38" s="436"/>
      <c r="AI38" s="436"/>
      <c r="AJ38" s="426"/>
      <c r="AK38" s="427"/>
      <c r="AL38" s="427"/>
      <c r="AM38" s="427"/>
      <c r="AN38" s="427"/>
      <c r="AO38" s="428"/>
      <c r="AP38" s="68"/>
      <c r="AQ38" s="508"/>
      <c r="AR38" s="509"/>
      <c r="AS38" s="509"/>
      <c r="AT38" s="509"/>
      <c r="AU38" s="509"/>
      <c r="AV38" s="510"/>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x14ac:dyDescent="0.4">
      <c r="C39" s="68"/>
      <c r="D39" s="476"/>
      <c r="E39" s="476"/>
      <c r="F39" s="477"/>
      <c r="G39" s="448"/>
      <c r="H39" s="449"/>
      <c r="I39" s="449"/>
      <c r="J39" s="449"/>
      <c r="K39" s="449"/>
      <c r="L39" s="408" t="str">
        <f>IF(AND('Mapa final'!$P$21="Baja",'Mapa final'!$S$21="Leve"),CONCATENATE("R",'Mapa final'!$A$21),"")</f>
        <v/>
      </c>
      <c r="M39" s="409"/>
      <c r="N39" s="409" t="e">
        <f>IF(AND('Mapa final'!#REF!="Baja",'Mapa final'!#REF!="Leve"),CONCATENATE("R",'Mapa final'!#REF!),"")</f>
        <v>#REF!</v>
      </c>
      <c r="O39" s="409"/>
      <c r="P39" s="409" t="str">
        <f>IF(AND('Mapa final'!$K$23="Baja",'Mapa final'!$O$23="Leve"),CONCATENATE("R",'Mapa final'!$A$23),"")</f>
        <v/>
      </c>
      <c r="Q39" s="410"/>
      <c r="R39" s="417" t="str">
        <f>IF(AND('Mapa final'!$P$21="Baja",'Mapa final'!$S$21="Menor"),CONCATENATE("R",'Mapa final'!$A$21),"")</f>
        <v/>
      </c>
      <c r="S39" s="418"/>
      <c r="T39" s="418" t="e">
        <f>IF(AND('Mapa final'!#REF!="Baja",'Mapa final'!#REF!="Menor"),CONCATENATE("R",'Mapa final'!#REF!),"")</f>
        <v>#REF!</v>
      </c>
      <c r="U39" s="418"/>
      <c r="V39" s="418" t="str">
        <f>IF(AND('Mapa final'!$P$23="Baja",'Mapa final'!$S$23="Menor"),CONCATENATE("R",'Mapa final'!$A$23),"")</f>
        <v/>
      </c>
      <c r="W39" s="419"/>
      <c r="X39" s="417" t="str">
        <f>IF(AND('Mapa final'!$P$21="Baja",'Mapa final'!$S$21="Moderado"),CONCATENATE("R",'Mapa final'!$A$21),"")</f>
        <v/>
      </c>
      <c r="Y39" s="418"/>
      <c r="Z39" s="418" t="e">
        <f>IF(AND('Mapa final'!#REF!="Baja",'Mapa final'!#REF!="Moderado"),CONCATENATE("R",'Mapa final'!#REF!),"")</f>
        <v>#REF!</v>
      </c>
      <c r="AA39" s="418"/>
      <c r="AB39" s="418" t="str">
        <f>IF(AND('Mapa final'!$P$23="Baja",'Mapa final'!$S$23="Moderado"),CONCATENATE("R",'Mapa final'!$A$23),"")</f>
        <v/>
      </c>
      <c r="AC39" s="419"/>
      <c r="AD39" s="435" t="str">
        <f>IF(AND('Mapa final'!$P$21="Baja",'Mapa final'!$S$21="Mayor"),CONCATENATE("R",'Mapa final'!$A$21),"")</f>
        <v/>
      </c>
      <c r="AE39" s="436"/>
      <c r="AF39" s="436" t="e">
        <f>IF(AND('Mapa final'!#REF!="Baja",'Mapa final'!#REF!="Mayor"),CONCATENATE("R",'Mapa final'!#REF!),"")</f>
        <v>#REF!</v>
      </c>
      <c r="AG39" s="436"/>
      <c r="AH39" s="436" t="str">
        <f>IF(AND('Mapa final'!$P$23="Baja",'Mapa final'!$S$23="Mayor"),CONCATENATE("R",'Mapa final'!$A$23),"")</f>
        <v/>
      </c>
      <c r="AI39" s="436"/>
      <c r="AJ39" s="426" t="str">
        <f>IF(AND('Mapa final'!$P$21="Baja",'Mapa final'!$S$21="Catastrófico"),CONCATENATE("R",'Mapa final'!$A$21),"")</f>
        <v/>
      </c>
      <c r="AK39" s="427"/>
      <c r="AL39" s="427" t="e">
        <f>IF(AND('Mapa final'!#REF!="Baja",'Mapa final'!#REF!="Catastrófico"),CONCATENATE("R",'Mapa final'!#REF!),"")</f>
        <v>#REF!</v>
      </c>
      <c r="AM39" s="427"/>
      <c r="AN39" s="427" t="str">
        <f>IF(AND('Mapa final'!$P$23="Baja",'Mapa final'!$S$23="Catastrófico"),CONCATENATE("R",'Mapa final'!$A$23),"")</f>
        <v/>
      </c>
      <c r="AO39" s="428"/>
      <c r="AP39" s="68"/>
      <c r="AQ39" s="508"/>
      <c r="AR39" s="509"/>
      <c r="AS39" s="509"/>
      <c r="AT39" s="509"/>
      <c r="AU39" s="509"/>
      <c r="AV39" s="510"/>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x14ac:dyDescent="0.4">
      <c r="C40" s="68"/>
      <c r="D40" s="476"/>
      <c r="E40" s="476"/>
      <c r="F40" s="477"/>
      <c r="G40" s="448"/>
      <c r="H40" s="449"/>
      <c r="I40" s="449"/>
      <c r="J40" s="449"/>
      <c r="K40" s="449"/>
      <c r="L40" s="408"/>
      <c r="M40" s="409"/>
      <c r="N40" s="409"/>
      <c r="O40" s="409"/>
      <c r="P40" s="409"/>
      <c r="Q40" s="410"/>
      <c r="R40" s="417"/>
      <c r="S40" s="418"/>
      <c r="T40" s="418"/>
      <c r="U40" s="418"/>
      <c r="V40" s="418"/>
      <c r="W40" s="419"/>
      <c r="X40" s="417"/>
      <c r="Y40" s="418"/>
      <c r="Z40" s="418"/>
      <c r="AA40" s="418"/>
      <c r="AB40" s="418"/>
      <c r="AC40" s="419"/>
      <c r="AD40" s="435"/>
      <c r="AE40" s="436"/>
      <c r="AF40" s="436"/>
      <c r="AG40" s="436"/>
      <c r="AH40" s="436"/>
      <c r="AI40" s="436"/>
      <c r="AJ40" s="426"/>
      <c r="AK40" s="427"/>
      <c r="AL40" s="427"/>
      <c r="AM40" s="427"/>
      <c r="AN40" s="427"/>
      <c r="AO40" s="428"/>
      <c r="AP40" s="68"/>
      <c r="AQ40" s="508"/>
      <c r="AR40" s="509"/>
      <c r="AS40" s="509"/>
      <c r="AT40" s="509"/>
      <c r="AU40" s="509"/>
      <c r="AV40" s="510"/>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x14ac:dyDescent="0.4">
      <c r="C41" s="68"/>
      <c r="D41" s="476"/>
      <c r="E41" s="476"/>
      <c r="F41" s="477"/>
      <c r="G41" s="448"/>
      <c r="H41" s="449"/>
      <c r="I41" s="449"/>
      <c r="J41" s="449"/>
      <c r="K41" s="449"/>
      <c r="L41" s="408" t="str">
        <f>IF(AND('Mapa final'!$P$24="Baja",'Mapa final'!$S$24="Leve"),CONCATENATE("R",'Mapa final'!$A$24),"")</f>
        <v/>
      </c>
      <c r="M41" s="409"/>
      <c r="N41" s="409" t="str">
        <f>IF(AND('Mapa final'!$K$25="Baja",'Mapa final'!$O$25="Leve"),CONCATENATE("R",'Mapa final'!$A$25),"")</f>
        <v/>
      </c>
      <c r="O41" s="409"/>
      <c r="P41" s="409" t="str">
        <f>IF(AND('Mapa final'!$K$26="Baja",'Mapa final'!$O$26="Leve"),CONCATENATE("R",'Mapa final'!$A$26),"")</f>
        <v/>
      </c>
      <c r="Q41" s="410"/>
      <c r="R41" s="417" t="str">
        <f>IF(AND('Mapa final'!$P$24="Baja",'Mapa final'!$S$24="Menor"),CONCATENATE("R",'Mapa final'!$A$24),"")</f>
        <v/>
      </c>
      <c r="S41" s="418"/>
      <c r="T41" s="418" t="str">
        <f>IF(AND('Mapa final'!$P$25="Baja",'Mapa final'!$S$25="Menor"),CONCATENATE("R",'Mapa final'!$A$25),"")</f>
        <v/>
      </c>
      <c r="U41" s="418"/>
      <c r="V41" s="418" t="str">
        <f>IF(AND('Mapa final'!$P$26="Baja",'Mapa final'!$S$26="Menor"),CONCATENATE("R",'Mapa final'!$A$26),"")</f>
        <v/>
      </c>
      <c r="W41" s="419"/>
      <c r="X41" s="417" t="str">
        <f>IF(AND('Mapa final'!$P$24="Baja",'Mapa final'!$S$24="Moderado"),CONCATENATE("R",'Mapa final'!$A$24),"")</f>
        <v/>
      </c>
      <c r="Y41" s="418"/>
      <c r="Z41" s="418" t="str">
        <f>IF(AND('Mapa final'!$P$25="Baja",'Mapa final'!$S$25="Moderado"),CONCATENATE("R",'Mapa final'!$A$25),"")</f>
        <v/>
      </c>
      <c r="AA41" s="418"/>
      <c r="AB41" s="418" t="str">
        <f>IF(AND('Mapa final'!$P$26="Baja",'Mapa final'!$S$26="Moderado"),CONCATENATE("R",'Mapa final'!$A$26),"")</f>
        <v/>
      </c>
      <c r="AC41" s="419"/>
      <c r="AD41" s="435" t="str">
        <f>IF(AND('Mapa final'!$P$24="Baja",'Mapa final'!$S$24="Mayor"),CONCATENATE("R",'Mapa final'!$A$24),"")</f>
        <v/>
      </c>
      <c r="AE41" s="436"/>
      <c r="AF41" s="436" t="str">
        <f>IF(AND('Mapa final'!$P$25="Baja",'Mapa final'!$S$25="Mayor"),CONCATENATE("R",'Mapa final'!$A$25),"")</f>
        <v/>
      </c>
      <c r="AG41" s="436"/>
      <c r="AH41" s="436" t="str">
        <f>IF(AND('Mapa final'!$P$26="Baja",'Mapa final'!$S$26="Mayor"),CONCATENATE("R",'Mapa final'!$A$26),"")</f>
        <v/>
      </c>
      <c r="AI41" s="436"/>
      <c r="AJ41" s="426" t="str">
        <f>IF(AND('Mapa final'!$P$24="Baja",'Mapa final'!$S$24="Catastrófico"),CONCATENATE("R",'Mapa final'!$A$24),"")</f>
        <v/>
      </c>
      <c r="AK41" s="427"/>
      <c r="AL41" s="427" t="str">
        <f>IF(AND('Mapa final'!$P$25="Baja",'Mapa final'!$S$25="Catastrófico"),CONCATENATE("R",'Mapa final'!$A$25),"")</f>
        <v/>
      </c>
      <c r="AM41" s="427"/>
      <c r="AN41" s="427" t="str">
        <f>IF(AND('Mapa final'!$P$26="Baja",'Mapa final'!$S$26="Catastrófico"),CONCATENATE("R",'Mapa final'!$A$26),"")</f>
        <v/>
      </c>
      <c r="AO41" s="428"/>
      <c r="AP41" s="68"/>
      <c r="AQ41" s="508"/>
      <c r="AR41" s="509"/>
      <c r="AS41" s="509"/>
      <c r="AT41" s="509"/>
      <c r="AU41" s="509"/>
      <c r="AV41" s="510"/>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x14ac:dyDescent="0.45">
      <c r="C42" s="68"/>
      <c r="D42" s="476"/>
      <c r="E42" s="476"/>
      <c r="F42" s="477"/>
      <c r="G42" s="451"/>
      <c r="H42" s="452"/>
      <c r="I42" s="452"/>
      <c r="J42" s="452"/>
      <c r="K42" s="452"/>
      <c r="L42" s="416"/>
      <c r="M42" s="411"/>
      <c r="N42" s="411"/>
      <c r="O42" s="411"/>
      <c r="P42" s="411"/>
      <c r="Q42" s="412"/>
      <c r="R42" s="420"/>
      <c r="S42" s="421"/>
      <c r="T42" s="421"/>
      <c r="U42" s="421"/>
      <c r="V42" s="421"/>
      <c r="W42" s="422"/>
      <c r="X42" s="420"/>
      <c r="Y42" s="421"/>
      <c r="Z42" s="421"/>
      <c r="AA42" s="421"/>
      <c r="AB42" s="421"/>
      <c r="AC42" s="422"/>
      <c r="AD42" s="438"/>
      <c r="AE42" s="439"/>
      <c r="AF42" s="439"/>
      <c r="AG42" s="439"/>
      <c r="AH42" s="439"/>
      <c r="AI42" s="439"/>
      <c r="AJ42" s="429"/>
      <c r="AK42" s="430"/>
      <c r="AL42" s="430"/>
      <c r="AM42" s="430"/>
      <c r="AN42" s="430"/>
      <c r="AO42" s="431"/>
      <c r="AP42" s="68"/>
      <c r="AQ42" s="511"/>
      <c r="AR42" s="512"/>
      <c r="AS42" s="512"/>
      <c r="AT42" s="512"/>
      <c r="AU42" s="512"/>
      <c r="AV42" s="513"/>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x14ac:dyDescent="0.4">
      <c r="C43" s="68"/>
      <c r="D43" s="476"/>
      <c r="E43" s="476"/>
      <c r="F43" s="477"/>
      <c r="G43" s="444" t="s">
        <v>272</v>
      </c>
      <c r="H43" s="446"/>
      <c r="I43" s="446"/>
      <c r="J43" s="446"/>
      <c r="K43" s="446"/>
      <c r="L43" s="413"/>
      <c r="M43" s="414"/>
      <c r="N43" s="414" t="str">
        <f>IF(AND('Mapa final'!$K$15="Muy Baja",'Mapa final'!$O$15="Leve"),CONCATENATE("R",'Mapa final'!$A$16),"")</f>
        <v/>
      </c>
      <c r="O43" s="414"/>
      <c r="P43" s="414" t="str">
        <f>IF(AND('Mapa final'!$K$17="Muy Baja",'Mapa final'!$O$17="Leve"),CONCATENATE("R",'Mapa final'!$A$17),"")</f>
        <v/>
      </c>
      <c r="Q43" s="415"/>
      <c r="R43" s="413"/>
      <c r="S43" s="414"/>
      <c r="T43" s="414" t="str">
        <f>IF(AND('Mapa final'!$P$15="Muy Baja",'Mapa final'!$S$15="Menor"),CONCATENATE("R",'Mapa final'!$A$16),"")</f>
        <v/>
      </c>
      <c r="U43" s="414"/>
      <c r="V43" s="414" t="str">
        <f>IF(AND('Mapa final'!$P$17="Muy Baja",'Mapa final'!$S$17="Menor"),CONCATENATE("R",'Mapa final'!$A$17),"")</f>
        <v/>
      </c>
      <c r="W43" s="415"/>
      <c r="X43" s="423"/>
      <c r="Y43" s="424"/>
      <c r="Z43" s="424" t="str">
        <f>IF(AND('Mapa final'!P$15="Muy Baja",'Mapa final'!$S$15="Moderado"),CONCATENATE("R",'Mapa final'!$D$15),"")</f>
        <v/>
      </c>
      <c r="AA43" s="424"/>
      <c r="AB43" s="424" t="str">
        <f>IF(AND('Mapa final'!$P$17="Muy Baja",'Mapa final'!$S$17="Moderado"),CONCATENATE("R",'Mapa final'!$A$17),"")</f>
        <v/>
      </c>
      <c r="AC43" s="425"/>
      <c r="AD43" s="441"/>
      <c r="AE43" s="442"/>
      <c r="AF43" s="442" t="str">
        <f>IF(AND('Mapa final'!$P$15="Muy Baja",'Mapa final'!$S$15="Mayor"),CONCATENATE("R",'Mapa final'!$A$16),"")</f>
        <v/>
      </c>
      <c r="AG43" s="442"/>
      <c r="AH43" s="442" t="str">
        <f>IF(AND('Mapa final'!$P$17="Muy Baja",'Mapa final'!$S$17="Mayor"),CONCATENATE("R",'Mapa final'!$D$17),"")</f>
        <v/>
      </c>
      <c r="AI43" s="443"/>
      <c r="AJ43" s="426"/>
      <c r="AK43" s="427"/>
      <c r="AL43" s="427" t="str">
        <f>IF(AND('Mapa final'!$P$15="Muy Baja",'Mapa final'!$S$15="Catastrófico"),CONCATENATE("R",'Mapa final'!$D$15),"")</f>
        <v/>
      </c>
      <c r="AM43" s="427"/>
      <c r="AN43" s="427" t="str">
        <f>IF(AND('Mapa final'!$P$17="Muy Baja",'Mapa final'!$S$17="Catastrófico"),CONCATENATE("R",'Mapa final'!$A$17),"")</f>
        <v/>
      </c>
      <c r="AO43" s="42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x14ac:dyDescent="0.4">
      <c r="C44" s="68"/>
      <c r="D44" s="476"/>
      <c r="E44" s="476"/>
      <c r="F44" s="477"/>
      <c r="G44" s="448"/>
      <c r="H44" s="449"/>
      <c r="I44" s="449"/>
      <c r="J44" s="449"/>
      <c r="K44" s="449"/>
      <c r="L44" s="408"/>
      <c r="M44" s="409"/>
      <c r="N44" s="409"/>
      <c r="O44" s="409"/>
      <c r="P44" s="409"/>
      <c r="Q44" s="410"/>
      <c r="R44" s="408"/>
      <c r="S44" s="409"/>
      <c r="T44" s="409"/>
      <c r="U44" s="409"/>
      <c r="V44" s="409"/>
      <c r="W44" s="410"/>
      <c r="X44" s="417"/>
      <c r="Y44" s="418"/>
      <c r="Z44" s="418"/>
      <c r="AA44" s="418"/>
      <c r="AB44" s="418"/>
      <c r="AC44" s="419"/>
      <c r="AD44" s="435"/>
      <c r="AE44" s="436"/>
      <c r="AF44" s="436"/>
      <c r="AG44" s="436"/>
      <c r="AH44" s="436"/>
      <c r="AI44" s="437"/>
      <c r="AJ44" s="426"/>
      <c r="AK44" s="427"/>
      <c r="AL44" s="427"/>
      <c r="AM44" s="427"/>
      <c r="AN44" s="427"/>
      <c r="AO44" s="42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x14ac:dyDescent="0.4">
      <c r="C45" s="68"/>
      <c r="D45" s="476"/>
      <c r="E45" s="476"/>
      <c r="F45" s="477"/>
      <c r="G45" s="448"/>
      <c r="H45" s="449"/>
      <c r="I45" s="449"/>
      <c r="J45" s="449"/>
      <c r="K45" s="449"/>
      <c r="L45" s="408" t="e">
        <f>IF(AND('Mapa final'!#REF!="Muy Baja",'Mapa final'!#REF!="Leve"),CONCATENATE("R",'Mapa final'!#REF!),"")</f>
        <v>#REF!</v>
      </c>
      <c r="M45" s="409"/>
      <c r="N45" s="409" t="str">
        <f>IF(AND('Mapa final'!$K$19="Muy Baja",'Mapa final'!$O$19="Leve"),CONCATENATE("R",'Mapa final'!$A$19),"")</f>
        <v/>
      </c>
      <c r="O45" s="409"/>
      <c r="P45" s="409" t="str">
        <f>IF(AND('Mapa final'!$K$20="Muy Baja",'Mapa final'!$O$20="Leve"),CONCATENATE("R",'Mapa final'!$A$20),"")</f>
        <v/>
      </c>
      <c r="Q45" s="410"/>
      <c r="R45" s="408" t="e">
        <f>IF(AND('Mapa final'!#REF!="Muy Baja",'Mapa final'!#REF!="Menor"),CONCATENATE("R",'Mapa final'!#REF!),"")</f>
        <v>#REF!</v>
      </c>
      <c r="S45" s="409"/>
      <c r="T45" s="409" t="str">
        <f>IF(AND('Mapa final'!$P$19="Muy Baja",'Mapa final'!$S$19="Menor"),CONCATENATE("R",'Mapa final'!$A$19),"")</f>
        <v/>
      </c>
      <c r="U45" s="409"/>
      <c r="V45" s="409" t="str">
        <f>IF(AND('Mapa final'!$P$20="Muy Baja",'Mapa final'!$S$20="Menor"),CONCATENATE("R",'Mapa final'!$A$20),"")</f>
        <v/>
      </c>
      <c r="W45" s="410"/>
      <c r="X45" s="417" t="e">
        <f>IF(AND('Mapa final'!#REF!="Muy Baja",'Mapa final'!#REF!="Moderado"),CONCATENATE("R",'Mapa final'!#REF!),"")</f>
        <v>#REF!</v>
      </c>
      <c r="Y45" s="418"/>
      <c r="Z45" s="418" t="str">
        <f>IF(AND('Mapa final'!$P$19="Muy Baja",'Mapa final'!$S$19="Moderado"),CONCATENATE("R",'Mapa final'!$A$19),"")</f>
        <v/>
      </c>
      <c r="AA45" s="418"/>
      <c r="AB45" s="418" t="str">
        <f>IF(AND('Mapa final'!$P$20="Muy Baja",'Mapa final'!$S$20="Moderado"),CONCATENATE("R",'Mapa final'!$A$20),"")</f>
        <v/>
      </c>
      <c r="AC45" s="419"/>
      <c r="AD45" s="435" t="e">
        <f>IF(AND('Mapa final'!#REF!="Muy Baja",'Mapa final'!#REF!="Mayor"),CONCATENATE("R",'Mapa final'!#REF!),"")</f>
        <v>#REF!</v>
      </c>
      <c r="AE45" s="436"/>
      <c r="AF45" s="436" t="str">
        <f>IF(AND('Mapa final'!$P$19="Muy Baja",'Mapa final'!$S$19="Mayor"),CONCATENATE("R",'Mapa final'!$A$19),"")</f>
        <v/>
      </c>
      <c r="AG45" s="436"/>
      <c r="AH45" s="436" t="str">
        <f>IF(AND('Mapa final'!$P$20="Muy Baja",'Mapa final'!$S$20="Mayor"),CONCATENATE("R",'Mapa final'!$A$20),"")</f>
        <v/>
      </c>
      <c r="AI45" s="437"/>
      <c r="AJ45" s="426" t="e">
        <f>IF(AND('Mapa final'!#REF!="Muy Baja",'Mapa final'!#REF!="Catastrófico"),CONCATENATE("R",'Mapa final'!#REF!),"")</f>
        <v>#REF!</v>
      </c>
      <c r="AK45" s="427"/>
      <c r="AL45" s="427" t="str">
        <f>IF(AND('Mapa final'!$P$19="Muy Baja",'Mapa final'!$S$19="Catastrófico"),CONCATENATE("R",'Mapa final'!$A$19),"")</f>
        <v/>
      </c>
      <c r="AM45" s="427"/>
      <c r="AN45" s="427" t="str">
        <f>IF(AND('Mapa final'!$P$20="Muy Baja",'Mapa final'!$K$20="Catastrófico"),CONCATENATE("R",'Mapa final'!$A$20),"")</f>
        <v/>
      </c>
      <c r="AO45" s="42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x14ac:dyDescent="0.4">
      <c r="C46" s="68"/>
      <c r="D46" s="476"/>
      <c r="E46" s="476"/>
      <c r="F46" s="477"/>
      <c r="G46" s="448"/>
      <c r="H46" s="449"/>
      <c r="I46" s="449"/>
      <c r="J46" s="449"/>
      <c r="K46" s="449"/>
      <c r="L46" s="408"/>
      <c r="M46" s="409"/>
      <c r="N46" s="409"/>
      <c r="O46" s="409"/>
      <c r="P46" s="409"/>
      <c r="Q46" s="410"/>
      <c r="R46" s="408"/>
      <c r="S46" s="409"/>
      <c r="T46" s="409"/>
      <c r="U46" s="409"/>
      <c r="V46" s="409"/>
      <c r="W46" s="410"/>
      <c r="X46" s="417"/>
      <c r="Y46" s="418"/>
      <c r="Z46" s="418"/>
      <c r="AA46" s="418"/>
      <c r="AB46" s="418"/>
      <c r="AC46" s="419"/>
      <c r="AD46" s="435"/>
      <c r="AE46" s="436"/>
      <c r="AF46" s="436"/>
      <c r="AG46" s="436"/>
      <c r="AH46" s="436"/>
      <c r="AI46" s="437"/>
      <c r="AJ46" s="426"/>
      <c r="AK46" s="427"/>
      <c r="AL46" s="427"/>
      <c r="AM46" s="427"/>
      <c r="AN46" s="427"/>
      <c r="AO46" s="42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x14ac:dyDescent="0.4">
      <c r="C47" s="68"/>
      <c r="D47" s="476"/>
      <c r="E47" s="476"/>
      <c r="F47" s="477"/>
      <c r="G47" s="448"/>
      <c r="H47" s="449"/>
      <c r="I47" s="449"/>
      <c r="J47" s="449"/>
      <c r="K47" s="449"/>
      <c r="L47" s="408" t="str">
        <f>IF(AND('Mapa final'!$P$21="Muy Baja",'Mapa final'!$S$21="Leve"),CONCATENATE("R",'Mapa final'!$A$21),"")</f>
        <v/>
      </c>
      <c r="M47" s="409"/>
      <c r="N47" s="409" t="e">
        <f>IF(AND('Mapa final'!#REF!="Muy Baja",'Mapa final'!#REF!="Leve"),CONCATENATE("R",'Mapa final'!#REF!),"")</f>
        <v>#REF!</v>
      </c>
      <c r="O47" s="409"/>
      <c r="P47" s="409" t="str">
        <f>IF(AND('Mapa final'!$K$23="Muy Baja",'Mapa final'!$O$23="Leve"),CONCATENATE("R",'Mapa final'!$A$23),"")</f>
        <v/>
      </c>
      <c r="Q47" s="410"/>
      <c r="R47" s="408" t="str">
        <f>IF(AND('Mapa final'!$P$21="Muy Baja",'Mapa final'!$S$21="Menor"),CONCATENATE("R",'Mapa final'!$A$21),"")</f>
        <v/>
      </c>
      <c r="S47" s="409"/>
      <c r="T47" s="409" t="e">
        <f>IF(AND('Mapa final'!#REF!="Muy Baja",'Mapa final'!#REF!="Menor"),CONCATENATE("R",'Mapa final'!#REF!),"")</f>
        <v>#REF!</v>
      </c>
      <c r="U47" s="409"/>
      <c r="V47" s="409" t="str">
        <f>IF(AND('Mapa final'!$P$23="Muy Baja",'Mapa final'!$S$23="Menor"),CONCATENATE("R",'Mapa final'!$A$23),"")</f>
        <v/>
      </c>
      <c r="W47" s="410"/>
      <c r="X47" s="417" t="str">
        <f>IF(AND('Mapa final'!$P$21="Muy Baja",'Mapa final'!$S$21="Moderado"),CONCATENATE("R",'Mapa final'!$A$21),"")</f>
        <v/>
      </c>
      <c r="Y47" s="418"/>
      <c r="Z47" s="418" t="e">
        <f>IF(AND('Mapa final'!#REF!="Muy Baja",'Mapa final'!#REF!="Moderado"),CONCATENATE("R",'Mapa final'!#REF!),"")</f>
        <v>#REF!</v>
      </c>
      <c r="AA47" s="418"/>
      <c r="AB47" s="418" t="str">
        <f>IF(AND('Mapa final'!$P$23="Muy Baja",'Mapa final'!$S$23="Moderado"),CONCATENATE("R",'Mapa final'!$A$23),"")</f>
        <v/>
      </c>
      <c r="AC47" s="419"/>
      <c r="AD47" s="435" t="str">
        <f>IF(AND('Mapa final'!$P$21="Muy Baja",'Mapa final'!$S$21="Mayor"),CONCATENATE("R",'Mapa final'!$A$21),"")</f>
        <v/>
      </c>
      <c r="AE47" s="436"/>
      <c r="AF47" s="436" t="e">
        <f>IF(AND('Mapa final'!#REF!="Muy Baja",'Mapa final'!#REF!="Mayor"),CONCATENATE("R",'Mapa final'!#REF!),"")</f>
        <v>#REF!</v>
      </c>
      <c r="AG47" s="436"/>
      <c r="AH47" s="436" t="str">
        <f>IF(AND('Mapa final'!$P$23="Muy Baja",'Mapa final'!$S$23="Mayor"),CONCATENATE("R",'Mapa final'!$A$23),"")</f>
        <v/>
      </c>
      <c r="AI47" s="437"/>
      <c r="AJ47" s="426" t="str">
        <f>IF(AND('Mapa final'!$P$21="Muy Baja",'Mapa final'!$S$21="Catastrófico"),CONCATENATE("R",'Mapa final'!$A$21),"")</f>
        <v/>
      </c>
      <c r="AK47" s="427"/>
      <c r="AL47" s="427" t="e">
        <f>IF(AND('Mapa final'!#REF!="Muy Baja",'Mapa final'!#REF!="Catastrófico"),CONCATENATE("R",'Mapa final'!#REF!),"")</f>
        <v>#REF!</v>
      </c>
      <c r="AM47" s="427"/>
      <c r="AN47" s="427" t="str">
        <f>IF(AND('Mapa final'!$P$23="Muy Baja",'Mapa final'!$S$23="Catastrófico"),CONCATENATE("R",'Mapa final'!$A$23),"")</f>
        <v/>
      </c>
      <c r="AO47" s="42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x14ac:dyDescent="0.4">
      <c r="C48" s="68"/>
      <c r="D48" s="476"/>
      <c r="E48" s="476"/>
      <c r="F48" s="477"/>
      <c r="G48" s="448"/>
      <c r="H48" s="449"/>
      <c r="I48" s="449"/>
      <c r="J48" s="449"/>
      <c r="K48" s="449"/>
      <c r="L48" s="408"/>
      <c r="M48" s="409"/>
      <c r="N48" s="409"/>
      <c r="O48" s="409"/>
      <c r="P48" s="409"/>
      <c r="Q48" s="410"/>
      <c r="R48" s="408"/>
      <c r="S48" s="409"/>
      <c r="T48" s="409"/>
      <c r="U48" s="409"/>
      <c r="V48" s="409"/>
      <c r="W48" s="410"/>
      <c r="X48" s="417"/>
      <c r="Y48" s="418"/>
      <c r="Z48" s="418"/>
      <c r="AA48" s="418"/>
      <c r="AB48" s="418"/>
      <c r="AC48" s="419"/>
      <c r="AD48" s="435"/>
      <c r="AE48" s="436"/>
      <c r="AF48" s="436"/>
      <c r="AG48" s="436"/>
      <c r="AH48" s="436"/>
      <c r="AI48" s="437"/>
      <c r="AJ48" s="426"/>
      <c r="AK48" s="427"/>
      <c r="AL48" s="427"/>
      <c r="AM48" s="427"/>
      <c r="AN48" s="427"/>
      <c r="AO48" s="42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x14ac:dyDescent="0.4">
      <c r="C49" s="68"/>
      <c r="D49" s="476"/>
      <c r="E49" s="476"/>
      <c r="F49" s="477"/>
      <c r="G49" s="448"/>
      <c r="H49" s="449"/>
      <c r="I49" s="449"/>
      <c r="J49" s="449"/>
      <c r="K49" s="449"/>
      <c r="L49" s="408" t="str">
        <f>IF(AND('Mapa final'!$P$24="Muy Baja",'Mapa final'!$S$24="Leve"),CONCATENATE("R",'Mapa final'!$A$24),"")</f>
        <v/>
      </c>
      <c r="M49" s="409"/>
      <c r="N49" s="409" t="str">
        <f>IF(AND('Mapa final'!$K$25="Muy Baja",'Mapa final'!$O$25="Leve"),CONCATENATE("R",'Mapa final'!$A$25),"")</f>
        <v/>
      </c>
      <c r="O49" s="409"/>
      <c r="P49" s="409" t="str">
        <f>IF(AND('Mapa final'!$K$26="Muy Baja",'Mapa final'!$O$26="Leve"),CONCATENATE("R",'Mapa final'!$A$26),"")</f>
        <v/>
      </c>
      <c r="Q49" s="410"/>
      <c r="R49" s="409" t="str">
        <f>IF(AND('Mapa final'!$P$24="Muy Baja",'Mapa final'!$S$24="Menor"),CONCATENATE("R",'Mapa final'!$A$24),"")</f>
        <v/>
      </c>
      <c r="S49" s="409"/>
      <c r="T49" s="409" t="str">
        <f>IF(AND('Mapa final'!$P$25="Muy Baja",'Mapa final'!$S$25="Menor"),CONCATENATE("R",'Mapa final'!$A$25),"")</f>
        <v/>
      </c>
      <c r="U49" s="409"/>
      <c r="V49" s="409" t="str">
        <f>IF(AND('Mapa final'!$P$26="Muy Baja",'Mapa final'!$S$26="Menor"),CONCATENATE("R",'Mapa final'!$A$26),"")</f>
        <v/>
      </c>
      <c r="W49" s="410"/>
      <c r="X49" s="417" t="str">
        <f>IF(AND('Mapa final'!$P$24="Muy Baja",'Mapa final'!$S$24="Moderado"),CONCATENATE("R",'Mapa final'!$A$24),"")</f>
        <v/>
      </c>
      <c r="Y49" s="418"/>
      <c r="Z49" s="418" t="str">
        <f>IF(AND('Mapa final'!$P$25="Muy Baja",'Mapa final'!$S$25="Moderado"),CONCATENATE("R",'Mapa final'!$A$25),"")</f>
        <v/>
      </c>
      <c r="AA49" s="418"/>
      <c r="AB49" s="418" t="str">
        <f>IF(AND('Mapa final'!$P$26="Muy Baja",'Mapa final'!$S$26="Moderado"),CONCATENATE("R",'Mapa final'!$A$26),"")</f>
        <v/>
      </c>
      <c r="AC49" s="419"/>
      <c r="AD49" s="435" t="str">
        <f>IF(AND('Mapa final'!$P$24="Muy Baja",'Mapa final'!$S$24="Mayor"),CONCATENATE("R",'Mapa final'!$A$24),"")</f>
        <v/>
      </c>
      <c r="AE49" s="436"/>
      <c r="AF49" s="436" t="str">
        <f>IF(AND('Mapa final'!$P$25="Muy Baja",'Mapa final'!$S$25="Mayor"),CONCATENATE("R",'Mapa final'!$A$25),"")</f>
        <v/>
      </c>
      <c r="AG49" s="436"/>
      <c r="AH49" s="436" t="str">
        <f>IF(AND('Mapa final'!$P$26="Muy Baja",'Mapa final'!$S$26="Mayor"),CONCATENATE("R",'Mapa final'!$A$26),"")</f>
        <v/>
      </c>
      <c r="AI49" s="437"/>
      <c r="AJ49" s="426" t="str">
        <f>IF(AND('Mapa final'!$P$24="Muy Baja",'Mapa final'!$S$24="Catastrófico"),CONCATENATE("R",'Mapa final'!$A$24),"")</f>
        <v/>
      </c>
      <c r="AK49" s="427"/>
      <c r="AL49" s="427" t="str">
        <f>IF(AND('Mapa final'!$P$25="Muy Baja",'Mapa final'!$S$25="Catastrófico"),CONCATENATE("R",'Mapa final'!$A$25),"")</f>
        <v/>
      </c>
      <c r="AM49" s="427"/>
      <c r="AN49" s="427" t="str">
        <f>IF(AND('Mapa final'!$P$26="Muy Baja",'Mapa final'!$S$26="Catastrófico"),CONCATENATE("R",'Mapa final'!$A$26),"")</f>
        <v/>
      </c>
      <c r="AO49" s="42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x14ac:dyDescent="0.45">
      <c r="C50" s="68"/>
      <c r="D50" s="476"/>
      <c r="E50" s="476"/>
      <c r="F50" s="477"/>
      <c r="G50" s="451"/>
      <c r="H50" s="452"/>
      <c r="I50" s="452"/>
      <c r="J50" s="452"/>
      <c r="K50" s="452"/>
      <c r="L50" s="416"/>
      <c r="M50" s="411"/>
      <c r="N50" s="411"/>
      <c r="O50" s="411"/>
      <c r="P50" s="411"/>
      <c r="Q50" s="412"/>
      <c r="R50" s="411"/>
      <c r="S50" s="411"/>
      <c r="T50" s="411"/>
      <c r="U50" s="411"/>
      <c r="V50" s="411"/>
      <c r="W50" s="412"/>
      <c r="X50" s="420"/>
      <c r="Y50" s="421"/>
      <c r="Z50" s="421"/>
      <c r="AA50" s="421"/>
      <c r="AB50" s="421"/>
      <c r="AC50" s="422"/>
      <c r="AD50" s="438"/>
      <c r="AE50" s="439"/>
      <c r="AF50" s="439"/>
      <c r="AG50" s="439"/>
      <c r="AH50" s="439"/>
      <c r="AI50" s="440"/>
      <c r="AJ50" s="429"/>
      <c r="AK50" s="430"/>
      <c r="AL50" s="430"/>
      <c r="AM50" s="430"/>
      <c r="AN50" s="430"/>
      <c r="AO50" s="431"/>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x14ac:dyDescent="0.4">
      <c r="C51" s="68"/>
      <c r="D51" s="68"/>
      <c r="E51" s="68"/>
      <c r="F51" s="68"/>
      <c r="G51" s="68"/>
      <c r="H51" s="68"/>
      <c r="I51" s="68"/>
      <c r="J51" s="68"/>
      <c r="K51" s="68"/>
      <c r="L51" s="454" t="s">
        <v>273</v>
      </c>
      <c r="M51" s="449"/>
      <c r="N51" s="449"/>
      <c r="O51" s="449"/>
      <c r="P51" s="449"/>
      <c r="Q51" s="450"/>
      <c r="R51" s="444" t="s">
        <v>274</v>
      </c>
      <c r="S51" s="446"/>
      <c r="T51" s="446"/>
      <c r="U51" s="446"/>
      <c r="V51" s="446"/>
      <c r="W51" s="447"/>
      <c r="X51" s="444" t="s">
        <v>275</v>
      </c>
      <c r="Y51" s="446"/>
      <c r="Z51" s="446"/>
      <c r="AA51" s="446"/>
      <c r="AB51" s="446"/>
      <c r="AC51" s="447"/>
      <c r="AD51" s="444" t="s">
        <v>276</v>
      </c>
      <c r="AE51" s="445"/>
      <c r="AF51" s="446"/>
      <c r="AG51" s="446"/>
      <c r="AH51" s="446"/>
      <c r="AI51" s="447"/>
      <c r="AJ51" s="444" t="s">
        <v>277</v>
      </c>
      <c r="AK51" s="446"/>
      <c r="AL51" s="446"/>
      <c r="AM51" s="446"/>
      <c r="AN51" s="446"/>
      <c r="AO51" s="447"/>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x14ac:dyDescent="0.4">
      <c r="C52" s="68"/>
      <c r="D52" s="68"/>
      <c r="E52" s="68"/>
      <c r="F52" s="68"/>
      <c r="G52" s="68"/>
      <c r="H52" s="68"/>
      <c r="I52" s="68"/>
      <c r="J52" s="68"/>
      <c r="K52" s="68"/>
      <c r="L52" s="448"/>
      <c r="M52" s="449"/>
      <c r="N52" s="449"/>
      <c r="O52" s="449"/>
      <c r="P52" s="449"/>
      <c r="Q52" s="450"/>
      <c r="R52" s="448"/>
      <c r="S52" s="449"/>
      <c r="T52" s="449"/>
      <c r="U52" s="449"/>
      <c r="V52" s="449"/>
      <c r="W52" s="450"/>
      <c r="X52" s="448"/>
      <c r="Y52" s="449"/>
      <c r="Z52" s="449"/>
      <c r="AA52" s="449"/>
      <c r="AB52" s="449"/>
      <c r="AC52" s="450"/>
      <c r="AD52" s="448"/>
      <c r="AE52" s="449"/>
      <c r="AF52" s="449"/>
      <c r="AG52" s="449"/>
      <c r="AH52" s="449"/>
      <c r="AI52" s="450"/>
      <c r="AJ52" s="448"/>
      <c r="AK52" s="449"/>
      <c r="AL52" s="449"/>
      <c r="AM52" s="449"/>
      <c r="AN52" s="449"/>
      <c r="AO52" s="450"/>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x14ac:dyDescent="0.4">
      <c r="C53" s="68"/>
      <c r="D53" s="68"/>
      <c r="E53" s="68"/>
      <c r="F53" s="68"/>
      <c r="G53" s="68"/>
      <c r="H53" s="68"/>
      <c r="I53" s="68"/>
      <c r="J53" s="68"/>
      <c r="K53" s="68"/>
      <c r="L53" s="448"/>
      <c r="M53" s="449"/>
      <c r="N53" s="449"/>
      <c r="O53" s="449"/>
      <c r="P53" s="449"/>
      <c r="Q53" s="450"/>
      <c r="R53" s="448"/>
      <c r="S53" s="449"/>
      <c r="T53" s="449"/>
      <c r="U53" s="449"/>
      <c r="V53" s="449"/>
      <c r="W53" s="450"/>
      <c r="X53" s="448"/>
      <c r="Y53" s="449"/>
      <c r="Z53" s="449"/>
      <c r="AA53" s="449"/>
      <c r="AB53" s="449"/>
      <c r="AC53" s="450"/>
      <c r="AD53" s="448"/>
      <c r="AE53" s="449"/>
      <c r="AF53" s="449"/>
      <c r="AG53" s="449"/>
      <c r="AH53" s="449"/>
      <c r="AI53" s="450"/>
      <c r="AJ53" s="448"/>
      <c r="AK53" s="449"/>
      <c r="AL53" s="449"/>
      <c r="AM53" s="449"/>
      <c r="AN53" s="449"/>
      <c r="AO53" s="450"/>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x14ac:dyDescent="0.4">
      <c r="C54" s="68"/>
      <c r="D54" s="68"/>
      <c r="E54" s="68"/>
      <c r="F54" s="68"/>
      <c r="G54" s="68"/>
      <c r="H54" s="68"/>
      <c r="I54" s="68"/>
      <c r="J54" s="68"/>
      <c r="K54" s="68"/>
      <c r="L54" s="448"/>
      <c r="M54" s="449"/>
      <c r="N54" s="449"/>
      <c r="O54" s="449"/>
      <c r="P54" s="449"/>
      <c r="Q54" s="450"/>
      <c r="R54" s="448"/>
      <c r="S54" s="449"/>
      <c r="T54" s="449"/>
      <c r="U54" s="449"/>
      <c r="V54" s="449"/>
      <c r="W54" s="450"/>
      <c r="X54" s="448"/>
      <c r="Y54" s="449"/>
      <c r="Z54" s="449"/>
      <c r="AA54" s="449"/>
      <c r="AB54" s="449"/>
      <c r="AC54" s="450"/>
      <c r="AD54" s="448"/>
      <c r="AE54" s="449"/>
      <c r="AF54" s="449"/>
      <c r="AG54" s="449"/>
      <c r="AH54" s="449"/>
      <c r="AI54" s="450"/>
      <c r="AJ54" s="448"/>
      <c r="AK54" s="449"/>
      <c r="AL54" s="449"/>
      <c r="AM54" s="449"/>
      <c r="AN54" s="449"/>
      <c r="AO54" s="450"/>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x14ac:dyDescent="0.4">
      <c r="C55" s="68"/>
      <c r="D55" s="68"/>
      <c r="E55" s="68"/>
      <c r="F55" s="68"/>
      <c r="G55" s="68"/>
      <c r="H55" s="68"/>
      <c r="I55" s="68"/>
      <c r="J55" s="68"/>
      <c r="K55" s="68"/>
      <c r="L55" s="448"/>
      <c r="M55" s="449"/>
      <c r="N55" s="449"/>
      <c r="O55" s="449"/>
      <c r="P55" s="449"/>
      <c r="Q55" s="450"/>
      <c r="R55" s="448"/>
      <c r="S55" s="449"/>
      <c r="T55" s="449"/>
      <c r="U55" s="449"/>
      <c r="V55" s="449"/>
      <c r="W55" s="450"/>
      <c r="X55" s="448"/>
      <c r="Y55" s="449"/>
      <c r="Z55" s="449"/>
      <c r="AA55" s="449"/>
      <c r="AB55" s="449"/>
      <c r="AC55" s="450"/>
      <c r="AD55" s="448"/>
      <c r="AE55" s="449"/>
      <c r="AF55" s="449"/>
      <c r="AG55" s="449"/>
      <c r="AH55" s="449"/>
      <c r="AI55" s="450"/>
      <c r="AJ55" s="448"/>
      <c r="AK55" s="449"/>
      <c r="AL55" s="449"/>
      <c r="AM55" s="449"/>
      <c r="AN55" s="449"/>
      <c r="AO55" s="450"/>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5" thickBot="1" x14ac:dyDescent="0.45">
      <c r="C56" s="68"/>
      <c r="D56" s="68"/>
      <c r="E56" s="68"/>
      <c r="F56" s="68"/>
      <c r="G56" s="68"/>
      <c r="H56" s="68"/>
      <c r="I56" s="68"/>
      <c r="J56" s="68"/>
      <c r="K56" s="68"/>
      <c r="L56" s="451"/>
      <c r="M56" s="452"/>
      <c r="N56" s="452"/>
      <c r="O56" s="452"/>
      <c r="P56" s="452"/>
      <c r="Q56" s="453"/>
      <c r="R56" s="451"/>
      <c r="S56" s="452"/>
      <c r="T56" s="452"/>
      <c r="U56" s="452"/>
      <c r="V56" s="452"/>
      <c r="W56" s="453"/>
      <c r="X56" s="451"/>
      <c r="Y56" s="452"/>
      <c r="Z56" s="452"/>
      <c r="AA56" s="452"/>
      <c r="AB56" s="452"/>
      <c r="AC56" s="453"/>
      <c r="AD56" s="451"/>
      <c r="AE56" s="452"/>
      <c r="AF56" s="452"/>
      <c r="AG56" s="452"/>
      <c r="AH56" s="452"/>
      <c r="AI56" s="453"/>
      <c r="AJ56" s="451"/>
      <c r="AK56" s="452"/>
      <c r="AL56" s="452"/>
      <c r="AM56" s="452"/>
      <c r="AN56" s="452"/>
      <c r="AO56" s="453"/>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x14ac:dyDescent="0.4">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x14ac:dyDescent="0.4">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x14ac:dyDescent="0.4">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x14ac:dyDescent="0.4">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x14ac:dyDescent="0.4">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x14ac:dyDescent="0.4">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x14ac:dyDescent="0.4">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x14ac:dyDescent="0.4">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x14ac:dyDescent="0.4">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x14ac:dyDescent="0.4">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x14ac:dyDescent="0.4">
      <c r="C67" s="68"/>
      <c r="D67" s="68"/>
      <c r="E67" s="68"/>
      <c r="F67" s="68"/>
      <c r="G67" s="68"/>
      <c r="H67" s="68" t="s">
        <v>278</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x14ac:dyDescent="0.4">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x14ac:dyDescent="0.4">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x14ac:dyDescent="0.4">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x14ac:dyDescent="0.4">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x14ac:dyDescent="0.4">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x14ac:dyDescent="0.4">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x14ac:dyDescent="0.4">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x14ac:dyDescent="0.4">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x14ac:dyDescent="0.4">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x14ac:dyDescent="0.4">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x14ac:dyDescent="0.4">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x14ac:dyDescent="0.4">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x14ac:dyDescent="0.4">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x14ac:dyDescent="0.4">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x14ac:dyDescent="0.4">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x14ac:dyDescent="0.4">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x14ac:dyDescent="0.4">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x14ac:dyDescent="0.4">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x14ac:dyDescent="0.4">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x14ac:dyDescent="0.4">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x14ac:dyDescent="0.4">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x14ac:dyDescent="0.4">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x14ac:dyDescent="0.4">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x14ac:dyDescent="0.4">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x14ac:dyDescent="0.4">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x14ac:dyDescent="0.4">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x14ac:dyDescent="0.4">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x14ac:dyDescent="0.4">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x14ac:dyDescent="0.4">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x14ac:dyDescent="0.4">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x14ac:dyDescent="0.4">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x14ac:dyDescent="0.4">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x14ac:dyDescent="0.4">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x14ac:dyDescent="0.4">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x14ac:dyDescent="0.4">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x14ac:dyDescent="0.4">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x14ac:dyDescent="0.4">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x14ac:dyDescent="0.4">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x14ac:dyDescent="0.4">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x14ac:dyDescent="0.4">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x14ac:dyDescent="0.4">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x14ac:dyDescent="0.4">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x14ac:dyDescent="0.4">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x14ac:dyDescent="0.4">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x14ac:dyDescent="0.4">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x14ac:dyDescent="0.4">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x14ac:dyDescent="0.4">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x14ac:dyDescent="0.4">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x14ac:dyDescent="0.4">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x14ac:dyDescent="0.4">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x14ac:dyDescent="0.4">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x14ac:dyDescent="0.4">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x14ac:dyDescent="0.4">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x14ac:dyDescent="0.4">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x14ac:dyDescent="0.4">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x14ac:dyDescent="0.4">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x14ac:dyDescent="0.4">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x14ac:dyDescent="0.4">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x14ac:dyDescent="0.4">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x14ac:dyDescent="0.4">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x14ac:dyDescent="0.4">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x14ac:dyDescent="0.4">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x14ac:dyDescent="0.4">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x14ac:dyDescent="0.4">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x14ac:dyDescent="0.4">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x14ac:dyDescent="0.4">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x14ac:dyDescent="0.4">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x14ac:dyDescent="0.4">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x14ac:dyDescent="0.4">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x14ac:dyDescent="0.4">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x14ac:dyDescent="0.4">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x14ac:dyDescent="0.4">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x14ac:dyDescent="0.4">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x14ac:dyDescent="0.4">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x14ac:dyDescent="0.4">
      <c r="D142" s="68"/>
      <c r="E142" s="68"/>
      <c r="F142" s="68"/>
      <c r="G142" s="68"/>
      <c r="H142" s="68"/>
      <c r="I142" s="68"/>
      <c r="J142" s="68"/>
      <c r="K142" s="68"/>
    </row>
    <row r="143" spans="4:65" x14ac:dyDescent="0.4">
      <c r="D143" s="68"/>
      <c r="E143" s="68"/>
      <c r="F143" s="68"/>
      <c r="G143" s="68"/>
      <c r="H143" s="68"/>
      <c r="I143" s="68"/>
      <c r="J143" s="68"/>
      <c r="K143" s="68"/>
    </row>
    <row r="144" spans="4:65" x14ac:dyDescent="0.4">
      <c r="D144" s="68"/>
      <c r="E144" s="68"/>
      <c r="F144" s="68"/>
      <c r="G144" s="68"/>
      <c r="H144" s="68"/>
      <c r="I144" s="68"/>
      <c r="J144" s="68"/>
      <c r="K144" s="68"/>
    </row>
    <row r="145" spans="4:11" x14ac:dyDescent="0.4">
      <c r="D145" s="68"/>
      <c r="E145" s="68"/>
      <c r="F145" s="68"/>
      <c r="G145" s="68"/>
      <c r="H145" s="68"/>
      <c r="I145" s="68"/>
      <c r="J145" s="68"/>
      <c r="K145" s="68"/>
    </row>
  </sheetData>
  <mergeCells count="3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47:AE48"/>
    <mergeCell ref="AF47:AG48"/>
    <mergeCell ref="AH47:AI48"/>
    <mergeCell ref="AD49:AE50"/>
    <mergeCell ref="AF49:AG50"/>
    <mergeCell ref="AH49:AI50"/>
    <mergeCell ref="AD43:AE44"/>
    <mergeCell ref="AF43:AG44"/>
    <mergeCell ref="AH43:AI44"/>
    <mergeCell ref="AD45:AE46"/>
    <mergeCell ref="AF45:AG46"/>
    <mergeCell ref="AH45:AI46"/>
    <mergeCell ref="AJ15:AK16"/>
    <mergeCell ref="AL15:AM16"/>
    <mergeCell ref="AN15:AO16"/>
    <mergeCell ref="AJ17:AK18"/>
    <mergeCell ref="AL17:AM18"/>
    <mergeCell ref="AN17:AO18"/>
    <mergeCell ref="AJ11:AK12"/>
    <mergeCell ref="AL11:AM12"/>
    <mergeCell ref="AN11:AO12"/>
    <mergeCell ref="AJ13:AK14"/>
    <mergeCell ref="AL13:AM14"/>
    <mergeCell ref="AN13:AO14"/>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47:AK48"/>
    <mergeCell ref="AL47:AM48"/>
    <mergeCell ref="AN47:AO48"/>
    <mergeCell ref="AJ49:AK50"/>
    <mergeCell ref="AL49:AM50"/>
    <mergeCell ref="AN49:AO50"/>
    <mergeCell ref="AJ43:AK44"/>
    <mergeCell ref="AL43:AM44"/>
    <mergeCell ref="AN43:AO44"/>
    <mergeCell ref="AJ45:AK46"/>
    <mergeCell ref="AL45:AM46"/>
    <mergeCell ref="AN45:AO46"/>
    <mergeCell ref="P23:Q24"/>
    <mergeCell ref="L25:M26"/>
    <mergeCell ref="N25:O26"/>
    <mergeCell ref="P25:Q26"/>
    <mergeCell ref="L19:M20"/>
    <mergeCell ref="N19:O20"/>
    <mergeCell ref="P19:Q20"/>
    <mergeCell ref="L21:M22"/>
    <mergeCell ref="N21:O22"/>
    <mergeCell ref="P21:Q22"/>
    <mergeCell ref="R23:S24"/>
    <mergeCell ref="T23:U24"/>
    <mergeCell ref="V23:W24"/>
    <mergeCell ref="R25:S26"/>
    <mergeCell ref="T25:U26"/>
    <mergeCell ref="V25:W26"/>
    <mergeCell ref="R19:S20"/>
    <mergeCell ref="T19:U20"/>
    <mergeCell ref="V19:W20"/>
    <mergeCell ref="R21:S22"/>
    <mergeCell ref="T21:U22"/>
    <mergeCell ref="V21:W22"/>
    <mergeCell ref="L31:M32"/>
    <mergeCell ref="N31:O32"/>
    <mergeCell ref="P31:Q32"/>
    <mergeCell ref="L33:M34"/>
    <mergeCell ref="N33:O34"/>
    <mergeCell ref="P33:Q34"/>
    <mergeCell ref="L27:M28"/>
    <mergeCell ref="N27:O28"/>
    <mergeCell ref="P27:Q28"/>
    <mergeCell ref="L29:M30"/>
    <mergeCell ref="N29:O30"/>
    <mergeCell ref="P29:Q30"/>
    <mergeCell ref="R31:S32"/>
    <mergeCell ref="T31:U32"/>
    <mergeCell ref="V31:W32"/>
    <mergeCell ref="R33:S34"/>
    <mergeCell ref="T33:U34"/>
    <mergeCell ref="V33:W34"/>
    <mergeCell ref="R27:S28"/>
    <mergeCell ref="T27:U28"/>
    <mergeCell ref="V27:W28"/>
    <mergeCell ref="R29:S30"/>
    <mergeCell ref="T29:U30"/>
    <mergeCell ref="V29:W30"/>
    <mergeCell ref="X31:Y32"/>
    <mergeCell ref="Z31:AA32"/>
    <mergeCell ref="AB31:AC32"/>
    <mergeCell ref="X33:Y34"/>
    <mergeCell ref="Z33:AA34"/>
    <mergeCell ref="AB33:AC34"/>
    <mergeCell ref="X27:Y28"/>
    <mergeCell ref="Z27:AA28"/>
    <mergeCell ref="AB27:AC28"/>
    <mergeCell ref="X29:Y30"/>
    <mergeCell ref="Z29:AA30"/>
    <mergeCell ref="AB29:AC30"/>
    <mergeCell ref="X39:Y40"/>
    <mergeCell ref="Z39:AA40"/>
    <mergeCell ref="AB39:AC40"/>
    <mergeCell ref="X41:Y42"/>
    <mergeCell ref="Z41:AA42"/>
    <mergeCell ref="AB41:AC42"/>
    <mergeCell ref="X35:Y36"/>
    <mergeCell ref="Z35:AA36"/>
    <mergeCell ref="AB35:AC36"/>
    <mergeCell ref="X37:Y38"/>
    <mergeCell ref="Z37:AA38"/>
    <mergeCell ref="AB37:AC38"/>
    <mergeCell ref="R39:S40"/>
    <mergeCell ref="T39:U40"/>
    <mergeCell ref="V39:W40"/>
    <mergeCell ref="R41:S42"/>
    <mergeCell ref="T41:U42"/>
    <mergeCell ref="V41:W42"/>
    <mergeCell ref="R35:S36"/>
    <mergeCell ref="T35:U36"/>
    <mergeCell ref="V35:W36"/>
    <mergeCell ref="R37:S38"/>
    <mergeCell ref="T37:U38"/>
    <mergeCell ref="V37:W38"/>
    <mergeCell ref="X47:Y48"/>
    <mergeCell ref="Z47:AA48"/>
    <mergeCell ref="AB47:AC48"/>
    <mergeCell ref="X49:Y50"/>
    <mergeCell ref="Z49:AA50"/>
    <mergeCell ref="AB49:AC50"/>
    <mergeCell ref="X43:Y44"/>
    <mergeCell ref="Z43:AA44"/>
    <mergeCell ref="AB43:AC44"/>
    <mergeCell ref="X45:Y46"/>
    <mergeCell ref="Z45:AA46"/>
    <mergeCell ref="AB45:AC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pane="bottomLeft" activeCell="AX15" sqref="AX14:AX15"/>
    </sheetView>
  </sheetViews>
  <sheetFormatPr baseColWidth="10" defaultColWidth="11.3828125" defaultRowHeight="14.6" x14ac:dyDescent="0.4"/>
  <cols>
    <col min="3" max="19" width="5.69140625" customWidth="1"/>
    <col min="20" max="20" width="6.69140625" customWidth="1"/>
    <col min="21" max="23" width="5.69140625" customWidth="1"/>
    <col min="24" max="24" width="7.3828125" customWidth="1"/>
    <col min="25" max="25" width="8.3828125" customWidth="1"/>
    <col min="26" max="26" width="12" customWidth="1"/>
    <col min="27" max="27" width="5.69140625" customWidth="1"/>
    <col min="28" max="28" width="10.69140625" customWidth="1"/>
    <col min="29" max="29" width="5.69140625" customWidth="1"/>
    <col min="30" max="30" width="7.3828125" customWidth="1"/>
    <col min="31" max="31" width="8.53515625" customWidth="1"/>
    <col min="32" max="34" width="5.69140625" customWidth="1"/>
    <col min="35" max="35" width="8.3828125" customWidth="1"/>
    <col min="36" max="36" width="9.69140625" customWidth="1"/>
    <col min="37" max="40" width="5.69140625" customWidth="1"/>
    <col min="42" max="47" width="5.69140625" customWidth="1"/>
  </cols>
  <sheetData>
    <row r="1" spans="1:92" ht="15" thickBot="1" x14ac:dyDescent="0.45"/>
    <row r="2" spans="1:92" x14ac:dyDescent="0.4">
      <c r="C2" s="467" t="s">
        <v>260</v>
      </c>
      <c r="D2" s="468"/>
      <c r="E2" s="468"/>
      <c r="F2" s="468"/>
      <c r="G2" s="468"/>
      <c r="H2" s="468"/>
      <c r="I2" s="468"/>
      <c r="J2" s="469"/>
      <c r="K2" s="458" t="s">
        <v>1</v>
      </c>
      <c r="L2" s="459"/>
      <c r="M2" s="459"/>
      <c r="N2" s="459"/>
      <c r="O2" s="459"/>
      <c r="P2" s="459"/>
      <c r="Q2" s="459"/>
      <c r="R2" s="459"/>
      <c r="S2" s="459"/>
      <c r="T2" s="459"/>
      <c r="U2" s="459"/>
      <c r="V2" s="459"/>
      <c r="W2" s="459"/>
      <c r="X2" s="459"/>
      <c r="Y2" s="459"/>
      <c r="Z2" s="459"/>
      <c r="AA2" s="459"/>
      <c r="AB2" s="459"/>
      <c r="AC2" s="459"/>
      <c r="AD2" s="459"/>
      <c r="AE2" s="459"/>
      <c r="AF2" s="459"/>
      <c r="AG2" s="459"/>
      <c r="AH2" s="459"/>
      <c r="AI2" s="459"/>
      <c r="AJ2" s="459"/>
      <c r="AK2" s="459"/>
      <c r="AL2" s="459"/>
      <c r="AM2" s="459"/>
      <c r="AN2" s="460"/>
      <c r="AO2" s="399" t="s">
        <v>8</v>
      </c>
      <c r="AP2" s="455"/>
      <c r="AQ2" s="455"/>
      <c r="AR2" s="455"/>
      <c r="AS2" s="455"/>
      <c r="AT2" s="455"/>
      <c r="AU2" s="373"/>
    </row>
    <row r="3" spans="1:92" x14ac:dyDescent="0.4">
      <c r="C3" s="470"/>
      <c r="D3" s="471"/>
      <c r="E3" s="471"/>
      <c r="F3" s="471"/>
      <c r="G3" s="471"/>
      <c r="H3" s="471"/>
      <c r="I3" s="471"/>
      <c r="J3" s="472"/>
      <c r="K3" s="461"/>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3"/>
      <c r="AO3" s="400" t="s">
        <v>3</v>
      </c>
      <c r="AP3" s="456"/>
      <c r="AQ3" s="456"/>
      <c r="AR3" s="456"/>
      <c r="AS3" s="456"/>
      <c r="AT3" s="456"/>
      <c r="AU3" s="375"/>
    </row>
    <row r="4" spans="1:92" x14ac:dyDescent="0.4">
      <c r="C4" s="470"/>
      <c r="D4" s="471"/>
      <c r="E4" s="471"/>
      <c r="F4" s="471"/>
      <c r="G4" s="471"/>
      <c r="H4" s="471"/>
      <c r="I4" s="471"/>
      <c r="J4" s="472"/>
      <c r="K4" s="461"/>
      <c r="L4" s="462"/>
      <c r="M4" s="462"/>
      <c r="N4" s="462"/>
      <c r="O4" s="462"/>
      <c r="P4" s="462"/>
      <c r="Q4" s="462"/>
      <c r="R4" s="462"/>
      <c r="S4" s="462"/>
      <c r="T4" s="462"/>
      <c r="U4" s="462"/>
      <c r="V4" s="462"/>
      <c r="W4" s="462"/>
      <c r="X4" s="462"/>
      <c r="Y4" s="462"/>
      <c r="Z4" s="462"/>
      <c r="AA4" s="462"/>
      <c r="AB4" s="462"/>
      <c r="AC4" s="462"/>
      <c r="AD4" s="462"/>
      <c r="AE4" s="462"/>
      <c r="AF4" s="462"/>
      <c r="AG4" s="462"/>
      <c r="AH4" s="462"/>
      <c r="AI4" s="462"/>
      <c r="AJ4" s="462"/>
      <c r="AK4" s="462"/>
      <c r="AL4" s="462"/>
      <c r="AM4" s="462"/>
      <c r="AN4" s="463"/>
      <c r="AO4" s="400" t="s">
        <v>4</v>
      </c>
      <c r="AP4" s="456" t="s">
        <v>262</v>
      </c>
      <c r="AQ4" s="456"/>
      <c r="AR4" s="456"/>
      <c r="AS4" s="456"/>
      <c r="AT4" s="456"/>
      <c r="AU4" s="375"/>
    </row>
    <row r="5" spans="1:92" ht="15" thickBot="1" x14ac:dyDescent="0.45">
      <c r="C5" s="473"/>
      <c r="D5" s="474"/>
      <c r="E5" s="474"/>
      <c r="F5" s="474"/>
      <c r="G5" s="474"/>
      <c r="H5" s="474"/>
      <c r="I5" s="474"/>
      <c r="J5" s="475"/>
      <c r="K5" s="464"/>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6"/>
      <c r="AO5" s="401" t="s">
        <v>5</v>
      </c>
      <c r="AP5" s="457" t="s">
        <v>5</v>
      </c>
      <c r="AQ5" s="457"/>
      <c r="AR5" s="457"/>
      <c r="AS5" s="457"/>
      <c r="AT5" s="457"/>
      <c r="AU5" s="377"/>
    </row>
    <row r="7" spans="1:92" x14ac:dyDescent="0.4">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x14ac:dyDescent="0.4">
      <c r="A8" s="515" t="s">
        <v>9</v>
      </c>
      <c r="B8" s="515"/>
      <c r="C8" s="545" t="s">
        <v>279</v>
      </c>
      <c r="D8" s="546"/>
      <c r="E8" s="546"/>
      <c r="F8" s="546"/>
      <c r="G8" s="546"/>
      <c r="H8" s="546"/>
      <c r="I8" s="546"/>
      <c r="J8" s="546"/>
      <c r="K8" s="547" t="s">
        <v>59</v>
      </c>
      <c r="L8" s="547"/>
      <c r="M8" s="547"/>
      <c r="N8" s="547"/>
      <c r="O8" s="547"/>
      <c r="P8" s="547"/>
      <c r="Q8" s="547"/>
      <c r="R8" s="547"/>
      <c r="S8" s="547"/>
      <c r="T8" s="547"/>
      <c r="U8" s="547"/>
      <c r="V8" s="547"/>
      <c r="W8" s="547"/>
      <c r="X8" s="547"/>
      <c r="Y8" s="547"/>
      <c r="Z8" s="547"/>
      <c r="AA8" s="547"/>
      <c r="AB8" s="547"/>
      <c r="AC8" s="547"/>
      <c r="AD8" s="547"/>
      <c r="AE8" s="547"/>
      <c r="AF8" s="547"/>
      <c r="AG8" s="547"/>
      <c r="AH8" s="547"/>
      <c r="AI8" s="547"/>
      <c r="AJ8" s="547"/>
      <c r="AK8" s="547"/>
      <c r="AL8" s="547"/>
      <c r="AM8" s="547"/>
      <c r="AN8" s="547"/>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x14ac:dyDescent="0.4">
      <c r="B9" s="68"/>
      <c r="C9" s="546"/>
      <c r="D9" s="546"/>
      <c r="E9" s="546"/>
      <c r="F9" s="546"/>
      <c r="G9" s="546"/>
      <c r="H9" s="546"/>
      <c r="I9" s="546"/>
      <c r="J9" s="546"/>
      <c r="K9" s="547"/>
      <c r="L9" s="547"/>
      <c r="M9" s="547"/>
      <c r="N9" s="547"/>
      <c r="O9" s="547"/>
      <c r="P9" s="547"/>
      <c r="Q9" s="547"/>
      <c r="R9" s="547"/>
      <c r="S9" s="547"/>
      <c r="T9" s="547"/>
      <c r="U9" s="547"/>
      <c r="V9" s="547"/>
      <c r="W9" s="547"/>
      <c r="X9" s="547"/>
      <c r="Y9" s="547"/>
      <c r="Z9" s="547"/>
      <c r="AA9" s="547"/>
      <c r="AB9" s="547"/>
      <c r="AC9" s="547"/>
      <c r="AD9" s="547"/>
      <c r="AE9" s="547"/>
      <c r="AF9" s="547"/>
      <c r="AG9" s="547"/>
      <c r="AH9" s="547"/>
      <c r="AI9" s="547"/>
      <c r="AJ9" s="547"/>
      <c r="AK9" s="547"/>
      <c r="AL9" s="547"/>
      <c r="AM9" s="547"/>
      <c r="AN9" s="547"/>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x14ac:dyDescent="0.4">
      <c r="B10" s="68"/>
      <c r="C10" s="546"/>
      <c r="D10" s="546"/>
      <c r="E10" s="546"/>
      <c r="F10" s="546"/>
      <c r="G10" s="546"/>
      <c r="H10" s="546"/>
      <c r="I10" s="546"/>
      <c r="J10" s="546"/>
      <c r="K10" s="547"/>
      <c r="L10" s="547"/>
      <c r="M10" s="547"/>
      <c r="N10" s="547"/>
      <c r="O10" s="547"/>
      <c r="P10" s="547"/>
      <c r="Q10" s="547"/>
      <c r="R10" s="547"/>
      <c r="S10" s="547"/>
      <c r="T10" s="547"/>
      <c r="U10" s="547"/>
      <c r="V10" s="547"/>
      <c r="W10" s="547"/>
      <c r="X10" s="547"/>
      <c r="Y10" s="547"/>
      <c r="Z10" s="547"/>
      <c r="AA10" s="547"/>
      <c r="AB10" s="547"/>
      <c r="AC10" s="547"/>
      <c r="AD10" s="547"/>
      <c r="AE10" s="547"/>
      <c r="AF10" s="547"/>
      <c r="AG10" s="547"/>
      <c r="AH10" s="547"/>
      <c r="AI10" s="547"/>
      <c r="AJ10" s="547"/>
      <c r="AK10" s="547"/>
      <c r="AL10" s="547"/>
      <c r="AM10" s="547"/>
      <c r="AN10" s="547"/>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5" thickBot="1" x14ac:dyDescent="0.45">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x14ac:dyDescent="0.45">
      <c r="B12" s="68"/>
      <c r="C12" s="476" t="s">
        <v>264</v>
      </c>
      <c r="D12" s="476"/>
      <c r="E12" s="477"/>
      <c r="F12" s="516" t="s">
        <v>265</v>
      </c>
      <c r="G12" s="517"/>
      <c r="H12" s="517"/>
      <c r="I12" s="517"/>
      <c r="J12" s="517"/>
      <c r="K12" s="32"/>
      <c r="L12" s="33" t="str">
        <f>IF(AND('Mapa final'!$AH$16="Muy Alta",'Mapa final'!$AJ$16="Leve"),CONCATENATE("R2C",'Mapa final'!$R$15),"")</f>
        <v/>
      </c>
      <c r="M12" s="33" t="str">
        <f>IF(AND('Mapa final'!$AH$17="Muy Alta",'Mapa final'!$AJ$17="Leve"),CONCATENATE("R2C",'Mapa final'!$R$17),"")</f>
        <v/>
      </c>
      <c r="N12" s="33" t="e">
        <f>IF(AND('Mapa final'!#REF!="Muy Alta",'Mapa final'!#REF!="Leve"),CONCATENATE("R2C",'Mapa final'!#REF!),"")</f>
        <v>#REF!</v>
      </c>
      <c r="O12" s="33" t="str">
        <f>IF(AND('Mapa final'!$AH$19="Muy Alta",'Mapa final'!$AJ$19="Leve"),CONCATENATE("R2C",'Mapa final'!$R$19),"")</f>
        <v/>
      </c>
      <c r="P12" s="34" t="str">
        <f>IF(AND('Mapa final'!$AH$20="Muy Alta",'Mapa final'!$AJ$20="Leve"),CONCATENATE("R2C",'Mapa final'!$R$20),"")</f>
        <v/>
      </c>
      <c r="Q12" s="33"/>
      <c r="R12" s="33" t="str">
        <f>IF(AND('Mapa final'!$AH$16="Muy Alta",'Mapa final'!$AJ$16="Menore"),CONCATENATE("R2C",'Mapa final'!$R$15),"")</f>
        <v/>
      </c>
      <c r="S12" s="33" t="str">
        <f>IF(AND('Mapa final'!$AH$17="Muy Alta",'Mapa final'!$AJ$17="Menor"),CONCATENATE("R2C",'Mapa final'!$R$17),"")</f>
        <v/>
      </c>
      <c r="T12" s="33" t="e">
        <f>IF(AND('Mapa final'!#REF!="Muy Alta",'Mapa final'!#REF!="Menor"),CONCATENATE("R2C",'Mapa final'!#REF!),"")</f>
        <v>#REF!</v>
      </c>
      <c r="U12" s="33" t="str">
        <f>IF(AND('Mapa final'!$AH$19="Muy Alta",'Mapa final'!$AJ$19="Menor"),CONCATENATE("R2C",'Mapa final'!$R$19),"")</f>
        <v/>
      </c>
      <c r="V12" s="34" t="str">
        <f>IF(AND('Mapa final'!$AH$20="Muy Alta",'Mapa final'!$AJ$20="Menor"),CONCATENATE("R2C",'Mapa final'!$R$20),"")</f>
        <v/>
      </c>
      <c r="W12" s="32"/>
      <c r="X12" s="33" t="str">
        <f>IF(AND('Mapa final'!$AH$16="Muy Alta",'Mapa final'!$AJ$16="Moderado"),CONCATENATE("R2C",'Mapa final'!$R$15),"")</f>
        <v/>
      </c>
      <c r="Y12" s="33"/>
      <c r="Z12" s="33" t="e">
        <f>IF(AND('Mapa final'!#REF!="Muy Alta",'Mapa final'!#REF!="Moderado"),CONCATENATE("R2C",'Mapa final'!#REF!),"")</f>
        <v>#REF!</v>
      </c>
      <c r="AA12" s="33" t="str">
        <f>IF(AND('Mapa final'!$AH$19="Muy Alta",'Mapa final'!$AJ$19="Moderado"),CONCATENATE("R2C",'Mapa final'!$R$19),"")</f>
        <v/>
      </c>
      <c r="AB12" s="34" t="str">
        <f>IF(AND('Mapa final'!$AH$20="Muy Alta",'Mapa final'!$AJ$20="Moderado"),CONCATENATE("R2C",'Mapa final'!$R$20),"")</f>
        <v/>
      </c>
      <c r="AC12" s="32"/>
      <c r="AD12" s="33" t="str">
        <f>IF(AND('Mapa final'!$AH$16="Muy Alta",'Mapa final'!$AJ$16="Mayor"),CONCATENATE("R2C",'Mapa final'!$R$15),"")</f>
        <v/>
      </c>
      <c r="AE12" s="33" t="str">
        <f>IF(AND('Mapa final'!$AH$17="Muy Alta",'Mapa final'!$AJ$17="Mayor"),CONCATENATE("R2C",'Mapa final'!$R$17),"")</f>
        <v/>
      </c>
      <c r="AF12" s="33" t="e">
        <f>IF(AND('Mapa final'!#REF!="Muy Alta",'Mapa final'!#REF!="Mayor"),CONCATENATE("R2C",'Mapa final'!#REF!),"")</f>
        <v>#REF!</v>
      </c>
      <c r="AG12" s="33" t="str">
        <f>IF(AND('Mapa final'!$AH$19="Muy Alta",'Mapa final'!$AJ$19="Mayor"),CONCATENATE("R2C",'Mapa final'!$R$19),"")</f>
        <v/>
      </c>
      <c r="AH12" s="34" t="str">
        <f>IF(AND('Mapa final'!$AH$20="Muy Alta",'Mapa final'!$AJ$20="Mayor"),CONCATENATE("R2C",'Mapa final'!$R$20),"")</f>
        <v/>
      </c>
      <c r="AI12" s="35"/>
      <c r="AJ12" s="36" t="str">
        <f>IF(AND('Mapa final'!$AH$16="Muy Alta",'Mapa final'!$AJ$16="Catastrófico"),CONCATENATE("R2C",'Mapa final'!$R$15),"")</f>
        <v/>
      </c>
      <c r="AK12" s="36" t="str">
        <f>IF(AND('Mapa final'!$AH$17="Muy Alta",'Mapa final'!$AJ$17="Catastrófico"),CONCATENATE("R2C",'Mapa final'!$R$17),"")</f>
        <v/>
      </c>
      <c r="AL12" s="36" t="e">
        <f>IF(AND('Mapa final'!#REF!="Muy Alta",'Mapa final'!#REF!="Catastrófico"),CONCATENATE("R2C",'Mapa final'!#REF!),"")</f>
        <v>#REF!</v>
      </c>
      <c r="AM12" s="36" t="str">
        <f>IF(AND('Mapa final'!$AH$19="Muy Alta",'Mapa final'!$AJ$19="Catastrófico"),CONCATENATE("R2C",'Mapa final'!$R$19),"")</f>
        <v/>
      </c>
      <c r="AN12" s="37" t="str">
        <f>IF(AND('Mapa final'!$AH$20="Muy Alta",'Mapa final'!$AJ$20="Catastrófico"),CONCATENATE("R2C",'Mapa final'!$R$20),"")</f>
        <v/>
      </c>
      <c r="AO12" s="68"/>
      <c r="AP12" s="536" t="s">
        <v>266</v>
      </c>
      <c r="AQ12" s="537"/>
      <c r="AR12" s="537"/>
      <c r="AS12" s="537"/>
      <c r="AT12" s="537"/>
      <c r="AU12" s="53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x14ac:dyDescent="0.45">
      <c r="B13" s="68"/>
      <c r="C13" s="476"/>
      <c r="D13" s="476"/>
      <c r="E13" s="477"/>
      <c r="F13" s="519"/>
      <c r="G13" s="520"/>
      <c r="H13" s="520"/>
      <c r="I13" s="520"/>
      <c r="J13" s="520"/>
      <c r="K13" s="38" t="str">
        <f>IF(AND('Mapa final'!$AH$21="Muy Alta",'Mapa final'!$AJ$21="Leve"),CONCATENATE("R2C",'Mapa final'!$R$21),"")</f>
        <v/>
      </c>
      <c r="L13" s="39" t="e">
        <f>IF(AND('Mapa final'!#REF!="Muy Alta",'Mapa final'!#REF!="Leve"),CONCATENATE("R2C",'Mapa final'!#REF!),"")</f>
        <v>#REF!</v>
      </c>
      <c r="M13" s="39" t="str">
        <f>IF(AND('Mapa final'!$AH$23="Muy Alta",'Mapa final'!$AJ$23="Leve"),CONCATENATE("R2C",'Mapa final'!$R$23),"")</f>
        <v/>
      </c>
      <c r="N13" s="39" t="str">
        <f>IF(AND('Mapa final'!$AH$24="Muy Alta",'Mapa final'!$AJ$24="Leve"),CONCATENATE("R2C",'Mapa final'!$R$24),"")</f>
        <v/>
      </c>
      <c r="O13" s="39" t="str">
        <f>IF(AND('Mapa final'!$AH$25="Muy Alta",'Mapa final'!$AJ$25="Leve"),CONCATENATE("R2C",'Mapa final'!$R$25),"")</f>
        <v/>
      </c>
      <c r="P13" s="40" t="str">
        <f>IF(AND('Mapa final'!$AH$26="Muy Alta",'Mapa final'!$AJ$26="Leve"),CONCATENATE("R2C",'Mapa final'!$R$26),"")</f>
        <v/>
      </c>
      <c r="Q13" s="39" t="str">
        <f>IF(AND('Mapa final'!$AH$21="Muy Alta",'Mapa final'!$AJ$21="Menor"),CONCATENATE("R2C",'Mapa final'!$R$21),"")</f>
        <v/>
      </c>
      <c r="R13" s="39" t="e">
        <f>IF(AND('Mapa final'!#REF!="Muy Alta",'Mapa final'!#REF!="Menor"),CONCATENATE("R2C",'Mapa final'!#REF!),"")</f>
        <v>#REF!</v>
      </c>
      <c r="S13" s="39" t="str">
        <f>IF(AND('Mapa final'!$AH$23="Muy Alta",'Mapa final'!$AJ$23="Menor"),CONCATENATE("R2C",'Mapa final'!$R$23),"")</f>
        <v/>
      </c>
      <c r="T13" s="39" t="str">
        <f>IF(AND('Mapa final'!$AH$24="Muy Alta",'Mapa final'!$AJ$24="Menor"),CONCATENATE("R2C",'Mapa final'!$R$24),"")</f>
        <v/>
      </c>
      <c r="U13" s="39" t="str">
        <f>IF(AND('Mapa final'!$AH$25="Muy Alta",'Mapa final'!$AJ$25="Menor"),CONCATENATE("R2C",'Mapa final'!$R$25),"")</f>
        <v/>
      </c>
      <c r="V13" s="40" t="str">
        <f>IF(AND('Mapa final'!$AH$26="Muy Alta",'Mapa final'!$AJ$26="Menor"),CONCATENATE("R2C",'Mapa final'!$R$26),"")</f>
        <v/>
      </c>
      <c r="W13" s="38" t="str">
        <f>IF(AND('Mapa final'!$AH$21="Muy Alta",'Mapa final'!$AJ$21="Moderado"),CONCATENATE("R2C",'Mapa final'!$R$21),"")</f>
        <v/>
      </c>
      <c r="X13" s="39" t="e">
        <f>IF(AND('Mapa final'!#REF!="Muy Alta",'Mapa final'!#REF!="Moderado"),CONCATENATE("R2C",'Mapa final'!#REF!),"")</f>
        <v>#REF!</v>
      </c>
      <c r="Y13" s="39" t="str">
        <f>IF(AND('Mapa final'!$AH$23="Muy Alta",'Mapa final'!$AJ$23="Moderado"),CONCATENATE("R2C",'Mapa final'!$R$23),"")</f>
        <v/>
      </c>
      <c r="Z13" s="39" t="str">
        <f>IF(AND('Mapa final'!$AH$24="Muy Alta",'Mapa final'!$AJ$24="Moderado"),CONCATENATE("R2C",'Mapa final'!$R$24),"")</f>
        <v/>
      </c>
      <c r="AA13" s="39" t="str">
        <f>IF(AND('Mapa final'!$AH$25="Muy Alta",'Mapa final'!$AJ$25="Moderado"),CONCATENATE("R2C",'Mapa final'!$R$25),"")</f>
        <v/>
      </c>
      <c r="AB13" s="40" t="str">
        <f>IF(AND('Mapa final'!$AH$26="Muy Alta",'Mapa final'!$AJ$26="Moderado"),CONCATENATE("R2C",'Mapa final'!$R$26),"")</f>
        <v/>
      </c>
      <c r="AC13" s="38" t="str">
        <f>IF(AND('Mapa final'!$AH$21="Muy Alta",'Mapa final'!$AJ$21="Mayor"),CONCATENATE("R2C",'Mapa final'!$R$21),"")</f>
        <v/>
      </c>
      <c r="AD13" s="39" t="e">
        <f>IF(AND('Mapa final'!#REF!="Muy Alta",'Mapa final'!#REF!="Mayor"),CONCATENATE("R2C",'Mapa final'!#REF!),"")</f>
        <v>#REF!</v>
      </c>
      <c r="AE13" s="39" t="str">
        <f>IF(AND('Mapa final'!$AH$23="Muy Alta",'Mapa final'!$AJ$23="Mayor"),CONCATENATE("R2C",'Mapa final'!$R$23),"")</f>
        <v/>
      </c>
      <c r="AF13" s="39" t="str">
        <f>IF(AND('Mapa final'!$AH$24="Muy Alta",'Mapa final'!$AJ$24="Mayor"),CONCATENATE("R2C",'Mapa final'!$R$24),"")</f>
        <v/>
      </c>
      <c r="AG13" s="39" t="str">
        <f>IF(AND('Mapa final'!$AH$25="Muy Alta",'Mapa final'!$AJ$25="Mayor"),CONCATENATE("R2C",'Mapa final'!$R$25),"")</f>
        <v/>
      </c>
      <c r="AH13" s="40" t="str">
        <f>IF(AND('Mapa final'!$AH$26="Muy Alta",'Mapa final'!$AJ$26="Mayor"),CONCATENATE("R2C",'Mapa final'!$R$26),"")</f>
        <v/>
      </c>
      <c r="AI13" s="41" t="str">
        <f>IF(AND('Mapa final'!$AH$21="Muy Alta",'Mapa final'!$AJ$21="Catastrófico"),CONCATENATE("R2C",'Mapa final'!$R$21),"")</f>
        <v/>
      </c>
      <c r="AJ13" s="42" t="e">
        <f>IF(AND('Mapa final'!#REF!="Muy Alta",'Mapa final'!#REF!="Catastrófico"),CONCATENATE("R2C",'Mapa final'!#REF!),"")</f>
        <v>#REF!</v>
      </c>
      <c r="AK13" s="42" t="str">
        <f>IF(AND('Mapa final'!$AH$23="Muy Alta",'Mapa final'!$AJ$23="Catastrófico"),CONCATENATE("R2C",'Mapa final'!$R$23),"")</f>
        <v/>
      </c>
      <c r="AL13" s="42" t="str">
        <f>IF(AND('Mapa final'!$AH$24="Muy Alta",'Mapa final'!$AJ$24="Catastrófico"),CONCATENATE("R2C",'Mapa final'!$R$24),"")</f>
        <v/>
      </c>
      <c r="AM13" s="42" t="str">
        <f>IF(AND('Mapa final'!$AH$25="Muy Alta",'Mapa final'!$AJ$25="Catastrófico"),CONCATENATE("R2C",'Mapa final'!$R$25),"")</f>
        <v/>
      </c>
      <c r="AN13" s="43" t="str">
        <f>IF(AND('Mapa final'!$AH$26="Muy Alta",'Mapa final'!$AJ$26="Catastrófico"),CONCATENATE("R2C",'Mapa final'!$R$26),"")</f>
        <v/>
      </c>
      <c r="AO13" s="68"/>
      <c r="AP13" s="539"/>
      <c r="AQ13" s="540"/>
      <c r="AR13" s="540"/>
      <c r="AS13" s="540"/>
      <c r="AT13" s="540"/>
      <c r="AU13" s="541"/>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x14ac:dyDescent="0.45">
      <c r="B14" s="68"/>
      <c r="C14" s="476"/>
      <c r="D14" s="476"/>
      <c r="E14" s="477"/>
      <c r="F14" s="519"/>
      <c r="G14" s="520"/>
      <c r="H14" s="520"/>
      <c r="I14" s="520"/>
      <c r="J14" s="520"/>
      <c r="K14" s="38" t="str">
        <f>IF(AND('Mapa final'!$AH$27="Muy Alta",'Mapa final'!$AJ$27="Leve"),CONCATENATE("R2C",'Mapa final'!$R$27),"")</f>
        <v/>
      </c>
      <c r="L14" s="39" t="str">
        <f>IF(AND('Mapa final'!$AH$28="Muy Alta",'Mapa final'!$AJ$28="Leve"),CONCATENATE("R2C",'Mapa final'!$R$28),"")</f>
        <v/>
      </c>
      <c r="M14" s="39" t="str">
        <f>IF(AND('Mapa final'!$AH$29="Muy Alta",'Mapa final'!$AJ$29="Leve"),CONCATENATE("R2C",'Mapa final'!$R$29),"")</f>
        <v/>
      </c>
      <c r="N14" s="39" t="str">
        <f>IF(AND('Mapa final'!$AH$30="Muy Alta",'Mapa final'!$AJ$30="Leve"),CONCATENATE("R2C",'Mapa final'!$R$30),"")</f>
        <v/>
      </c>
      <c r="O14" s="39" t="str">
        <f>IF(AND('Mapa final'!$AH$31="Muy Alta",'Mapa final'!$AJ$31="Leve"),CONCATENATE("R2C",'Mapa final'!$R$31),"")</f>
        <v/>
      </c>
      <c r="P14" s="40" t="str">
        <f>IF(AND('Mapa final'!$AH$32="Muy Alta",'Mapa final'!$AJ$32="Leve"),CONCATENATE("R2C",'Mapa final'!$R$32),"")</f>
        <v/>
      </c>
      <c r="Q14" s="39" t="str">
        <f>IF(AND('Mapa final'!$AH$27="Muy Alta",'Mapa final'!$AJ$27="Menor"),CONCATENATE("R2C",'Mapa final'!$R$27),"")</f>
        <v/>
      </c>
      <c r="R14" s="39" t="str">
        <f>IF(AND('Mapa final'!$AH$28="Muy Alta",'Mapa final'!$AJ$28="Menor"),CONCATENATE("R2C",'Mapa final'!$R$28),"")</f>
        <v/>
      </c>
      <c r="S14" s="39" t="str">
        <f>IF(AND('Mapa final'!$AH$29="Muy Alta",'Mapa final'!$AJ$29="Menor"),CONCATENATE("R2C",'Mapa final'!$R$29),"")</f>
        <v/>
      </c>
      <c r="T14" s="39" t="str">
        <f>IF(AND('Mapa final'!$AH$30="Muy Alta",'Mapa final'!$AJ$30="Menor"),CONCATENATE("R2C",'Mapa final'!$R$30),"")</f>
        <v/>
      </c>
      <c r="U14" s="39" t="str">
        <f>IF(AND('Mapa final'!$AH$31="Muy Alta",'Mapa final'!$AJ$31="Menor"),CONCATENATE("R2C",'Mapa final'!$R$31),"")</f>
        <v/>
      </c>
      <c r="V14" s="40" t="str">
        <f>IF(AND('Mapa final'!$AH$32="Muy Alta",'Mapa final'!$AJ$32="Menor"),CONCATENATE("R2C",'Mapa final'!$R$32),"")</f>
        <v/>
      </c>
      <c r="W14" s="38" t="str">
        <f>IF(AND('Mapa final'!$AH$27="Muy Alta",'Mapa final'!$AJ$27="Moderado"),CONCATENATE("R2C",'Mapa final'!$R$27),"")</f>
        <v/>
      </c>
      <c r="X14" s="39" t="str">
        <f>IF(AND('Mapa final'!$AH$28="Muy Alta",'Mapa final'!$AJ$28="Moderado"),CONCATENATE("R2C",'Mapa final'!$R$28),"")</f>
        <v/>
      </c>
      <c r="Y14" s="39" t="str">
        <f>IF(AND('Mapa final'!$AH$29="Muy Alta",'Mapa final'!$AJ$29="Moderado"),CONCATENATE("R2C",'Mapa final'!$R$29),"")</f>
        <v/>
      </c>
      <c r="Z14" s="39" t="str">
        <f>IF(AND('Mapa final'!$AH$30="Muy Alta",'Mapa final'!$AJ$30="Moderado"),CONCATENATE("R2C",'Mapa final'!$R$30),"")</f>
        <v/>
      </c>
      <c r="AA14" s="39" t="str">
        <f>IF(AND('Mapa final'!$AH$31="Muy Alta",'Mapa final'!$AJ$31="Moderado"),CONCATENATE("R2C",'Mapa final'!$R$31),"")</f>
        <v/>
      </c>
      <c r="AB14" s="40" t="str">
        <f>IF(AND('Mapa final'!$AH$32="Muy Alta",'Mapa final'!$AJ$32="Moderado"),CONCATENATE("R2C",'Mapa final'!$R$32),"")</f>
        <v/>
      </c>
      <c r="AC14" s="38" t="str">
        <f>IF(AND('Mapa final'!$AH$27="Muy Alta",'Mapa final'!$AJ$27="Mayor"),CONCATENATE("R2C",'Mapa final'!$R$27),"")</f>
        <v/>
      </c>
      <c r="AD14" s="39" t="str">
        <f>IF(AND('Mapa final'!$AH$28="Muy Alta",'Mapa final'!$AJ$28="Mayor"),CONCATENATE("R2C",'Mapa final'!$R$28),"")</f>
        <v/>
      </c>
      <c r="AE14" s="39" t="str">
        <f>IF(AND('Mapa final'!$AH$29="Muy Alta",'Mapa final'!$AJ$29="Mayor"),CONCATENATE("R2C",'Mapa final'!$R$29),"")</f>
        <v/>
      </c>
      <c r="AF14" s="39" t="str">
        <f>IF(AND('Mapa final'!$AH$30="Muy Alta",'Mapa final'!$AJ$30="Mayor"),CONCATENATE("R2C",'Mapa final'!$R$30),"")</f>
        <v/>
      </c>
      <c r="AG14" s="39" t="str">
        <f>IF(AND('Mapa final'!$AH$31="Muy Alta",'Mapa final'!$AJ$31="Mayor"),CONCATENATE("R2C",'Mapa final'!$R$31),"")</f>
        <v/>
      </c>
      <c r="AH14" s="40" t="str">
        <f>IF(AND('Mapa final'!$AH$32="Muy Alta",'Mapa final'!$AJ$32="Mayor"),CONCATENATE("R2C",'Mapa final'!$R$32),"")</f>
        <v/>
      </c>
      <c r="AI14" s="41" t="str">
        <f>IF(AND('Mapa final'!$AH$27="Muy Alta",'Mapa final'!$AJ$27="Catastrófico"),CONCATENATE("R2C",'Mapa final'!$R$27),"")</f>
        <v/>
      </c>
      <c r="AJ14" s="42" t="str">
        <f>IF(AND('Mapa final'!$AH$28="Muy Alta",'Mapa final'!$AJ$28="Catastrófico"),CONCATENATE("R2C",'Mapa final'!$R$28),"")</f>
        <v/>
      </c>
      <c r="AK14" s="42" t="str">
        <f>IF(AND('Mapa final'!$AH$29="Muy Alta",'Mapa final'!$AJ$29="Catastrófico"),CONCATENATE("R2C",'Mapa final'!$R$29),"")</f>
        <v/>
      </c>
      <c r="AL14" s="42" t="str">
        <f>IF(AND('Mapa final'!$AH$30="Muy Alta",'Mapa final'!$AJ$30="Catastrófico"),CONCATENATE("R2C",'Mapa final'!$R$30),"")</f>
        <v/>
      </c>
      <c r="AM14" s="42" t="str">
        <f>IF(AND('Mapa final'!$AH$31="Muy Alta",'Mapa final'!$AJ$31="Catastrófico"),CONCATENATE("R2C",'Mapa final'!$R$31),"")</f>
        <v/>
      </c>
      <c r="AN14" s="43" t="str">
        <f>IF(AND('Mapa final'!$AH$32="Muy Alta",'Mapa final'!$AJ$32="Catastrófico"),CONCATENATE("R2C",'Mapa final'!$R$32),"")</f>
        <v/>
      </c>
      <c r="AO14" s="68"/>
      <c r="AP14" s="539"/>
      <c r="AQ14" s="540"/>
      <c r="AR14" s="540"/>
      <c r="AS14" s="540"/>
      <c r="AT14" s="540"/>
      <c r="AU14" s="541"/>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x14ac:dyDescent="0.45">
      <c r="B15" s="68"/>
      <c r="C15" s="476"/>
      <c r="D15" s="476"/>
      <c r="E15" s="477"/>
      <c r="F15" s="519"/>
      <c r="G15" s="520"/>
      <c r="H15" s="520"/>
      <c r="I15" s="520"/>
      <c r="J15" s="520"/>
      <c r="K15" s="38" t="str">
        <f>IF(AND('Mapa final'!$AH$33="Muy Alta",'Mapa final'!$AJ$33="Leve"),CONCATENATE("R2C",'Mapa final'!$R$33),"")</f>
        <v/>
      </c>
      <c r="L15" s="39" t="str">
        <f>IF(AND('Mapa final'!$AH$34="Muy Alta",'Mapa final'!$AJ$34="Leve"),CONCATENATE("R2C",'Mapa final'!$R$34),"")</f>
        <v/>
      </c>
      <c r="M15" s="39" t="str">
        <f>IF(AND('Mapa final'!$AH$35="Muy Alta",'Mapa final'!$AJ$35="Leve"),CONCATENATE("R2C",'Mapa final'!$R$35),"")</f>
        <v/>
      </c>
      <c r="N15" s="39" t="str">
        <f>IF(AND('Mapa final'!$AH$36="Muy Alta",'Mapa final'!$AJ$36="Leve"),CONCATENATE("R2C",'Mapa final'!$R$36),"")</f>
        <v/>
      </c>
      <c r="O15" s="39" t="str">
        <f>IF(AND('Mapa final'!$AH$37="Muy Alta",'Mapa final'!$AJ$37="Leve"),CONCATENATE("R2C",'Mapa final'!$R$37),"")</f>
        <v/>
      </c>
      <c r="P15" s="40" t="str">
        <f>IF(AND('Mapa final'!$AH$38="Muy Alta",'Mapa final'!$AJ$38="Leve"),CONCATENATE("R2C",'Mapa final'!$R$38),"")</f>
        <v/>
      </c>
      <c r="Q15" s="39" t="str">
        <f>IF(AND('Mapa final'!$AH$33="Muy Alta",'Mapa final'!$AJ$33="Menor"),CONCATENATE("R2C",'Mapa final'!$R$33),"")</f>
        <v/>
      </c>
      <c r="R15" s="39" t="str">
        <f>IF(AND('Mapa final'!$AH$34="Muy Alta",'Mapa final'!$AJ$34="Menor"),CONCATENATE("R2C",'Mapa final'!$R$34),"")</f>
        <v/>
      </c>
      <c r="S15" s="39" t="str">
        <f>IF(AND('Mapa final'!$AH$35="Muy Alta",'Mapa final'!$AJ$35="Menor"),CONCATENATE("R2C",'Mapa final'!$R$35),"")</f>
        <v/>
      </c>
      <c r="T15" s="39" t="str">
        <f>IF(AND('Mapa final'!$AH$36="Muy Alta",'Mapa final'!$AJ$36="Menor"),CONCATENATE("R2C",'Mapa final'!$R$36),"")</f>
        <v/>
      </c>
      <c r="U15" s="39" t="str">
        <f>IF(AND('Mapa final'!$AH$37="Muy Alta",'Mapa final'!$AJ$37="LMenor"),CONCATENATE("R2C",'Mapa final'!$R$37),"")</f>
        <v/>
      </c>
      <c r="V15" s="40" t="str">
        <f>IF(AND('Mapa final'!$AH$38="Muy Alta",'Mapa final'!$AJ$38="Menor"),CONCATENATE("R2C",'Mapa final'!$R$38),"")</f>
        <v/>
      </c>
      <c r="W15" s="38" t="str">
        <f>IF(AND('Mapa final'!$AH$33="Muy Alta",'Mapa final'!$AJ$33="Moderado"),CONCATENATE("R2C",'Mapa final'!$R$33),"")</f>
        <v/>
      </c>
      <c r="X15" s="39" t="str">
        <f>IF(AND('Mapa final'!$AH$34="Muy Alta",'Mapa final'!$AJ$34="Moderado"),CONCATENATE("R2C",'Mapa final'!$R$34),"")</f>
        <v/>
      </c>
      <c r="Y15" s="39" t="str">
        <f>IF(AND('Mapa final'!$AH$35="Muy Alta",'Mapa final'!$AJ$35="Moderado"),CONCATENATE("R2C",'Mapa final'!$R$35),"")</f>
        <v/>
      </c>
      <c r="Z15" s="39" t="str">
        <f>IF(AND('Mapa final'!$AH$36="Muy Alta",'Mapa final'!$AJ$36="Moderado"),CONCATENATE("R2C",'Mapa final'!$R$36),"")</f>
        <v/>
      </c>
      <c r="AA15" s="39" t="str">
        <f>IF(AND('Mapa final'!$AH$37="Muy Alta",'Mapa final'!$AJ$37="Moderado"),CONCATENATE("R2C",'Mapa final'!$R$37),"")</f>
        <v/>
      </c>
      <c r="AB15" s="40" t="str">
        <f>IF(AND('Mapa final'!$AH$38="Muy Alta",'Mapa final'!$AJ$38="Moderado"),CONCATENATE("R2C",'Mapa final'!$R$38),"")</f>
        <v/>
      </c>
      <c r="AC15" s="38" t="str">
        <f>IF(AND('Mapa final'!$AH$33="Muy Alta",'Mapa final'!$AJ$33="Mayor"),CONCATENATE("R2C",'Mapa final'!$R$33),"")</f>
        <v/>
      </c>
      <c r="AD15" s="39" t="str">
        <f>IF(AND('Mapa final'!$AH$34="Muy Alta",'Mapa final'!$AJ$34="Mayor"),CONCATENATE("R2C",'Mapa final'!$R$34),"")</f>
        <v/>
      </c>
      <c r="AE15" s="39" t="str">
        <f>IF(AND('Mapa final'!$AH$35="Muy Alta",'Mapa final'!$AJ$35="Mayor"),CONCATENATE("R2C",'Mapa final'!$R$35),"")</f>
        <v/>
      </c>
      <c r="AF15" s="39" t="str">
        <f>IF(AND('Mapa final'!$AH$36="Muy Alta",'Mapa final'!$AJ$36="Mayor"),CONCATENATE("R2C",'Mapa final'!$R$36),"")</f>
        <v/>
      </c>
      <c r="AG15" s="39" t="str">
        <f>IF(AND('Mapa final'!$AH$37="Muy Alta",'Mapa final'!$AJ$37="Mayor"),CONCATENATE("R2C",'Mapa final'!$R$37),"")</f>
        <v/>
      </c>
      <c r="AH15" s="40" t="str">
        <f>IF(AND('Mapa final'!$AH$38="Muy Alta",'Mapa final'!$AJ$38="Mayor"),CONCATENATE("R2C",'Mapa final'!$R$38),"")</f>
        <v/>
      </c>
      <c r="AI15" s="41" t="str">
        <f>IF(AND('Mapa final'!$AH$33="Muy Alta",'Mapa final'!$AJ$33="Catastrófico"),CONCATENATE("R2C",'Mapa final'!$R$33),"")</f>
        <v/>
      </c>
      <c r="AJ15" s="42" t="str">
        <f>IF(AND('Mapa final'!$AH$34="Muy Alta",'Mapa final'!$AJ$34="Catastrófico"),CONCATENATE("R2C",'Mapa final'!$R$34),"")</f>
        <v/>
      </c>
      <c r="AK15" s="42" t="str">
        <f>IF(AND('Mapa final'!$AH$35="Muy Alta",'Mapa final'!$AJ$35="Catastrófico"),CONCATENATE("R2C",'Mapa final'!$R$35),"")</f>
        <v/>
      </c>
      <c r="AL15" s="42" t="str">
        <f>IF(AND('Mapa final'!$AH$36="Muy Alta",'Mapa final'!$AJ$36="Catastrófico"),CONCATENATE("R2C",'Mapa final'!$R$36),"")</f>
        <v/>
      </c>
      <c r="AM15" s="42" t="str">
        <f>IF(AND('Mapa final'!$AH$37="Muy Alta",'Mapa final'!$AJ$37="LCatastrófico"),CONCATENATE("R2C",'Mapa final'!$R$37),"")</f>
        <v/>
      </c>
      <c r="AN15" s="43" t="str">
        <f>IF(AND('Mapa final'!$AH$38="Muy Alta",'Mapa final'!$AJ$38="Catastrófico"),CONCATENATE("R2C",'Mapa final'!$R$38),"")</f>
        <v/>
      </c>
      <c r="AO15" s="68"/>
      <c r="AP15" s="539"/>
      <c r="AQ15" s="540"/>
      <c r="AR15" s="540"/>
      <c r="AS15" s="540"/>
      <c r="AT15" s="540"/>
      <c r="AU15" s="541"/>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x14ac:dyDescent="0.45">
      <c r="B16" s="68"/>
      <c r="C16" s="476"/>
      <c r="D16" s="476"/>
      <c r="E16" s="477"/>
      <c r="F16" s="519"/>
      <c r="G16" s="520"/>
      <c r="H16" s="520"/>
      <c r="I16" s="520"/>
      <c r="J16" s="520"/>
      <c r="K16" s="38" t="str">
        <f>IF(AND('Mapa final'!$AH$39="Muy Alta",'Mapa final'!$AJ$39="Leve"),CONCATENATE("R2C",'Mapa final'!$R$39),"")</f>
        <v/>
      </c>
      <c r="L16" s="39" t="str">
        <f>IF(AND('Mapa final'!$AH$40="Muy Alta",'Mapa final'!$AJ$40="Leve"),CONCATENATE("R2C",'Mapa final'!$R$40),"")</f>
        <v/>
      </c>
      <c r="M16" s="39" t="str">
        <f>IF(AND('Mapa final'!$AH$41="Muy Alta",'Mapa final'!$AJ$41="Leve"),CONCATENATE("R2C",'Mapa final'!$R$41),"")</f>
        <v/>
      </c>
      <c r="N16" s="39" t="str">
        <f>IF(AND('Mapa final'!$AH$42="Muy Alta",'Mapa final'!$AJ$42="Leve"),CONCATENATE("R2C",'Mapa final'!$R$42),"")</f>
        <v/>
      </c>
      <c r="O16" s="39" t="str">
        <f>IF(AND('Mapa final'!$AH$43="Muy Alta",'Mapa final'!$AJ$43="Leve"),CONCATENATE("R2C",'Mapa final'!$R$43),"")</f>
        <v/>
      </c>
      <c r="P16" s="40" t="str">
        <f>IF(AND('Mapa final'!$AH$44="Muy Alta",'Mapa final'!$AJ$44="Leve"),CONCATENATE("R2C",'Mapa final'!$R$44),"")</f>
        <v/>
      </c>
      <c r="Q16" s="39" t="str">
        <f>IF(AND('Mapa final'!$AH$39="Muy Alta",'Mapa final'!$AJ$39="Menor"),CONCATENATE("R2C",'Mapa final'!$R$39),"")</f>
        <v/>
      </c>
      <c r="R16" s="39" t="str">
        <f>IF(AND('Mapa final'!$AH$40="Muy Alta",'Mapa final'!$AJ$40="Menor"),CONCATENATE("R2C",'Mapa final'!$R$40),"")</f>
        <v/>
      </c>
      <c r="S16" s="39" t="str">
        <f>IF(AND('Mapa final'!$AH$41="Muy Alta",'Mapa final'!$AJ$41="Menor"),CONCATENATE("R2C",'Mapa final'!$R$41),"")</f>
        <v/>
      </c>
      <c r="T16" s="39" t="str">
        <f>IF(AND('Mapa final'!$AH$42="Muy Alta",'Mapa final'!$AJ$42="Menor"),CONCATENATE("R2C",'Mapa final'!$R$42),"")</f>
        <v/>
      </c>
      <c r="U16" s="39" t="str">
        <f>IF(AND('Mapa final'!$AH$43="Muy Alta",'Mapa final'!$AJ$43="Menor"),CONCATENATE("R2C",'Mapa final'!$R$43),"")</f>
        <v/>
      </c>
      <c r="V16" s="40" t="str">
        <f>IF(AND('Mapa final'!$AH$44="Muy Alta",'Mapa final'!$AJ$44="Menor"),CONCATENATE("R2C",'Mapa final'!$R$44),"")</f>
        <v/>
      </c>
      <c r="W16" s="38" t="str">
        <f>IF(AND('Mapa final'!$AH$39="Muy Alta",'Mapa final'!$AJ$39="Moderado"),CONCATENATE("R2C",'Mapa final'!$R$39),"")</f>
        <v/>
      </c>
      <c r="X16" s="39" t="str">
        <f>IF(AND('Mapa final'!$AH$40="Muy Alta",'Mapa final'!$AJ$40="Moderado"),CONCATENATE("R2C",'Mapa final'!$R$40),"")</f>
        <v/>
      </c>
      <c r="Y16" s="39" t="str">
        <f>IF(AND('Mapa final'!$AH$41="Muy Alta",'Mapa final'!$AJ$41="Moderado"),CONCATENATE("R2C",'Mapa final'!$R$41),"")</f>
        <v/>
      </c>
      <c r="Z16" s="39" t="str">
        <f>IF(AND('Mapa final'!$AH$42="Muy Alta",'Mapa final'!$AJ$42="Moderado"),CONCATENATE("R2C",'Mapa final'!$R$42),"")</f>
        <v/>
      </c>
      <c r="AA16" s="39" t="str">
        <f>IF(AND('Mapa final'!$AH$43="Muy Alta",'Mapa final'!$AJ$43="Moderado"),CONCATENATE("R2C",'Mapa final'!$R$43),"")</f>
        <v/>
      </c>
      <c r="AB16" s="40" t="str">
        <f>IF(AND('Mapa final'!$AH$44="Muy Alta",'Mapa final'!$AJ$44="Moderado"),CONCATENATE("R2C",'Mapa final'!$R$44),"")</f>
        <v/>
      </c>
      <c r="AC16" s="38" t="str">
        <f>IF(AND('Mapa final'!$AH$39="Muy Alta",'Mapa final'!$AJ$39="Mayor"),CONCATENATE("R2C",'Mapa final'!$R$39),"")</f>
        <v/>
      </c>
      <c r="AD16" s="39" t="str">
        <f>IF(AND('Mapa final'!$AH$40="Muy Alta",'Mapa final'!$AJ$40="Mayor"),CONCATENATE("R2C",'Mapa final'!$R$40),"")</f>
        <v/>
      </c>
      <c r="AE16" s="39" t="str">
        <f>IF(AND('Mapa final'!$AH$41="Muy Alta",'Mapa final'!$AJ$41="Mayor"),CONCATENATE("R2C",'Mapa final'!$R$41),"")</f>
        <v/>
      </c>
      <c r="AF16" s="39" t="str">
        <f>IF(AND('Mapa final'!$AH$42="Muy Alta",'Mapa final'!$AJ$42="Mayor"),CONCATENATE("R2C",'Mapa final'!$R$42),"")</f>
        <v/>
      </c>
      <c r="AG16" s="39" t="str">
        <f>IF(AND('Mapa final'!$AH$43="Muy Alta",'Mapa final'!$AJ$43="Mayor"),CONCATENATE("R2C",'Mapa final'!$R$43),"")</f>
        <v/>
      </c>
      <c r="AH16" s="40" t="str">
        <f>IF(AND('Mapa final'!$AH$44="Muy Alta",'Mapa final'!$AJ$44="Mayor"),CONCATENATE("R2C",'Mapa final'!$R$44),"")</f>
        <v/>
      </c>
      <c r="AI16" s="41" t="str">
        <f>IF(AND('Mapa final'!$AH$39="Muy Alta",'Mapa final'!$AJ$39="Catastrófico"),CONCATENATE("R2C",'Mapa final'!$R$39),"")</f>
        <v/>
      </c>
      <c r="AJ16" s="42" t="str">
        <f>IF(AND('Mapa final'!$AH$40="Muy Alta",'Mapa final'!$AJ$40="Catastrófico"),CONCATENATE("R2C",'Mapa final'!$R$40),"")</f>
        <v/>
      </c>
      <c r="AK16" s="42" t="str">
        <f>IF(AND('Mapa final'!$AH$41="Muy Alta",'Mapa final'!$AJ$41="Catastrófico"),CONCATENATE("R2C",'Mapa final'!$R$41),"")</f>
        <v/>
      </c>
      <c r="AL16" s="42" t="str">
        <f>IF(AND('Mapa final'!$AH$42="Muy Alta",'Mapa final'!$AJ$42="Catastrófico"),CONCATENATE("R2C",'Mapa final'!$R$42),"")</f>
        <v/>
      </c>
      <c r="AM16" s="42" t="str">
        <f>IF(AND('Mapa final'!$AH$43="Muy Alta",'Mapa final'!$AJ$43="Catastrófico"),CONCATENATE("R2C",'Mapa final'!$R$43),"")</f>
        <v/>
      </c>
      <c r="AN16" s="43" t="str">
        <f>IF(AND('Mapa final'!$AH$44="Muy Alta",'Mapa final'!$AJ$44="Catastrófico"),CONCATENATE("R2C",'Mapa final'!$R$44),"")</f>
        <v/>
      </c>
      <c r="AO16" s="68"/>
      <c r="AP16" s="539"/>
      <c r="AQ16" s="540"/>
      <c r="AR16" s="540"/>
      <c r="AS16" s="540"/>
      <c r="AT16" s="540"/>
      <c r="AU16" s="541"/>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x14ac:dyDescent="0.45">
      <c r="B17" s="68"/>
      <c r="C17" s="476"/>
      <c r="D17" s="476"/>
      <c r="E17" s="477"/>
      <c r="F17" s="519"/>
      <c r="G17" s="520"/>
      <c r="H17" s="520"/>
      <c r="I17" s="520"/>
      <c r="J17" s="520"/>
      <c r="K17" s="38" t="str">
        <f>IF(AND('Mapa final'!$AH$45="Muy Alta",'Mapa final'!$AJ$45="Leve"),CONCATENATE("R2C",'Mapa final'!$R$45),"")</f>
        <v/>
      </c>
      <c r="L17" s="39" t="str">
        <f>IF(AND('Mapa final'!$AH$46="Muy Alta",'Mapa final'!$AJ$46="Leve"),CONCATENATE("R2C",'Mapa final'!$R$46),"")</f>
        <v/>
      </c>
      <c r="M17" s="39" t="str">
        <f>IF(AND('Mapa final'!$AH$47="Muy Alta",'Mapa final'!$AJ$47="Leve"),CONCATENATE("R2C",'Mapa final'!$R$47),"")</f>
        <v/>
      </c>
      <c r="N17" s="39" t="str">
        <f>IF(AND('Mapa final'!$AH$48="Muy Alta",'Mapa final'!$AJ$48="Leve"),CONCATENATE("R2C",'Mapa final'!$R$48),"")</f>
        <v/>
      </c>
      <c r="O17" s="39" t="str">
        <f>IF(AND('Mapa final'!$AH$49="Muy Alta",'Mapa final'!$AJ$49="Leve"),CONCATENATE("R2C",'Mapa final'!$R$49),"")</f>
        <v/>
      </c>
      <c r="P17" s="40" t="str">
        <f>IF(AND('Mapa final'!$AH$60="Muy Alta",'Mapa final'!$AJ$50="Leve"),CONCATENATE("R2C",'Mapa final'!$R$50),"")</f>
        <v/>
      </c>
      <c r="Q17" s="39" t="str">
        <f>IF(AND('Mapa final'!$AH$45="Muy Alta",'Mapa final'!$AJ$45="Menor"),CONCATENATE("R2C",'Mapa final'!$R$45),"")</f>
        <v/>
      </c>
      <c r="R17" s="39" t="str">
        <f>IF(AND('Mapa final'!$AH$46="Muy Alta",'Mapa final'!$AJ$46="Menor"),CONCATENATE("R2C",'Mapa final'!$R$46),"")</f>
        <v/>
      </c>
      <c r="S17" s="39" t="str">
        <f>IF(AND('Mapa final'!$AH$47="Muy Alta",'Mapa final'!$AJ$47="Menor"),CONCATENATE("R2C",'Mapa final'!$R$47),"")</f>
        <v/>
      </c>
      <c r="T17" s="39" t="str">
        <f>IF(AND('Mapa final'!$AH$48="Muy Alta",'Mapa final'!$AJ$48="Menor"),CONCATENATE("R2C",'Mapa final'!$R$48),"")</f>
        <v/>
      </c>
      <c r="U17" s="39" t="str">
        <f>IF(AND('Mapa final'!$AH$49="Muy Alta",'Mapa final'!$AJ$49="Menor"),CONCATENATE("R2C",'Mapa final'!$R$49),"")</f>
        <v/>
      </c>
      <c r="V17" s="40" t="str">
        <f>IF(AND('Mapa final'!$AH$60="Muy Alta",'Mapa final'!$AJ$50="Menor"),CONCATENATE("R2C",'Mapa final'!$R$50),"")</f>
        <v/>
      </c>
      <c r="W17" s="38" t="str">
        <f>IF(AND('Mapa final'!$AH$45="Muy Alta",'Mapa final'!$AJ$45="Moderado"),CONCATENATE("R2C",'Mapa final'!$R$45),"")</f>
        <v/>
      </c>
      <c r="X17" s="39" t="str">
        <f>IF(AND('Mapa final'!$AH$46="Muy Alta",'Mapa final'!$AJ$46="Moderado"),CONCATENATE("R2C",'Mapa final'!$R$46),"")</f>
        <v/>
      </c>
      <c r="Y17" s="39" t="str">
        <f>IF(AND('Mapa final'!$AH$47="Muy Alta",'Mapa final'!$AJ$47="Moderado"),CONCATENATE("R2C",'Mapa final'!$R$47),"")</f>
        <v/>
      </c>
      <c r="Z17" s="39" t="str">
        <f>IF(AND('Mapa final'!$AH$48="Muy Alta",'Mapa final'!$AJ$48="Moderado"),CONCATENATE("R2C",'Mapa final'!$R$48),"")</f>
        <v/>
      </c>
      <c r="AA17" s="39" t="str">
        <f>IF(AND('Mapa final'!$AH$49="Muy Alta",'Mapa final'!$AJ$49="Moderado"),CONCATENATE("R2C",'Mapa final'!$R$49),"")</f>
        <v/>
      </c>
      <c r="AB17" s="40" t="str">
        <f>IF(AND('Mapa final'!$AH$60="Muy Alta",'Mapa final'!$AJ$50="Moderado"),CONCATENATE("R2C",'Mapa final'!$R$50),"")</f>
        <v/>
      </c>
      <c r="AC17" s="38" t="str">
        <f>IF(AND('Mapa final'!$AH$45="Muy Alta",'Mapa final'!$AJ$45="Mayor"),CONCATENATE("R2C",'Mapa final'!$R$45),"")</f>
        <v/>
      </c>
      <c r="AD17" s="39" t="str">
        <f>IF(AND('Mapa final'!$AH$46="Muy Alta",'Mapa final'!$AJ$46="Mayor"),CONCATENATE("R2C",'Mapa final'!$R$46),"")</f>
        <v/>
      </c>
      <c r="AE17" s="39" t="str">
        <f>IF(AND('Mapa final'!$AH$47="Muy Alta",'Mapa final'!$AJ$47="Mayor"),CONCATENATE("R2C",'Mapa final'!$R$47),"")</f>
        <v/>
      </c>
      <c r="AF17" s="39" t="str">
        <f>IF(AND('Mapa final'!$AH$48="Muy Alta",'Mapa final'!$AJ$48="Mayor"),CONCATENATE("R2C",'Mapa final'!$R$48),"")</f>
        <v/>
      </c>
      <c r="AG17" s="39" t="str">
        <f>IF(AND('Mapa final'!$AH$49="Muy Alta",'Mapa final'!$AJ$49="Mayor"),CONCATENATE("R2C",'Mapa final'!$R$49),"")</f>
        <v/>
      </c>
      <c r="AH17" s="40" t="str">
        <f>IF(AND('Mapa final'!$AH$60="Muy Alta",'Mapa final'!$AJ$50="Mayor"),CONCATENATE("R2C",'Mapa final'!$R$50),"")</f>
        <v/>
      </c>
      <c r="AI17" s="41" t="str">
        <f>IF(AND('Mapa final'!$AH$45="Muy Alta",'Mapa final'!$AJ$45="Catastrófico"),CONCATENATE("R2C",'Mapa final'!$R$45),"")</f>
        <v/>
      </c>
      <c r="AJ17" s="42" t="str">
        <f>IF(AND('Mapa final'!$AH$46="Muy Alta",'Mapa final'!$AJ$46="Catastrófico"),CONCATENATE("R2C",'Mapa final'!$R$46),"")</f>
        <v/>
      </c>
      <c r="AK17" s="42" t="str">
        <f>IF(AND('Mapa final'!$AH$47="Muy Alta",'Mapa final'!$AJ$47="Catastrófico"),CONCATENATE("R2C",'Mapa final'!$R$47),"")</f>
        <v/>
      </c>
      <c r="AL17" s="42" t="str">
        <f>IF(AND('Mapa final'!$AH$48="Muy Alta",'Mapa final'!$AJ$48="Catastrófico"),CONCATENATE("R2C",'Mapa final'!$R$48),"")</f>
        <v/>
      </c>
      <c r="AM17" s="42" t="str">
        <f>IF(AND('Mapa final'!$AH$49="Muy Alta",'Mapa final'!$AJ$49="Catastrófico"),CONCATENATE("R2C",'Mapa final'!$R$49),"")</f>
        <v/>
      </c>
      <c r="AN17" s="43" t="str">
        <f>IF(AND('Mapa final'!$AH$60="Muy Alta",'Mapa final'!$AJ$50="Catastrófico"),CONCATENATE("R2C",'Mapa final'!$R$50),"")</f>
        <v/>
      </c>
      <c r="AO17" s="68"/>
      <c r="AP17" s="539"/>
      <c r="AQ17" s="540"/>
      <c r="AR17" s="540"/>
      <c r="AS17" s="540"/>
      <c r="AT17" s="540"/>
      <c r="AU17" s="541"/>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x14ac:dyDescent="0.45">
      <c r="B18" s="68"/>
      <c r="C18" s="476"/>
      <c r="D18" s="476"/>
      <c r="E18" s="477"/>
      <c r="F18" s="519"/>
      <c r="G18" s="520"/>
      <c r="H18" s="520"/>
      <c r="I18" s="520"/>
      <c r="J18" s="520"/>
      <c r="K18" s="38" t="str">
        <f>IF(AND('Mapa final'!$AH$51="Muy Alta",'Mapa final'!$AJ$51="Leve"),CONCATENATE("R2C",'Mapa final'!$R$51),"")</f>
        <v/>
      </c>
      <c r="L18" s="39" t="str">
        <f>IF(AND('Mapa final'!$AH$52="Muy Alta",'Mapa final'!$AJ$52="Leve"),CONCATENATE("R2C",'Mapa final'!$R$52),"")</f>
        <v/>
      </c>
      <c r="M18" s="39" t="str">
        <f>IF(AND('Mapa final'!$AH$53="Muy Alta",'Mapa final'!$AJ$53="Leve"),CONCATENATE("R2C",'Mapa final'!$R$53),"")</f>
        <v/>
      </c>
      <c r="N18" s="39" t="str">
        <f>IF(AND('Mapa final'!$AH$54="Muy Alta",'Mapa final'!$AJ$54="Leve"),CONCATENATE("R2C",'Mapa final'!$R$54),"")</f>
        <v/>
      </c>
      <c r="O18" s="39" t="str">
        <f>IF(AND('Mapa final'!$AH$55="Muy Alta",'Mapa final'!$AJ$55="Leve"),CONCATENATE("R2C",'Mapa final'!$R$55),"")</f>
        <v/>
      </c>
      <c r="P18" s="40" t="str">
        <f>IF(AND('Mapa final'!$AH$56="Muy Alta",'Mapa final'!$AJ$56="Leve"),CONCATENATE("R2C",'Mapa final'!$R$56),"")</f>
        <v/>
      </c>
      <c r="Q18" s="39" t="str">
        <f>IF(AND('Mapa final'!$AH$51="Muy Alta",'Mapa final'!$AJ$51="Menor"),CONCATENATE("R2C",'Mapa final'!$R$51),"")</f>
        <v/>
      </c>
      <c r="R18" s="39" t="str">
        <f>IF(AND('Mapa final'!$AH$52="Muy Alta",'Mapa final'!$AJ$52="Menor"),CONCATENATE("R2C",'Mapa final'!$R$52),"")</f>
        <v/>
      </c>
      <c r="S18" s="39" t="str">
        <f>IF(AND('Mapa final'!$AH$53="Muy Alta",'Mapa final'!$AJ$53="Menor"),CONCATENATE("R2C",'Mapa final'!$R$53),"")</f>
        <v/>
      </c>
      <c r="T18" s="39" t="str">
        <f>IF(AND('Mapa final'!$AH$54="Muy Alta",'Mapa final'!$AJ$54="Menor"),CONCATENATE("R2C",'Mapa final'!$R$54),"")</f>
        <v/>
      </c>
      <c r="U18" s="39" t="str">
        <f>IF(AND('Mapa final'!$AH$55="Muy Alta",'Mapa final'!$AJ$55="Menor"),CONCATENATE("R2C",'Mapa final'!$R$55),"")</f>
        <v/>
      </c>
      <c r="V18" s="40" t="str">
        <f>IF(AND('Mapa final'!$AH$56="Muy Alta",'Mapa final'!$AJ$56="Menor"),CONCATENATE("R2C",'Mapa final'!$R$56),"")</f>
        <v/>
      </c>
      <c r="W18" s="38" t="str">
        <f>IF(AND('Mapa final'!$AH$51="Muy Alta",'Mapa final'!$AJ$51="Moderado"),CONCATENATE("R2C",'Mapa final'!$R$51),"")</f>
        <v/>
      </c>
      <c r="X18" s="39" t="str">
        <f>IF(AND('Mapa final'!$AH$52="Muy Alta",'Mapa final'!$AJ$52="Moderado"),CONCATENATE("R2C",'Mapa final'!$R$52),"")</f>
        <v/>
      </c>
      <c r="Y18" s="39" t="str">
        <f>IF(AND('Mapa final'!$AH$53="Muy Alta",'Mapa final'!$AJ$53="Moderado"),CONCATENATE("R2C",'Mapa final'!$R$53),"")</f>
        <v/>
      </c>
      <c r="Z18" s="39" t="str">
        <f>IF(AND('Mapa final'!$AH$54="Muy Alta",'Mapa final'!$AJ$54="Moderado"),CONCATENATE("R2C",'Mapa final'!$R$54),"")</f>
        <v/>
      </c>
      <c r="AA18" s="39" t="str">
        <f>IF(AND('Mapa final'!$AH$55="Muy Alta",'Mapa final'!$AJ$55="Moderado"),CONCATENATE("R2C",'Mapa final'!$R$55),"")</f>
        <v/>
      </c>
      <c r="AB18" s="40" t="str">
        <f>IF(AND('Mapa final'!$AH$56="Muy Alta",'Mapa final'!$AJ$56="Moderado"),CONCATENATE("R2C",'Mapa final'!$R$56),"")</f>
        <v/>
      </c>
      <c r="AC18" s="38" t="str">
        <f>IF(AND('Mapa final'!$AH$51="Muy Alta",'Mapa final'!$AJ$51="Mayor"),CONCATENATE("R2C",'Mapa final'!$R$51),"")</f>
        <v/>
      </c>
      <c r="AD18" s="39" t="str">
        <f>IF(AND('Mapa final'!$AH$52="Muy Alta",'Mapa final'!$AJ$52="Mayor"),CONCATENATE("R2C",'Mapa final'!$R$52),"")</f>
        <v/>
      </c>
      <c r="AE18" s="39" t="str">
        <f>IF(AND('Mapa final'!$AH$53="Muy Alta",'Mapa final'!$AJ$53="Mayor"),CONCATENATE("R2C",'Mapa final'!$R$53),"")</f>
        <v/>
      </c>
      <c r="AF18" s="39" t="str">
        <f>IF(AND('Mapa final'!$AH$54="Muy Alta",'Mapa final'!$AJ$54="Mayor"),CONCATENATE("R2C",'Mapa final'!$R$54),"")</f>
        <v/>
      </c>
      <c r="AG18" s="39" t="str">
        <f>IF(AND('Mapa final'!$AH$55="Muy Alta",'Mapa final'!$AJ$55="Mayor"),CONCATENATE("R2C",'Mapa final'!$R$55),"")</f>
        <v/>
      </c>
      <c r="AH18" s="40" t="str">
        <f>IF(AND('Mapa final'!$AH$56="Muy Alta",'Mapa final'!$AJ$56="Mayor"),CONCATENATE("R2C",'Mapa final'!$R$56),"")</f>
        <v/>
      </c>
      <c r="AI18" s="41" t="str">
        <f>IF(AND('Mapa final'!$AH$51="Muy Alta",'Mapa final'!$AJ$51="Catastrófico"),CONCATENATE("R2C",'Mapa final'!$R$51),"")</f>
        <v/>
      </c>
      <c r="AJ18" s="42" t="str">
        <f>IF(AND('Mapa final'!$AH$52="Muy Alta",'Mapa final'!$AJ$52="Catastrófico"),CONCATENATE("R2C",'Mapa final'!$R$52),"")</f>
        <v/>
      </c>
      <c r="AK18" s="42" t="str">
        <f>IF(AND('Mapa final'!$AH$53="Muy Alta",'Mapa final'!$AJ$53="Catastrófico"),CONCATENATE("R2C",'Mapa final'!$R$53),"")</f>
        <v/>
      </c>
      <c r="AL18" s="42" t="str">
        <f>IF(AND('Mapa final'!$AH$54="Muy Alta",'Mapa final'!$AJ$54="Catastrófico"),CONCATENATE("R2C",'Mapa final'!$R$54),"")</f>
        <v/>
      </c>
      <c r="AM18" s="42" t="str">
        <f>IF(AND('Mapa final'!$AH$55="Muy Alta",'Mapa final'!$AJ$55="Catastrófico"),CONCATENATE("R2C",'Mapa final'!$R$55),"")</f>
        <v/>
      </c>
      <c r="AN18" s="43" t="str">
        <f>IF(AND('Mapa final'!$AH$56="Muy Alta",'Mapa final'!$AJ$56="Catastrófico"),CONCATENATE("R2C",'Mapa final'!$R$56),"")</f>
        <v/>
      </c>
      <c r="AO18" s="68"/>
      <c r="AP18" s="539"/>
      <c r="AQ18" s="540"/>
      <c r="AR18" s="540"/>
      <c r="AS18" s="540"/>
      <c r="AT18" s="540"/>
      <c r="AU18" s="541"/>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x14ac:dyDescent="0.45">
      <c r="B19" s="68"/>
      <c r="C19" s="476"/>
      <c r="D19" s="476"/>
      <c r="E19" s="477"/>
      <c r="F19" s="519"/>
      <c r="G19" s="520"/>
      <c r="H19" s="520"/>
      <c r="I19" s="520"/>
      <c r="J19" s="520"/>
      <c r="K19" s="38" t="str">
        <f>IF(AND('Mapa final'!$AH$57="Muy Alta",'Mapa final'!$AJ$57="Leve"),CONCATENATE("R2C",'Mapa final'!$R$57),"")</f>
        <v/>
      </c>
      <c r="L19" s="39" t="str">
        <f>IF(AND('Mapa final'!$AH$58="Muy Alta",'Mapa final'!$AJ$58="Leve"),CONCATENATE("R2C",'Mapa final'!$R$58),"")</f>
        <v/>
      </c>
      <c r="M19" s="39" t="str">
        <f>IF(AND('Mapa final'!$AH$59="Muy Alta",'Mapa final'!$AJ$59="Leve"),CONCATENATE("R2C",'Mapa final'!$R$59),"")</f>
        <v/>
      </c>
      <c r="N19" s="39" t="str">
        <f>IF(AND('Mapa final'!$AH$60="Muy Alta",'Mapa final'!$AJ$60="Leve"),CONCATENATE("R2C",'Mapa final'!$R$60),"")</f>
        <v/>
      </c>
      <c r="O19" s="39" t="str">
        <f>IF(AND('Mapa final'!$AH$61="Muy Alta",'Mapa final'!$AJ$61="Leve"),CONCATENATE("R2C",'Mapa final'!$R$61),"")</f>
        <v/>
      </c>
      <c r="P19" s="40" t="str">
        <f>IF(AND('Mapa final'!$AH$62="Muy Alta",'Mapa final'!$AJ$62="Leve"),CONCATENATE("R2C",'Mapa final'!$R$62),"")</f>
        <v/>
      </c>
      <c r="Q19" s="39" t="str">
        <f>IF(AND('Mapa final'!$AH$57="Muy Alta",'Mapa final'!$AJ$57="Menor"),CONCATENATE("R2C",'Mapa final'!$R$57),"")</f>
        <v/>
      </c>
      <c r="R19" s="39" t="str">
        <f>IF(AND('Mapa final'!$AH$58="Muy Alta",'Mapa final'!$AJ$58="Menor"),CONCATENATE("R2C",'Mapa final'!$R$58),"")</f>
        <v/>
      </c>
      <c r="S19" s="39" t="str">
        <f>IF(AND('Mapa final'!$AH$59="Muy Alta",'Mapa final'!$AJ$59="Menor"),CONCATENATE("R2C",'Mapa final'!$R$59),"")</f>
        <v/>
      </c>
      <c r="T19" s="39" t="str">
        <f>IF(AND('Mapa final'!$AH$60="Muy Alta",'Mapa final'!$AJ$60="Menor"),CONCATENATE("R2C",'Mapa final'!$R$60),"")</f>
        <v/>
      </c>
      <c r="U19" s="39" t="str">
        <f>IF(AND('Mapa final'!$AH$61="Muy Alta",'Mapa final'!$AJ$61="Menor"),CONCATENATE("R2C",'Mapa final'!$R$61),"")</f>
        <v/>
      </c>
      <c r="V19" s="40" t="str">
        <f>IF(AND('Mapa final'!$AH$62="Muy Alta",'Mapa final'!$AJ$62="Menor"),CONCATENATE("R2C",'Mapa final'!$R$62),"")</f>
        <v/>
      </c>
      <c r="W19" s="38" t="str">
        <f>IF(AND('Mapa final'!$AH$57="Muy Alta",'Mapa final'!$AJ$57="Moderado"),CONCATENATE("R2C",'Mapa final'!$R$57),"")</f>
        <v/>
      </c>
      <c r="X19" s="39" t="str">
        <f>IF(AND('Mapa final'!$AH$58="Muy Alta",'Mapa final'!$AJ$58="Moderado"),CONCATENATE("R2C",'Mapa final'!$R$58),"")</f>
        <v/>
      </c>
      <c r="Y19" s="39" t="str">
        <f>IF(AND('Mapa final'!$AH$59="Muy Alta",'Mapa final'!$AJ$59="Moderado"),CONCATENATE("R2C",'Mapa final'!$R$59),"")</f>
        <v/>
      </c>
      <c r="Z19" s="39" t="str">
        <f>IF(AND('Mapa final'!$AH$60="Muy Alta",'Mapa final'!$AJ$60="Moderado"),CONCATENATE("R2C",'Mapa final'!$R$60),"")</f>
        <v/>
      </c>
      <c r="AA19" s="39" t="str">
        <f>IF(AND('Mapa final'!$AH$61="Muy Alta",'Mapa final'!$AJ$61="Moderado"),CONCATENATE("R2C",'Mapa final'!$R$61),"")</f>
        <v/>
      </c>
      <c r="AB19" s="40" t="str">
        <f>IF(AND('Mapa final'!$AH$62="Muy Alta",'Mapa final'!$AJ$62="Moderado"),CONCATENATE("R2C",'Mapa final'!$R$62),"")</f>
        <v/>
      </c>
      <c r="AC19" s="38" t="str">
        <f>IF(AND('Mapa final'!$AH$57="Muy Alta",'Mapa final'!$AJ$57="Mayor"),CONCATENATE("R2C",'Mapa final'!$R$57),"")</f>
        <v/>
      </c>
      <c r="AD19" s="39" t="str">
        <f>IF(AND('Mapa final'!$AH$58="Muy Alta",'Mapa final'!$AJ$58="Mayor"),CONCATENATE("R2C",'Mapa final'!$R$58),"")</f>
        <v/>
      </c>
      <c r="AE19" s="39" t="str">
        <f>IF(AND('Mapa final'!$AH$59="Muy Alta",'Mapa final'!$AJ$59="Mayor"),CONCATENATE("R2C",'Mapa final'!$R$59),"")</f>
        <v/>
      </c>
      <c r="AF19" s="39" t="str">
        <f>IF(AND('Mapa final'!$AH$60="Muy Alta",'Mapa final'!$AJ$60="Mayor"),CONCATENATE("R2C",'Mapa final'!$R$60),"")</f>
        <v/>
      </c>
      <c r="AG19" s="39" t="str">
        <f>IF(AND('Mapa final'!$AH$61="Muy Alta",'Mapa final'!$AJ$61="Mayor"),CONCATENATE("R2C",'Mapa final'!$R$61),"")</f>
        <v/>
      </c>
      <c r="AH19" s="40" t="str">
        <f>IF(AND('Mapa final'!$AH$62="Muy Alta",'Mapa final'!$AJ$62="Mayor"),CONCATENATE("R2C",'Mapa final'!$R$62),"")</f>
        <v/>
      </c>
      <c r="AI19" s="41" t="str">
        <f>IF(AND('Mapa final'!$AH$57="Muy Alta",'Mapa final'!$AJ$57="Catastrófico"),CONCATENATE("R2C",'Mapa final'!$R$57),"")</f>
        <v/>
      </c>
      <c r="AJ19" s="42" t="str">
        <f>IF(AND('Mapa final'!$AH$58="Muy Alta",'Mapa final'!$AJ$58="Catastrófico"),CONCATENATE("R2C",'Mapa final'!$R$58),"")</f>
        <v/>
      </c>
      <c r="AK19" s="42" t="str">
        <f>IF(AND('Mapa final'!$AH$59="Muy Alta",'Mapa final'!$AJ$59="Catastrófico"),CONCATENATE("R2C",'Mapa final'!$R$59),"")</f>
        <v/>
      </c>
      <c r="AL19" s="42" t="str">
        <f>IF(AND('Mapa final'!$AH$60="Muy Alta",'Mapa final'!$AJ$60="Catastrófico"),CONCATENATE("R2C",'Mapa final'!$R$60),"")</f>
        <v/>
      </c>
      <c r="AM19" s="42" t="str">
        <f>IF(AND('Mapa final'!$AH$61="Muy Alta",'Mapa final'!$AJ$61="Catastrófico"),CONCATENATE("R2C",'Mapa final'!$R$61),"")</f>
        <v/>
      </c>
      <c r="AN19" s="43" t="str">
        <f>IF(AND('Mapa final'!$AH$62="Muy Alta",'Mapa final'!$AJ$62="Catastrófico"),CONCATENATE("R2C",'Mapa final'!$R$62),"")</f>
        <v/>
      </c>
      <c r="AO19" s="68"/>
      <c r="AP19" s="539"/>
      <c r="AQ19" s="540"/>
      <c r="AR19" s="540"/>
      <c r="AS19" s="540"/>
      <c r="AT19" s="540"/>
      <c r="AU19" s="541"/>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x14ac:dyDescent="0.45">
      <c r="B20" s="68"/>
      <c r="C20" s="476"/>
      <c r="D20" s="476"/>
      <c r="E20" s="477"/>
      <c r="F20" s="519"/>
      <c r="G20" s="520"/>
      <c r="H20" s="520"/>
      <c r="I20" s="520"/>
      <c r="J20" s="520"/>
      <c r="K20" s="38" t="str">
        <f>IF(AND('Mapa final'!$AH$63="Muy Alta",'Mapa final'!$AJ$63="Leve"),CONCATENATE("R2C",'Mapa final'!$R$63),"")</f>
        <v/>
      </c>
      <c r="L20" s="39" t="str">
        <f>IF(AND('Mapa final'!$AH$64="Muy Alta",'Mapa final'!$AJ$64="Leve"),CONCATENATE("R2C",'Mapa final'!$R$64),"")</f>
        <v/>
      </c>
      <c r="M20" s="39" t="str">
        <f>IF(AND('Mapa final'!$AH$65="Muy Alta",'Mapa final'!$AJ$65="Leve"),CONCATENATE("R2C",'Mapa final'!$R$65),"")</f>
        <v/>
      </c>
      <c r="N20" s="39" t="str">
        <f>IF(AND('Mapa final'!$AH$66="Muy Alta",'Mapa final'!$AJ$66="Leve"),CONCATENATE("R2C",'Mapa final'!$R$66),"")</f>
        <v/>
      </c>
      <c r="O20" s="39" t="str">
        <f>IF(AND('Mapa final'!$AH$67="Muy Alta",'Mapa final'!$AJ$67="Leve"),CONCATENATE("R2C",'Mapa final'!$R$67),"")</f>
        <v/>
      </c>
      <c r="P20" s="40" t="str">
        <f>IF(AND('Mapa final'!$AH$68="Muy Alta",'Mapa final'!$AJ$68="Leve"),CONCATENATE("R2C",'Mapa final'!$R$68),"")</f>
        <v/>
      </c>
      <c r="Q20" s="39" t="str">
        <f>IF(AND('Mapa final'!$AH$63="Muy Alta",'Mapa final'!$AJ$63="Menor"),CONCATENATE("R2C",'Mapa final'!$R$63),"")</f>
        <v/>
      </c>
      <c r="R20" s="39" t="str">
        <f>IF(AND('Mapa final'!$AH$64="Muy Alta",'Mapa final'!$AJ$64="Menor"),CONCATENATE("R2C",'Mapa final'!$R$64),"")</f>
        <v/>
      </c>
      <c r="S20" s="39" t="str">
        <f>IF(AND('Mapa final'!$AH$65="Muy Alta",'Mapa final'!$AJ$65="Menor"),CONCATENATE("R2C",'Mapa final'!$R$65),"")</f>
        <v/>
      </c>
      <c r="T20" s="39" t="str">
        <f>IF(AND('Mapa final'!$AH$66="Muy Alta",'Mapa final'!$AJ$66="Menor"),CONCATENATE("R2C",'Mapa final'!$R$66),"")</f>
        <v/>
      </c>
      <c r="U20" s="39" t="str">
        <f>IF(AND('Mapa final'!$AH$67="Muy Alta",'Mapa final'!$AJ$67="Menor"),CONCATENATE("R2C",'Mapa final'!$R$67),"")</f>
        <v/>
      </c>
      <c r="V20" s="40" t="str">
        <f>IF(AND('Mapa final'!$AH$68="Muy Alta",'Mapa final'!$AJ$68="Menor"),CONCATENATE("R2C",'Mapa final'!$R$68),"")</f>
        <v/>
      </c>
      <c r="W20" s="38" t="str">
        <f>IF(AND('Mapa final'!$AH$63="Muy Alta",'Mapa final'!$AJ$63="Moderado"),CONCATENATE("R2C",'Mapa final'!$R$63),"")</f>
        <v/>
      </c>
      <c r="X20" s="39" t="str">
        <f>IF(AND('Mapa final'!$AH$64="Muy Alta",'Mapa final'!$AJ$64="Moderado"),CONCATENATE("R2C",'Mapa final'!$R$64),"")</f>
        <v/>
      </c>
      <c r="Y20" s="39" t="str">
        <f>IF(AND('Mapa final'!$AH$65="Muy Alta",'Mapa final'!$AJ$65="Moderado"),CONCATENATE("R2C",'Mapa final'!$R$65),"")</f>
        <v/>
      </c>
      <c r="Z20" s="39" t="str">
        <f>IF(AND('Mapa final'!$AH$66="Muy Alta",'Mapa final'!$AJ$66="Moderado"),CONCATENATE("R2C",'Mapa final'!$R$66),"")</f>
        <v/>
      </c>
      <c r="AA20" s="39" t="str">
        <f>IF(AND('Mapa final'!$AH$67="Muy Alta",'Mapa final'!$AJ$67="Moderado"),CONCATENATE("R2C",'Mapa final'!$R$67),"")</f>
        <v/>
      </c>
      <c r="AB20" s="40" t="str">
        <f>IF(AND('Mapa final'!$AH$68="Muy Alta",'Mapa final'!$AJ$68="Moderado"),CONCATENATE("R2C",'Mapa final'!$R$68),"")</f>
        <v/>
      </c>
      <c r="AC20" s="38" t="str">
        <f>IF(AND('Mapa final'!$AH$63="Muy Alta",'Mapa final'!$AJ$63="Mayor"),CONCATENATE("R2C",'Mapa final'!$R$63),"")</f>
        <v/>
      </c>
      <c r="AD20" s="39" t="str">
        <f>IF(AND('Mapa final'!$AH$64="Muy Alta",'Mapa final'!$AJ$64="Mayor"),CONCATENATE("R2C",'Mapa final'!$R$64),"")</f>
        <v/>
      </c>
      <c r="AE20" s="39" t="str">
        <f>IF(AND('Mapa final'!$AH$65="Muy Alta",'Mapa final'!$AJ$65="Mayor"),CONCATENATE("R2C",'Mapa final'!$R$65),"")</f>
        <v/>
      </c>
      <c r="AF20" s="39" t="str">
        <f>IF(AND('Mapa final'!$AH$66="Muy Alta",'Mapa final'!$AJ$66="Mayor"),CONCATENATE("R2C",'Mapa final'!$R$66),"")</f>
        <v/>
      </c>
      <c r="AG20" s="39" t="str">
        <f>IF(AND('Mapa final'!$AH$67="Muy Alta",'Mapa final'!$AJ$67="Mayor"),CONCATENATE("R2C",'Mapa final'!$R$67),"")</f>
        <v/>
      </c>
      <c r="AH20" s="40" t="str">
        <f>IF(AND('Mapa final'!$AH$68="Muy Alta",'Mapa final'!$AJ$68="Mayor"),CONCATENATE("R2C",'Mapa final'!$R$68),"")</f>
        <v/>
      </c>
      <c r="AI20" s="41" t="str">
        <f>IF(AND('Mapa final'!$AH$63="Muy Alta",'Mapa final'!$AJ$63="Catastrófico"),CONCATENATE("R2C",'Mapa final'!$R$63),"")</f>
        <v/>
      </c>
      <c r="AJ20" s="42" t="str">
        <f>IF(AND('Mapa final'!$AH$64="Muy Alta",'Mapa final'!$AJ$64="Catastrófico"),CONCATENATE("R2C",'Mapa final'!$R$64),"")</f>
        <v/>
      </c>
      <c r="AK20" s="42" t="str">
        <f>IF(AND('Mapa final'!$AH$65="Muy Alta",'Mapa final'!$AJ$65="Catastrófico"),CONCATENATE("R2C",'Mapa final'!$R$65),"")</f>
        <v/>
      </c>
      <c r="AL20" s="42" t="str">
        <f>IF(AND('Mapa final'!$AH$66="Muy Alta",'Mapa final'!$AJ$66="Catastrófico"),CONCATENATE("R2C",'Mapa final'!$R$66),"")</f>
        <v/>
      </c>
      <c r="AM20" s="42" t="str">
        <f>IF(AND('Mapa final'!$AH$67="Muy Alta",'Mapa final'!$AJ$67="Catastrófico"),CONCATENATE("R2C",'Mapa final'!$R$67),"")</f>
        <v/>
      </c>
      <c r="AN20" s="43" t="str">
        <f>IF(AND('Mapa final'!$AH$68="Muy Alta",'Mapa final'!$AJ$68="Catastrófico"),CONCATENATE("R2C",'Mapa final'!$R$68),"")</f>
        <v/>
      </c>
      <c r="AO20" s="68"/>
      <c r="AP20" s="539"/>
      <c r="AQ20" s="540"/>
      <c r="AR20" s="540"/>
      <c r="AS20" s="540"/>
      <c r="AT20" s="540"/>
      <c r="AU20" s="541"/>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x14ac:dyDescent="0.5">
      <c r="B21" s="68"/>
      <c r="C21" s="476"/>
      <c r="D21" s="476"/>
      <c r="E21" s="477"/>
      <c r="F21" s="522"/>
      <c r="G21" s="523"/>
      <c r="H21" s="523"/>
      <c r="I21" s="523"/>
      <c r="J21" s="523"/>
      <c r="K21" s="44" t="str">
        <f>IF(AND('Mapa final'!$AH$69="Muy Alta",'Mapa final'!$AJ$69="Leve"),CONCATENATE("R2C",'Mapa final'!$R$69),"")</f>
        <v/>
      </c>
      <c r="L21" s="45" t="str">
        <f>IF(AND('Mapa final'!$AH$70="Muy Alta",'Mapa final'!$AJ$70="Leve"),CONCATENATE("R2C",'Mapa final'!$R$70),"")</f>
        <v/>
      </c>
      <c r="M21" s="45" t="str">
        <f>IF(AND('Mapa final'!$AH$71="Muy Alta",'Mapa final'!$AJ$71="Leve"),CONCATENATE("R2C",'Mapa final'!$R$71),"")</f>
        <v/>
      </c>
      <c r="N21" s="45" t="str">
        <f>IF(AND('Mapa final'!$AH$72="Muy Alta",'Mapa final'!$AJ$72="Leve"),CONCATENATE("R2C",'Mapa final'!$R$72),"")</f>
        <v/>
      </c>
      <c r="O21" s="45" t="str">
        <f>IF(AND('Mapa final'!$AH$74="Muy Alta",'Mapa final'!$AJ$74="Leve"),CONCATENATE("R2C",'Mapa final'!$R$74),"")</f>
        <v/>
      </c>
      <c r="P21" s="46" t="str">
        <f>IF(AND('Mapa final'!$AH$75="Muy Alta",'Mapa final'!$AJ$75="Leve"),CONCATENATE("R2C",'Mapa final'!$R$75),"")</f>
        <v/>
      </c>
      <c r="Q21" s="39" t="str">
        <f>IF(AND('Mapa final'!$AH$69="Muy Alta",'Mapa final'!$AJ$69="Menor"),CONCATENATE("R2C",'Mapa final'!$R$69),"")</f>
        <v/>
      </c>
      <c r="R21" s="39" t="str">
        <f>IF(AND('Mapa final'!$AH$70="Muy Alta",'Mapa final'!$AJ$70="Menor"),CONCATENATE("R2C",'Mapa final'!$R$70),"")</f>
        <v/>
      </c>
      <c r="S21" s="39" t="str">
        <f>IF(AND('Mapa final'!$AH$71="Muy Alta",'Mapa final'!$AJ$71="Menor"),CONCATENATE("R2C",'Mapa final'!$R$71),"")</f>
        <v/>
      </c>
      <c r="T21" s="39" t="str">
        <f>IF(AND('Mapa final'!$AH$72="Muy Alta",'Mapa final'!$AJ$72="Menor"),CONCATENATE("R2C",'Mapa final'!$R$72),"")</f>
        <v/>
      </c>
      <c r="U21" s="39" t="str">
        <f>IF(AND('Mapa final'!$AH$74="Muy Alta",'Mapa final'!$AJ$74="Menor"),CONCATENATE("R2C",'Mapa final'!$R$74),"")</f>
        <v/>
      </c>
      <c r="V21" s="40" t="str">
        <f>IF(AND('Mapa final'!$AH$75="Muy Alta",'Mapa final'!$AJ$75="Menor"),CONCATENATE("R2C",'Mapa final'!$R$75),"")</f>
        <v/>
      </c>
      <c r="W21" s="44" t="str">
        <f>IF(AND('Mapa final'!$AH$69="Muy Alta",'Mapa final'!$AJ$69="Moderado"),CONCATENATE("R2C",'Mapa final'!$R$69),"")</f>
        <v/>
      </c>
      <c r="X21" s="45" t="str">
        <f>IF(AND('Mapa final'!$AH$70="Muy Alta",'Mapa final'!$AJ$70="Moderado"),CONCATENATE("R2C",'Mapa final'!$R$70),"")</f>
        <v/>
      </c>
      <c r="Y21" s="45" t="str">
        <f>IF(AND('Mapa final'!$AH$71="Muy Alta",'Mapa final'!$AJ$71="Moderado"),CONCATENATE("R2C",'Mapa final'!$R$71),"")</f>
        <v/>
      </c>
      <c r="Z21" s="45" t="str">
        <f>IF(AND('Mapa final'!$AH$72="Muy Alta",'Mapa final'!$AJ$72="Moderado"),CONCATENATE("R2C",'Mapa final'!$R$72),"")</f>
        <v/>
      </c>
      <c r="AA21" s="45" t="str">
        <f>IF(AND('Mapa final'!$AH$74="Muy Alta",'Mapa final'!$AJ$74="Moderado"),CONCATENATE("R2C",'Mapa final'!$R$74),"")</f>
        <v/>
      </c>
      <c r="AB21" s="46" t="str">
        <f>IF(AND('Mapa final'!$AH$75="Muy Alta",'Mapa final'!$AJ$75="Moderado"),CONCATENATE("R2C",'Mapa final'!$R$75),"")</f>
        <v/>
      </c>
      <c r="AC21" s="38" t="str">
        <f>IF(AND('Mapa final'!$AH$69="Muy Alta",'Mapa final'!$AJ$69="Mayor"),CONCATENATE("R2C",'Mapa final'!$R$69),"")</f>
        <v/>
      </c>
      <c r="AD21" s="39" t="str">
        <f>IF(AND('Mapa final'!$AH$70="Muy Alta",'Mapa final'!$AJ$70="Mayor"),CONCATENATE("R2C",'Mapa final'!$R$70),"")</f>
        <v/>
      </c>
      <c r="AE21" s="39" t="str">
        <f>IF(AND('Mapa final'!$AH$71="Muy Alta",'Mapa final'!$AJ$71="Mayor"),CONCATENATE("R2C",'Mapa final'!$R$71),"")</f>
        <v/>
      </c>
      <c r="AF21" s="39" t="str">
        <f>IF(AND('Mapa final'!$AH$72="Muy Alta",'Mapa final'!$AJ$72="Mayor"),CONCATENATE("R2C",'Mapa final'!$R$72),"")</f>
        <v/>
      </c>
      <c r="AG21" s="39" t="str">
        <f>IF(AND('Mapa final'!$AH$74="Muy Alta",'Mapa final'!$AJ$74="Mayor"),CONCATENATE("R2C",'Mapa final'!$R$74),"")</f>
        <v/>
      </c>
      <c r="AH21" s="40" t="str">
        <f>IF(AND('Mapa final'!$AH$75="Muy Alta",'Mapa final'!$AJ$75="Mayor"),CONCATENATE("R2C",'Mapa final'!$R$75),"")</f>
        <v/>
      </c>
      <c r="AI21" s="47" t="str">
        <f>IF(AND('Mapa final'!$AH$69="Muy Alta",'Mapa final'!$AJ$69="Catastrófico"),CONCATENATE("R2C",'Mapa final'!$R$69),"")</f>
        <v/>
      </c>
      <c r="AJ21" s="48" t="str">
        <f>IF(AND('Mapa final'!$AH$70="Muy Alta",'Mapa final'!$AJ$70="Catastrófico"),CONCATENATE("R2C",'Mapa final'!$R$70),"")</f>
        <v/>
      </c>
      <c r="AK21" s="48" t="str">
        <f>IF(AND('Mapa final'!$AH$71="Muy Alta",'Mapa final'!$AJ$71="Catastrófico"),CONCATENATE("R2C",'Mapa final'!$R$71),"")</f>
        <v/>
      </c>
      <c r="AL21" s="48" t="str">
        <f>IF(AND('Mapa final'!$AH$72="Muy Alta",'Mapa final'!$AJ$72="Catastrófico"),CONCATENATE("R2C",'Mapa final'!$R$72),"")</f>
        <v/>
      </c>
      <c r="AM21" s="48" t="str">
        <f>IF(AND('Mapa final'!$AH$74="Muy Alta",'Mapa final'!$AJ$74="Catastrófico"),CONCATENATE("R2C",'Mapa final'!$R$74),"")</f>
        <v/>
      </c>
      <c r="AN21" s="49" t="str">
        <f>IF(AND('Mapa final'!$AH$75="Muy Alta",'Mapa final'!$AJ$75="Catastrófico"),CONCATENATE("R2C",'Mapa final'!$R$75),"")</f>
        <v/>
      </c>
      <c r="AO21" s="68"/>
      <c r="AP21" s="542"/>
      <c r="AQ21" s="543"/>
      <c r="AR21" s="543"/>
      <c r="AS21" s="543"/>
      <c r="AT21" s="543"/>
      <c r="AU21" s="544"/>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x14ac:dyDescent="0.45">
      <c r="B22" s="68"/>
      <c r="C22" s="476"/>
      <c r="D22" s="476"/>
      <c r="E22" s="477"/>
      <c r="F22" s="516" t="s">
        <v>267</v>
      </c>
      <c r="G22" s="517"/>
      <c r="H22" s="517"/>
      <c r="I22" s="517"/>
      <c r="J22" s="517"/>
      <c r="K22" s="53"/>
      <c r="L22" s="54" t="str">
        <f>IF(AND('Mapa final'!$AH$16="Alta",'Mapa final'!$AJ$16="Leve"),CONCATENATE("R2C",'Mapa final'!$R$15),"")</f>
        <v/>
      </c>
      <c r="M22" s="54" t="str">
        <f>IF(AND('Mapa final'!$AH$17="Alta",'Mapa final'!$AJ$17="Leve"),CONCATENATE("R2C",'Mapa final'!$R$17),"")</f>
        <v/>
      </c>
      <c r="N22" s="54" t="e">
        <f>IF(AND('Mapa final'!#REF!="Alta",'Mapa final'!#REF!="Leve"),CONCATENATE("R2C",'Mapa final'!#REF!),"")</f>
        <v>#REF!</v>
      </c>
      <c r="O22" s="54" t="str">
        <f>IF(AND('Mapa final'!$AH$19="Alta",'Mapa final'!$AJ$19="Leve"),CONCATENATE("R2C",'Mapa final'!$R$19),"")</f>
        <v/>
      </c>
      <c r="P22" s="55" t="str">
        <f>IF(AND('Mapa final'!$AH$20="Alta",'Mapa final'!$AJ$20="Leve"),CONCATENATE("R2C",'Mapa final'!$R$20),"")</f>
        <v/>
      </c>
      <c r="Q22" s="50"/>
      <c r="R22" s="51" t="str">
        <f>IF(AND('Mapa final'!$AH$16="Alta",'Mapa final'!$AJ$16="Menore"),CONCATENATE("R2C",'Mapa final'!$R$15),"")</f>
        <v/>
      </c>
      <c r="S22" s="51" t="str">
        <f>IF(AND('Mapa final'!$AH$17="Alta",'Mapa final'!$AJ$17="Menor"),CONCATENATE("R2C",'Mapa final'!$R$17),"")</f>
        <v/>
      </c>
      <c r="T22" s="51" t="e">
        <f>IF(AND('Mapa final'!#REF!="Alta",'Mapa final'!#REF!="Menor"),CONCATENATE("R2C",'Mapa final'!#REF!),"")</f>
        <v>#REF!</v>
      </c>
      <c r="U22" s="51" t="str">
        <f>IF(AND('Mapa final'!$AH$19="Alta",'Mapa final'!$AJ$19="Menor"),CONCATENATE("R2C",'Mapa final'!$R$19),"")</f>
        <v/>
      </c>
      <c r="V22" s="52" t="str">
        <f>IF(AND('Mapa final'!$AH$20="Alta",'Mapa final'!$AJ$20="Menor"),CONCATENATE("R2C",'Mapa final'!$R$20),"")</f>
        <v/>
      </c>
      <c r="W22" s="32"/>
      <c r="X22" s="33" t="str">
        <f>IF(AND('Mapa final'!$AH$16="Alta",'Mapa final'!$AJ$16="Moderado"),CONCATENATE("R2C",'Mapa final'!$R$15),"")</f>
        <v/>
      </c>
      <c r="Y22" s="33"/>
      <c r="Z22" s="33" t="e">
        <f>IF(AND('Mapa final'!#REF!="Alta",'Mapa final'!#REF!="Moderado"),CONCATENATE("R2C",'Mapa final'!#REF!),"")</f>
        <v>#REF!</v>
      </c>
      <c r="AA22" s="33" t="str">
        <f>IF(AND('Mapa final'!$AH$19="Alta",'Mapa final'!$AJ$19="Moderado"),CONCATENATE("R2C",'Mapa final'!$R$19),"")</f>
        <v/>
      </c>
      <c r="AB22" s="34" t="str">
        <f>IF(AND('Mapa final'!$AH$20="Alta",'Mapa final'!$AJ$20="Moderado"),CONCATENATE("R2C",'Mapa final'!$R$20),"")</f>
        <v/>
      </c>
      <c r="AC22" s="32"/>
      <c r="AD22" s="33" t="str">
        <f>IF(AND('Mapa final'!$AH$16="Alta",'Mapa final'!$AJ$16="Mayor"),CONCATENATE("R2C",'Mapa final'!$R$15),"")</f>
        <v/>
      </c>
      <c r="AE22" s="33" t="str">
        <f>IF(AND('Mapa final'!$AH$17="Alta",'Mapa final'!$AJ$17="Mayor"),CONCATENATE("R2C",'Mapa final'!$R$17),"")</f>
        <v/>
      </c>
      <c r="AF22" s="33" t="e">
        <f>IF(AND('Mapa final'!#REF!="Alta",'Mapa final'!#REF!="Mayor"),CONCATENATE("R2C",'Mapa final'!#REF!),"")</f>
        <v>#REF!</v>
      </c>
      <c r="AG22" s="33" t="str">
        <f>IF(AND('Mapa final'!$AH$19="Alta",'Mapa final'!$AJ$19="Mayor"),CONCATENATE("R2C",'Mapa final'!$R$19),"")</f>
        <v/>
      </c>
      <c r="AH22" s="34" t="str">
        <f>IF(AND('Mapa final'!$AH$20="Alta",'Mapa final'!$AJ$20="Mayor"),CONCATENATE("R2C",'Mapa final'!$R$20),"")</f>
        <v/>
      </c>
      <c r="AI22" s="35"/>
      <c r="AJ22" s="36" t="str">
        <f>IF(AND('Mapa final'!$AH$16="Alta",'Mapa final'!$AJ$16="Catastrófico"),CONCATENATE("R2C",'Mapa final'!$R$15),"")</f>
        <v/>
      </c>
      <c r="AK22" s="36" t="str">
        <f>IF(AND('Mapa final'!$AH$17="Alta",'Mapa final'!$AJ$17="Catastrófico"),CONCATENATE("R2C",'Mapa final'!$R$17),"")</f>
        <v/>
      </c>
      <c r="AL22" s="36" t="e">
        <f>IF(AND('Mapa final'!#REF!="Alta",'Mapa final'!#REF!="Catastrófico"),CONCATENATE("R2C",'Mapa final'!#REF!),"")</f>
        <v>#REF!</v>
      </c>
      <c r="AM22" s="36" t="str">
        <f>IF(AND('Mapa final'!$AH$19="Alta",'Mapa final'!$AJ$19="Catastrófico"),CONCATENATE("R2C",'Mapa final'!$R$19),"")</f>
        <v/>
      </c>
      <c r="AN22" s="37" t="str">
        <f>IF(AND('Mapa final'!$AH$20="Alta",'Mapa final'!$AJ$20="Catastrófico"),CONCATENATE("R2C",'Mapa final'!$R$20),"")</f>
        <v/>
      </c>
      <c r="AO22" s="68"/>
      <c r="AP22" s="526" t="s">
        <v>268</v>
      </c>
      <c r="AQ22" s="527"/>
      <c r="AR22" s="527"/>
      <c r="AS22" s="527"/>
      <c r="AT22" s="527"/>
      <c r="AU22" s="52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x14ac:dyDescent="0.45">
      <c r="B23" s="68"/>
      <c r="C23" s="476"/>
      <c r="D23" s="476"/>
      <c r="E23" s="477"/>
      <c r="F23" s="535"/>
      <c r="G23" s="520"/>
      <c r="H23" s="520"/>
      <c r="I23" s="520"/>
      <c r="J23" s="520"/>
      <c r="K23" s="53" t="str">
        <f>IF(AND('Mapa final'!$AH$21="Alta",'Mapa final'!$AJ$21="Leve"),CONCATENATE("R2C",'Mapa final'!$R$21),"")</f>
        <v/>
      </c>
      <c r="L23" s="54" t="e">
        <f>IF(AND('Mapa final'!#REF!="Alta",'Mapa final'!#REF!="Leve"),CONCATENATE("R2C",'Mapa final'!#REF!),"")</f>
        <v>#REF!</v>
      </c>
      <c r="M23" s="54" t="str">
        <f>IF(AND('Mapa final'!$AH$23="Alta",'Mapa final'!$AJ$23="Leve"),CONCATENATE("R2C",'Mapa final'!$R$23),"")</f>
        <v/>
      </c>
      <c r="N23" s="54" t="str">
        <f>IF(AND('Mapa final'!$AH$24="Alta",'Mapa final'!$AJ$24="Leve"),CONCATENATE("R2C",'Mapa final'!$R$24),"")</f>
        <v/>
      </c>
      <c r="O23" s="54" t="str">
        <f>IF(AND('Mapa final'!$AH$25="Alta",'Mapa final'!$AJ$25="Leve"),CONCATENATE("R2C",'Mapa final'!$R$25),"")</f>
        <v/>
      </c>
      <c r="P23" s="55" t="str">
        <f>IF(AND('Mapa final'!$AH$26="Alta",'Mapa final'!$AJ$26="Leve"),CONCATENATE("R2C",'Mapa final'!$R$26),"")</f>
        <v/>
      </c>
      <c r="Q23" s="53" t="str">
        <f>IF(AND('Mapa final'!$AH$21="Alta",'Mapa final'!$AJ$21="Menor"),CONCATENATE("R2C",'Mapa final'!$R$21),"")</f>
        <v/>
      </c>
      <c r="R23" s="54" t="e">
        <f>IF(AND('Mapa final'!#REF!="Alta",'Mapa final'!#REF!="Menor"),CONCATENATE("R2C",'Mapa final'!#REF!),"")</f>
        <v>#REF!</v>
      </c>
      <c r="S23" s="54" t="str">
        <f>IF(AND('Mapa final'!$AH$23="Alta",'Mapa final'!$AJ$23="Menor"),CONCATENATE("R2C",'Mapa final'!$R$23),"")</f>
        <v/>
      </c>
      <c r="T23" s="54" t="str">
        <f>IF(AND('Mapa final'!$AH$24="Alta",'Mapa final'!$AJ$24="Menor"),CONCATENATE("R2C",'Mapa final'!$R$24),"")</f>
        <v/>
      </c>
      <c r="U23" s="54" t="str">
        <f>IF(AND('Mapa final'!$AH$25="Alta",'Mapa final'!$AJ$25="Menor"),CONCATENATE("R2C",'Mapa final'!$R$25),"")</f>
        <v/>
      </c>
      <c r="V23" s="55" t="str">
        <f>IF(AND('Mapa final'!$AH$26="Alta",'Mapa final'!$AJ$26="Menor"),CONCATENATE("R2C",'Mapa final'!$R$26),"")</f>
        <v/>
      </c>
      <c r="W23" s="38" t="str">
        <f>IF(AND('Mapa final'!$AH$21="Alta",'Mapa final'!$AJ$21="Moderado"),CONCATENATE("R2C",'Mapa final'!$R$21),"")</f>
        <v/>
      </c>
      <c r="X23" s="39" t="e">
        <f>IF(AND('Mapa final'!#REF!="Alta",'Mapa final'!#REF!="Moderado"),CONCATENATE("R2C",'Mapa final'!#REF!),"")</f>
        <v>#REF!</v>
      </c>
      <c r="Y23" s="39" t="str">
        <f>IF(AND('Mapa final'!$AH$23="Alta",'Mapa final'!$AJ$23="Moderado"),CONCATENATE("R2C",'Mapa final'!$R$23),"")</f>
        <v/>
      </c>
      <c r="Z23" s="39" t="str">
        <f>IF(AND('Mapa final'!$AH$24="Alta",'Mapa final'!$AJ$24="Moderado"),CONCATENATE("R2C",'Mapa final'!$R$24),"")</f>
        <v/>
      </c>
      <c r="AA23" s="39" t="str">
        <f>IF(AND('Mapa final'!$AH$25="Alta",'Mapa final'!$AJ$25="Moderado"),CONCATENATE("R2C",'Mapa final'!$R$25),"")</f>
        <v/>
      </c>
      <c r="AB23" s="40" t="str">
        <f>IF(AND('Mapa final'!$AH$26="Alta",'Mapa final'!$AJ$26="Moderado"),CONCATENATE("R2C",'Mapa final'!$R$26),"")</f>
        <v/>
      </c>
      <c r="AC23" s="38" t="str">
        <f>IF(AND('Mapa final'!$AH$21="Alta",'Mapa final'!$AJ$21="Mayor"),CONCATENATE("R2C",'Mapa final'!$R$21),"")</f>
        <v/>
      </c>
      <c r="AD23" s="39" t="e">
        <f>IF(AND('Mapa final'!#REF!="Alta",'Mapa final'!#REF!="Mayor"),CONCATENATE("R2C",'Mapa final'!#REF!),"")</f>
        <v>#REF!</v>
      </c>
      <c r="AE23" s="39" t="str">
        <f>IF(AND('Mapa final'!$AH$23="Alta",'Mapa final'!$AJ$23="Mayor"),CONCATENATE("R2C",'Mapa final'!$R$23),"")</f>
        <v/>
      </c>
      <c r="AF23" s="39" t="str">
        <f>IF(AND('Mapa final'!$AH$24="Alta",'Mapa final'!$AJ$24="Mayor"),CONCATENATE("R2C",'Mapa final'!$R$24),"")</f>
        <v/>
      </c>
      <c r="AG23" s="39" t="str">
        <f>IF(AND('Mapa final'!$AH$25="Alta",'Mapa final'!$AJ$25="Mayor"),CONCATENATE("R2C",'Mapa final'!$R$25),"")</f>
        <v/>
      </c>
      <c r="AH23" s="40" t="str">
        <f>IF(AND('Mapa final'!$AH$26="Alta",'Mapa final'!$AJ$26="Mayor"),CONCATENATE("R2C",'Mapa final'!$R$26),"")</f>
        <v/>
      </c>
      <c r="AI23" s="41" t="str">
        <f>IF(AND('Mapa final'!$AH$21="Alta",'Mapa final'!$AJ$21="Catastrófico"),CONCATENATE("R2C",'Mapa final'!$R$21),"")</f>
        <v/>
      </c>
      <c r="AJ23" s="42" t="e">
        <f>IF(AND('Mapa final'!#REF!="Alta",'Mapa final'!#REF!="Catastrófico"),CONCATENATE("R2C",'Mapa final'!#REF!),"")</f>
        <v>#REF!</v>
      </c>
      <c r="AK23" s="42" t="str">
        <f>IF(AND('Mapa final'!$AH$23="Alta",'Mapa final'!$AJ$23="Catastrófico"),CONCATENATE("R2C",'Mapa final'!$R$23),"")</f>
        <v/>
      </c>
      <c r="AL23" s="42" t="str">
        <f>IF(AND('Mapa final'!$AH$24="Alta",'Mapa final'!$AJ$24="Catastrófico"),CONCATENATE("R2C",'Mapa final'!$R$24),"")</f>
        <v/>
      </c>
      <c r="AM23" s="42" t="str">
        <f>IF(AND('Mapa final'!$AH$25="Alta",'Mapa final'!$AJ$25="Catastrófico"),CONCATENATE("R2C",'Mapa final'!$R$25),"")</f>
        <v/>
      </c>
      <c r="AN23" s="43" t="str">
        <f>IF(AND('Mapa final'!$AH$26="Alta",'Mapa final'!$AJ$26="Catastrófico"),CONCATENATE("R2C",'Mapa final'!$R$26),"")</f>
        <v/>
      </c>
      <c r="AO23" s="68"/>
      <c r="AP23" s="529"/>
      <c r="AQ23" s="530"/>
      <c r="AR23" s="530"/>
      <c r="AS23" s="530"/>
      <c r="AT23" s="530"/>
      <c r="AU23" s="531"/>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x14ac:dyDescent="0.45">
      <c r="B24" s="68"/>
      <c r="C24" s="476"/>
      <c r="D24" s="476"/>
      <c r="E24" s="477"/>
      <c r="F24" s="519"/>
      <c r="G24" s="520"/>
      <c r="H24" s="520"/>
      <c r="I24" s="520"/>
      <c r="J24" s="520"/>
      <c r="K24" s="53" t="str">
        <f>IF(AND('Mapa final'!$AH$27="Alta",'Mapa final'!$AJ$27="Leve"),CONCATENATE("R2C",'Mapa final'!$R$27),"")</f>
        <v/>
      </c>
      <c r="L24" s="54" t="str">
        <f>IF(AND('Mapa final'!$AH$28="Alta",'Mapa final'!$AJ$28="Leve"),CONCATENATE("R2C",'Mapa final'!$R$28),"")</f>
        <v/>
      </c>
      <c r="M24" s="54" t="str">
        <f>IF(AND('Mapa final'!$AH$29="Alta",'Mapa final'!$AJ$29="Leve"),CONCATENATE("R2C",'Mapa final'!$R$29),"")</f>
        <v/>
      </c>
      <c r="N24" s="54" t="str">
        <f>IF(AND('Mapa final'!$AH$30="Alta",'Mapa final'!$AJ$30="Leve"),CONCATENATE("R2C",'Mapa final'!$R$30),"")</f>
        <v/>
      </c>
      <c r="O24" s="54" t="str">
        <f>IF(AND('Mapa final'!$AH$31="Alta",'Mapa final'!$AJ$31="Leve"),CONCATENATE("R2C",'Mapa final'!$R$31),"")</f>
        <v/>
      </c>
      <c r="P24" s="55" t="str">
        <f>IF(AND('Mapa final'!$AH$32="Alta",'Mapa final'!$AJ$32="Leve"),CONCATENATE("R2C",'Mapa final'!$R$32),"")</f>
        <v/>
      </c>
      <c r="Q24" s="53" t="str">
        <f>IF(AND('Mapa final'!$AH$27="Alta",'Mapa final'!$AJ$27="Menor"),CONCATENATE("R2C",'Mapa final'!$R$27),"")</f>
        <v/>
      </c>
      <c r="R24" s="54" t="str">
        <f>IF(AND('Mapa final'!$AH$28="Alta",'Mapa final'!$AJ$28="Menor"),CONCATENATE("R2C",'Mapa final'!$R$28),"")</f>
        <v/>
      </c>
      <c r="S24" s="54" t="str">
        <f>IF(AND('Mapa final'!$AH$29="Alta",'Mapa final'!$AJ$29="Menor"),CONCATENATE("R2C",'Mapa final'!$R$29),"")</f>
        <v/>
      </c>
      <c r="T24" s="54" t="str">
        <f>IF(AND('Mapa final'!$AH$30="Alta",'Mapa final'!$AJ$30="Menor"),CONCATENATE("R2C",'Mapa final'!$R$30),"")</f>
        <v/>
      </c>
      <c r="U24" s="54" t="str">
        <f>IF(AND('Mapa final'!$AH$31="Alta",'Mapa final'!$AJ$31="Menor"),CONCATENATE("R2C",'Mapa final'!$R$31),"")</f>
        <v/>
      </c>
      <c r="V24" s="55" t="str">
        <f>IF(AND('Mapa final'!$AH$32="Alta",'Mapa final'!$AJ$32="Menor"),CONCATENATE("R2C",'Mapa final'!$R$32),"")</f>
        <v/>
      </c>
      <c r="W24" s="38" t="str">
        <f>IF(AND('Mapa final'!$AH$27="Alta",'Mapa final'!$AJ$27="Moderado"),CONCATENATE("R2C",'Mapa final'!$R$27),"")</f>
        <v/>
      </c>
      <c r="X24" s="39" t="str">
        <f>IF(AND('Mapa final'!$AH$28="Alta",'Mapa final'!$AJ$28="Moderado"),CONCATENATE("R2C",'Mapa final'!$R$28),"")</f>
        <v/>
      </c>
      <c r="Y24" s="39" t="str">
        <f>IF(AND('Mapa final'!$AH$29="Alta",'Mapa final'!$AJ$29="Moderado"),CONCATENATE("R2C",'Mapa final'!$R$29),"")</f>
        <v/>
      </c>
      <c r="Z24" s="39" t="str">
        <f>IF(AND('Mapa final'!$AH$30="Alta",'Mapa final'!$AJ$30="Moderado"),CONCATENATE("R2C",'Mapa final'!$R$30),"")</f>
        <v/>
      </c>
      <c r="AA24" s="39" t="str">
        <f>IF(AND('Mapa final'!$AH$31="Alta",'Mapa final'!$AJ$31="Moderado"),CONCATENATE("R2C",'Mapa final'!$R$31),"")</f>
        <v/>
      </c>
      <c r="AB24" s="40" t="str">
        <f>IF(AND('Mapa final'!$AH$32="Alta",'Mapa final'!$AJ$32="Moderado"),CONCATENATE("R2C",'Mapa final'!$R$32),"")</f>
        <v/>
      </c>
      <c r="AC24" s="38" t="str">
        <f>IF(AND('Mapa final'!$AH$27="Alta",'Mapa final'!$AJ$27="Mayor"),CONCATENATE("R2C",'Mapa final'!$R$27),"")</f>
        <v/>
      </c>
      <c r="AD24" s="39" t="str">
        <f>IF(AND('Mapa final'!$AH$28="Alta",'Mapa final'!$AJ$28="Mayor"),CONCATENATE("R2C",'Mapa final'!$R$28),"")</f>
        <v/>
      </c>
      <c r="AE24" s="39" t="str">
        <f>IF(AND('Mapa final'!$AH$29="Alta",'Mapa final'!$AJ$29="Mayor"),CONCATENATE("R2C",'Mapa final'!$R$29),"")</f>
        <v/>
      </c>
      <c r="AF24" s="39" t="str">
        <f>IF(AND('Mapa final'!$AH$30="Alta",'Mapa final'!$AJ$30="Mayor"),CONCATENATE("R2C",'Mapa final'!$R$30),"")</f>
        <v/>
      </c>
      <c r="AG24" s="39" t="str">
        <f>IF(AND('Mapa final'!$AH$31="Alta",'Mapa final'!$AJ$31="Mayor"),CONCATENATE("R2C",'Mapa final'!$R$31),"")</f>
        <v/>
      </c>
      <c r="AH24" s="40" t="str">
        <f>IF(AND('Mapa final'!$AH$32="Alta",'Mapa final'!$AJ$32="Mayor"),CONCATENATE("R2C",'Mapa final'!$R$32),"")</f>
        <v/>
      </c>
      <c r="AI24" s="41" t="str">
        <f>IF(AND('Mapa final'!$AH$27="Alta",'Mapa final'!$AJ$27="Catastrófico"),CONCATENATE("R2C",'Mapa final'!$R$27),"")</f>
        <v/>
      </c>
      <c r="AJ24" s="42" t="str">
        <f>IF(AND('Mapa final'!$AH$28="Alta",'Mapa final'!$AJ$28="Catastrófico"),CONCATENATE("R2C",'Mapa final'!$R$28),"")</f>
        <v/>
      </c>
      <c r="AK24" s="42" t="str">
        <f>IF(AND('Mapa final'!$AH$29="Alta",'Mapa final'!$AJ$29="Catastrófico"),CONCATENATE("R2C",'Mapa final'!$R$29),"")</f>
        <v/>
      </c>
      <c r="AL24" s="42" t="str">
        <f>IF(AND('Mapa final'!$AH$30="Alta",'Mapa final'!$AJ$30="Catastrófico"),CONCATENATE("R2C",'Mapa final'!$R$30),"")</f>
        <v/>
      </c>
      <c r="AM24" s="42" t="str">
        <f>IF(AND('Mapa final'!$AH$31="Alta",'Mapa final'!$AJ$31="Catastrófico"),CONCATENATE("R2C",'Mapa final'!$R$31),"")</f>
        <v/>
      </c>
      <c r="AN24" s="43" t="str">
        <f>IF(AND('Mapa final'!$AH$32="Alta",'Mapa final'!$AJ$32="Catastrófico"),CONCATENATE("R2C",'Mapa final'!$R$32),"")</f>
        <v/>
      </c>
      <c r="AO24" s="68"/>
      <c r="AP24" s="529"/>
      <c r="AQ24" s="530"/>
      <c r="AR24" s="530"/>
      <c r="AS24" s="530"/>
      <c r="AT24" s="530"/>
      <c r="AU24" s="531"/>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x14ac:dyDescent="0.45">
      <c r="B25" s="68"/>
      <c r="C25" s="476"/>
      <c r="D25" s="476"/>
      <c r="E25" s="477"/>
      <c r="F25" s="519"/>
      <c r="G25" s="520"/>
      <c r="H25" s="520"/>
      <c r="I25" s="520"/>
      <c r="J25" s="520"/>
      <c r="K25" s="53" t="str">
        <f>IF(AND('Mapa final'!$AH$33="Alta",'Mapa final'!$AJ$33="Leve"),CONCATENATE("R2C",'Mapa final'!$R$33),"")</f>
        <v/>
      </c>
      <c r="L25" s="54" t="str">
        <f>IF(AND('Mapa final'!$AH$34="Alta",'Mapa final'!$AJ$34="Leve"),CONCATENATE("R2C",'Mapa final'!$R$34),"")</f>
        <v/>
      </c>
      <c r="M25" s="54" t="str">
        <f>IF(AND('Mapa final'!$AH$35="Alta",'Mapa final'!$AJ$35="Leve"),CONCATENATE("R2C",'Mapa final'!$R$35),"")</f>
        <v/>
      </c>
      <c r="N25" s="54" t="str">
        <f>IF(AND('Mapa final'!$AH$36="Alta",'Mapa final'!$AJ$36="Leve"),CONCATENATE("R2C",'Mapa final'!$R$36),"")</f>
        <v/>
      </c>
      <c r="O25" s="54" t="str">
        <f>IF(AND('Mapa final'!$AH$37="Alta",'Mapa final'!$AJ$37="Leve"),CONCATENATE("R2C",'Mapa final'!$R$37),"")</f>
        <v/>
      </c>
      <c r="P25" s="55" t="str">
        <f>IF(AND('Mapa final'!$AH$38="Alta",'Mapa final'!$AJ$38="Leve"),CONCATENATE("R2C",'Mapa final'!$R$38),"")</f>
        <v/>
      </c>
      <c r="Q25" s="53" t="str">
        <f>IF(AND('Mapa final'!$AH$33="Alta",'Mapa final'!$AJ$33="Menor"),CONCATENATE("R2C",'Mapa final'!$R$33),"")</f>
        <v/>
      </c>
      <c r="R25" s="54" t="str">
        <f>IF(AND('Mapa final'!$AH$34="Alta",'Mapa final'!$AJ$34="Menor"),CONCATENATE("R2C",'Mapa final'!$R$34),"")</f>
        <v/>
      </c>
      <c r="S25" s="54" t="str">
        <f>IF(AND('Mapa final'!$AH$35="Alta",'Mapa final'!$AJ$35="Menor"),CONCATENATE("R2C",'Mapa final'!$R$35),"")</f>
        <v/>
      </c>
      <c r="T25" s="54" t="str">
        <f>IF(AND('Mapa final'!$AH$36="Alta",'Mapa final'!$AJ$36="Menor"),CONCATENATE("R2C",'Mapa final'!$R$36),"")</f>
        <v/>
      </c>
      <c r="U25" s="54" t="str">
        <f>IF(AND('Mapa final'!$AH$37="Alta",'Mapa final'!$AJ$37="LMenor"),CONCATENATE("R2C",'Mapa final'!$R$37),"")</f>
        <v/>
      </c>
      <c r="V25" s="55" t="str">
        <f>IF(AND('Mapa final'!$AH$38="Alta",'Mapa final'!$AJ$38="Menor"),CONCATENATE("R2C",'Mapa final'!$R$38),"")</f>
        <v/>
      </c>
      <c r="W25" s="38" t="str">
        <f>IF(AND('Mapa final'!$AH$33="Alta",'Mapa final'!$AJ$33="Moderado"),CONCATENATE("R2C",'Mapa final'!$R$33),"")</f>
        <v/>
      </c>
      <c r="X25" s="39" t="str">
        <f>IF(AND('Mapa final'!$AH$34="Alta",'Mapa final'!$AJ$34="Moderado"),CONCATENATE("R2C",'Mapa final'!$R$34),"")</f>
        <v/>
      </c>
      <c r="Y25" s="39" t="str">
        <f>IF(AND('Mapa final'!$AH$35="Alta",'Mapa final'!$AJ$35="Moderado"),CONCATENATE("R2C",'Mapa final'!$R$35),"")</f>
        <v/>
      </c>
      <c r="Z25" s="39" t="str">
        <f>IF(AND('Mapa final'!$AH$36="Alta",'Mapa final'!$AJ$36="Moderado"),CONCATENATE("R2C",'Mapa final'!$R$36),"")</f>
        <v/>
      </c>
      <c r="AA25" s="39" t="str">
        <f>IF(AND('Mapa final'!$AH$37="Alta",'Mapa final'!$AJ$37="Moderado"),CONCATENATE("R2C",'Mapa final'!$R$37),"")</f>
        <v/>
      </c>
      <c r="AB25" s="40" t="str">
        <f>IF(AND('Mapa final'!$AH$38="Alta",'Mapa final'!$AJ$38="Moderado"),CONCATENATE("R2C",'Mapa final'!$R$38),"")</f>
        <v/>
      </c>
      <c r="AC25" s="38" t="str">
        <f>IF(AND('Mapa final'!$AH$33="Alta",'Mapa final'!$AJ$33="Mayor"),CONCATENATE("R2C",'Mapa final'!$R$33),"")</f>
        <v/>
      </c>
      <c r="AD25" s="39" t="str">
        <f>IF(AND('Mapa final'!$AH$34="Alta",'Mapa final'!$AJ$34="Mayor"),CONCATENATE("R2C",'Mapa final'!$R$34),"")</f>
        <v/>
      </c>
      <c r="AE25" s="39" t="str">
        <f>IF(AND('Mapa final'!$AH$35="Alta",'Mapa final'!$AJ$35="Mayor"),CONCATENATE("R2C",'Mapa final'!$R$35),"")</f>
        <v/>
      </c>
      <c r="AF25" s="39" t="str">
        <f>IF(AND('Mapa final'!$AH$36="Alta",'Mapa final'!$AJ$36="Mayor"),CONCATENATE("R2C",'Mapa final'!$R$36),"")</f>
        <v/>
      </c>
      <c r="AG25" s="39" t="str">
        <f>IF(AND('Mapa final'!$AH$37="Alta",'Mapa final'!$AJ$37="Mayor"),CONCATENATE("R2C",'Mapa final'!$R$37),"")</f>
        <v/>
      </c>
      <c r="AH25" s="40" t="str">
        <f>IF(AND('Mapa final'!$AH$38="Alta",'Mapa final'!$AJ$38="Mayor"),CONCATENATE("R2C",'Mapa final'!$R$38),"")</f>
        <v/>
      </c>
      <c r="AI25" s="41" t="str">
        <f>IF(AND('Mapa final'!$AH$33="Alta",'Mapa final'!$AJ$33="Catastrófico"),CONCATENATE("R2C",'Mapa final'!$R$33),"")</f>
        <v/>
      </c>
      <c r="AJ25" s="42" t="str">
        <f>IF(AND('Mapa final'!$AH$34="Alta",'Mapa final'!$AJ$34="Catastrófico"),CONCATENATE("R2C",'Mapa final'!$R$34),"")</f>
        <v/>
      </c>
      <c r="AK25" s="42" t="str">
        <f>IF(AND('Mapa final'!$AH$35="Alta",'Mapa final'!$AJ$35="Catastrófico"),CONCATENATE("R2C",'Mapa final'!$R$35),"")</f>
        <v/>
      </c>
      <c r="AL25" s="42" t="str">
        <f>IF(AND('Mapa final'!$AH$36="Alta",'Mapa final'!$AJ$36="Catastrófico"),CONCATENATE("R2C",'Mapa final'!$R$36),"")</f>
        <v/>
      </c>
      <c r="AM25" s="42" t="str">
        <f>IF(AND('Mapa final'!$AH$37="Alta",'Mapa final'!$AJ$37="LCatastrófico"),CONCATENATE("R2C",'Mapa final'!$R$37),"")</f>
        <v/>
      </c>
      <c r="AN25" s="43" t="str">
        <f>IF(AND('Mapa final'!$AH$38="Alta",'Mapa final'!$AJ$38="Catastrófico"),CONCATENATE("R2C",'Mapa final'!$R$38),"")</f>
        <v/>
      </c>
      <c r="AO25" s="68"/>
      <c r="AP25" s="529"/>
      <c r="AQ25" s="530"/>
      <c r="AR25" s="530"/>
      <c r="AS25" s="530"/>
      <c r="AT25" s="530"/>
      <c r="AU25" s="531"/>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x14ac:dyDescent="0.45">
      <c r="B26" s="68"/>
      <c r="C26" s="476"/>
      <c r="D26" s="476"/>
      <c r="E26" s="477"/>
      <c r="F26" s="519"/>
      <c r="G26" s="520"/>
      <c r="H26" s="520"/>
      <c r="I26" s="520"/>
      <c r="J26" s="520"/>
      <c r="K26" s="53" t="str">
        <f>IF(AND('Mapa final'!$AH$39="Alta",'Mapa final'!$AJ$39="Leve"),CONCATENATE("R2C",'Mapa final'!$R$39),"")</f>
        <v/>
      </c>
      <c r="L26" s="54" t="str">
        <f>IF(AND('Mapa final'!$AH$40="Alta",'Mapa final'!$AJ$40="Leve"),CONCATENATE("R2C",'Mapa final'!$R$40),"")</f>
        <v/>
      </c>
      <c r="M26" s="54" t="str">
        <f>IF(AND('Mapa final'!$AH$41="Alta",'Mapa final'!$AJ$41="Leve"),CONCATENATE("R2C",'Mapa final'!$R$41),"")</f>
        <v/>
      </c>
      <c r="N26" s="54" t="str">
        <f>IF(AND('Mapa final'!$AH$42="Alta",'Mapa final'!$AJ$42="Leve"),CONCATENATE("R2C",'Mapa final'!$R$42),"")</f>
        <v/>
      </c>
      <c r="O26" s="54" t="str">
        <f>IF(AND('Mapa final'!$AH$43="Alta",'Mapa final'!$AJ$43="Leve"),CONCATENATE("R2C",'Mapa final'!$R$43),"")</f>
        <v/>
      </c>
      <c r="P26" s="55" t="str">
        <f>IF(AND('Mapa final'!$AH$44="Alta",'Mapa final'!$AJ$44="Leve"),CONCATENATE("R2C",'Mapa final'!$R$44),"")</f>
        <v/>
      </c>
      <c r="Q26" s="53" t="str">
        <f>IF(AND('Mapa final'!$AH$39="Alta",'Mapa final'!$AJ$39="Menor"),CONCATENATE("R2C",'Mapa final'!$R$39),"")</f>
        <v/>
      </c>
      <c r="R26" s="54" t="str">
        <f>IF(AND('Mapa final'!$AH$40="Alta",'Mapa final'!$AJ$40="Menor"),CONCATENATE("R2C",'Mapa final'!$R$40),"")</f>
        <v/>
      </c>
      <c r="S26" s="54" t="str">
        <f>IF(AND('Mapa final'!$AH$41="Alta",'Mapa final'!$AJ$41="Menor"),CONCATENATE("R2C",'Mapa final'!$R$41),"")</f>
        <v/>
      </c>
      <c r="T26" s="54" t="str">
        <f>IF(AND('Mapa final'!$AH$42="Alta",'Mapa final'!$AJ$42="Menor"),CONCATENATE("R2C",'Mapa final'!$R$42),"")</f>
        <v/>
      </c>
      <c r="U26" s="54" t="str">
        <f>IF(AND('Mapa final'!$AH$43="Alta",'Mapa final'!$AJ$43="Menor"),CONCATENATE("R2C",'Mapa final'!$R$43),"")</f>
        <v/>
      </c>
      <c r="V26" s="55" t="str">
        <f>IF(AND('Mapa final'!$AH$44="Alta",'Mapa final'!$AJ$44="Menor"),CONCATENATE("R2C",'Mapa final'!$R$44),"")</f>
        <v/>
      </c>
      <c r="W26" s="38" t="str">
        <f>IF(AND('Mapa final'!$AH$39="Alta",'Mapa final'!$AJ$39="Moderado"),CONCATENATE("R2C",'Mapa final'!$R$39),"")</f>
        <v/>
      </c>
      <c r="X26" s="39" t="str">
        <f>IF(AND('Mapa final'!$AH$40="Alta",'Mapa final'!$AJ$40="Moderado"),CONCATENATE("R2C",'Mapa final'!$R$40),"")</f>
        <v/>
      </c>
      <c r="Y26" s="39" t="str">
        <f>IF(AND('Mapa final'!$AH$41="Alta",'Mapa final'!$AJ$41="Moderado"),CONCATENATE("R2C",'Mapa final'!$R$41),"")</f>
        <v/>
      </c>
      <c r="Z26" s="39" t="str">
        <f>IF(AND('Mapa final'!$AH$42="Alta",'Mapa final'!$AJ$42="Moderado"),CONCATENATE("R2C",'Mapa final'!$R$42),"")</f>
        <v/>
      </c>
      <c r="AA26" s="39" t="str">
        <f>IF(AND('Mapa final'!$AH$43="Alta",'Mapa final'!$AJ$43="Moderado"),CONCATENATE("R2C",'Mapa final'!$R$43),"")</f>
        <v/>
      </c>
      <c r="AB26" s="40" t="str">
        <f>IF(AND('Mapa final'!$AH$44="Alta",'Mapa final'!$AJ$44="Moderado"),CONCATENATE("R2C",'Mapa final'!$R$44),"")</f>
        <v/>
      </c>
      <c r="AC26" s="38" t="str">
        <f>IF(AND('Mapa final'!$AH$39="Alta",'Mapa final'!$AJ$39="Mayor"),CONCATENATE("R2C",'Mapa final'!$R$39),"")</f>
        <v/>
      </c>
      <c r="AD26" s="39" t="str">
        <f>IF(AND('Mapa final'!$AH$40="Alta",'Mapa final'!$AJ$40="Mayor"),CONCATENATE("R2C",'Mapa final'!$R$40),"")</f>
        <v/>
      </c>
      <c r="AE26" s="39" t="str">
        <f>IF(AND('Mapa final'!$AH$41="Alta",'Mapa final'!$AJ$41="Mayor"),CONCATENATE("R2C",'Mapa final'!$R$41),"")</f>
        <v/>
      </c>
      <c r="AF26" s="39" t="str">
        <f>IF(AND('Mapa final'!$AH$42="Alta",'Mapa final'!$AJ$42="Mayor"),CONCATENATE("R2C",'Mapa final'!$R$42),"")</f>
        <v/>
      </c>
      <c r="AG26" s="39" t="str">
        <f>IF(AND('Mapa final'!$AH$43="Alta",'Mapa final'!$AJ$43="Mayor"),CONCATENATE("R2C",'Mapa final'!$R$43),"")</f>
        <v/>
      </c>
      <c r="AH26" s="40" t="str">
        <f>IF(AND('Mapa final'!$AH$44="Alta",'Mapa final'!$AJ$44="Mayor"),CONCATENATE("R2C",'Mapa final'!$R$44),"")</f>
        <v/>
      </c>
      <c r="AI26" s="41" t="str">
        <f>IF(AND('Mapa final'!$AH$39="Alta",'Mapa final'!$AJ$39="Catastrófico"),CONCATENATE("R2C",'Mapa final'!$R$39),"")</f>
        <v/>
      </c>
      <c r="AJ26" s="42" t="str">
        <f>IF(AND('Mapa final'!$AH$40="Alta",'Mapa final'!$AJ$40="Catastrófico"),CONCATENATE("R2C",'Mapa final'!$R$40),"")</f>
        <v/>
      </c>
      <c r="AK26" s="42" t="str">
        <f>IF(AND('Mapa final'!$AH$41="Alta",'Mapa final'!$AJ$41="Catastrófico"),CONCATENATE("R2C",'Mapa final'!$R$41),"")</f>
        <v/>
      </c>
      <c r="AL26" s="42" t="str">
        <f>IF(AND('Mapa final'!$AH$42="Alta",'Mapa final'!$AJ$42="Catastrófico"),CONCATENATE("R2C",'Mapa final'!$R$42),"")</f>
        <v/>
      </c>
      <c r="AM26" s="42" t="str">
        <f>IF(AND('Mapa final'!$AH$43="Alta",'Mapa final'!$AJ$43="Catastrófico"),CONCATENATE("R2C",'Mapa final'!$R$43),"")</f>
        <v/>
      </c>
      <c r="AN26" s="43" t="str">
        <f>IF(AND('Mapa final'!$AH$44="Alta",'Mapa final'!$AJ$44="Catastrófico"),CONCATENATE("R2C",'Mapa final'!$R$44),"")</f>
        <v/>
      </c>
      <c r="AO26" s="68"/>
      <c r="AP26" s="529"/>
      <c r="AQ26" s="530"/>
      <c r="AR26" s="530"/>
      <c r="AS26" s="530"/>
      <c r="AT26" s="530"/>
      <c r="AU26" s="531"/>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x14ac:dyDescent="0.45">
      <c r="B27" s="68"/>
      <c r="C27" s="476"/>
      <c r="D27" s="476"/>
      <c r="E27" s="477"/>
      <c r="F27" s="519"/>
      <c r="G27" s="520"/>
      <c r="H27" s="520"/>
      <c r="I27" s="520"/>
      <c r="J27" s="520"/>
      <c r="K27" s="53" t="str">
        <f>IF(AND('Mapa final'!$AH$45="Alta",'Mapa final'!$AJ$45="Leve"),CONCATENATE("R2C",'Mapa final'!$R$45),"")</f>
        <v/>
      </c>
      <c r="L27" s="54" t="str">
        <f>IF(AND('Mapa final'!$AH$46="Alta",'Mapa final'!$AJ$46="Leve"),CONCATENATE("R2C",'Mapa final'!$R$46),"")</f>
        <v/>
      </c>
      <c r="M27" s="54" t="str">
        <f>IF(AND('Mapa final'!$AH$47="Alta",'Mapa final'!$AJ$47="Leve"),CONCATENATE("R2C",'Mapa final'!$R$47),"")</f>
        <v/>
      </c>
      <c r="N27" s="54" t="str">
        <f>IF(AND('Mapa final'!$AH$48="Alta",'Mapa final'!$AJ$48="Leve"),CONCATENATE("R2C",'Mapa final'!$R$48),"")</f>
        <v/>
      </c>
      <c r="O27" s="54" t="str">
        <f>IF(AND('Mapa final'!$AH$49="Alta",'Mapa final'!$AJ$49="Leve"),CONCATENATE("R2C",'Mapa final'!$R$49),"")</f>
        <v/>
      </c>
      <c r="P27" s="55" t="str">
        <f>IF(AND('Mapa final'!$AH$60="Alta",'Mapa final'!$AJ$50="Leve"),CONCATENATE("R2C",'Mapa final'!$R$50),"")</f>
        <v/>
      </c>
      <c r="Q27" s="53" t="str">
        <f>IF(AND('Mapa final'!$AH$45="Alta",'Mapa final'!$AJ$45="Menor"),CONCATENATE("R2C",'Mapa final'!$R$45),"")</f>
        <v/>
      </c>
      <c r="R27" s="54" t="str">
        <f>IF(AND('Mapa final'!$AH$46="Alta",'Mapa final'!$AJ$46="Menor"),CONCATENATE("R2C",'Mapa final'!$R$46),"")</f>
        <v/>
      </c>
      <c r="S27" s="54" t="str">
        <f>IF(AND('Mapa final'!$AH$47="Alta",'Mapa final'!$AJ$47="Menor"),CONCATENATE("R2C",'Mapa final'!$R$47),"")</f>
        <v/>
      </c>
      <c r="T27" s="54" t="str">
        <f>IF(AND('Mapa final'!$AH$48="Alta",'Mapa final'!$AJ$48="Menor"),CONCATENATE("R2C",'Mapa final'!$R$48),"")</f>
        <v/>
      </c>
      <c r="U27" s="54" t="str">
        <f>IF(AND('Mapa final'!$AH$49="Alta",'Mapa final'!$AJ$49="Menor"),CONCATENATE("R2C",'Mapa final'!$R$49),"")</f>
        <v/>
      </c>
      <c r="V27" s="55" t="str">
        <f>IF(AND('Mapa final'!$AH$60="Alta",'Mapa final'!$AJ$50="Menor"),CONCATENATE("R2C",'Mapa final'!$R$50),"")</f>
        <v/>
      </c>
      <c r="W27" s="38" t="str">
        <f>IF(AND('Mapa final'!$AH$45="Alta",'Mapa final'!$AJ$45="Moderado"),CONCATENATE("R2C",'Mapa final'!$R$45),"")</f>
        <v/>
      </c>
      <c r="X27" s="39" t="str">
        <f>IF(AND('Mapa final'!$AH$46="Alta",'Mapa final'!$AJ$46="Moderado"),CONCATENATE("R2C",'Mapa final'!$R$46),"")</f>
        <v/>
      </c>
      <c r="Y27" s="39" t="str">
        <f>IF(AND('Mapa final'!$AH$47="Alta",'Mapa final'!$AJ$47="Moderado"),CONCATENATE("R2C",'Mapa final'!$R$47),"")</f>
        <v/>
      </c>
      <c r="Z27" s="39" t="str">
        <f>IF(AND('Mapa final'!$AH$48="Alta",'Mapa final'!$AJ$48="Moderado"),CONCATENATE("R2C",'Mapa final'!$R$48),"")</f>
        <v/>
      </c>
      <c r="AA27" s="39" t="str">
        <f>IF(AND('Mapa final'!$AH$49="Alta",'Mapa final'!$AJ$49="Moderado"),CONCATENATE("R2C",'Mapa final'!$R$49),"")</f>
        <v/>
      </c>
      <c r="AB27" s="40" t="str">
        <f>IF(AND('Mapa final'!$AH$60="Alta",'Mapa final'!$AJ$50="Moderado"),CONCATENATE("R2C",'Mapa final'!$R$50),"")</f>
        <v/>
      </c>
      <c r="AC27" s="38" t="str">
        <f>IF(AND('Mapa final'!$AH$45="Alta",'Mapa final'!$AJ$45="Mayor"),CONCATENATE("R2C",'Mapa final'!$R$45),"")</f>
        <v/>
      </c>
      <c r="AD27" s="39" t="str">
        <f>IF(AND('Mapa final'!$AH$46="Alta",'Mapa final'!$AJ$46="Mayor"),CONCATENATE("R2C",'Mapa final'!$R$46),"")</f>
        <v/>
      </c>
      <c r="AE27" s="39" t="str">
        <f>IF(AND('Mapa final'!$AH$47="Alta",'Mapa final'!$AJ$47="Mayor"),CONCATENATE("R2C",'Mapa final'!$R$47),"")</f>
        <v/>
      </c>
      <c r="AF27" s="39" t="str">
        <f>IF(AND('Mapa final'!$AH$48="Alta",'Mapa final'!$AJ$48="Mayor"),CONCATENATE("R2C",'Mapa final'!$R$48),"")</f>
        <v/>
      </c>
      <c r="AG27" s="39" t="str">
        <f>IF(AND('Mapa final'!$AH$49="Alta",'Mapa final'!$AJ$49="Mayor"),CONCATENATE("R2C",'Mapa final'!$R$49),"")</f>
        <v/>
      </c>
      <c r="AH27" s="40" t="str">
        <f>IF(AND('Mapa final'!$AH$60="Alta",'Mapa final'!$AJ$50="Mayor"),CONCATENATE("R2C",'Mapa final'!$R$50),"")</f>
        <v/>
      </c>
      <c r="AI27" s="41" t="str">
        <f>IF(AND('Mapa final'!$AH$45="Alta",'Mapa final'!$AJ$45="Catastrófico"),CONCATENATE("R2C",'Mapa final'!$R$45),"")</f>
        <v/>
      </c>
      <c r="AJ27" s="42" t="str">
        <f>IF(AND('Mapa final'!$AH$46="Alta",'Mapa final'!$AJ$46="Catastrófico"),CONCATENATE("R2C",'Mapa final'!$R$46),"")</f>
        <v/>
      </c>
      <c r="AK27" s="42" t="str">
        <f>IF(AND('Mapa final'!$AH$47="Alta",'Mapa final'!$AJ$47="Catastrófico"),CONCATENATE("R2C",'Mapa final'!$R$47),"")</f>
        <v/>
      </c>
      <c r="AL27" s="42" t="str">
        <f>IF(AND('Mapa final'!$AH$48="Alta",'Mapa final'!$AJ$48="Catastrófico"),CONCATENATE("R2C",'Mapa final'!$R$48),"")</f>
        <v/>
      </c>
      <c r="AM27" s="42" t="str">
        <f>IF(AND('Mapa final'!$AH$49="Alta",'Mapa final'!$AJ$49="Catastrófico"),CONCATENATE("R2C",'Mapa final'!$R$49),"")</f>
        <v/>
      </c>
      <c r="AN27" s="43" t="str">
        <f>IF(AND('Mapa final'!$AH$60="Alta",'Mapa final'!$AJ$50="Catastrófico"),CONCATENATE("R2C",'Mapa final'!$R$50),"")</f>
        <v/>
      </c>
      <c r="AO27" s="68"/>
      <c r="AP27" s="529"/>
      <c r="AQ27" s="530"/>
      <c r="AR27" s="530"/>
      <c r="AS27" s="530"/>
      <c r="AT27" s="530"/>
      <c r="AU27" s="531"/>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x14ac:dyDescent="0.45">
      <c r="B28" s="68"/>
      <c r="C28" s="476"/>
      <c r="D28" s="476"/>
      <c r="E28" s="477"/>
      <c r="F28" s="519"/>
      <c r="G28" s="520"/>
      <c r="H28" s="520"/>
      <c r="I28" s="520"/>
      <c r="J28" s="520"/>
      <c r="K28" s="53" t="str">
        <f>IF(AND('Mapa final'!$AH$51="Alta",'Mapa final'!$AJ$51="Leve"),CONCATENATE("R2C",'Mapa final'!$R$51),"")</f>
        <v/>
      </c>
      <c r="L28" s="54" t="str">
        <f>IF(AND('Mapa final'!$AH$52="Alta",'Mapa final'!$AJ$52="Leve"),CONCATENATE("R2C",'Mapa final'!$R$52),"")</f>
        <v/>
      </c>
      <c r="M28" s="54" t="str">
        <f>IF(AND('Mapa final'!$AH$53="Alta",'Mapa final'!$AJ$53="Leve"),CONCATENATE("R2C",'Mapa final'!$R$53),"")</f>
        <v/>
      </c>
      <c r="N28" s="54" t="str">
        <f>IF(AND('Mapa final'!$AH$54="Alta",'Mapa final'!$AJ$54="Leve"),CONCATENATE("R2C",'Mapa final'!$R$54),"")</f>
        <v/>
      </c>
      <c r="O28" s="54" t="str">
        <f>IF(AND('Mapa final'!$AH$55="Alta",'Mapa final'!$AJ$55="Leve"),CONCATENATE("R2C",'Mapa final'!$R$55),"")</f>
        <v/>
      </c>
      <c r="P28" s="55" t="str">
        <f>IF(AND('Mapa final'!$AH$56="Alta",'Mapa final'!$AJ$56="Leve"),CONCATENATE("R2C",'Mapa final'!$R$56),"")</f>
        <v/>
      </c>
      <c r="Q28" s="53" t="str">
        <f>IF(AND('Mapa final'!$AH$51="Alta",'Mapa final'!$AJ$51="Menor"),CONCATENATE("R2C",'Mapa final'!$R$51),"")</f>
        <v/>
      </c>
      <c r="R28" s="54" t="str">
        <f>IF(AND('Mapa final'!$AH$52="Alta",'Mapa final'!$AJ$52="Menor"),CONCATENATE("R2C",'Mapa final'!$R$52),"")</f>
        <v/>
      </c>
      <c r="S28" s="54" t="str">
        <f>IF(AND('Mapa final'!$AH$53="Alta",'Mapa final'!$AJ$53="Menor"),CONCATENATE("R2C",'Mapa final'!$R$53),"")</f>
        <v/>
      </c>
      <c r="T28" s="54" t="str">
        <f>IF(AND('Mapa final'!$AH$54="Alta",'Mapa final'!$AJ$54="Menor"),CONCATENATE("R2C",'Mapa final'!$R$54),"")</f>
        <v/>
      </c>
      <c r="U28" s="54" t="str">
        <f>IF(AND('Mapa final'!$AH$55="Alta",'Mapa final'!$AJ$55="Menor"),CONCATENATE("R2C",'Mapa final'!$R$55),"")</f>
        <v/>
      </c>
      <c r="V28" s="55" t="str">
        <f>IF(AND('Mapa final'!$AH$56="Alta",'Mapa final'!$AJ$56="Menor"),CONCATENATE("R2C",'Mapa final'!$R$56),"")</f>
        <v/>
      </c>
      <c r="W28" s="38" t="str">
        <f>IF(AND('Mapa final'!$AH$51="Alta",'Mapa final'!$AJ$51="Moderado"),CONCATENATE("R2C",'Mapa final'!$R$51),"")</f>
        <v/>
      </c>
      <c r="X28" s="39" t="str">
        <f>IF(AND('Mapa final'!$AH$52="Alta",'Mapa final'!$AJ$52="Moderado"),CONCATENATE("R2C",'Mapa final'!$R$52),"")</f>
        <v/>
      </c>
      <c r="Y28" s="39" t="str">
        <f>IF(AND('Mapa final'!$AH$53="Alta",'Mapa final'!$AJ$53="Moderado"),CONCATENATE("R2C",'Mapa final'!$R$53),"")</f>
        <v/>
      </c>
      <c r="Z28" s="39" t="str">
        <f>IF(AND('Mapa final'!$AH$54="Alta",'Mapa final'!$AJ$54="Moderado"),CONCATENATE("R2C",'Mapa final'!$R$54),"")</f>
        <v/>
      </c>
      <c r="AA28" s="39" t="str">
        <f>IF(AND('Mapa final'!$AH$55="Alta",'Mapa final'!$AJ$55="Moderado"),CONCATENATE("R2C",'Mapa final'!$R$55),"")</f>
        <v/>
      </c>
      <c r="AB28" s="40" t="str">
        <f>IF(AND('Mapa final'!$AH$56="Alta",'Mapa final'!$AJ$56="Moderado"),CONCATENATE("R2C",'Mapa final'!$R$56),"")</f>
        <v/>
      </c>
      <c r="AC28" s="38" t="str">
        <f>IF(AND('Mapa final'!$AH$51="Alta",'Mapa final'!$AJ$51="Mayor"),CONCATENATE("R2C",'Mapa final'!$R$51),"")</f>
        <v/>
      </c>
      <c r="AD28" s="39" t="str">
        <f>IF(AND('Mapa final'!$AH$52="Alta",'Mapa final'!$AJ$52="Mayor"),CONCATENATE("R2C",'Mapa final'!$R$52),"")</f>
        <v/>
      </c>
      <c r="AE28" s="39" t="str">
        <f>IF(AND('Mapa final'!$AH$53="Alta",'Mapa final'!$AJ$53="Mayor"),CONCATENATE("R2C",'Mapa final'!$R$53),"")</f>
        <v/>
      </c>
      <c r="AF28" s="39" t="str">
        <f>IF(AND('Mapa final'!$AH$54="Alta",'Mapa final'!$AJ$54="Mayor"),CONCATENATE("R2C",'Mapa final'!$R$54),"")</f>
        <v/>
      </c>
      <c r="AG28" s="39" t="str">
        <f>IF(AND('Mapa final'!$AH$55="Alta",'Mapa final'!$AJ$55="Mayor"),CONCATENATE("R2C",'Mapa final'!$R$55),"")</f>
        <v/>
      </c>
      <c r="AH28" s="40" t="str">
        <f>IF(AND('Mapa final'!$AH$56="Alta",'Mapa final'!$AJ$56="Mayor"),CONCATENATE("R2C",'Mapa final'!$R$56),"")</f>
        <v/>
      </c>
      <c r="AI28" s="41" t="str">
        <f>IF(AND('Mapa final'!$AH$51="Alta",'Mapa final'!$AJ$51="Catastrófico"),CONCATENATE("R2C",'Mapa final'!$R$51),"")</f>
        <v/>
      </c>
      <c r="AJ28" s="42" t="str">
        <f>IF(AND('Mapa final'!$AH$52="Alta",'Mapa final'!$AJ$52="Catastrófico"),CONCATENATE("R2C",'Mapa final'!$R$52),"")</f>
        <v/>
      </c>
      <c r="AK28" s="42" t="str">
        <f>IF(AND('Mapa final'!$AH$53="Alta",'Mapa final'!$AJ$53="Catastrófico"),CONCATENATE("R2C",'Mapa final'!$R$53),"")</f>
        <v/>
      </c>
      <c r="AL28" s="42" t="str">
        <f>IF(AND('Mapa final'!$AH$54="Alta",'Mapa final'!$AJ$54="Catastrófico"),CONCATENATE("R2C",'Mapa final'!$R$54),"")</f>
        <v/>
      </c>
      <c r="AM28" s="42" t="str">
        <f>IF(AND('Mapa final'!$AH$55="Alta",'Mapa final'!$AJ$55="Catastrófico"),CONCATENATE("R2C",'Mapa final'!$R$55),"")</f>
        <v/>
      </c>
      <c r="AN28" s="43" t="str">
        <f>IF(AND('Mapa final'!$AH$56="Alta",'Mapa final'!$AJ$56="Catastrófico"),CONCATENATE("R2C",'Mapa final'!$R$56),"")</f>
        <v/>
      </c>
      <c r="AO28" s="68"/>
      <c r="AP28" s="529"/>
      <c r="AQ28" s="530"/>
      <c r="AR28" s="530"/>
      <c r="AS28" s="530"/>
      <c r="AT28" s="530"/>
      <c r="AU28" s="531"/>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x14ac:dyDescent="0.45">
      <c r="B29" s="68"/>
      <c r="C29" s="476"/>
      <c r="D29" s="476"/>
      <c r="E29" s="477"/>
      <c r="F29" s="519"/>
      <c r="G29" s="520"/>
      <c r="H29" s="520"/>
      <c r="I29" s="520"/>
      <c r="J29" s="520"/>
      <c r="K29" s="53" t="str">
        <f>IF(AND('Mapa final'!$AH$57="Alta",'Mapa final'!$AJ$57="Leve"),CONCATENATE("R2C",'Mapa final'!$R$57),"")</f>
        <v/>
      </c>
      <c r="L29" s="54" t="str">
        <f>IF(AND('Mapa final'!$AH$58="Alta",'Mapa final'!$AJ$58="Leve"),CONCATENATE("R2C",'Mapa final'!$R$58),"")</f>
        <v/>
      </c>
      <c r="M29" s="54" t="str">
        <f>IF(AND('Mapa final'!$AH$59="Alta",'Mapa final'!$AJ$59="Leve"),CONCATENATE("R2C",'Mapa final'!$R$59),"")</f>
        <v/>
      </c>
      <c r="N29" s="54" t="str">
        <f>IF(AND('Mapa final'!$AH$60="Alta",'Mapa final'!$AJ$60="Leve"),CONCATENATE("R2C",'Mapa final'!$R$60),"")</f>
        <v/>
      </c>
      <c r="O29" s="54" t="str">
        <f>IF(AND('Mapa final'!$AH$61="Alta",'Mapa final'!$AJ$61="Leve"),CONCATENATE("R2C",'Mapa final'!$R$61),"")</f>
        <v/>
      </c>
      <c r="P29" s="55" t="str">
        <f>IF(AND('Mapa final'!$AH$62="Alta",'Mapa final'!$AJ$62="Leve"),CONCATENATE("R2C",'Mapa final'!$R$62),"")</f>
        <v/>
      </c>
      <c r="Q29" s="53" t="str">
        <f>IF(AND('Mapa final'!$AH$57="Alta",'Mapa final'!$AJ$57="Menor"),CONCATENATE("R2C",'Mapa final'!$R$57),"")</f>
        <v/>
      </c>
      <c r="R29" s="54" t="str">
        <f>IF(AND('Mapa final'!$AH$58="Alta",'Mapa final'!$AJ$58="Menor"),CONCATENATE("R2C",'Mapa final'!$R$58),"")</f>
        <v/>
      </c>
      <c r="S29" s="54" t="str">
        <f>IF(AND('Mapa final'!$AH$59="Alta",'Mapa final'!$AJ$59="Menor"),CONCATENATE("R2C",'Mapa final'!$R$59),"")</f>
        <v/>
      </c>
      <c r="T29" s="54" t="str">
        <f>IF(AND('Mapa final'!$AH$60="Alta",'Mapa final'!$AJ$60="Menor"),CONCATENATE("R2C",'Mapa final'!$R$60),"")</f>
        <v/>
      </c>
      <c r="U29" s="54" t="str">
        <f>IF(AND('Mapa final'!$AH$61="Alta",'Mapa final'!$AJ$61="Menor"),CONCATENATE("R2C",'Mapa final'!$R$61),"")</f>
        <v/>
      </c>
      <c r="V29" s="55" t="str">
        <f>IF(AND('Mapa final'!$AH$62="Alta",'Mapa final'!$AJ$62="Menor"),CONCATENATE("R2C",'Mapa final'!$R$62),"")</f>
        <v/>
      </c>
      <c r="W29" s="38" t="str">
        <f>IF(AND('Mapa final'!$AH$57="Alta",'Mapa final'!$AJ$57="Moderado"),CONCATENATE("R2C",'Mapa final'!$R$57),"")</f>
        <v/>
      </c>
      <c r="X29" s="39" t="str">
        <f>IF(AND('Mapa final'!$AH$58="Alta",'Mapa final'!$AJ$58="Moderado"),CONCATENATE("R2C",'Mapa final'!$R$58),"")</f>
        <v/>
      </c>
      <c r="Y29" s="39" t="str">
        <f>IF(AND('Mapa final'!$AH$59="Alta",'Mapa final'!$AJ$59="Moderado"),CONCATENATE("R2C",'Mapa final'!$R$59),"")</f>
        <v/>
      </c>
      <c r="Z29" s="39" t="str">
        <f>IF(AND('Mapa final'!$AH$60="Alta",'Mapa final'!$AJ$60="Moderado"),CONCATENATE("R2C",'Mapa final'!$R$60),"")</f>
        <v/>
      </c>
      <c r="AA29" s="39" t="str">
        <f>IF(AND('Mapa final'!$AH$61="Alta",'Mapa final'!$AJ$61="Moderado"),CONCATENATE("R2C",'Mapa final'!$R$61),"")</f>
        <v/>
      </c>
      <c r="AB29" s="40" t="str">
        <f>IF(AND('Mapa final'!$AH$62="Alta",'Mapa final'!$AJ$62="Moderado"),CONCATENATE("R2C",'Mapa final'!$R$62),"")</f>
        <v/>
      </c>
      <c r="AC29" s="38" t="str">
        <f>IF(AND('Mapa final'!$AH$57="Alta",'Mapa final'!$AJ$57="Mayor"),CONCATENATE("R2C",'Mapa final'!$R$57),"")</f>
        <v/>
      </c>
      <c r="AD29" s="39" t="str">
        <f>IF(AND('Mapa final'!$AH$58="Alta",'Mapa final'!$AJ$58="Mayor"),CONCATENATE("R2C",'Mapa final'!$R$58),"")</f>
        <v/>
      </c>
      <c r="AE29" s="39" t="str">
        <f>IF(AND('Mapa final'!$AH$59="Alta",'Mapa final'!$AJ$59="Mayor"),CONCATENATE("R2C",'Mapa final'!$R$59),"")</f>
        <v/>
      </c>
      <c r="AF29" s="39" t="str">
        <f>IF(AND('Mapa final'!$AH$60="Alta",'Mapa final'!$AJ$60="Mayor"),CONCATENATE("R2C",'Mapa final'!$R$60),"")</f>
        <v/>
      </c>
      <c r="AG29" s="39" t="str">
        <f>IF(AND('Mapa final'!$AH$61="Alta",'Mapa final'!$AJ$61="Mayor"),CONCATENATE("R2C",'Mapa final'!$R$61),"")</f>
        <v/>
      </c>
      <c r="AH29" s="40" t="str">
        <f>IF(AND('Mapa final'!$AH$62="Alta",'Mapa final'!$AJ$62="Mayor"),CONCATENATE("R2C",'Mapa final'!$R$62),"")</f>
        <v/>
      </c>
      <c r="AI29" s="41" t="str">
        <f>IF(AND('Mapa final'!$AH$57="Alta",'Mapa final'!$AJ$57="Catastrófico"),CONCATENATE("R2C",'Mapa final'!$R$57),"")</f>
        <v/>
      </c>
      <c r="AJ29" s="42" t="str">
        <f>IF(AND('Mapa final'!$AH$58="Alta",'Mapa final'!$AJ$58="Catastrófico"),CONCATENATE("R2C",'Mapa final'!$R$58),"")</f>
        <v/>
      </c>
      <c r="AK29" s="42" t="str">
        <f>IF(AND('Mapa final'!$AH$59="Alta",'Mapa final'!$AJ$59="Catastrófico"),CONCATENATE("R2C",'Mapa final'!$R$59),"")</f>
        <v/>
      </c>
      <c r="AL29" s="42" t="str">
        <f>IF(AND('Mapa final'!$AH$60="Alta",'Mapa final'!$AJ$60="Catastrófico"),CONCATENATE("R2C",'Mapa final'!$R$60),"")</f>
        <v/>
      </c>
      <c r="AM29" s="42" t="str">
        <f>IF(AND('Mapa final'!$AH$61="Alta",'Mapa final'!$AJ$61="Catastrófico"),CONCATENATE("R2C",'Mapa final'!$R$61),"")</f>
        <v/>
      </c>
      <c r="AN29" s="43" t="str">
        <f>IF(AND('Mapa final'!$AH$62="Alta",'Mapa final'!$AJ$62="Catastrófico"),CONCATENATE("R2C",'Mapa final'!$R$62),"")</f>
        <v/>
      </c>
      <c r="AO29" s="68"/>
      <c r="AP29" s="529"/>
      <c r="AQ29" s="530"/>
      <c r="AR29" s="530"/>
      <c r="AS29" s="530"/>
      <c r="AT29" s="530"/>
      <c r="AU29" s="531"/>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x14ac:dyDescent="0.45">
      <c r="B30" s="68"/>
      <c r="C30" s="476"/>
      <c r="D30" s="476"/>
      <c r="E30" s="477"/>
      <c r="F30" s="519"/>
      <c r="G30" s="520"/>
      <c r="H30" s="520"/>
      <c r="I30" s="520"/>
      <c r="J30" s="520"/>
      <c r="K30" s="53" t="str">
        <f>IF(AND('Mapa final'!$AH$63="Alta",'Mapa final'!$AJ$63="Leve"),CONCATENATE("R2C",'Mapa final'!$R$63),"")</f>
        <v/>
      </c>
      <c r="L30" s="54" t="str">
        <f>IF(AND('Mapa final'!$AH$64="Alta",'Mapa final'!$AJ$64="Leve"),CONCATENATE("R2C",'Mapa final'!$R$64),"")</f>
        <v/>
      </c>
      <c r="M30" s="54" t="str">
        <f>IF(AND('Mapa final'!$AH$65="Alta",'Mapa final'!$AJ$65="Leve"),CONCATENATE("R2C",'Mapa final'!$R$65),"")</f>
        <v/>
      </c>
      <c r="N30" s="54" t="str">
        <f>IF(AND('Mapa final'!$AH$66="Alta",'Mapa final'!$AJ$66="Leve"),CONCATENATE("R2C",'Mapa final'!$R$66),"")</f>
        <v/>
      </c>
      <c r="O30" s="54" t="str">
        <f>IF(AND('Mapa final'!$AH$67="Alta",'Mapa final'!$AJ$67="Leve"),CONCATENATE("R2C",'Mapa final'!$R$67),"")</f>
        <v/>
      </c>
      <c r="P30" s="55" t="str">
        <f>IF(AND('Mapa final'!$AH$68="Alta",'Mapa final'!$AJ$68="Leve"),CONCATENATE("R2C",'Mapa final'!$R$68),"")</f>
        <v/>
      </c>
      <c r="Q30" s="53" t="str">
        <f>IF(AND('Mapa final'!$AH$63="Alta",'Mapa final'!$AJ$63="Menor"),CONCATENATE("R2C",'Mapa final'!$R$63),"")</f>
        <v/>
      </c>
      <c r="R30" s="54" t="str">
        <f>IF(AND('Mapa final'!$AH$64="Alta",'Mapa final'!$AJ$64="Menor"),CONCATENATE("R2C",'Mapa final'!$R$64),"")</f>
        <v/>
      </c>
      <c r="S30" s="54" t="str">
        <f>IF(AND('Mapa final'!$AH$65="Alta",'Mapa final'!$AJ$65="Menor"),CONCATENATE("R2C",'Mapa final'!$R$65),"")</f>
        <v/>
      </c>
      <c r="T30" s="54" t="str">
        <f>IF(AND('Mapa final'!$AH$66="Alta",'Mapa final'!$AJ$66="Menor"),CONCATENATE("R2C",'Mapa final'!$R$66),"")</f>
        <v/>
      </c>
      <c r="U30" s="54" t="str">
        <f>IF(AND('Mapa final'!$AH$67="Alta",'Mapa final'!$AJ$67="Menor"),CONCATENATE("R2C",'Mapa final'!$R$67),"")</f>
        <v/>
      </c>
      <c r="V30" s="55" t="str">
        <f>IF(AND('Mapa final'!$AH$68="Alta",'Mapa final'!$AJ$68="Menor"),CONCATENATE("R2C",'Mapa final'!$R$68),"")</f>
        <v/>
      </c>
      <c r="W30" s="38" t="str">
        <f>IF(AND('Mapa final'!$AH$63="Alta",'Mapa final'!$AJ$63="Moderado"),CONCATENATE("R2C",'Mapa final'!$R$63),"")</f>
        <v/>
      </c>
      <c r="X30" s="39" t="str">
        <f>IF(AND('Mapa final'!$AH$64="Alta",'Mapa final'!$AJ$64="Moderado"),CONCATENATE("R2C",'Mapa final'!$R$64),"")</f>
        <v/>
      </c>
      <c r="Y30" s="39" t="str">
        <f>IF(AND('Mapa final'!$AH$65="Alta",'Mapa final'!$AJ$65="Moderado"),CONCATENATE("R2C",'Mapa final'!$R$65),"")</f>
        <v/>
      </c>
      <c r="Z30" s="39" t="str">
        <f>IF(AND('Mapa final'!$AH$66="Alta",'Mapa final'!$AJ$66="Moderado"),CONCATENATE("R2C",'Mapa final'!$R$66),"")</f>
        <v/>
      </c>
      <c r="AA30" s="39" t="str">
        <f>IF(AND('Mapa final'!$AH$67="Alta",'Mapa final'!$AJ$67="Moderado"),CONCATENATE("R2C",'Mapa final'!$R$67),"")</f>
        <v/>
      </c>
      <c r="AB30" s="40" t="str">
        <f>IF(AND('Mapa final'!$AH$68="Alta",'Mapa final'!$AJ$68="Moderado"),CONCATENATE("R2C",'Mapa final'!$R$68),"")</f>
        <v/>
      </c>
      <c r="AC30" s="38" t="str">
        <f>IF(AND('Mapa final'!$AH$63="Alta",'Mapa final'!$AJ$63="Mayor"),CONCATENATE("R2C",'Mapa final'!$R$63),"")</f>
        <v/>
      </c>
      <c r="AD30" s="39" t="str">
        <f>IF(AND('Mapa final'!$AH$64="Alta",'Mapa final'!$AJ$64="Mayor"),CONCATENATE("R2C",'Mapa final'!$R$64),"")</f>
        <v/>
      </c>
      <c r="AE30" s="39" t="str">
        <f>IF(AND('Mapa final'!$AH$65="Alta",'Mapa final'!$AJ$65="Mayor"),CONCATENATE("R2C",'Mapa final'!$R$65),"")</f>
        <v/>
      </c>
      <c r="AF30" s="39" t="str">
        <f>IF(AND('Mapa final'!$AH$66="Alta",'Mapa final'!$AJ$66="Mayor"),CONCATENATE("R2C",'Mapa final'!$R$66),"")</f>
        <v/>
      </c>
      <c r="AG30" s="39" t="str">
        <f>IF(AND('Mapa final'!$AH$67="Alta",'Mapa final'!$AJ$67="Mayor"),CONCATENATE("R2C",'Mapa final'!$R$67),"")</f>
        <v/>
      </c>
      <c r="AH30" s="40" t="str">
        <f>IF(AND('Mapa final'!$AH$68="Alta",'Mapa final'!$AJ$68="Mayor"),CONCATENATE("R2C",'Mapa final'!$R$68),"")</f>
        <v/>
      </c>
      <c r="AI30" s="41" t="str">
        <f>IF(AND('Mapa final'!$AH$63="Alta",'Mapa final'!$AJ$63="Catastrófico"),CONCATENATE("R2C",'Mapa final'!$R$63),"")</f>
        <v/>
      </c>
      <c r="AJ30" s="42" t="str">
        <f>IF(AND('Mapa final'!$AH$64="Alta",'Mapa final'!$AJ$64="Catastrófico"),CONCATENATE("R2C",'Mapa final'!$R$64),"")</f>
        <v/>
      </c>
      <c r="AK30" s="42" t="str">
        <f>IF(AND('Mapa final'!$AH$65="Alta",'Mapa final'!$AJ$65="Catastrófico"),CONCATENATE("R2C",'Mapa final'!$R$65),"")</f>
        <v/>
      </c>
      <c r="AL30" s="42" t="str">
        <f>IF(AND('Mapa final'!$AH$66="Alta",'Mapa final'!$AJ$66="Catastrófico"),CONCATENATE("R2C",'Mapa final'!$R$66),"")</f>
        <v/>
      </c>
      <c r="AM30" s="42" t="str">
        <f>IF(AND('Mapa final'!$AH$67="Alta",'Mapa final'!$AJ$67="Catastrófico"),CONCATENATE("R2C",'Mapa final'!$R$67),"")</f>
        <v/>
      </c>
      <c r="AN30" s="43" t="str">
        <f>IF(AND('Mapa final'!$AH$68="Alta",'Mapa final'!$AJ$68="Catastrófico"),CONCATENATE("R2C",'Mapa final'!$R$68),"")</f>
        <v/>
      </c>
      <c r="AO30" s="68"/>
      <c r="AP30" s="529"/>
      <c r="AQ30" s="530"/>
      <c r="AR30" s="530"/>
      <c r="AS30" s="530"/>
      <c r="AT30" s="530"/>
      <c r="AU30" s="531"/>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x14ac:dyDescent="0.5">
      <c r="B31" s="68"/>
      <c r="C31" s="476"/>
      <c r="D31" s="476"/>
      <c r="E31" s="477"/>
      <c r="F31" s="522"/>
      <c r="G31" s="523"/>
      <c r="H31" s="523"/>
      <c r="I31" s="523"/>
      <c r="J31" s="523"/>
      <c r="K31" s="56" t="str">
        <f>IF(AND('Mapa final'!$AH$69="Alta",'Mapa final'!$AJ$69="Leve"),CONCATENATE("R2C",'Mapa final'!$R$69),"")</f>
        <v/>
      </c>
      <c r="L31" s="57" t="str">
        <f>IF(AND('Mapa final'!$AH$70="Alta",'Mapa final'!$AJ$70="Leve"),CONCATENATE("R2C",'Mapa final'!$R$70),"")</f>
        <v/>
      </c>
      <c r="M31" s="57" t="str">
        <f>IF(AND('Mapa final'!$AH$71="Alta",'Mapa final'!$AJ$71="Leve"),CONCATENATE("R2C",'Mapa final'!$R$71),"")</f>
        <v/>
      </c>
      <c r="N31" s="57" t="str">
        <f>IF(AND('Mapa final'!$AH$72="Alta",'Mapa final'!$AJ$72="Leve"),CONCATENATE("R2C",'Mapa final'!$R$72),"")</f>
        <v/>
      </c>
      <c r="O31" s="57" t="str">
        <f>IF(AND('Mapa final'!$AH$74="Alta",'Mapa final'!$AJ$74="Leve"),CONCATENATE("R2C",'Mapa final'!$R$74),"")</f>
        <v/>
      </c>
      <c r="P31" s="58" t="str">
        <f>IF(AND('Mapa final'!$AH$75="Alta",'Mapa final'!$AJ$75="Leve"),CONCATENATE("R2C",'Mapa final'!$R$75),"")</f>
        <v/>
      </c>
      <c r="Q31" s="56" t="str">
        <f>IF(AND('Mapa final'!$AH$69="Alta",'Mapa final'!$AJ$69="Menor"),CONCATENATE("R2C",'Mapa final'!$R$69),"")</f>
        <v/>
      </c>
      <c r="R31" s="57" t="str">
        <f>IF(AND('Mapa final'!$AH$70="Alta",'Mapa final'!$AJ$70="Menor"),CONCATENATE("R2C",'Mapa final'!$R$70),"")</f>
        <v/>
      </c>
      <c r="S31" s="57" t="str">
        <f>IF(AND('Mapa final'!$AH$71="Alta",'Mapa final'!$AJ$71="Menor"),CONCATENATE("R2C",'Mapa final'!$R$71),"")</f>
        <v/>
      </c>
      <c r="T31" s="57" t="str">
        <f>IF(AND('Mapa final'!$AH$72="Alta",'Mapa final'!$AJ$72="Menor"),CONCATENATE("R2C",'Mapa final'!$R$72),"")</f>
        <v/>
      </c>
      <c r="U31" s="57" t="str">
        <f>IF(AND('Mapa final'!$AH$74="Alta",'Mapa final'!$AJ$74="Menor"),CONCATENATE("R2C",'Mapa final'!$R$74),"")</f>
        <v/>
      </c>
      <c r="V31" s="58" t="str">
        <f>IF(AND('Mapa final'!$AH$75="Alta",'Mapa final'!$AJ$75="Menor"),CONCATENATE("R2C",'Mapa final'!$R$75),"")</f>
        <v/>
      </c>
      <c r="W31" s="44" t="str">
        <f>IF(AND('Mapa final'!$AH$69="Alta",'Mapa final'!$AJ$69="Moderado"),CONCATENATE("R2C",'Mapa final'!$R$69),"")</f>
        <v/>
      </c>
      <c r="X31" s="45" t="str">
        <f>IF(AND('Mapa final'!$AH$70="Alta",'Mapa final'!$AJ$70="Moderado"),CONCATENATE("R2C",'Mapa final'!$R$70),"")</f>
        <v/>
      </c>
      <c r="Y31" s="45" t="str">
        <f>IF(AND('Mapa final'!$AH$71="Alta",'Mapa final'!$AJ$71="Moderado"),CONCATENATE("R2C",'Mapa final'!$R$71),"")</f>
        <v/>
      </c>
      <c r="Z31" s="45" t="str">
        <f>IF(AND('Mapa final'!$AH$72="Alta",'Mapa final'!$AJ$72="Moderado"),CONCATENATE("R2C",'Mapa final'!$R$72),"")</f>
        <v/>
      </c>
      <c r="AA31" s="45" t="str">
        <f>IF(AND('Mapa final'!$AH$74="Alta",'Mapa final'!$AJ$74="Moderado"),CONCATENATE("R2C",'Mapa final'!$R$74),"")</f>
        <v/>
      </c>
      <c r="AB31" s="46" t="str">
        <f>IF(AND('Mapa final'!$AH$75="Alta",'Mapa final'!$AJ$75="Moderado"),CONCATENATE("R2C",'Mapa final'!$R$75),"")</f>
        <v/>
      </c>
      <c r="AC31" s="44" t="str">
        <f>IF(AND('Mapa final'!$AH$69="Alta",'Mapa final'!$AJ$69="Mayor"),CONCATENATE("R2C",'Mapa final'!$R$69),"")</f>
        <v/>
      </c>
      <c r="AD31" s="45" t="str">
        <f>IF(AND('Mapa final'!$AH$70="Alta",'Mapa final'!$AJ$70="Mayor"),CONCATENATE("R2C",'Mapa final'!$R$70),"")</f>
        <v/>
      </c>
      <c r="AE31" s="45" t="str">
        <f>IF(AND('Mapa final'!$AH$71="Alta",'Mapa final'!$AJ$71="Mayor"),CONCATENATE("R2C",'Mapa final'!$R$71),"")</f>
        <v/>
      </c>
      <c r="AF31" s="45" t="str">
        <f>IF(AND('Mapa final'!$AH$72="Alta",'Mapa final'!$AJ$72="Mayor"),CONCATENATE("R2C",'Mapa final'!$R$72),"")</f>
        <v/>
      </c>
      <c r="AG31" s="45" t="str">
        <f>IF(AND('Mapa final'!$AH$74="Alta",'Mapa final'!$AJ$74="Mayor"),CONCATENATE("R2C",'Mapa final'!$R$74),"")</f>
        <v/>
      </c>
      <c r="AH31" s="46" t="str">
        <f>IF(AND('Mapa final'!$AH$75="Alta",'Mapa final'!$AJ$75="Mayor"),CONCATENATE("R2C",'Mapa final'!$R$75),"")</f>
        <v/>
      </c>
      <c r="AI31" s="47" t="str">
        <f>IF(AND('Mapa final'!$AH$69="Alta",'Mapa final'!$AJ$69="Catastrófico"),CONCATENATE("R2C",'Mapa final'!$R$69),"")</f>
        <v/>
      </c>
      <c r="AJ31" s="48" t="str">
        <f>IF(AND('Mapa final'!$AH$70="Alta",'Mapa final'!$AJ$70="Catastrófico"),CONCATENATE("R2C",'Mapa final'!$R$70),"")</f>
        <v/>
      </c>
      <c r="AK31" s="48" t="str">
        <f>IF(AND('Mapa final'!$AH$71="Alta",'Mapa final'!$AJ$71="Catastrófico"),CONCATENATE("R2C",'Mapa final'!$R$71),"")</f>
        <v/>
      </c>
      <c r="AL31" s="48" t="str">
        <f>IF(AND('Mapa final'!$AH$72="Alta",'Mapa final'!$AJ$72="Catastrófico"),CONCATENATE("R2C",'Mapa final'!$R$72),"")</f>
        <v/>
      </c>
      <c r="AM31" s="48" t="str">
        <f>IF(AND('Mapa final'!$AH$74="Alta",'Mapa final'!$AJ$74="Catastrófico"),CONCATENATE("R2C",'Mapa final'!$R$74),"")</f>
        <v/>
      </c>
      <c r="AN31" s="49" t="str">
        <f>IF(AND('Mapa final'!$AH$75="Muy Alta",'Mapa final'!$AJ$75="Catastrófico"),CONCATENATE("R2C",'Mapa final'!$R$75),"")</f>
        <v/>
      </c>
      <c r="AO31" s="68"/>
      <c r="AP31" s="532"/>
      <c r="AQ31" s="533"/>
      <c r="AR31" s="533"/>
      <c r="AS31" s="533"/>
      <c r="AT31" s="533"/>
      <c r="AU31" s="534"/>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x14ac:dyDescent="0.45">
      <c r="B32" s="68"/>
      <c r="C32" s="476"/>
      <c r="D32" s="476"/>
      <c r="E32" s="477"/>
      <c r="F32" s="516" t="s">
        <v>269</v>
      </c>
      <c r="G32" s="517"/>
      <c r="H32" s="517"/>
      <c r="I32" s="517"/>
      <c r="J32" s="518"/>
      <c r="K32" s="50"/>
      <c r="L32" s="51" t="str">
        <f>IF(AND('Mapa final'!$AH$16="Media",'Mapa final'!$AJ$16="Leve"),CONCATENATE("R2C",'Mapa final'!$R$15),"")</f>
        <v/>
      </c>
      <c r="M32" s="51" t="str">
        <f>IF(AND('Mapa final'!$AH$17="Media",'Mapa final'!$AJ$17="Leve"),CONCATENATE("R2C",'Mapa final'!$R$17),"")</f>
        <v/>
      </c>
      <c r="N32" s="51" t="e">
        <f>IF(AND('Mapa final'!#REF!="Media",'Mapa final'!#REF!="Leve"),CONCATENATE("R2C",'Mapa final'!#REF!),"")</f>
        <v>#REF!</v>
      </c>
      <c r="O32" s="51" t="str">
        <f>IF(AND('Mapa final'!$AH$19="Media",'Mapa final'!$AJ$19="Leve"),CONCATENATE("R2C",'Mapa final'!$R$19),"")</f>
        <v/>
      </c>
      <c r="P32" s="52" t="str">
        <f>IF(AND('Mapa final'!$AH$20="Media",'Mapa final'!$AJ$20="Leve"),CONCATENATE("R2C",'Mapa final'!$R$20),"")</f>
        <v/>
      </c>
      <c r="Q32" s="50"/>
      <c r="R32" s="51" t="str">
        <f>IF(AND('Mapa final'!$AH$16="Media",'Mapa final'!$AJ$16="Menore"),CONCATENATE("R2C",'Mapa final'!$R$15),"")</f>
        <v/>
      </c>
      <c r="S32" s="51" t="str">
        <f>IF(AND('Mapa final'!$AH$17="Media",'Mapa final'!$AJ$17="Menor"),CONCATENATE("R2C",'Mapa final'!$R$17),"")</f>
        <v/>
      </c>
      <c r="T32" s="51" t="e">
        <f>IF(AND('Mapa final'!#REF!="Media",'Mapa final'!#REF!="Menor"),CONCATENATE("R2C",'Mapa final'!#REF!),"")</f>
        <v>#REF!</v>
      </c>
      <c r="U32" s="51" t="str">
        <f>IF(AND('Mapa final'!$AH$19="Media",'Mapa final'!$AJ$19="Menor"),CONCATENATE("R2C",'Mapa final'!$R$19),"")</f>
        <v/>
      </c>
      <c r="V32" s="52" t="str">
        <f>IF(AND('Mapa final'!$AH$20="Media",'Mapa final'!$AJ$20="Menor"),CONCATENATE("R2C",'Mapa final'!$R$20),"")</f>
        <v/>
      </c>
      <c r="W32" s="50"/>
      <c r="X32" s="51" t="str">
        <f>IF(AND('Mapa final'!$AH$16="Media",'Mapa final'!$AJ$16="Moderado"),CONCATENATE("R2C",'Mapa final'!$R$15),"")</f>
        <v/>
      </c>
      <c r="Y32" s="51"/>
      <c r="Z32" s="51" t="e">
        <f>IF(AND('Mapa final'!#REF!="Media",'Mapa final'!#REF!="Moderado"),CONCATENATE("R2C",'Mapa final'!#REF!),"")</f>
        <v>#REF!</v>
      </c>
      <c r="AA32" s="51" t="str">
        <f>IF(AND('Mapa final'!$AH$19="Media",'Mapa final'!$AJ$19="Moderado"),CONCATENATE("R2C",'Mapa final'!$R$19),"")</f>
        <v/>
      </c>
      <c r="AB32" s="52" t="str">
        <f>IF(AND('Mapa final'!$AH$20="Media",'Mapa final'!$AJ$20="Moderado"),CONCATENATE("R2C",'Mapa final'!$R$20),"")</f>
        <v/>
      </c>
      <c r="AC32" s="32"/>
      <c r="AD32" s="33" t="str">
        <f>IF(AND('Mapa final'!$AH$16="Media",'Mapa final'!$AJ$16="Mayor"),CONCATENATE("R2C",'Mapa final'!$R$15),"")</f>
        <v/>
      </c>
      <c r="AE32" s="33" t="str">
        <f>IF(AND('Mapa final'!$AH$17="Media",'Mapa final'!$AJ$17="Mayor"),CONCATENATE("R2C",'Mapa final'!$R$17),"")</f>
        <v/>
      </c>
      <c r="AF32" s="33" t="e">
        <f>IF(AND('Mapa final'!#REF!="Media",'Mapa final'!#REF!="Mayor"),CONCATENATE("R2C",'Mapa final'!#REF!),"")</f>
        <v>#REF!</v>
      </c>
      <c r="AG32" s="33" t="str">
        <f>IF(AND('Mapa final'!$AH$19="Media",'Mapa final'!$AJ$19="Mayor"),CONCATENATE("R2C",'Mapa final'!$R$19),"")</f>
        <v/>
      </c>
      <c r="AH32" s="34" t="str">
        <f>IF(AND('Mapa final'!$AH$20="Media",'Mapa final'!$AJ$20="Mayor"),CONCATENATE("R2C",'Mapa final'!$R$20),"")</f>
        <v/>
      </c>
      <c r="AI32" s="35"/>
      <c r="AJ32" s="36" t="str">
        <f>IF(AND('Mapa final'!$AH$16="Media",'Mapa final'!$AJ$16="Catastrófico"),CONCATENATE("R2C",'Mapa final'!$R$15),"")</f>
        <v/>
      </c>
      <c r="AK32" s="36" t="str">
        <f>IF(AND('Mapa final'!$AH$17="Media",'Mapa final'!$AJ$17="Catastrófico"),CONCATENATE("R2C",'Mapa final'!$R$17),"")</f>
        <v/>
      </c>
      <c r="AL32" s="36" t="e">
        <f>IF(AND('Mapa final'!#REF!="Media",'Mapa final'!#REF!="Catastrófico"),CONCATENATE("R2C",'Mapa final'!#REF!),"")</f>
        <v>#REF!</v>
      </c>
      <c r="AM32" s="36" t="str">
        <f>IF(AND('Mapa final'!$AH$19="Media",'Mapa final'!$AJ$19="Catastrófico"),CONCATENATE("R2C",'Mapa final'!$R$19),"")</f>
        <v/>
      </c>
      <c r="AN32" s="37" t="str">
        <f>IF(AND('Mapa final'!$AH$20="Media",'Mapa final'!$AJ$20="Catastrófico"),CONCATENATE("R2C",'Mapa final'!$R$20),"")</f>
        <v/>
      </c>
      <c r="AO32" s="68"/>
      <c r="AP32" s="557" t="s">
        <v>152</v>
      </c>
      <c r="AQ32" s="558"/>
      <c r="AR32" s="558"/>
      <c r="AS32" s="558"/>
      <c r="AT32" s="558"/>
      <c r="AU32" s="559"/>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x14ac:dyDescent="0.45">
      <c r="B33" s="68"/>
      <c r="C33" s="476"/>
      <c r="D33" s="476"/>
      <c r="E33" s="477"/>
      <c r="F33" s="535"/>
      <c r="G33" s="520"/>
      <c r="H33" s="520"/>
      <c r="I33" s="520"/>
      <c r="J33" s="521"/>
      <c r="K33" s="53" t="str">
        <f>IF(AND('Mapa final'!$AH$21="Media",'Mapa final'!$AJ$21="Leve"),CONCATENATE("R2C",'Mapa final'!$R$21),"")</f>
        <v/>
      </c>
      <c r="L33" s="54" t="e">
        <f>IF(AND('Mapa final'!#REF!="Media",'Mapa final'!#REF!="Leve"),CONCATENATE("R2C",'Mapa final'!#REF!),"")</f>
        <v>#REF!</v>
      </c>
      <c r="M33" s="54" t="str">
        <f>IF(AND('Mapa final'!$AH$23="Media",'Mapa final'!$AJ$23="Leve"),CONCATENATE("R2C",'Mapa final'!$R$23),"")</f>
        <v/>
      </c>
      <c r="N33" s="54" t="str">
        <f>IF(AND('Mapa final'!$AH$24="Media",'Mapa final'!$AJ$24="Leve"),CONCATENATE("R2C",'Mapa final'!$R$24),"")</f>
        <v/>
      </c>
      <c r="O33" s="54" t="str">
        <f>IF(AND('Mapa final'!$AH$25="Media",'Mapa final'!$AJ$25="Leve"),CONCATENATE("R2C",'Mapa final'!$R$25),"")</f>
        <v/>
      </c>
      <c r="P33" s="55" t="str">
        <f>IF(AND('Mapa final'!$AH$26="Media",'Mapa final'!$AJ$26="Leve"),CONCATENATE("R2C",'Mapa final'!$R$26),"")</f>
        <v/>
      </c>
      <c r="Q33" s="53" t="str">
        <f>IF(AND('Mapa final'!$AH$21="Media",'Mapa final'!$AJ$21="Menor"),CONCATENATE("R2C",'Mapa final'!$R$21),"")</f>
        <v/>
      </c>
      <c r="R33" s="54" t="e">
        <f>IF(AND('Mapa final'!#REF!="Media",'Mapa final'!#REF!="Menor"),CONCATENATE("R2C",'Mapa final'!#REF!),"")</f>
        <v>#REF!</v>
      </c>
      <c r="S33" s="54" t="str">
        <f>IF(AND('Mapa final'!$AH$23="Media",'Mapa final'!$AJ$23="Menor"),CONCATENATE("R2C",'Mapa final'!$R$23),"")</f>
        <v/>
      </c>
      <c r="T33" s="54" t="str">
        <f>IF(AND('Mapa final'!$AH$24="Media",'Mapa final'!$AJ$24="Menor"),CONCATENATE("R2C",'Mapa final'!$R$24),"")</f>
        <v/>
      </c>
      <c r="U33" s="54" t="str">
        <f>IF(AND('Mapa final'!$AH$25="Media",'Mapa final'!$AJ$25="Menor"),CONCATENATE("R2C",'Mapa final'!$R$25),"")</f>
        <v/>
      </c>
      <c r="V33" s="55" t="str">
        <f>IF(AND('Mapa final'!$AH$26="Media",'Mapa final'!$AJ$26="Menor"),CONCATENATE("R2C",'Mapa final'!$R$26),"")</f>
        <v/>
      </c>
      <c r="W33" s="53" t="str">
        <f>IF(AND('Mapa final'!$AH$21="Media",'Mapa final'!$AJ$21="Moderado"),CONCATENATE("R2C",'Mapa final'!$R$21),"")</f>
        <v>R2C     El riesgo afecta la imagen de la entidad con algunos usuarios de relevancia frente al logro de los objetivos</v>
      </c>
      <c r="X33" s="54" t="e">
        <f>IF(AND('Mapa final'!#REF!="Media",'Mapa final'!#REF!="Moderado"),CONCATENATE("R2C",'Mapa final'!#REF!),"")</f>
        <v>#REF!</v>
      </c>
      <c r="Y33" s="54" t="str">
        <f>IF(AND('Mapa final'!$AH$23="Media",'Mapa final'!$AJ$23="Moderado"),CONCATENATE("R2C",'Mapa final'!$R$23),"")</f>
        <v/>
      </c>
      <c r="Z33" s="54" t="str">
        <f>IF(AND('Mapa final'!$AH$24="Media",'Mapa final'!$AJ$24="Moderado"),CONCATENATE("R2C",'Mapa final'!$R$24),"")</f>
        <v/>
      </c>
      <c r="AA33" s="54" t="str">
        <f>IF(AND('Mapa final'!$AH$25="Media",'Mapa final'!$AJ$25="Moderado"),CONCATENATE("R2C",'Mapa final'!$R$25),"")</f>
        <v/>
      </c>
      <c r="AB33" s="55" t="str">
        <f>IF(AND('Mapa final'!$AH$26="Media",'Mapa final'!$AJ$26="Moderado"),CONCATENATE("R2C",'Mapa final'!$R$26),"")</f>
        <v/>
      </c>
      <c r="AC33" s="38" t="str">
        <f>IF(AND('Mapa final'!$AH$21="Media",'Mapa final'!$AJ$21="Mayor"),CONCATENATE("R2C",'Mapa final'!$R$21),"")</f>
        <v/>
      </c>
      <c r="AD33" s="39" t="e">
        <f>IF(AND('Mapa final'!#REF!="Muy Alta",'Mapa final'!#REF!="Mayor"),CONCATENATE("R2C",'Mapa final'!#REF!),"")</f>
        <v>#REF!</v>
      </c>
      <c r="AE33" s="39" t="str">
        <f>IF(AND('Mapa final'!$AH$23="Media",'Mapa final'!$AJ$23="Mayor"),CONCATENATE("R2C",'Mapa final'!$R$23),"")</f>
        <v/>
      </c>
      <c r="AF33" s="39" t="str">
        <f>IF(AND('Mapa final'!$AH$24="Media",'Mapa final'!$AJ$24="Mayor"),CONCATENATE("R2C",'Mapa final'!$R$24),"")</f>
        <v/>
      </c>
      <c r="AG33" s="39" t="str">
        <f>IF(AND('Mapa final'!$AH$25="Media",'Mapa final'!$AJ$25="Mayor"),CONCATENATE("R2C",'Mapa final'!$R$25),"")</f>
        <v/>
      </c>
      <c r="AH33" s="40" t="str">
        <f>IF(AND('Mapa final'!$AH$26="Media",'Mapa final'!$AJ$26="Mayor"),CONCATENATE("R2C",'Mapa final'!$R$26),"")</f>
        <v/>
      </c>
      <c r="AI33" s="41" t="str">
        <f>IF(AND('Mapa final'!$AH$21="Media",'Mapa final'!$AJ$21="Catastrófico"),CONCATENATE("R2C",'Mapa final'!$R$21),"")</f>
        <v/>
      </c>
      <c r="AJ33" s="42" t="e">
        <f>IF(AND('Mapa final'!#REF!="Media",'Mapa final'!#REF!="Catastrófico"),CONCATENATE("R2C",'Mapa final'!#REF!),"")</f>
        <v>#REF!</v>
      </c>
      <c r="AK33" s="42" t="str">
        <f>IF(AND('Mapa final'!$AH$23="Media",'Mapa final'!$AJ$23="Catastrófico"),CONCATENATE("R2C",'Mapa final'!$R$23),"")</f>
        <v/>
      </c>
      <c r="AL33" s="42" t="str">
        <f>IF(AND('Mapa final'!$AH$24="Media",'Mapa final'!$AJ$24="Catastrófico"),CONCATENATE("R2C",'Mapa final'!$R$24),"")</f>
        <v/>
      </c>
      <c r="AM33" s="42" t="str">
        <f>IF(AND('Mapa final'!$AH$25="Media",'Mapa final'!$AJ$25="Catastrófico"),CONCATENATE("R2C",'Mapa final'!$R$25),"")</f>
        <v/>
      </c>
      <c r="AN33" s="43" t="str">
        <f>IF(AND('Mapa final'!$AH$26="Media",'Mapa final'!$AJ$26="Catastrófico"),CONCATENATE("R2C",'Mapa final'!$R$26),"")</f>
        <v/>
      </c>
      <c r="AO33" s="68"/>
      <c r="AP33" s="560"/>
      <c r="AQ33" s="561"/>
      <c r="AR33" s="561"/>
      <c r="AS33" s="561"/>
      <c r="AT33" s="561"/>
      <c r="AU33" s="562"/>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x14ac:dyDescent="0.45">
      <c r="B34" s="68"/>
      <c r="C34" s="476"/>
      <c r="D34" s="476"/>
      <c r="E34" s="477"/>
      <c r="F34" s="519"/>
      <c r="G34" s="520"/>
      <c r="H34" s="520"/>
      <c r="I34" s="520"/>
      <c r="J34" s="521"/>
      <c r="K34" s="53" t="str">
        <f>IF(AND('Mapa final'!$AH$27="Media",'Mapa final'!$AJ$27="Leve"),CONCATENATE("R2C",'Mapa final'!$R$27),"")</f>
        <v/>
      </c>
      <c r="L34" s="54" t="str">
        <f>IF(AND('Mapa final'!$AH$28="Media",'Mapa final'!$AJ$28="Leve"),CONCATENATE("R2C",'Mapa final'!$R$28),"")</f>
        <v/>
      </c>
      <c r="M34" s="54" t="str">
        <f>IF(AND('Mapa final'!$AH$29="Media",'Mapa final'!$AJ$29="Leve"),CONCATENATE("R2C",'Mapa final'!$R$29),"")</f>
        <v/>
      </c>
      <c r="N34" s="54" t="str">
        <f>IF(AND('Mapa final'!$AH$30="Media",'Mapa final'!$AJ$30="Leve"),CONCATENATE("R2C",'Mapa final'!$R$30),"")</f>
        <v/>
      </c>
      <c r="O34" s="54" t="str">
        <f>IF(AND('Mapa final'!$AH$31="Media",'Mapa final'!$AJ$31="Leve"),CONCATENATE("R2C",'Mapa final'!$R$31),"")</f>
        <v/>
      </c>
      <c r="P34" s="55" t="str">
        <f>IF(AND('Mapa final'!$AH$32="Media",'Mapa final'!$AJ$32="Leve"),CONCATENATE("R2C",'Mapa final'!$R$32),"")</f>
        <v/>
      </c>
      <c r="Q34" s="53" t="str">
        <f>IF(AND('Mapa final'!$AH$27="Media",'Mapa final'!$AJ$27="Menor"),CONCATENATE("R2C",'Mapa final'!$R$27),"")</f>
        <v/>
      </c>
      <c r="R34" s="54" t="str">
        <f>IF(AND('Mapa final'!$AH$28="Media",'Mapa final'!$AJ$28="Menor"),CONCATENATE("R2C",'Mapa final'!$R$28),"")</f>
        <v/>
      </c>
      <c r="S34" s="54" t="str">
        <f>IF(AND('Mapa final'!$AH$29="Media",'Mapa final'!$AJ$29="Menor"),CONCATENATE("R2C",'Mapa final'!$R$29),"")</f>
        <v/>
      </c>
      <c r="T34" s="54" t="str">
        <f>IF(AND('Mapa final'!$AH$30="Media",'Mapa final'!$AJ$30="Menor"),CONCATENATE("R2C",'Mapa final'!$R$30),"")</f>
        <v/>
      </c>
      <c r="U34" s="54" t="str">
        <f>IF(AND('Mapa final'!$AH$31="Media",'Mapa final'!$AJ$31="Menor"),CONCATENATE("R2C",'Mapa final'!$R$31),"")</f>
        <v/>
      </c>
      <c r="V34" s="55" t="str">
        <f>IF(AND('Mapa final'!$AH$32="Media",'Mapa final'!$AJ$32="Menor"),CONCATENATE("R2C",'Mapa final'!$R$32),"")</f>
        <v/>
      </c>
      <c r="W34" s="53" t="str">
        <f>IF(AND('Mapa final'!$AH$27="Media",'Mapa final'!$AJ$27="Moderado"),CONCATENATE("R2C",'Mapa final'!$R$27),"")</f>
        <v/>
      </c>
      <c r="X34" s="54" t="str">
        <f>IF(AND('Mapa final'!$AH$28="Media",'Mapa final'!$AJ$28="Moderado"),CONCATENATE("R2C",'Mapa final'!$R$28),"")</f>
        <v/>
      </c>
      <c r="Y34" s="54" t="str">
        <f>IF(AND('Mapa final'!$AH$29="Media",'Mapa final'!$AJ$29="Moderado"),CONCATENATE("R2C",'Mapa final'!$R$29),"")</f>
        <v/>
      </c>
      <c r="Z34" s="54" t="str">
        <f>IF(AND('Mapa final'!$AH$30="Media",'Mapa final'!$AJ$30="Moderado"),CONCATENATE("R2C",'Mapa final'!$R$30),"")</f>
        <v/>
      </c>
      <c r="AA34" s="54" t="str">
        <f>IF(AND('Mapa final'!$AH$31="Media",'Mapa final'!$AJ$31="Moderado"),CONCATENATE("R2C",'Mapa final'!$R$31),"")</f>
        <v/>
      </c>
      <c r="AB34" s="55" t="str">
        <f>IF(AND('Mapa final'!$AH$32="Media",'Mapa final'!$AJ$32="Moderado"),CONCATENATE("R2C",'Mapa final'!$R$32),"")</f>
        <v/>
      </c>
      <c r="AC34" s="38" t="str">
        <f>IF(AND('Mapa final'!$AH$27="Media",'Mapa final'!$AJ$27="Mayor"),CONCATENATE("R2C",'Mapa final'!$R$27),"")</f>
        <v/>
      </c>
      <c r="AD34" s="39" t="str">
        <f>IF(AND('Mapa final'!$AH$28="Media",'Mapa final'!$AJ$28="Mayor"),CONCATENATE("R2C",'Mapa final'!$R$28),"")</f>
        <v/>
      </c>
      <c r="AE34" s="39" t="str">
        <f>IF(AND('Mapa final'!$AH$29="Media",'Mapa final'!$AJ$29="Mayor"),CONCATENATE("R2C",'Mapa final'!$R$29),"")</f>
        <v/>
      </c>
      <c r="AF34" s="39" t="str">
        <f>IF(AND('Mapa final'!$AH$30="Media",'Mapa final'!$AJ$30="Mayor"),CONCATENATE("R2C",'Mapa final'!$R$30),"")</f>
        <v/>
      </c>
      <c r="AG34" s="39" t="str">
        <f>IF(AND('Mapa final'!$AH$31="Media",'Mapa final'!$AJ$31="Mayor"),CONCATENATE("R2C",'Mapa final'!$R$31),"")</f>
        <v/>
      </c>
      <c r="AH34" s="40" t="str">
        <f>IF(AND('Mapa final'!$AH$32="Media",'Mapa final'!$AJ$32="Mayor"),CONCATENATE("R2C",'Mapa final'!$R$32),"")</f>
        <v/>
      </c>
      <c r="AI34" s="41" t="str">
        <f>IF(AND('Mapa final'!$AH$27="Media",'Mapa final'!$AJ$27="Catastrófico"),CONCATENATE("R2C",'Mapa final'!$R$27),"")</f>
        <v/>
      </c>
      <c r="AJ34" s="42" t="str">
        <f>IF(AND('Mapa final'!$AH$28="Media",'Mapa final'!$AJ$28="Catastrófico"),CONCATENATE("R2C",'Mapa final'!$R$28),"")</f>
        <v/>
      </c>
      <c r="AK34" s="42" t="str">
        <f>IF(AND('Mapa final'!$AH$29="Media",'Mapa final'!$AJ$29="Catastrófico"),CONCATENATE("R2C",'Mapa final'!$R$29),"")</f>
        <v/>
      </c>
      <c r="AL34" s="42" t="str">
        <f>IF(AND('Mapa final'!$AH$30="Media",'Mapa final'!$AJ$30="Catastrófico"),CONCATENATE("R2C",'Mapa final'!$R$30),"")</f>
        <v/>
      </c>
      <c r="AM34" s="42" t="str">
        <f>IF(AND('Mapa final'!$AH$31="Media",'Mapa final'!$AJ$31="Catastrófico"),CONCATENATE("R2C",'Mapa final'!$R$31),"")</f>
        <v/>
      </c>
      <c r="AN34" s="43" t="str">
        <f>IF(AND('Mapa final'!$AH$32="Media",'Mapa final'!$AJ$32="Catastrófico"),CONCATENATE("R2C",'Mapa final'!$R$32),"")</f>
        <v/>
      </c>
      <c r="AO34" s="68"/>
      <c r="AP34" s="560"/>
      <c r="AQ34" s="561"/>
      <c r="AR34" s="561"/>
      <c r="AS34" s="561"/>
      <c r="AT34" s="561"/>
      <c r="AU34" s="562"/>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x14ac:dyDescent="0.45">
      <c r="B35" s="68"/>
      <c r="C35" s="476"/>
      <c r="D35" s="476"/>
      <c r="E35" s="477"/>
      <c r="F35" s="519"/>
      <c r="G35" s="520"/>
      <c r="H35" s="520"/>
      <c r="I35" s="520"/>
      <c r="J35" s="521"/>
      <c r="K35" s="53" t="str">
        <f>IF(AND('Mapa final'!$AH$33="Media",'Mapa final'!$AJ$33="Leve"),CONCATENATE("R2C",'Mapa final'!$R$33),"")</f>
        <v/>
      </c>
      <c r="L35" s="54" t="str">
        <f>IF(AND('Mapa final'!$AH$34="Media",'Mapa final'!$AJ$34="Leve"),CONCATENATE("R2C",'Mapa final'!$R$34),"")</f>
        <v/>
      </c>
      <c r="M35" s="54" t="str">
        <f>IF(AND('Mapa final'!$AH$35="Media",'Mapa final'!$AJ$35="Leve"),CONCATENATE("R2C",'Mapa final'!$R$35),"")</f>
        <v/>
      </c>
      <c r="N35" s="54" t="str">
        <f>IF(AND('Mapa final'!$AH$36="Media",'Mapa final'!$AJ$36="Leve"),CONCATENATE("R2C",'Mapa final'!$R$36),"")</f>
        <v/>
      </c>
      <c r="O35" s="54" t="str">
        <f>IF(AND('Mapa final'!$AH$37="Media",'Mapa final'!$AJ$37="Leve"),CONCATENATE("R2C",'Mapa final'!$R$37),"")</f>
        <v/>
      </c>
      <c r="P35" s="55" t="str">
        <f>IF(AND('Mapa final'!$AH$38="Media",'Mapa final'!$AJ$38="Leve"),CONCATENATE("R2C",'Mapa final'!$R$38),"")</f>
        <v/>
      </c>
      <c r="Q35" s="53" t="str">
        <f>IF(AND('Mapa final'!$AH$33="Media",'Mapa final'!$AJ$33="Menor"),CONCATENATE("R2C",'Mapa final'!$R$33),"")</f>
        <v/>
      </c>
      <c r="R35" s="54" t="str">
        <f>IF(AND('Mapa final'!$AH$34="Media",'Mapa final'!$AJ$34="Menor"),CONCATENATE("R2C",'Mapa final'!$R$34),"")</f>
        <v/>
      </c>
      <c r="S35" s="54" t="str">
        <f>IF(AND('Mapa final'!$AH$35="Media",'Mapa final'!$AJ$35="Menor"),CONCATENATE("R2C",'Mapa final'!$R$35),"")</f>
        <v/>
      </c>
      <c r="T35" s="54" t="str">
        <f>IF(AND('Mapa final'!$AH$36="Media",'Mapa final'!$AJ$36="Menor"),CONCATENATE("R2C",'Mapa final'!$R$36),"")</f>
        <v/>
      </c>
      <c r="U35" s="54" t="str">
        <f>IF(AND('Mapa final'!$AH$37="Media",'Mapa final'!$AJ$37="LMenor"),CONCATENATE("R2C",'Mapa final'!$R$37),"")</f>
        <v/>
      </c>
      <c r="V35" s="55" t="str">
        <f>IF(AND('Mapa final'!$AH$38="Media",'Mapa final'!$AJ$38="Menor"),CONCATENATE("R2C",'Mapa final'!$R$38),"")</f>
        <v/>
      </c>
      <c r="W35" s="53" t="str">
        <f>IF(AND('Mapa final'!$AH$33="Media",'Mapa final'!$AJ$33="Moderado"),CONCATENATE("R2C",'Mapa final'!$R$33),"")</f>
        <v/>
      </c>
      <c r="X35" s="54" t="str">
        <f>IF(AND('Mapa final'!$AH$34="Media",'Mapa final'!$AJ$34="Moderado"),CONCATENATE("R2C",'Mapa final'!$R$34),"")</f>
        <v/>
      </c>
      <c r="Y35" s="54" t="str">
        <f>IF(AND('Mapa final'!$AH$35="Media",'Mapa final'!$AJ$35="Moderado"),CONCATENATE("R2C",'Mapa final'!$R$35),"")</f>
        <v/>
      </c>
      <c r="Z35" s="54" t="str">
        <f>IF(AND('Mapa final'!$AH$36="Media",'Mapa final'!$AJ$36="Moderado"),CONCATENATE("R2C",'Mapa final'!$R$36),"")</f>
        <v/>
      </c>
      <c r="AA35" s="54" t="str">
        <f>IF(AND('Mapa final'!$AH$37="Media",'Mapa final'!$AJ$37="Moderado"),CONCATENATE("R2C",'Mapa final'!$R$37),"")</f>
        <v/>
      </c>
      <c r="AB35" s="55" t="str">
        <f>IF(AND('Mapa final'!$AH$38="Media",'Mapa final'!$AJ$38="Moderado"),CONCATENATE("R2C",'Mapa final'!$R$38),"")</f>
        <v/>
      </c>
      <c r="AC35" s="38" t="str">
        <f>IF(AND('Mapa final'!$AH$33="Media",'Mapa final'!$AJ$33="Mayor"),CONCATENATE("R2C",'Mapa final'!$R$33),"")</f>
        <v/>
      </c>
      <c r="AD35" s="39" t="str">
        <f>IF(AND('Mapa final'!$AH$34="Media",'Mapa final'!$AJ$34="Mayor"),CONCATENATE("R2C",'Mapa final'!$R$34),"")</f>
        <v/>
      </c>
      <c r="AE35" s="39" t="str">
        <f>IF(AND('Mapa final'!$AH$35="Media",'Mapa final'!$AJ$35="Mayor"),CONCATENATE("R2C",'Mapa final'!$R$35),"")</f>
        <v/>
      </c>
      <c r="AF35" s="39" t="str">
        <f>IF(AND('Mapa final'!$AH$36="Media",'Mapa final'!$AJ$36="Mayor"),CONCATENATE("R2C",'Mapa final'!$R$36),"")</f>
        <v/>
      </c>
      <c r="AG35" s="39" t="str">
        <f>IF(AND('Mapa final'!$AH$37="Media",'Mapa final'!$AJ$37="Mayor"),CONCATENATE("R2C",'Mapa final'!$R$37),"")</f>
        <v/>
      </c>
      <c r="AH35" s="40" t="str">
        <f>IF(AND('Mapa final'!$AH$38="Media",'Mapa final'!$AJ$38="Mayor"),CONCATENATE("R2C",'Mapa final'!$R$38),"")</f>
        <v/>
      </c>
      <c r="AI35" s="41" t="str">
        <f>IF(AND('Mapa final'!$AH$33="Media",'Mapa final'!$AJ$33="Catastrófico"),CONCATENATE("R2C",'Mapa final'!$R$33),"")</f>
        <v/>
      </c>
      <c r="AJ35" s="42" t="str">
        <f>IF(AND('Mapa final'!$AH$34="Media",'Mapa final'!$AJ$34="Catastrófico"),CONCATENATE("R2C",'Mapa final'!$R$34),"")</f>
        <v/>
      </c>
      <c r="AK35" s="42" t="str">
        <f>IF(AND('Mapa final'!$AH$35="Media",'Mapa final'!$AJ$35="Catastrófico"),CONCATENATE("R2C",'Mapa final'!$R$35),"")</f>
        <v/>
      </c>
      <c r="AL35" s="42" t="str">
        <f>IF(AND('Mapa final'!$AH$36="Media",'Mapa final'!$AJ$36="Catastrófico"),CONCATENATE("R2C",'Mapa final'!$R$36),"")</f>
        <v/>
      </c>
      <c r="AM35" s="42" t="str">
        <f>IF(AND('Mapa final'!$AH$37="Media",'Mapa final'!$AJ$37="LCatastrófico"),CONCATENATE("R2C",'Mapa final'!$R$37),"")</f>
        <v/>
      </c>
      <c r="AN35" s="43" t="str">
        <f>IF(AND('Mapa final'!$AH$38="Media",'Mapa final'!$AJ$38="Catastrófico"),CONCATENATE("R2C",'Mapa final'!$R$38),"")</f>
        <v/>
      </c>
      <c r="AO35" s="68"/>
      <c r="AP35" s="560"/>
      <c r="AQ35" s="561"/>
      <c r="AR35" s="561"/>
      <c r="AS35" s="561"/>
      <c r="AT35" s="561"/>
      <c r="AU35" s="562"/>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x14ac:dyDescent="0.45">
      <c r="B36" s="68"/>
      <c r="C36" s="476"/>
      <c r="D36" s="476"/>
      <c r="E36" s="477"/>
      <c r="F36" s="519"/>
      <c r="G36" s="520"/>
      <c r="H36" s="520"/>
      <c r="I36" s="520"/>
      <c r="J36" s="521"/>
      <c r="K36" s="53" t="str">
        <f>IF(AND('Mapa final'!$AH$39="Media",'Mapa final'!$AJ$39="Leve"),CONCATENATE("R2C",'Mapa final'!$R$39),"")</f>
        <v/>
      </c>
      <c r="L36" s="54" t="str">
        <f>IF(AND('Mapa final'!$AH$40="Media",'Mapa final'!$AJ$40="Leve"),CONCATENATE("R2C",'Mapa final'!$R$40),"")</f>
        <v/>
      </c>
      <c r="M36" s="54" t="str">
        <f>IF(AND('Mapa final'!$AH$41="Media",'Mapa final'!$AJ$41="Leve"),CONCATENATE("R2C",'Mapa final'!$R$41),"")</f>
        <v/>
      </c>
      <c r="N36" s="54" t="str">
        <f>IF(AND('Mapa final'!$AH$42="Media",'Mapa final'!$AJ$42="Leve"),CONCATENATE("R2C",'Mapa final'!$R$42),"")</f>
        <v/>
      </c>
      <c r="O36" s="54" t="str">
        <f>IF(AND('Mapa final'!$AH$43="Media",'Mapa final'!$AJ$43="Leve"),CONCATENATE("R2C",'Mapa final'!$R$43),"")</f>
        <v/>
      </c>
      <c r="P36" s="55" t="str">
        <f>IF(AND('Mapa final'!$AH$44="Media",'Mapa final'!$AJ$44="Leve"),CONCATENATE("R2C",'Mapa final'!$R$44),"")</f>
        <v/>
      </c>
      <c r="Q36" s="53" t="str">
        <f>IF(AND('Mapa final'!$AH$39="Media",'Mapa final'!$AJ$39="Menor"),CONCATENATE("R2C",'Mapa final'!$R$39),"")</f>
        <v/>
      </c>
      <c r="R36" s="54" t="str">
        <f>IF(AND('Mapa final'!$AH$40="Media",'Mapa final'!$AJ$40="Menor"),CONCATENATE("R2C",'Mapa final'!$R$40),"")</f>
        <v/>
      </c>
      <c r="S36" s="54" t="str">
        <f>IF(AND('Mapa final'!$AH$41="Media",'Mapa final'!$AJ$41="Menor"),CONCATENATE("R2C",'Mapa final'!$R$41),"")</f>
        <v/>
      </c>
      <c r="T36" s="54" t="str">
        <f>IF(AND('Mapa final'!$AH$42="Media",'Mapa final'!$AJ$42="Menor"),CONCATENATE("R2C",'Mapa final'!$R$42),"")</f>
        <v/>
      </c>
      <c r="U36" s="54" t="str">
        <f>IF(AND('Mapa final'!$AH$43="Media",'Mapa final'!$AJ$43="Menor"),CONCATENATE("R2C",'Mapa final'!$R$43),"")</f>
        <v/>
      </c>
      <c r="V36" s="55" t="str">
        <f>IF(AND('Mapa final'!$AH$44="Media",'Mapa final'!$AJ$44="Menor"),CONCATENATE("R2C",'Mapa final'!$R$44),"")</f>
        <v/>
      </c>
      <c r="W36" s="53" t="str">
        <f>IF(AND('Mapa final'!$AH$39="Media",'Mapa final'!$AJ$39="Moderado"),CONCATENATE("R2C",'Mapa final'!$R$39),"")</f>
        <v/>
      </c>
      <c r="X36" s="54" t="str">
        <f>IF(AND('Mapa final'!$AH$40="Media",'Mapa final'!$AJ$40="Moderado"),CONCATENATE("R2C",'Mapa final'!$R$40),"")</f>
        <v/>
      </c>
      <c r="Y36" s="54" t="str">
        <f>IF(AND('Mapa final'!$AH$41="Media",'Mapa final'!$AJ$41="Moderado"),CONCATENATE("R2C",'Mapa final'!$R$41),"")</f>
        <v/>
      </c>
      <c r="Z36" s="54" t="str">
        <f>IF(AND('Mapa final'!$AH$42="Media",'Mapa final'!$AJ$42="Moderado"),CONCATENATE("R2C",'Mapa final'!$R$42),"")</f>
        <v/>
      </c>
      <c r="AA36" s="54" t="str">
        <f>IF(AND('Mapa final'!$AH$43="Media",'Mapa final'!$AJ$43="Moderado"),CONCATENATE("R2C",'Mapa final'!$R$43),"")</f>
        <v/>
      </c>
      <c r="AB36" s="55" t="str">
        <f>IF(AND('Mapa final'!$AH$44="Media",'Mapa final'!$AJ$44="Moderado"),CONCATENATE("R2C",'Mapa final'!$R$44),"")</f>
        <v/>
      </c>
      <c r="AC36" s="38" t="str">
        <f>IF(AND('Mapa final'!$AH$39="Media",'Mapa final'!$AJ$39="Mayor"),CONCATENATE("R2C",'Mapa final'!$R$39),"")</f>
        <v/>
      </c>
      <c r="AD36" s="39" t="str">
        <f>IF(AND('Mapa final'!$AH$40="Media",'Mapa final'!$AJ$40="Mayor"),CONCATENATE("R2C",'Mapa final'!$R$40),"")</f>
        <v/>
      </c>
      <c r="AE36" s="39" t="str">
        <f>IF(AND('Mapa final'!$AH$41="Media",'Mapa final'!$AJ$41="Mayor"),CONCATENATE("R2C",'Mapa final'!$R$41),"")</f>
        <v/>
      </c>
      <c r="AF36" s="39" t="str">
        <f>IF(AND('Mapa final'!$AH$42="Media",'Mapa final'!$AJ$42="Mayor"),CONCATENATE("R2C",'Mapa final'!$R$42),"")</f>
        <v/>
      </c>
      <c r="AG36" s="39" t="str">
        <f>IF(AND('Mapa final'!$AH$43="Media",'Mapa final'!$AJ$43="Mayor"),CONCATENATE("R2C",'Mapa final'!$R$43),"")</f>
        <v/>
      </c>
      <c r="AH36" s="40" t="str">
        <f>IF(AND('Mapa final'!$AH$44="Media",'Mapa final'!$AJ$44="Mayor"),CONCATENATE("R2C",'Mapa final'!$R$44),"")</f>
        <v/>
      </c>
      <c r="AI36" s="41" t="str">
        <f>IF(AND('Mapa final'!$AH$39="Media",'Mapa final'!$AJ$39="Catastrófico"),CONCATENATE("R2C",'Mapa final'!$R$39),"")</f>
        <v/>
      </c>
      <c r="AJ36" s="42" t="str">
        <f>IF(AND('Mapa final'!$AH$40="Media",'Mapa final'!$AJ$40="Catastrófico"),CONCATENATE("R2C",'Mapa final'!$R$40),"")</f>
        <v/>
      </c>
      <c r="AK36" s="42" t="str">
        <f>IF(AND('Mapa final'!$AH$41="Media",'Mapa final'!$AJ$41="Catastrófico"),CONCATENATE("R2C",'Mapa final'!$R$41),"")</f>
        <v/>
      </c>
      <c r="AL36" s="42" t="str">
        <f>IF(AND('Mapa final'!$AH$42="Media",'Mapa final'!$AJ$42="Catastrófico"),CONCATENATE("R2C",'Mapa final'!$R$42),"")</f>
        <v/>
      </c>
      <c r="AM36" s="42" t="str">
        <f>IF(AND('Mapa final'!$AH$43="Media",'Mapa final'!$AJ$43="Catastrófico"),CONCATENATE("R2C",'Mapa final'!$R$43),"")</f>
        <v/>
      </c>
      <c r="AN36" s="43" t="str">
        <f>IF(AND('Mapa final'!$AH$44="Media",'Mapa final'!$AJ$44="Catastrófico"),CONCATENATE("R2C",'Mapa final'!$R$44),"")</f>
        <v/>
      </c>
      <c r="AO36" s="68"/>
      <c r="AP36" s="560"/>
      <c r="AQ36" s="561"/>
      <c r="AR36" s="561"/>
      <c r="AS36" s="561"/>
      <c r="AT36" s="561"/>
      <c r="AU36" s="562"/>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x14ac:dyDescent="0.45">
      <c r="B37" s="68"/>
      <c r="C37" s="476"/>
      <c r="D37" s="476"/>
      <c r="E37" s="477"/>
      <c r="F37" s="519"/>
      <c r="G37" s="520"/>
      <c r="H37" s="520"/>
      <c r="I37" s="520"/>
      <c r="J37" s="521"/>
      <c r="K37" s="53" t="str">
        <f>IF(AND('Mapa final'!$AH$45="Media",'Mapa final'!$AJ$45="Leve"),CONCATENATE("R2C",'Mapa final'!$R$45),"")</f>
        <v/>
      </c>
      <c r="L37" s="54" t="str">
        <f>IF(AND('Mapa final'!$AH$46="Media",'Mapa final'!$AJ$46="Leve"),CONCATENATE("R2C",'Mapa final'!$R$46),"")</f>
        <v/>
      </c>
      <c r="M37" s="54" t="str">
        <f>IF(AND('Mapa final'!$AH$47="Media",'Mapa final'!$AJ$47="Leve"),CONCATENATE("R2C",'Mapa final'!$R$47),"")</f>
        <v/>
      </c>
      <c r="N37" s="54" t="str">
        <f>IF(AND('Mapa final'!$AH$48="Media",'Mapa final'!$AJ$48="Leve"),CONCATENATE("R2C",'Mapa final'!$R$48),"")</f>
        <v/>
      </c>
      <c r="O37" s="54" t="str">
        <f>IF(AND('Mapa final'!$AH$49="Media",'Mapa final'!$AJ$49="Leve"),CONCATENATE("R2C",'Mapa final'!$R$49),"")</f>
        <v/>
      </c>
      <c r="P37" s="55" t="str">
        <f>IF(AND('Mapa final'!$AH$60="Media",'Mapa final'!$AJ$50="Leve"),CONCATENATE("R2C",'Mapa final'!$R$50),"")</f>
        <v/>
      </c>
      <c r="Q37" s="53" t="str">
        <f>IF(AND('Mapa final'!$AH$45="Media",'Mapa final'!$AJ$45="Menor"),CONCATENATE("R2C",'Mapa final'!$R$45),"")</f>
        <v/>
      </c>
      <c r="R37" s="54" t="str">
        <f>IF(AND('Mapa final'!$AH$46="Media",'Mapa final'!$AJ$46="Menor"),CONCATENATE("R2C",'Mapa final'!$R$46),"")</f>
        <v/>
      </c>
      <c r="S37" s="54" t="str">
        <f>IF(AND('Mapa final'!$AH$47="Media",'Mapa final'!$AJ$47="Menor"),CONCATENATE("R2C",'Mapa final'!$R$47),"")</f>
        <v/>
      </c>
      <c r="T37" s="54" t="str">
        <f>IF(AND('Mapa final'!$AH$48="Media",'Mapa final'!$AJ$48="Menor"),CONCATENATE("R2C",'Mapa final'!$R$48),"")</f>
        <v/>
      </c>
      <c r="U37" s="54" t="str">
        <f>IF(AND('Mapa final'!$AH$49="Media",'Mapa final'!$AJ$49="Menor"),CONCATENATE("R2C",'Mapa final'!$R$49),"")</f>
        <v/>
      </c>
      <c r="V37" s="55" t="str">
        <f>IF(AND('Mapa final'!$AH$60="Media",'Mapa final'!$AJ$50="Menor"),CONCATENATE("R2C",'Mapa final'!$R$50),"")</f>
        <v/>
      </c>
      <c r="W37" s="53" t="str">
        <f>IF(AND('Mapa final'!$AH$45="Media",'Mapa final'!$AJ$45="Moderado"),CONCATENATE("R2C",'Mapa final'!$R$45),"")</f>
        <v/>
      </c>
      <c r="X37" s="54" t="str">
        <f>IF(AND('Mapa final'!$AH$46="Media",'Mapa final'!$AJ$46="Moderado"),CONCATENATE("R2C",'Mapa final'!$R$46),"")</f>
        <v/>
      </c>
      <c r="Y37" s="54" t="str">
        <f>IF(AND('Mapa final'!$AH$47="Media",'Mapa final'!$AJ$47="Moderado"),CONCATENATE("R2C",'Mapa final'!$R$47),"")</f>
        <v/>
      </c>
      <c r="Z37" s="54" t="str">
        <f>IF(AND('Mapa final'!$AH$48="Media",'Mapa final'!$AJ$48="Moderado"),CONCATENATE("R2C",'Mapa final'!$R$48),"")</f>
        <v/>
      </c>
      <c r="AA37" s="54" t="str">
        <f>IF(AND('Mapa final'!$AH$49="Media",'Mapa final'!$AJ$49="Moderado"),CONCATENATE("R2C",'Mapa final'!$R$49),"")</f>
        <v/>
      </c>
      <c r="AB37" s="55" t="str">
        <f>IF(AND('Mapa final'!$AH$60="Media",'Mapa final'!$AJ$50="Moderado"),CONCATENATE("R2C",'Mapa final'!$R$50),"")</f>
        <v/>
      </c>
      <c r="AC37" s="38" t="str">
        <f>IF(AND('Mapa final'!$AH$45="Media",'Mapa final'!$AJ$45="Mayor"),CONCATENATE("R2C",'Mapa final'!$R$45),"")</f>
        <v/>
      </c>
      <c r="AD37" s="39" t="str">
        <f>IF(AND('Mapa final'!$AH$46="Media",'Mapa final'!$AJ$46="Mayor"),CONCATENATE("R2C",'Mapa final'!$R$46),"")</f>
        <v/>
      </c>
      <c r="AE37" s="39" t="str">
        <f>IF(AND('Mapa final'!$AH$47="Media",'Mapa final'!$AJ$47="Mayor"),CONCATENATE("R2C",'Mapa final'!$R$47),"")</f>
        <v/>
      </c>
      <c r="AF37" s="39" t="str">
        <f>IF(AND('Mapa final'!$AH$48="Media",'Mapa final'!$AJ$48="Mayor"),CONCATENATE("R2C",'Mapa final'!$R$48),"")</f>
        <v/>
      </c>
      <c r="AG37" s="39" t="str">
        <f>IF(AND('Mapa final'!$AH$49="Media",'Mapa final'!$AJ$49="Mayor"),CONCATENATE("R2C",'Mapa final'!$R$49),"")</f>
        <v/>
      </c>
      <c r="AH37" s="40" t="str">
        <f>IF(AND('Mapa final'!$AH$60="Media",'Mapa final'!$AJ$50="Mayor"),CONCATENATE("R2C",'Mapa final'!$R$50),"")</f>
        <v/>
      </c>
      <c r="AI37" s="41" t="str">
        <f>IF(AND('Mapa final'!$AH$45="Media",'Mapa final'!$AJ$45="Catastrófico"),CONCATENATE("R2C",'Mapa final'!$R$45),"")</f>
        <v/>
      </c>
      <c r="AJ37" s="42" t="str">
        <f>IF(AND('Mapa final'!$AH$46="Media",'Mapa final'!$AJ$46="Catastrófico"),CONCATENATE("R2C",'Mapa final'!$R$46),"")</f>
        <v/>
      </c>
      <c r="AK37" s="42" t="str">
        <f>IF(AND('Mapa final'!$AH$47="Media",'Mapa final'!$AJ$47="Catastrófico"),CONCATENATE("R2C",'Mapa final'!$R$47),"")</f>
        <v/>
      </c>
      <c r="AL37" s="42" t="str">
        <f>IF(AND('Mapa final'!$AH$48="Media",'Mapa final'!$AJ$48="Catastrófico"),CONCATENATE("R2C",'Mapa final'!$R$48),"")</f>
        <v/>
      </c>
      <c r="AM37" s="42" t="str">
        <f>IF(AND('Mapa final'!$AH$49="Media",'Mapa final'!$AJ$49="Catastrófico"),CONCATENATE("R2C",'Mapa final'!$R$49),"")</f>
        <v/>
      </c>
      <c r="AN37" s="43" t="str">
        <f>IF(AND('Mapa final'!$AH$60="Media",'Mapa final'!$AJ$50="Catastrófico"),CONCATENATE("R2C",'Mapa final'!$R$50),"")</f>
        <v/>
      </c>
      <c r="AO37" s="68"/>
      <c r="AP37" s="560"/>
      <c r="AQ37" s="561"/>
      <c r="AR37" s="561"/>
      <c r="AS37" s="561"/>
      <c r="AT37" s="561"/>
      <c r="AU37" s="562"/>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x14ac:dyDescent="0.45">
      <c r="B38" s="68"/>
      <c r="C38" s="476"/>
      <c r="D38" s="476"/>
      <c r="E38" s="477"/>
      <c r="F38" s="519"/>
      <c r="G38" s="520"/>
      <c r="H38" s="520"/>
      <c r="I38" s="520"/>
      <c r="J38" s="521"/>
      <c r="K38" s="53" t="str">
        <f>IF(AND('Mapa final'!$AH$51="Media",'Mapa final'!$AJ$51="Leve"),CONCATENATE("R2C",'Mapa final'!$R$51),"")</f>
        <v/>
      </c>
      <c r="L38" s="54" t="str">
        <f>IF(AND('Mapa final'!$AH$52="Media",'Mapa final'!$AJ$52="Leve"),CONCATENATE("R2C",'Mapa final'!$R$52),"")</f>
        <v/>
      </c>
      <c r="M38" s="54" t="str">
        <f>IF(AND('Mapa final'!$AH$53="Media",'Mapa final'!$AJ$53="Leve"),CONCATENATE("R2C",'Mapa final'!$R$53),"")</f>
        <v/>
      </c>
      <c r="N38" s="54" t="str">
        <f>IF(AND('Mapa final'!$AH$54="Media",'Mapa final'!$AJ$54="Leve"),CONCATENATE("R2C",'Mapa final'!$R$54),"")</f>
        <v/>
      </c>
      <c r="O38" s="54" t="str">
        <f>IF(AND('Mapa final'!$AH$55="Media",'Mapa final'!$AJ$55="Leve"),CONCATENATE("R2C",'Mapa final'!$R$55),"")</f>
        <v/>
      </c>
      <c r="P38" s="55" t="str">
        <f>IF(AND('Mapa final'!$AH$56="Media",'Mapa final'!$AJ$56="Leve"),CONCATENATE("R2C",'Mapa final'!$R$56),"")</f>
        <v/>
      </c>
      <c r="Q38" s="53" t="str">
        <f>IF(AND('Mapa final'!$AH$51="Media",'Mapa final'!$AJ$51="Menor"),CONCATENATE("R2C",'Mapa final'!$R$51),"")</f>
        <v/>
      </c>
      <c r="R38" s="54" t="str">
        <f>IF(AND('Mapa final'!$AH$52="Media",'Mapa final'!$AJ$52="Menor"),CONCATENATE("R2C",'Mapa final'!$R$52),"")</f>
        <v/>
      </c>
      <c r="S38" s="54" t="str">
        <f>IF(AND('Mapa final'!$AH$53="Media",'Mapa final'!$AJ$53="Menor"),CONCATENATE("R2C",'Mapa final'!$R$53),"")</f>
        <v/>
      </c>
      <c r="T38" s="54" t="str">
        <f>IF(AND('Mapa final'!$AH$54="Media",'Mapa final'!$AJ$54="Menor"),CONCATENATE("R2C",'Mapa final'!$R$54),"")</f>
        <v/>
      </c>
      <c r="U38" s="54" t="str">
        <f>IF(AND('Mapa final'!$AH$55="Media",'Mapa final'!$AJ$55="Menor"),CONCATENATE("R2C",'Mapa final'!$R$55),"")</f>
        <v/>
      </c>
      <c r="V38" s="55" t="str">
        <f>IF(AND('Mapa final'!$AH$56="Media",'Mapa final'!$AJ$56="Menor"),CONCATENATE("R2C",'Mapa final'!$R$56),"")</f>
        <v/>
      </c>
      <c r="W38" s="53" t="str">
        <f>IF(AND('Mapa final'!$AH$51="Media",'Mapa final'!$AJ$51="Moderado"),CONCATENATE("R2C",'Mapa final'!$R$51),"")</f>
        <v/>
      </c>
      <c r="X38" s="54" t="str">
        <f>IF(AND('Mapa final'!$AH$52="Media",'Mapa final'!$AJ$52="Moderado"),CONCATENATE("R2C",'Mapa final'!$R$52),"")</f>
        <v/>
      </c>
      <c r="Y38" s="54" t="str">
        <f>IF(AND('Mapa final'!$AH$53="Media",'Mapa final'!$AJ$53="Moderado"),CONCATENATE("R2C",'Mapa final'!$R$53),"")</f>
        <v/>
      </c>
      <c r="Z38" s="54" t="str">
        <f>IF(AND('Mapa final'!$AH$54="Media",'Mapa final'!$AJ$54="Moderado"),CONCATENATE("R2C",'Mapa final'!$R$54),"")</f>
        <v/>
      </c>
      <c r="AA38" s="54" t="str">
        <f>IF(AND('Mapa final'!$AH$55="Media",'Mapa final'!$AJ$55="Moderado"),CONCATENATE("R2C",'Mapa final'!$R$55),"")</f>
        <v/>
      </c>
      <c r="AB38" s="55" t="str">
        <f>IF(AND('Mapa final'!$AH$56="Media",'Mapa final'!$AJ$56="Moderado"),CONCATENATE("R2C",'Mapa final'!$R$56),"")</f>
        <v/>
      </c>
      <c r="AC38" s="38" t="str">
        <f>IF(AND('Mapa final'!$AH$51="Media",'Mapa final'!$AJ$51="Mayor"),CONCATENATE("R2C",'Mapa final'!$R$51),"")</f>
        <v/>
      </c>
      <c r="AD38" s="39" t="str">
        <f>IF(AND('Mapa final'!$AH$52="Media",'Mapa final'!$AJ$52="Mayor"),CONCATENATE("R2C",'Mapa final'!$R$52),"")</f>
        <v/>
      </c>
      <c r="AE38" s="39" t="str">
        <f>IF(AND('Mapa final'!$AH$53="Media",'Mapa final'!$AJ$53="Mayor"),CONCATENATE("R2C",'Mapa final'!$R$53),"")</f>
        <v/>
      </c>
      <c r="AF38" s="39" t="str">
        <f>IF(AND('Mapa final'!$AH$54="Media",'Mapa final'!$AJ$54="Mayor"),CONCATENATE("R2C",'Mapa final'!$R$54),"")</f>
        <v/>
      </c>
      <c r="AG38" s="39" t="str">
        <f>IF(AND('Mapa final'!$AH$55="Media",'Mapa final'!$AJ$55="Mayor"),CONCATENATE("R2C",'Mapa final'!$R$55),"")</f>
        <v/>
      </c>
      <c r="AH38" s="40" t="str">
        <f>IF(AND('Mapa final'!$AH$56="Media",'Mapa final'!$AJ$56="Mayor"),CONCATENATE("R2C",'Mapa final'!$R$56),"")</f>
        <v/>
      </c>
      <c r="AI38" s="41" t="str">
        <f>IF(AND('Mapa final'!$AH$51="Media",'Mapa final'!$AJ$51="Catastrófico"),CONCATENATE("R2C",'Mapa final'!$R$51),"")</f>
        <v/>
      </c>
      <c r="AJ38" s="42" t="str">
        <f>IF(AND('Mapa final'!$AH$52="Media",'Mapa final'!$AJ$52="Catastrófico"),CONCATENATE("R2C",'Mapa final'!$R$52),"")</f>
        <v/>
      </c>
      <c r="AK38" s="42" t="str">
        <f>IF(AND('Mapa final'!$AH$53="Media",'Mapa final'!$AJ$53="Catastrófico"),CONCATENATE("R2C",'Mapa final'!$R$53),"")</f>
        <v/>
      </c>
      <c r="AL38" s="42" t="str">
        <f>IF(AND('Mapa final'!$AH$54="Media",'Mapa final'!$AJ$54="Catastrófico"),CONCATENATE("R2C",'Mapa final'!$R$54),"")</f>
        <v/>
      </c>
      <c r="AM38" s="42" t="str">
        <f>IF(AND('Mapa final'!$AH$55="Media",'Mapa final'!$AJ$55="Catastrófico"),CONCATENATE("R2C",'Mapa final'!$R$55),"")</f>
        <v/>
      </c>
      <c r="AN38" s="43" t="str">
        <f>IF(AND('Mapa final'!$AH$56="Media",'Mapa final'!$AJ$56="Catastrófico"),CONCATENATE("R2C",'Mapa final'!$R$56),"")</f>
        <v/>
      </c>
      <c r="AO38" s="68"/>
      <c r="AP38" s="560"/>
      <c r="AQ38" s="561"/>
      <c r="AR38" s="561"/>
      <c r="AS38" s="561"/>
      <c r="AT38" s="561"/>
      <c r="AU38" s="562"/>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x14ac:dyDescent="0.45">
      <c r="B39" s="68"/>
      <c r="C39" s="476"/>
      <c r="D39" s="476"/>
      <c r="E39" s="477"/>
      <c r="F39" s="519"/>
      <c r="G39" s="520"/>
      <c r="H39" s="520"/>
      <c r="I39" s="520"/>
      <c r="J39" s="521"/>
      <c r="K39" s="53" t="str">
        <f>IF(AND('Mapa final'!$AH$57="Media",'Mapa final'!$AJ$57="Leve"),CONCATENATE("R2C",'Mapa final'!$R$57),"")</f>
        <v/>
      </c>
      <c r="L39" s="54" t="str">
        <f>IF(AND('Mapa final'!$AH$58="Media",'Mapa final'!$AJ$58="Leve"),CONCATENATE("R2C",'Mapa final'!$R$58),"")</f>
        <v/>
      </c>
      <c r="M39" s="54" t="str">
        <f>IF(AND('Mapa final'!$AH$59="Media",'Mapa final'!$AJ$59="Leve"),CONCATENATE("R2C",'Mapa final'!$R$59),"")</f>
        <v/>
      </c>
      <c r="N39" s="54" t="str">
        <f>IF(AND('Mapa final'!$AH$60="Media",'Mapa final'!$AJ$60="Leve"),CONCATENATE("R2C",'Mapa final'!$R$60),"")</f>
        <v/>
      </c>
      <c r="O39" s="54" t="str">
        <f>IF(AND('Mapa final'!$AH$61="Media",'Mapa final'!$AJ$61="Leve"),CONCATENATE("R2C",'Mapa final'!$R$61),"")</f>
        <v/>
      </c>
      <c r="P39" s="55" t="str">
        <f>IF(AND('Mapa final'!$AH$62="Media",'Mapa final'!$AJ$62="Leve"),CONCATENATE("R2C",'Mapa final'!$R$62),"")</f>
        <v/>
      </c>
      <c r="Q39" s="53" t="str">
        <f>IF(AND('Mapa final'!$AH$57="Media",'Mapa final'!$AJ$57="Menor"),CONCATENATE("R2C",'Mapa final'!$R$57),"")</f>
        <v/>
      </c>
      <c r="R39" s="54" t="str">
        <f>IF(AND('Mapa final'!$AH$58="Media",'Mapa final'!$AJ$58="Menor"),CONCATENATE("R2C",'Mapa final'!$R$58),"")</f>
        <v/>
      </c>
      <c r="S39" s="54" t="str">
        <f>IF(AND('Mapa final'!$AH$59="Media",'Mapa final'!$AJ$59="Menor"),CONCATENATE("R2C",'Mapa final'!$R$59),"")</f>
        <v/>
      </c>
      <c r="T39" s="54" t="str">
        <f>IF(AND('Mapa final'!$AH$60="Media",'Mapa final'!$AJ$60="Menor"),CONCATENATE("R2C",'Mapa final'!$R$60),"")</f>
        <v/>
      </c>
      <c r="U39" s="54" t="str">
        <f>IF(AND('Mapa final'!$AH$61="Media",'Mapa final'!$AJ$61="Menor"),CONCATENATE("R2C",'Mapa final'!$R$61),"")</f>
        <v/>
      </c>
      <c r="V39" s="55" t="str">
        <f>IF(AND('Mapa final'!$AH$62="Media",'Mapa final'!$AJ$62="Menor"),CONCATENATE("R2C",'Mapa final'!$R$62),"")</f>
        <v/>
      </c>
      <c r="W39" s="53" t="str">
        <f>IF(AND('Mapa final'!$AH$57="Media",'Mapa final'!$AJ$57="Moderado"),CONCATENATE("R2C",'Mapa final'!$R$57),"")</f>
        <v/>
      </c>
      <c r="X39" s="54" t="str">
        <f>IF(AND('Mapa final'!$AH$58="Media",'Mapa final'!$AJ$58="Moderado"),CONCATENATE("R2C",'Mapa final'!$R$58),"")</f>
        <v/>
      </c>
      <c r="Y39" s="54" t="str">
        <f>IF(AND('Mapa final'!$AH$59="Media",'Mapa final'!$AJ$59="Moderado"),CONCATENATE("R2C",'Mapa final'!$R$59),"")</f>
        <v/>
      </c>
      <c r="Z39" s="54" t="str">
        <f>IF(AND('Mapa final'!$AH$60="Media",'Mapa final'!$AJ$60="Moderado"),CONCATENATE("R2C",'Mapa final'!$R$60),"")</f>
        <v/>
      </c>
      <c r="AA39" s="54" t="str">
        <f>IF(AND('Mapa final'!$AH$61="Media",'Mapa final'!$AJ$61="Moderado"),CONCATENATE("R2C",'Mapa final'!$R$61),"")</f>
        <v/>
      </c>
      <c r="AB39" s="55" t="str">
        <f>IF(AND('Mapa final'!$AH$62="Media",'Mapa final'!$AJ$62="Moderado"),CONCATENATE("R2C",'Mapa final'!$R$62),"")</f>
        <v/>
      </c>
      <c r="AC39" s="38" t="str">
        <f>IF(AND('Mapa final'!$AH$57="Media",'Mapa final'!$AJ$57="Mayor"),CONCATENATE("R2C",'Mapa final'!$R$57),"")</f>
        <v/>
      </c>
      <c r="AD39" s="39" t="str">
        <f>IF(AND('Mapa final'!$AH$58="Media",'Mapa final'!$AJ$58="Mayor"),CONCATENATE("R2C",'Mapa final'!$R$58),"")</f>
        <v/>
      </c>
      <c r="AE39" s="39" t="str">
        <f>IF(AND('Mapa final'!$AH$59="Media",'Mapa final'!$AJ$59="Mayor"),CONCATENATE("R2C",'Mapa final'!$R$59),"")</f>
        <v/>
      </c>
      <c r="AF39" s="39" t="str">
        <f>IF(AND('Mapa final'!$AH$60="Media",'Mapa final'!$AJ$60="Mayor"),CONCATENATE("R2C",'Mapa final'!$R$60),"")</f>
        <v/>
      </c>
      <c r="AG39" s="39" t="str">
        <f>IF(AND('Mapa final'!$AH$61="Media",'Mapa final'!$AJ$61="Mayor"),CONCATENATE("R2C",'Mapa final'!$R$61),"")</f>
        <v/>
      </c>
      <c r="AH39" s="40" t="str">
        <f>IF(AND('Mapa final'!$AH$62="Media",'Mapa final'!$AJ$62="Mayor"),CONCATENATE("R2C",'Mapa final'!$R$62),"")</f>
        <v/>
      </c>
      <c r="AI39" s="41" t="str">
        <f>IF(AND('Mapa final'!$AH$57="Media",'Mapa final'!$AJ$57="Catastrófico"),CONCATENATE("R2C",'Mapa final'!$R$57),"")</f>
        <v/>
      </c>
      <c r="AJ39" s="42" t="str">
        <f>IF(AND('Mapa final'!$AH$58="Media",'Mapa final'!$AJ$58="Catastrófico"),CONCATENATE("R2C",'Mapa final'!$R$58),"")</f>
        <v/>
      </c>
      <c r="AK39" s="42" t="str">
        <f>IF(AND('Mapa final'!$AH$59="Media",'Mapa final'!$AJ$59="Catastrófico"),CONCATENATE("R2C",'Mapa final'!$R$59),"")</f>
        <v/>
      </c>
      <c r="AL39" s="42" t="str">
        <f>IF(AND('Mapa final'!$AH$60="Media",'Mapa final'!$AJ$60="Catastrófico"),CONCATENATE("R2C",'Mapa final'!$R$60),"")</f>
        <v/>
      </c>
      <c r="AM39" s="42" t="str">
        <f>IF(AND('Mapa final'!$AH$61="Media",'Mapa final'!$AJ$61="Catastrófico"),CONCATENATE("R2C",'Mapa final'!$R$61),"")</f>
        <v/>
      </c>
      <c r="AN39" s="43" t="str">
        <f>IF(AND('Mapa final'!$AH$62="Media",'Mapa final'!$AJ$62="Catastrófico"),CONCATENATE("R2C",'Mapa final'!$R$62),"")</f>
        <v/>
      </c>
      <c r="AO39" s="68"/>
      <c r="AP39" s="560"/>
      <c r="AQ39" s="561"/>
      <c r="AR39" s="561"/>
      <c r="AS39" s="561"/>
      <c r="AT39" s="561"/>
      <c r="AU39" s="562"/>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x14ac:dyDescent="0.45">
      <c r="B40" s="68"/>
      <c r="C40" s="476"/>
      <c r="D40" s="476"/>
      <c r="E40" s="477"/>
      <c r="F40" s="519"/>
      <c r="G40" s="520"/>
      <c r="H40" s="520"/>
      <c r="I40" s="520"/>
      <c r="J40" s="521"/>
      <c r="K40" s="53" t="str">
        <f>IF(AND('Mapa final'!$AH$63="Media",'Mapa final'!$AJ$63="Leve"),CONCATENATE("R2C",'Mapa final'!$R$63),"")</f>
        <v/>
      </c>
      <c r="L40" s="54" t="str">
        <f>IF(AND('Mapa final'!$AH$64="Media",'Mapa final'!$AJ$64="Leve"),CONCATENATE("R2C",'Mapa final'!$R$64),"")</f>
        <v/>
      </c>
      <c r="M40" s="54" t="str">
        <f>IF(AND('Mapa final'!$AH$65="Media",'Mapa final'!$AJ$65="Leve"),CONCATENATE("R2C",'Mapa final'!$R$65),"")</f>
        <v/>
      </c>
      <c r="N40" s="54" t="str">
        <f>IF(AND('Mapa final'!$AH$66="Media",'Mapa final'!$AJ$66="Leve"),CONCATENATE("R2C",'Mapa final'!$R$66),"")</f>
        <v/>
      </c>
      <c r="O40" s="54" t="str">
        <f>IF(AND('Mapa final'!$AH$67="Media",'Mapa final'!$AJ$67="Leve"),CONCATENATE("R2C",'Mapa final'!$R$67),"")</f>
        <v/>
      </c>
      <c r="P40" s="55" t="str">
        <f>IF(AND('Mapa final'!$AH$68="Media",'Mapa final'!$AJ$68="Leve"),CONCATENATE("R2C",'Mapa final'!$R$68),"")</f>
        <v/>
      </c>
      <c r="Q40" s="53" t="str">
        <f>IF(AND('Mapa final'!$AH$63="Media",'Mapa final'!$AJ$63="Menor"),CONCATENATE("R2C",'Mapa final'!$R$63),"")</f>
        <v/>
      </c>
      <c r="R40" s="54" t="str">
        <f>IF(AND('Mapa final'!$AH$64="Media",'Mapa final'!$AJ$64="Menor"),CONCATENATE("R2C",'Mapa final'!$R$64),"")</f>
        <v/>
      </c>
      <c r="S40" s="54" t="str">
        <f>IF(AND('Mapa final'!$AH$65="Media",'Mapa final'!$AJ$65="Menor"),CONCATENATE("R2C",'Mapa final'!$R$65),"")</f>
        <v/>
      </c>
      <c r="T40" s="54" t="str">
        <f>IF(AND('Mapa final'!$AH$66="Media",'Mapa final'!$AJ$66="Menor"),CONCATENATE("R2C",'Mapa final'!$R$66),"")</f>
        <v/>
      </c>
      <c r="U40" s="54" t="str">
        <f>IF(AND('Mapa final'!$AH$67="Media",'Mapa final'!$AJ$67="Menor"),CONCATENATE("R2C",'Mapa final'!$R$67),"")</f>
        <v/>
      </c>
      <c r="V40" s="55" t="str">
        <f>IF(AND('Mapa final'!$AH$68="Media",'Mapa final'!$AJ$68="Menor"),CONCATENATE("R2C",'Mapa final'!$R$68),"")</f>
        <v/>
      </c>
      <c r="W40" s="53" t="str">
        <f>IF(AND('Mapa final'!$AH$63="Media",'Mapa final'!$AJ$63="Moderado"),CONCATENATE("R2C",'Mapa final'!$R$63),"")</f>
        <v/>
      </c>
      <c r="X40" s="54" t="str">
        <f>IF(AND('Mapa final'!$AH$64="Media",'Mapa final'!$AJ$64="Moderado"),CONCATENATE("R2C",'Mapa final'!$R$64),"")</f>
        <v/>
      </c>
      <c r="Y40" s="54" t="str">
        <f>IF(AND('Mapa final'!$AH$65="Media",'Mapa final'!$AJ$65="Moderado"),CONCATENATE("R2C",'Mapa final'!$R$65),"")</f>
        <v/>
      </c>
      <c r="Z40" s="54" t="str">
        <f>IF(AND('Mapa final'!$AH$66="Media",'Mapa final'!$AJ$66="Moderado"),CONCATENATE("R2C",'Mapa final'!$R$66),"")</f>
        <v/>
      </c>
      <c r="AA40" s="54" t="str">
        <f>IF(AND('Mapa final'!$AH$67="Media",'Mapa final'!$AJ$67="Moderado"),CONCATENATE("R2C",'Mapa final'!$R$67),"")</f>
        <v/>
      </c>
      <c r="AB40" s="55" t="str">
        <f>IF(AND('Mapa final'!$AH$68="Media",'Mapa final'!$AJ$68="Moderado"),CONCATENATE("R2C",'Mapa final'!$R$68),"")</f>
        <v/>
      </c>
      <c r="AC40" s="38" t="str">
        <f>IF(AND('Mapa final'!$AH$63="Media",'Mapa final'!$AJ$63="Mayor"),CONCATENATE("R2C",'Mapa final'!$R$63),"")</f>
        <v/>
      </c>
      <c r="AD40" s="39" t="str">
        <f>IF(AND('Mapa final'!$AH$64="Media",'Mapa final'!$AJ$64="Mayor"),CONCATENATE("R2C",'Mapa final'!$R$64),"")</f>
        <v/>
      </c>
      <c r="AE40" s="39" t="str">
        <f>IF(AND('Mapa final'!$AH$65="Media",'Mapa final'!$AJ$65="Mayor"),CONCATENATE("R2C",'Mapa final'!$R$65),"")</f>
        <v/>
      </c>
      <c r="AF40" s="39" t="str">
        <f>IF(AND('Mapa final'!$AH$66="Media",'Mapa final'!$AJ$66="Mayor"),CONCATENATE("R2C",'Mapa final'!$R$66),"")</f>
        <v/>
      </c>
      <c r="AG40" s="39" t="str">
        <f>IF(AND('Mapa final'!$AH$67="Media",'Mapa final'!$AJ$67="Mayor"),CONCATENATE("R2C",'Mapa final'!$R$67),"")</f>
        <v/>
      </c>
      <c r="AH40" s="40" t="str">
        <f>IF(AND('Mapa final'!$AH$68="Media",'Mapa final'!$AJ$68="Mayor"),CONCATENATE("R2C",'Mapa final'!$R$68),"")</f>
        <v/>
      </c>
      <c r="AI40" s="41" t="str">
        <f>IF(AND('Mapa final'!$AH$63="Media",'Mapa final'!$AJ$63="Catastrófico"),CONCATENATE("R2C",'Mapa final'!$R$63),"")</f>
        <v/>
      </c>
      <c r="AJ40" s="42" t="str">
        <f>IF(AND('Mapa final'!$AH$64="Media",'Mapa final'!$AJ$64="Catastrófico"),CONCATENATE("R2C",'Mapa final'!$R$64),"")</f>
        <v/>
      </c>
      <c r="AK40" s="42" t="str">
        <f>IF(AND('Mapa final'!$AH$65="Media",'Mapa final'!$AJ$65="Catastrófico"),CONCATENATE("R2C",'Mapa final'!$R$65),"")</f>
        <v/>
      </c>
      <c r="AL40" s="42" t="str">
        <f>IF(AND('Mapa final'!$AH$66="Media",'Mapa final'!$AJ$66="Catastrófico"),CONCATENATE("R2C",'Mapa final'!$R$66),"")</f>
        <v/>
      </c>
      <c r="AM40" s="42" t="str">
        <f>IF(AND('Mapa final'!$AH$67="Media",'Mapa final'!$AJ$67="Catastrófico"),CONCATENATE("R2C",'Mapa final'!$R$67),"")</f>
        <v/>
      </c>
      <c r="AN40" s="43" t="str">
        <f>IF(AND('Mapa final'!$AH$68="Media",'Mapa final'!$AJ$68="Catastrófico"),CONCATENATE("R2C",'Mapa final'!$R$68),"")</f>
        <v/>
      </c>
      <c r="AO40" s="68"/>
      <c r="AP40" s="560"/>
      <c r="AQ40" s="561"/>
      <c r="AR40" s="561"/>
      <c r="AS40" s="561"/>
      <c r="AT40" s="561"/>
      <c r="AU40" s="562"/>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x14ac:dyDescent="0.5">
      <c r="B41" s="68"/>
      <c r="C41" s="476"/>
      <c r="D41" s="476"/>
      <c r="E41" s="477"/>
      <c r="F41" s="522"/>
      <c r="G41" s="523"/>
      <c r="H41" s="523"/>
      <c r="I41" s="523"/>
      <c r="J41" s="524"/>
      <c r="K41" s="53" t="str">
        <f>IF(AND('Mapa final'!$AH$69="Media",'Mapa final'!$AJ$69="Leve"),CONCATENATE("R2C",'Mapa final'!$R$69),"")</f>
        <v/>
      </c>
      <c r="L41" s="54" t="str">
        <f>IF(AND('Mapa final'!$AH$70="Media",'Mapa final'!$AJ$70="Leve"),CONCATENATE("R2C",'Mapa final'!$R$70),"")</f>
        <v/>
      </c>
      <c r="M41" s="54" t="str">
        <f>IF(AND('Mapa final'!$AH$71="Media",'Mapa final'!$AJ$71="Leve"),CONCATENATE("R2C",'Mapa final'!$R$71),"")</f>
        <v/>
      </c>
      <c r="N41" s="54" t="str">
        <f>IF(AND('Mapa final'!$AH$72="Media",'Mapa final'!$AJ$72="Leve"),CONCATENATE("R2C",'Mapa final'!$R$72),"")</f>
        <v/>
      </c>
      <c r="O41" s="54" t="str">
        <f>IF(AND('Mapa final'!$AH$74="Media",'Mapa final'!$AJ$74="Leve"),CONCATENATE("R2C",'Mapa final'!$R$74),"")</f>
        <v/>
      </c>
      <c r="P41" s="55" t="str">
        <f>IF(AND('Mapa final'!$AH$75="Media",'Mapa final'!$AJ$75="Leve"),CONCATENATE("R2C",'Mapa final'!$R$75),"")</f>
        <v/>
      </c>
      <c r="Q41" s="53" t="str">
        <f>IF(AND('Mapa final'!$AH$69="Media",'Mapa final'!$AJ$69="Menor"),CONCATENATE("R2C",'Mapa final'!$R$69),"")</f>
        <v/>
      </c>
      <c r="R41" s="54" t="str">
        <f>IF(AND('Mapa final'!$AH$70="Media",'Mapa final'!$AJ$70="Menor"),CONCATENATE("R2C",'Mapa final'!$R$70),"")</f>
        <v/>
      </c>
      <c r="S41" s="54" t="str">
        <f>IF(AND('Mapa final'!$AH$71="Media",'Mapa final'!$AJ$71="Menor"),CONCATENATE("R2C",'Mapa final'!$R$71),"")</f>
        <v/>
      </c>
      <c r="T41" s="54" t="str">
        <f>IF(AND('Mapa final'!$AH$72="Media",'Mapa final'!$AJ$72="Menor"),CONCATENATE("R2C",'Mapa final'!$R$72),"")</f>
        <v/>
      </c>
      <c r="U41" s="54" t="str">
        <f>IF(AND('Mapa final'!$AH$74="Media",'Mapa final'!$AJ$74="Menor"),CONCATENATE("R2C",'Mapa final'!$R$74),"")</f>
        <v/>
      </c>
      <c r="V41" s="55" t="str">
        <f>IF(AND('Mapa final'!$AH$75="Media",'Mapa final'!$AJ$75="Menor"),CONCATENATE("R2C",'Mapa final'!$R$75),"")</f>
        <v/>
      </c>
      <c r="W41" s="53" t="str">
        <f>IF(AND('Mapa final'!$AH$69="Media",'Mapa final'!$AJ$69="Moderado"),CONCATENATE("R2C",'Mapa final'!$R$69),"")</f>
        <v/>
      </c>
      <c r="X41" s="54" t="str">
        <f>IF(AND('Mapa final'!$AH$70="Media",'Mapa final'!$AJ$70="Moderado"),CONCATENATE("R2C",'Mapa final'!$R$70),"")</f>
        <v/>
      </c>
      <c r="Y41" s="54" t="str">
        <f>IF(AND('Mapa final'!$AH$71="Media",'Mapa final'!$AJ$71="Moderado"),CONCATENATE("R2C",'Mapa final'!$R$71),"")</f>
        <v/>
      </c>
      <c r="Z41" s="54" t="str">
        <f>IF(AND('Mapa final'!$AH$72="Media",'Mapa final'!$AJ$72="Moderado"),CONCATENATE("R2C",'Mapa final'!$R$72),"")</f>
        <v/>
      </c>
      <c r="AA41" s="54" t="str">
        <f>IF(AND('Mapa final'!$AH$74="Media",'Mapa final'!$AJ$74="Moderado"),CONCATENATE("R2C",'Mapa final'!$R$74),"")</f>
        <v/>
      </c>
      <c r="AB41" s="55" t="str">
        <f>IF(AND('Mapa final'!$AH$75="Media",'Mapa final'!$AJ$75="Moderado"),CONCATENATE("R2C",'Mapa final'!$R$75),"")</f>
        <v/>
      </c>
      <c r="AC41" s="44" t="str">
        <f>IF(AND('Mapa final'!$AH$69="Media",'Mapa final'!$AJ$69="Mayor"),CONCATENATE("R2C",'Mapa final'!$R$69),"")</f>
        <v/>
      </c>
      <c r="AD41" s="45" t="str">
        <f>IF(AND('Mapa final'!$AH$70="Media",'Mapa final'!$AJ$70="Mayor"),CONCATENATE("R2C",'Mapa final'!$R$70),"")</f>
        <v/>
      </c>
      <c r="AE41" s="45" t="str">
        <f>IF(AND('Mapa final'!$AH$71="Media",'Mapa final'!$AJ$71="Mayor"),CONCATENATE("R2C",'Mapa final'!$R$71),"")</f>
        <v/>
      </c>
      <c r="AF41" s="45" t="str">
        <f>IF(AND('Mapa final'!$AH$72="Media",'Mapa final'!$AJ$72="Mayor"),CONCATENATE("R2C",'Mapa final'!$R$72),"")</f>
        <v/>
      </c>
      <c r="AG41" s="45" t="str">
        <f>IF(AND('Mapa final'!$AH$74="Media",'Mapa final'!$AJ$74="Mayor"),CONCATENATE("R2C",'Mapa final'!$R$74),"")</f>
        <v/>
      </c>
      <c r="AH41" s="46" t="str">
        <f>IF(AND('Mapa final'!$AH$75="Media",'Mapa final'!$AJ$75="Mayor"),CONCATENATE("R2C",'Mapa final'!$R$75),"")</f>
        <v/>
      </c>
      <c r="AI41" s="47" t="str">
        <f>IF(AND('Mapa final'!$AH$69="Media",'Mapa final'!$AJ$69="Catastrófico"),CONCATENATE("R2C",'Mapa final'!$R$69),"")</f>
        <v/>
      </c>
      <c r="AJ41" s="48" t="str">
        <f>IF(AND('Mapa final'!$AH$70="Media",'Mapa final'!$AJ$70="Catastrófico"),CONCATENATE("R2C",'Mapa final'!$R$70),"")</f>
        <v/>
      </c>
      <c r="AK41" s="48" t="str">
        <f>IF(AND('Mapa final'!$AH$71="Media",'Mapa final'!$AJ$71="Catastrófico"),CONCATENATE("R2C",'Mapa final'!$R$71),"")</f>
        <v/>
      </c>
      <c r="AL41" s="48" t="str">
        <f>IF(AND('Mapa final'!$AH$72="Media",'Mapa final'!$AJ$72="Catastrófico"),CONCATENATE("R2C",'Mapa final'!$R$72),"")</f>
        <v/>
      </c>
      <c r="AM41" s="48" t="str">
        <f>IF(AND('Mapa final'!$AH$74="Media",'Mapa final'!$AJ$74="Catastrófico"),CONCATENATE("R2C",'Mapa final'!$R$74),"")</f>
        <v/>
      </c>
      <c r="AN41" s="49" t="str">
        <f>IF(AND('Mapa final'!$AH$75="Muy Alta",'Mapa final'!$AJ$75="Catastrófico"),CONCATENATE("R2C",'Mapa final'!$R$75),"")</f>
        <v/>
      </c>
      <c r="AO41" s="68"/>
      <c r="AP41" s="563"/>
      <c r="AQ41" s="564"/>
      <c r="AR41" s="564"/>
      <c r="AS41" s="564"/>
      <c r="AT41" s="564"/>
      <c r="AU41" s="565"/>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x14ac:dyDescent="0.45">
      <c r="B42" s="68"/>
      <c r="C42" s="476"/>
      <c r="D42" s="476"/>
      <c r="E42" s="477"/>
      <c r="F42" s="516" t="s">
        <v>270</v>
      </c>
      <c r="G42" s="517"/>
      <c r="H42" s="517"/>
      <c r="I42" s="517"/>
      <c r="J42" s="517"/>
      <c r="K42" s="59"/>
      <c r="L42" s="60" t="str">
        <f>IF(AND('Mapa final'!$AH$16="Baja",'Mapa final'!$AJ$16="Leve"),CONCATENATE("R2C",'Mapa final'!$R$15),"")</f>
        <v/>
      </c>
      <c r="M42" s="60" t="str">
        <f>IF(AND('Mapa final'!$AH$17="Baja",'Mapa final'!$AJ$17="Leve"),CONCATENATE("R2C",'Mapa final'!$R$17),"")</f>
        <v/>
      </c>
      <c r="N42" s="60" t="e">
        <f>IF(AND('Mapa final'!#REF!="Baja",'Mapa final'!#REF!="Leve"),CONCATENATE("R2C",'Mapa final'!#REF!),"")</f>
        <v>#REF!</v>
      </c>
      <c r="O42" s="60" t="str">
        <f>IF(AND('Mapa final'!$AH$19="Baja",'Mapa final'!$AJ$19="Leve"),CONCATENATE("R2C",'Mapa final'!$R$19),"")</f>
        <v/>
      </c>
      <c r="P42" s="61" t="str">
        <f>IF(AND('Mapa final'!$AH$20="Baja",'Mapa final'!$AJ$20="Leve"),CONCATENATE("R2C",'Mapa final'!$R$20),"")</f>
        <v/>
      </c>
      <c r="Q42" s="50"/>
      <c r="R42" s="51" t="str">
        <f>IF(AND('Mapa final'!$AH$16="Baja",'Mapa final'!$AJ$16="Menore"),CONCATENATE("R2C",'Mapa final'!$R$15),"")</f>
        <v/>
      </c>
      <c r="S42" s="51" t="str">
        <f>IF(AND('Mapa final'!$AH$17="Baja",'Mapa final'!$AJ$17="Menor"),CONCATENATE("R2C",'Mapa final'!$R$17),"")</f>
        <v/>
      </c>
      <c r="T42" s="51" t="e">
        <f>IF(AND('Mapa final'!#REF!="Baja",'Mapa final'!#REF!="Menor"),CONCATENATE("R2C",'Mapa final'!#REF!),"")</f>
        <v>#REF!</v>
      </c>
      <c r="U42" s="51" t="str">
        <f>IF(AND('Mapa final'!$AH$19="Baja",'Mapa final'!$AJ$19="Menor"),CONCATENATE("R2C",'Mapa final'!$R$19),"")</f>
        <v/>
      </c>
      <c r="V42" s="52" t="str">
        <f>IF(AND('Mapa final'!$AH$20="Baja",'Mapa final'!$AJ$20="Menor"),CONCATENATE("R2C",'Mapa final'!$R$20),"")</f>
        <v/>
      </c>
      <c r="W42" s="50"/>
      <c r="X42" s="51" t="str">
        <f>IF(AND('Mapa final'!$AH$16="Baja",'Mapa final'!$AJ$16="Moderado"),CONCATENATE("R2C",'Mapa final'!$R$15),"")</f>
        <v/>
      </c>
      <c r="Y42" s="51"/>
      <c r="Z42" s="51" t="e">
        <f>IF(AND('Mapa final'!#REF!="Baja",'Mapa final'!#REF!="Moderado"),CONCATENATE("R2C",'Mapa final'!#REF!),"")</f>
        <v>#REF!</v>
      </c>
      <c r="AA42" s="51" t="str">
        <f>IF(AND('Mapa final'!$AH$19="Baja",'Mapa final'!$AJ$19="Moderado"),CONCATENATE("R2C",'Mapa final'!$R$19),"")</f>
        <v>R2C     El riesgo afecta la imagen de la entidad con algunos usuarios de relevancia frente al logro de los objetivos</v>
      </c>
      <c r="AB42" s="52" t="str">
        <f>IF(AND('Mapa final'!$AH$20="Baja",'Mapa final'!$AJ$20="Moderado"),CONCATENATE("R2C",'Mapa final'!$R$20),"")</f>
        <v/>
      </c>
      <c r="AC42" s="32"/>
      <c r="AD42" s="33" t="str">
        <f>IF(AND('Mapa final'!$AH$16="Baja",'Mapa final'!$AJ$16="Mayor"),CONCATENATE("R2C",'Mapa final'!$R$15),"")</f>
        <v/>
      </c>
      <c r="AE42" s="33" t="str">
        <f>IF(AND('Mapa final'!$AH$17="Baja",'Mapa final'!$AJ$17="Mayor"),CONCATENATE("R2C",'Mapa final'!$R$17),"")</f>
        <v/>
      </c>
      <c r="AF42" s="33" t="e">
        <f>IF(AND('Mapa final'!#REF!="Baja",'Mapa final'!#REF!="Mayor"),CONCATENATE("R2C",'Mapa final'!#REF!),"")</f>
        <v>#REF!</v>
      </c>
      <c r="AG42" s="33" t="str">
        <f>IF(AND('Mapa final'!$AH$19="Baja",'Mapa final'!$AJ$19="Mayor"),CONCATENATE("R2C",'Mapa final'!$R$19),"")</f>
        <v/>
      </c>
      <c r="AH42" s="34" t="str">
        <f>IF(AND('Mapa final'!$AH$20="Baja",'Mapa final'!$AJ$20="Mayor"),CONCATENATE("R2C",'Mapa final'!$R$20),"")</f>
        <v/>
      </c>
      <c r="AI42" s="35"/>
      <c r="AJ42" s="36" t="str">
        <f>IF(AND('Mapa final'!$AH$16="Baja",'Mapa final'!$AJ$16="Catastrófico"),CONCATENATE("R2C",'Mapa final'!$R$15),"")</f>
        <v/>
      </c>
      <c r="AK42" s="36" t="str">
        <f>IF(AND('Mapa final'!$AH$17="Baja",'Mapa final'!$AJ$17="Catastrófico"),CONCATENATE("R2C",'Mapa final'!$R$17),"")</f>
        <v/>
      </c>
      <c r="AL42" s="36" t="e">
        <f>IF(AND('Mapa final'!#REF!="Baja",'Mapa final'!#REF!="Catastrófico"),CONCATENATE("R2C",'Mapa final'!#REF!),"")</f>
        <v>#REF!</v>
      </c>
      <c r="AM42" s="36" t="str">
        <f>IF(AND('Mapa final'!$AH$19="Baja",'Mapa final'!$AJ$19="Catastrófico"),CONCATENATE("R2C",'Mapa final'!$R$19),"")</f>
        <v/>
      </c>
      <c r="AN42" s="37" t="str">
        <f>IF(AND('Mapa final'!$AH$20="Baja",'Mapa final'!$AJ$20="Catastrófico"),CONCATENATE("R2C",'Mapa final'!$R$20),"")</f>
        <v/>
      </c>
      <c r="AO42" s="68"/>
      <c r="AP42" s="548" t="s">
        <v>271</v>
      </c>
      <c r="AQ42" s="549"/>
      <c r="AR42" s="549"/>
      <c r="AS42" s="549"/>
      <c r="AT42" s="549"/>
      <c r="AU42" s="550"/>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x14ac:dyDescent="0.45">
      <c r="B43" s="68"/>
      <c r="C43" s="476"/>
      <c r="D43" s="476"/>
      <c r="E43" s="477"/>
      <c r="F43" s="535"/>
      <c r="G43" s="520"/>
      <c r="H43" s="520"/>
      <c r="I43" s="520"/>
      <c r="J43" s="520"/>
      <c r="K43" s="62" t="str">
        <f>IF(AND('Mapa final'!$AH$21="Baja",'Mapa final'!$AJ$21="Leve"),CONCATENATE("R2C",'Mapa final'!$R$21),"")</f>
        <v/>
      </c>
      <c r="L43" s="63" t="e">
        <f>IF(AND('Mapa final'!#REF!="Baja",'Mapa final'!#REF!="Leve"),CONCATENATE("R2C",'Mapa final'!#REF!),"")</f>
        <v>#REF!</v>
      </c>
      <c r="M43" s="63" t="str">
        <f>IF(AND('Mapa final'!$AH$23="Baja",'Mapa final'!$AJ$23="Leve"),CONCATENATE("R2C",'Mapa final'!$R$23),"")</f>
        <v/>
      </c>
      <c r="N43" s="63" t="str">
        <f>IF(AND('Mapa final'!$AH$24="Baja",'Mapa final'!$AJ$24="Leve"),CONCATENATE("R2C",'Mapa final'!$R$24),"")</f>
        <v/>
      </c>
      <c r="O43" s="63" t="str">
        <f>IF(AND('Mapa final'!$AH$25="Baja",'Mapa final'!$AJ$25="Leve"),CONCATENATE("R2C",'Mapa final'!$R$25),"")</f>
        <v/>
      </c>
      <c r="P43" s="64" t="str">
        <f>IF(AND('Mapa final'!$AH$26="Baja",'Mapa final'!$AJ$26="Leve"),CONCATENATE("R2C",'Mapa final'!$R$26),"")</f>
        <v/>
      </c>
      <c r="Q43" s="53" t="str">
        <f>IF(AND('Mapa final'!$AH$21="Baja",'Mapa final'!$AJ$21="Menor"),CONCATENATE("R2C",'Mapa final'!$R$21),"")</f>
        <v/>
      </c>
      <c r="R43" s="54" t="e">
        <f>IF(AND('Mapa final'!#REF!="Baja",'Mapa final'!#REF!="Menor"),CONCATENATE("R2C",'Mapa final'!#REF!),"")</f>
        <v>#REF!</v>
      </c>
      <c r="S43" s="54" t="str">
        <f>IF(AND('Mapa final'!$AH$23="Baja",'Mapa final'!$AJ$23="Menor"),CONCATENATE("R2C",'Mapa final'!$R$23),"")</f>
        <v/>
      </c>
      <c r="T43" s="54" t="str">
        <f>IF(AND('Mapa final'!$AH$24="Baja",'Mapa final'!$AJ$24="Menor"),CONCATENATE("R2C",'Mapa final'!$R$24),"")</f>
        <v/>
      </c>
      <c r="U43" s="54" t="str">
        <f>IF(AND('Mapa final'!$AH$25="Baja",'Mapa final'!$AJ$25="Menor"),CONCATENATE("R2C",'Mapa final'!$R$25),"")</f>
        <v/>
      </c>
      <c r="V43" s="55" t="str">
        <f>IF(AND('Mapa final'!$AH$26="Baja",'Mapa final'!$AJ$26="Menor"),CONCATENATE("R2C",'Mapa final'!$R$26),"")</f>
        <v/>
      </c>
      <c r="W43" s="53" t="str">
        <f>IF(AND('Mapa final'!$AH$21="Baja",'Mapa final'!$AJ$21="Moderado"),CONCATENATE("R2C",'Mapa final'!$R$21),"")</f>
        <v/>
      </c>
      <c r="X43" s="54" t="e">
        <f>IF(AND('Mapa final'!#REF!="Baja",'Mapa final'!#REF!="Moderado"),CONCATENATE("R2C",'Mapa final'!#REF!),"")</f>
        <v>#REF!</v>
      </c>
      <c r="Y43" s="54" t="str">
        <f>IF(AND('Mapa final'!$AH$23="Baja",'Mapa final'!$AJ$23="Moderado"),CONCATENATE("R2C",'Mapa final'!$R$23),"")</f>
        <v/>
      </c>
      <c r="Z43" s="54" t="str">
        <f>IF(AND('Mapa final'!$AH$24="Baja",'Mapa final'!$AJ$24="Moderado"),CONCATENATE("R2C",'Mapa final'!$R$24),"")</f>
        <v/>
      </c>
      <c r="AA43" s="54" t="str">
        <f>IF(AND('Mapa final'!$AH$25="Baja",'Mapa final'!$AJ$25="Moderado"),CONCATENATE("R2C",'Mapa final'!$R$25),"")</f>
        <v/>
      </c>
      <c r="AB43" s="55" t="str">
        <f>IF(AND('Mapa final'!$AH$26="Baja",'Mapa final'!$AJ$26="Moderado"),CONCATENATE("R2C",'Mapa final'!$R$26),"")</f>
        <v/>
      </c>
      <c r="AC43" s="38" t="str">
        <f>IF(AND('Mapa final'!$AH$21="Baja",'Mapa final'!$AJ$21="Mayor"),CONCATENATE("R2C",'Mapa final'!$R$21),"")</f>
        <v/>
      </c>
      <c r="AD43" s="39" t="e">
        <f>IF(AND('Mapa final'!#REF!="Baja",'Mapa final'!#REF!="Mayor"),CONCATENATE("R2C",'Mapa final'!#REF!),"")</f>
        <v>#REF!</v>
      </c>
      <c r="AE43" s="39" t="str">
        <f>IF(AND('Mapa final'!$AH$23="Baja",'Mapa final'!$AJ$23="Mayor"),CONCATENATE("R2C",'Mapa final'!$R$23),"")</f>
        <v/>
      </c>
      <c r="AF43" s="39" t="str">
        <f>IF(AND('Mapa final'!$AH$24="Baja",'Mapa final'!$AJ$24="Mayor"),CONCATENATE("R2C",'Mapa final'!$R$24),"")</f>
        <v/>
      </c>
      <c r="AG43" s="39" t="str">
        <f>IF(AND('Mapa final'!$AH$25="Baja",'Mapa final'!$AJ$25="Mayor"),CONCATENATE("R2C",'Mapa final'!$R$25),"")</f>
        <v/>
      </c>
      <c r="AH43" s="40" t="str">
        <f>IF(AND('Mapa final'!$AH$26="Baja",'Mapa final'!$AJ$26="Mayor"),CONCATENATE("R2C",'Mapa final'!$R$26),"")</f>
        <v/>
      </c>
      <c r="AI43" s="41" t="str">
        <f>IF(AND('Mapa final'!$AH$21="Baja",'Mapa final'!$AJ$21="Catastrófico"),CONCATENATE("R2C",'Mapa final'!$R$21),"")</f>
        <v/>
      </c>
      <c r="AJ43" s="42" t="e">
        <f>IF(AND('Mapa final'!#REF!="Baja",'Mapa final'!#REF!="Catastrófico"),CONCATENATE("R2C",'Mapa final'!#REF!),"")</f>
        <v>#REF!</v>
      </c>
      <c r="AK43" s="42" t="str">
        <f>IF(AND('Mapa final'!$AH$23="Baja",'Mapa final'!$AJ$23="Catastrófico"),CONCATENATE("R2C",'Mapa final'!$R$23),"")</f>
        <v/>
      </c>
      <c r="AL43" s="42" t="str">
        <f>IF(AND('Mapa final'!$AH$24="Baja",'Mapa final'!$AJ$24="Catastrófico"),CONCATENATE("R2C",'Mapa final'!$R$24),"")</f>
        <v/>
      </c>
      <c r="AM43" s="42" t="str">
        <f>IF(AND('Mapa final'!$AH$25="Baja",'Mapa final'!$AJ$25="Catastrófico"),CONCATENATE("R2C",'Mapa final'!$R$25),"")</f>
        <v/>
      </c>
      <c r="AN43" s="43" t="str">
        <f>IF(AND('Mapa final'!$AH$26="Baja",'Mapa final'!$AJ$26="Catastrófico"),CONCATENATE("R2C",'Mapa final'!$R$26),"")</f>
        <v/>
      </c>
      <c r="AO43" s="68"/>
      <c r="AP43" s="551"/>
      <c r="AQ43" s="552"/>
      <c r="AR43" s="552"/>
      <c r="AS43" s="552"/>
      <c r="AT43" s="552"/>
      <c r="AU43" s="553"/>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x14ac:dyDescent="0.45">
      <c r="B44" s="68"/>
      <c r="C44" s="476"/>
      <c r="D44" s="476"/>
      <c r="E44" s="477"/>
      <c r="F44" s="519"/>
      <c r="G44" s="520"/>
      <c r="H44" s="520"/>
      <c r="I44" s="520"/>
      <c r="J44" s="520"/>
      <c r="K44" s="62" t="str">
        <f>IF(AND('Mapa final'!$AH$27="Baja",'Mapa final'!$AJ$27="Leve"),CONCATENATE("R2C",'Mapa final'!$R$27),"")</f>
        <v/>
      </c>
      <c r="L44" s="63" t="str">
        <f>IF(AND('Mapa final'!$AH$28="Baja",'Mapa final'!$AJ$28="Leve"),CONCATENATE("R2C",'Mapa final'!$R$28),"")</f>
        <v/>
      </c>
      <c r="M44" s="63" t="str">
        <f>IF(AND('Mapa final'!$AH$29="Baja",'Mapa final'!$AJ$29="Leve"),CONCATENATE("R2C",'Mapa final'!$R$29),"")</f>
        <v/>
      </c>
      <c r="N44" s="63" t="str">
        <f>IF(AND('Mapa final'!$AH$30="Baja",'Mapa final'!$AJ$30="Leve"),CONCATENATE("R2C",'Mapa final'!$R$30),"")</f>
        <v/>
      </c>
      <c r="O44" s="63" t="str">
        <f>IF(AND('Mapa final'!$AH$31="Baja",'Mapa final'!$AJ$31="Leve"),CONCATENATE("R2C",'Mapa final'!$R$31),"")</f>
        <v/>
      </c>
      <c r="P44" s="64" t="str">
        <f>IF(AND('Mapa final'!$AH$32="Baja",'Mapa final'!$AJ$32="Leve"),CONCATENATE("R2C",'Mapa final'!$R$32),"")</f>
        <v/>
      </c>
      <c r="Q44" s="53" t="str">
        <f>IF(AND('Mapa final'!$AH$27="Baja",'Mapa final'!$AJ$27="Menor"),CONCATENATE("R2C",'Mapa final'!$R$27),"")</f>
        <v/>
      </c>
      <c r="R44" s="54" t="str">
        <f>IF(AND('Mapa final'!$AH$28="Baja",'Mapa final'!$AJ$28="Menor"),CONCATENATE("R2C",'Mapa final'!$R$28),"")</f>
        <v/>
      </c>
      <c r="S44" s="54" t="str">
        <f>IF(AND('Mapa final'!$AH$29="Baja",'Mapa final'!$AJ$29="Menor"),CONCATENATE("R2C",'Mapa final'!$R$29),"")</f>
        <v/>
      </c>
      <c r="T44" s="54" t="str">
        <f>IF(AND('Mapa final'!$AH$30="Baja",'Mapa final'!$AJ$30="Menor"),CONCATENATE("R2C",'Mapa final'!$R$30),"")</f>
        <v/>
      </c>
      <c r="U44" s="54" t="str">
        <f>IF(AND('Mapa final'!$AH$31="Baja",'Mapa final'!$AJ$31="Menor"),CONCATENATE("R2C",'Mapa final'!$R$31),"")</f>
        <v/>
      </c>
      <c r="V44" s="55" t="str">
        <f>IF(AND('Mapa final'!$AH$32="Baja",'Mapa final'!$AJ$32="Menor"),CONCATENATE("R2C",'Mapa final'!$R$32),"")</f>
        <v/>
      </c>
      <c r="W44" s="53" t="str">
        <f>IF(AND('Mapa final'!$AH$27="Baja",'Mapa final'!$AJ$27="Moderado"),CONCATENATE("R2C",'Mapa final'!$R$27),"")</f>
        <v/>
      </c>
      <c r="X44" s="54" t="str">
        <f>IF(AND('Mapa final'!$AH$28="Baja",'Mapa final'!$AJ$28="Moderado"),CONCATENATE("R2C",'Mapa final'!$R$28),"")</f>
        <v/>
      </c>
      <c r="Y44" s="54" t="str">
        <f>IF(AND('Mapa final'!$AH$29="Baja",'Mapa final'!$AJ$29="Moderado"),CONCATENATE("R2C",'Mapa final'!$R$29),"")</f>
        <v/>
      </c>
      <c r="Z44" s="54" t="str">
        <f>IF(AND('Mapa final'!$AH$30="Baja",'Mapa final'!$AJ$30="Moderado"),CONCATENATE("R2C",'Mapa final'!$R$30),"")</f>
        <v/>
      </c>
      <c r="AA44" s="54" t="str">
        <f>IF(AND('Mapa final'!$AH$31="Baja",'Mapa final'!$AJ$31="Moderado"),CONCATENATE("R2C",'Mapa final'!$R$31),"")</f>
        <v/>
      </c>
      <c r="AB44" s="55" t="str">
        <f>IF(AND('Mapa final'!$AH$32="Baja",'Mapa final'!$AJ$32="Moderado"),CONCATENATE("R2C",'Mapa final'!$R$32),"")</f>
        <v/>
      </c>
      <c r="AC44" s="38" t="str">
        <f>IF(AND('Mapa final'!$AH$27="Baja",'Mapa final'!$AJ$27="Mayor"),CONCATENATE("R2C",'Mapa final'!$R$27),"")</f>
        <v/>
      </c>
      <c r="AD44" s="39" t="str">
        <f>IF(AND('Mapa final'!$AH$28="Baja",'Mapa final'!$AJ$28="Mayor"),CONCATENATE("R2C",'Mapa final'!$R$28),"")</f>
        <v/>
      </c>
      <c r="AE44" s="39" t="str">
        <f>IF(AND('Mapa final'!$AH$29="Baja",'Mapa final'!$AJ$29="Mayor"),CONCATENATE("R2C",'Mapa final'!$R$29),"")</f>
        <v/>
      </c>
      <c r="AF44" s="39" t="str">
        <f>IF(AND('Mapa final'!$AH$30="Baja",'Mapa final'!$AJ$30="Mayor"),CONCATENATE("R2C",'Mapa final'!$R$30),"")</f>
        <v/>
      </c>
      <c r="AG44" s="39" t="str">
        <f>IF(AND('Mapa final'!$AH$31="Baja",'Mapa final'!$AJ$31="Mayor"),CONCATENATE("R2C",'Mapa final'!$R$31),"")</f>
        <v/>
      </c>
      <c r="AH44" s="40" t="str">
        <f>IF(AND('Mapa final'!$AH$32="Baja",'Mapa final'!$AJ$32="Mayor"),CONCATENATE("R2C",'Mapa final'!$R$32),"")</f>
        <v/>
      </c>
      <c r="AI44" s="41" t="str">
        <f>IF(AND('Mapa final'!$AH$27="Baja",'Mapa final'!$AJ$27="Catastrófico"),CONCATENATE("R2C",'Mapa final'!$R$27),"")</f>
        <v/>
      </c>
      <c r="AJ44" s="42" t="str">
        <f>IF(AND('Mapa final'!$AH$28="Baja",'Mapa final'!$AJ$28="Catastrófico"),CONCATENATE("R2C",'Mapa final'!$R$28),"")</f>
        <v/>
      </c>
      <c r="AK44" s="42" t="str">
        <f>IF(AND('Mapa final'!$AH$29="Baja",'Mapa final'!$AJ$29="Catastrófico"),CONCATENATE("R2C",'Mapa final'!$R$29),"")</f>
        <v/>
      </c>
      <c r="AL44" s="42" t="str">
        <f>IF(AND('Mapa final'!$AH$30="Baja",'Mapa final'!$AJ$30="Catastrófico"),CONCATENATE("R2C",'Mapa final'!$R$30),"")</f>
        <v/>
      </c>
      <c r="AM44" s="42" t="str">
        <f>IF(AND('Mapa final'!$AH$31="Baja",'Mapa final'!$AJ$31="Catastrófico"),CONCATENATE("R2C",'Mapa final'!$R$31),"")</f>
        <v/>
      </c>
      <c r="AN44" s="43" t="str">
        <f>IF(AND('Mapa final'!$AH$32="Baja",'Mapa final'!$AJ$32="Catastrófico"),CONCATENATE("R2C",'Mapa final'!$R$32),"")</f>
        <v/>
      </c>
      <c r="AO44" s="68"/>
      <c r="AP44" s="551"/>
      <c r="AQ44" s="552"/>
      <c r="AR44" s="552"/>
      <c r="AS44" s="552"/>
      <c r="AT44" s="552"/>
      <c r="AU44" s="553"/>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x14ac:dyDescent="0.45">
      <c r="B45" s="68"/>
      <c r="C45" s="476"/>
      <c r="D45" s="476"/>
      <c r="E45" s="477"/>
      <c r="F45" s="519"/>
      <c r="G45" s="520"/>
      <c r="H45" s="520"/>
      <c r="I45" s="520"/>
      <c r="J45" s="520"/>
      <c r="K45" s="62" t="str">
        <f>IF(AND('Mapa final'!$AH$33="Baja",'Mapa final'!$AJ$33="Leve"),CONCATENATE("R2C",'Mapa final'!$R$33),"")</f>
        <v/>
      </c>
      <c r="L45" s="63" t="str">
        <f>IF(AND('Mapa final'!$AH$34="Baja",'Mapa final'!$AJ$34="Leve"),CONCATENATE("R2C",'Mapa final'!$R$34),"")</f>
        <v/>
      </c>
      <c r="M45" s="63" t="str">
        <f>IF(AND('Mapa final'!$AH$35="Baja",'Mapa final'!$AJ$35="Leve"),CONCATENATE("R2C",'Mapa final'!$R$35),"")</f>
        <v/>
      </c>
      <c r="N45" s="63" t="str">
        <f>IF(AND('Mapa final'!$AH$36="Baja",'Mapa final'!$AJ$36="Leve"),CONCATENATE("R2C",'Mapa final'!$R$36),"")</f>
        <v/>
      </c>
      <c r="O45" s="63" t="str">
        <f>IF(AND('Mapa final'!$AH$37="Baja",'Mapa final'!$AJ$37="Leve"),CONCATENATE("R2C",'Mapa final'!$R$37),"")</f>
        <v/>
      </c>
      <c r="P45" s="64" t="str">
        <f>IF(AND('Mapa final'!$AH$38="Baja",'Mapa final'!$AJ$38="Leve"),CONCATENATE("R2C",'Mapa final'!$R$38),"")</f>
        <v/>
      </c>
      <c r="Q45" s="53" t="str">
        <f>IF(AND('Mapa final'!$AH$33="Baja",'Mapa final'!$AJ$33="Menor"),CONCATENATE("R2C",'Mapa final'!$R$33),"")</f>
        <v/>
      </c>
      <c r="R45" s="54" t="str">
        <f>IF(AND('Mapa final'!$AH$34="Baja",'Mapa final'!$AJ$34="Menor"),CONCATENATE("R2C",'Mapa final'!$R$34),"")</f>
        <v/>
      </c>
      <c r="S45" s="54" t="str">
        <f>IF(AND('Mapa final'!$AH$35="Baja",'Mapa final'!$AJ$35="Menor"),CONCATENATE("R2C",'Mapa final'!$R$35),"")</f>
        <v/>
      </c>
      <c r="T45" s="54" t="str">
        <f>IF(AND('Mapa final'!$AH$36="Baja",'Mapa final'!$AJ$36="Menor"),CONCATENATE("R2C",'Mapa final'!$R$36),"")</f>
        <v/>
      </c>
      <c r="U45" s="54" t="str">
        <f>IF(AND('Mapa final'!$AH$37="Baja",'Mapa final'!$AJ$37="LMenor"),CONCATENATE("R2C",'Mapa final'!$R$37),"")</f>
        <v/>
      </c>
      <c r="V45" s="55" t="str">
        <f>IF(AND('Mapa final'!$AH$38="Baja",'Mapa final'!$AJ$38="Menor"),CONCATENATE("R2C",'Mapa final'!$R$38),"")</f>
        <v/>
      </c>
      <c r="W45" s="53" t="str">
        <f>IF(AND('Mapa final'!$AH$33="Baja",'Mapa final'!$AJ$33="Moderado"),CONCATENATE("R2C",'Mapa final'!$R$33),"")</f>
        <v/>
      </c>
      <c r="X45" s="54" t="str">
        <f>IF(AND('Mapa final'!$AH$34="Baja",'Mapa final'!$AJ$34="Moderado"),CONCATENATE("R2C",'Mapa final'!$R$34),"")</f>
        <v/>
      </c>
      <c r="Y45" s="54" t="str">
        <f>IF(AND('Mapa final'!$AH$35="Baja",'Mapa final'!$AJ$35="Moderado"),CONCATENATE("R2C",'Mapa final'!$R$35),"")</f>
        <v/>
      </c>
      <c r="Z45" s="54" t="str">
        <f>IF(AND('Mapa final'!$AH$36="Baja",'Mapa final'!$AJ$36="Moderado"),CONCATENATE("R2C",'Mapa final'!$R$36),"")</f>
        <v/>
      </c>
      <c r="AA45" s="54" t="str">
        <f>IF(AND('Mapa final'!$AH$37="Baja",'Mapa final'!$AJ$37="Moderado"),CONCATENATE("R2C",'Mapa final'!$R$37),"")</f>
        <v/>
      </c>
      <c r="AB45" s="55" t="str">
        <f>IF(AND('Mapa final'!$AH$38="Baja",'Mapa final'!$AJ$38="Moderado"),CONCATENATE("R2C",'Mapa final'!$R$38),"")</f>
        <v/>
      </c>
      <c r="AC45" s="38" t="str">
        <f>IF(AND('Mapa final'!$AH$33="Baja",'Mapa final'!$AJ$33="Mayor"),CONCATENATE("R2C",'Mapa final'!$R$33),"")</f>
        <v/>
      </c>
      <c r="AD45" s="39" t="str">
        <f>IF(AND('Mapa final'!$AH$34="Baja",'Mapa final'!$AJ$34="Mayor"),CONCATENATE("R2C",'Mapa final'!$R$34),"")</f>
        <v/>
      </c>
      <c r="AE45" s="39" t="str">
        <f>IF(AND('Mapa final'!$AH$35="Baja",'Mapa final'!$AJ$35="Mayor"),CONCATENATE("R2C",'Mapa final'!$R$35),"")</f>
        <v/>
      </c>
      <c r="AF45" s="39" t="str">
        <f>IF(AND('Mapa final'!$AH$36="Baja",'Mapa final'!$AJ$36="Mayor"),CONCATENATE("R2C",'Mapa final'!$R$36),"")</f>
        <v/>
      </c>
      <c r="AG45" s="39" t="str">
        <f>IF(AND('Mapa final'!$AH$37="Baja",'Mapa final'!$AJ$37="Mayor"),CONCATENATE("R2C",'Mapa final'!$R$37),"")</f>
        <v/>
      </c>
      <c r="AH45" s="40" t="str">
        <f>IF(AND('Mapa final'!$AH$38="Baja",'Mapa final'!$AJ$38="Mayor"),CONCATENATE("R2C",'Mapa final'!$R$38),"")</f>
        <v/>
      </c>
      <c r="AI45" s="41" t="str">
        <f>IF(AND('Mapa final'!$AH$33="Baja",'Mapa final'!$AJ$33="Catastrófico"),CONCATENATE("R2C",'Mapa final'!$R$33),"")</f>
        <v/>
      </c>
      <c r="AJ45" s="42" t="str">
        <f>IF(AND('Mapa final'!$AH$34="Baja",'Mapa final'!$AJ$34="Catastrófico"),CONCATENATE("R2C",'Mapa final'!$R$34),"")</f>
        <v/>
      </c>
      <c r="AK45" s="42" t="str">
        <f>IF(AND('Mapa final'!$AH$35="Baja",'Mapa final'!$AJ$35="Catastrófico"),CONCATENATE("R2C",'Mapa final'!$R$35),"")</f>
        <v/>
      </c>
      <c r="AL45" s="42" t="str">
        <f>IF(AND('Mapa final'!$AH$36="Baja",'Mapa final'!$AJ$36="Catastrófico"),CONCATENATE("R2C",'Mapa final'!$R$36),"")</f>
        <v/>
      </c>
      <c r="AM45" s="42" t="str">
        <f>IF(AND('Mapa final'!$AH$37="Baja",'Mapa final'!$AJ$37="LCatastrófico"),CONCATENATE("R2C",'Mapa final'!$R$37),"")</f>
        <v/>
      </c>
      <c r="AN45" s="43" t="str">
        <f>IF(AND('Mapa final'!$AH$38="Baja",'Mapa final'!$AJ$38="Catastrófico"),CONCATENATE("R2C",'Mapa final'!$R$38),"")</f>
        <v/>
      </c>
      <c r="AO45" s="68"/>
      <c r="AP45" s="551"/>
      <c r="AQ45" s="552"/>
      <c r="AR45" s="552"/>
      <c r="AS45" s="552"/>
      <c r="AT45" s="552"/>
      <c r="AU45" s="553"/>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x14ac:dyDescent="0.45">
      <c r="B46" s="68"/>
      <c r="C46" s="476"/>
      <c r="D46" s="476"/>
      <c r="E46" s="477"/>
      <c r="F46" s="519"/>
      <c r="G46" s="520"/>
      <c r="H46" s="520"/>
      <c r="I46" s="520"/>
      <c r="J46" s="520"/>
      <c r="K46" s="62" t="str">
        <f>IF(AND('Mapa final'!$AH$39="Baja",'Mapa final'!$AJ$39="Leve"),CONCATENATE("R2C",'Mapa final'!$R$39),"")</f>
        <v/>
      </c>
      <c r="L46" s="63" t="str">
        <f>IF(AND('Mapa final'!$AH$40="Baja",'Mapa final'!$AJ$40="Leve"),CONCATENATE("R2C",'Mapa final'!$R$40),"")</f>
        <v/>
      </c>
      <c r="M46" s="63" t="str">
        <f>IF(AND('Mapa final'!$AH$41="Baja",'Mapa final'!$AJ$41="Leve"),CONCATENATE("R2C",'Mapa final'!$R$41),"")</f>
        <v/>
      </c>
      <c r="N46" s="63" t="str">
        <f>IF(AND('Mapa final'!$AH$42="Baja",'Mapa final'!$AJ$42="Leve"),CONCATENATE("R2C",'Mapa final'!$R$42),"")</f>
        <v/>
      </c>
      <c r="O46" s="63" t="str">
        <f>IF(AND('Mapa final'!$AH$43="Baja",'Mapa final'!$AJ$43="Leve"),CONCATENATE("R2C",'Mapa final'!$R$43),"")</f>
        <v/>
      </c>
      <c r="P46" s="64" t="str">
        <f>IF(AND('Mapa final'!$AH$44="Baja",'Mapa final'!$AJ$44="Leve"),CONCATENATE("R2C",'Mapa final'!$R$44),"")</f>
        <v/>
      </c>
      <c r="Q46" s="53" t="str">
        <f>IF(AND('Mapa final'!$AH$39="Baja",'Mapa final'!$AJ$39="Menor"),CONCATENATE("R2C",'Mapa final'!$R$39),"")</f>
        <v/>
      </c>
      <c r="R46" s="54" t="str">
        <f>IF(AND('Mapa final'!$AH$40="Baja",'Mapa final'!$AJ$40="Menor"),CONCATENATE("R2C",'Mapa final'!$R$40),"")</f>
        <v/>
      </c>
      <c r="S46" s="54" t="str">
        <f>IF(AND('Mapa final'!$AH$41="Baja",'Mapa final'!$AJ$41="Menor"),CONCATENATE("R2C",'Mapa final'!$R$41),"")</f>
        <v/>
      </c>
      <c r="T46" s="54" t="str">
        <f>IF(AND('Mapa final'!$AH$42="Baja",'Mapa final'!$AJ$42="Menor"),CONCATENATE("R2C",'Mapa final'!$R$42),"")</f>
        <v/>
      </c>
      <c r="U46" s="54" t="str">
        <f>IF(AND('Mapa final'!$AH$43="Baja",'Mapa final'!$AJ$43="Menor"),CONCATENATE("R2C",'Mapa final'!$R$43),"")</f>
        <v/>
      </c>
      <c r="V46" s="55" t="str">
        <f>IF(AND('Mapa final'!$AH$44="Baja",'Mapa final'!$AJ$44="Menor"),CONCATENATE("R2C",'Mapa final'!$R$44),"")</f>
        <v/>
      </c>
      <c r="W46" s="53" t="str">
        <f>IF(AND('Mapa final'!$AH$39="Baja",'Mapa final'!$AJ$39="Moderado"),CONCATENATE("R2C",'Mapa final'!$R$39),"")</f>
        <v/>
      </c>
      <c r="X46" s="54" t="str">
        <f>IF(AND('Mapa final'!$AH$40="Baja",'Mapa final'!$AJ$40="Moderado"),CONCATENATE("R2C",'Mapa final'!$R$40),"")</f>
        <v/>
      </c>
      <c r="Y46" s="54" t="str">
        <f>IF(AND('Mapa final'!$AH$41="Baja",'Mapa final'!$AJ$41="Moderado"),CONCATENATE("R2C",'Mapa final'!$R$41),"")</f>
        <v/>
      </c>
      <c r="Z46" s="54" t="str">
        <f>IF(AND('Mapa final'!$AH$42="Baja",'Mapa final'!$AJ$42="Moderado"),CONCATENATE("R2C",'Mapa final'!$R$42),"")</f>
        <v/>
      </c>
      <c r="AA46" s="54" t="str">
        <f>IF(AND('Mapa final'!$AH$43="Baja",'Mapa final'!$AJ$43="Moderado"),CONCATENATE("R2C",'Mapa final'!$R$43),"")</f>
        <v/>
      </c>
      <c r="AB46" s="55" t="str">
        <f>IF(AND('Mapa final'!$AH$44="Baja",'Mapa final'!$AJ$44="Moderado"),CONCATENATE("R2C",'Mapa final'!$R$44),"")</f>
        <v/>
      </c>
      <c r="AC46" s="38" t="str">
        <f>IF(AND('Mapa final'!$AH$39="Baja",'Mapa final'!$AJ$39="Mayor"),CONCATENATE("R2C",'Mapa final'!$R$39),"")</f>
        <v/>
      </c>
      <c r="AD46" s="39" t="str">
        <f>IF(AND('Mapa final'!$AH$40="Baja",'Mapa final'!$AJ$40="Mayor"),CONCATENATE("R2C",'Mapa final'!$R$40),"")</f>
        <v/>
      </c>
      <c r="AE46" s="39" t="str">
        <f>IF(AND('Mapa final'!$AH$41="Baja",'Mapa final'!$AJ$41="Mayor"),CONCATENATE("R2C",'Mapa final'!$R$41),"")</f>
        <v/>
      </c>
      <c r="AF46" s="39" t="str">
        <f>IF(AND('Mapa final'!$AH$42="Baja",'Mapa final'!$AJ$42="Mayor"),CONCATENATE("R2C",'Mapa final'!$R$42),"")</f>
        <v/>
      </c>
      <c r="AG46" s="39" t="str">
        <f>IF(AND('Mapa final'!$AH$43="Baja",'Mapa final'!$AJ$43="Mayor"),CONCATENATE("R2C",'Mapa final'!$R$43),"")</f>
        <v/>
      </c>
      <c r="AH46" s="40" t="str">
        <f>IF(AND('Mapa final'!$AH$44="Baja",'Mapa final'!$AJ$44="Mayor"),CONCATENATE("R2C",'Mapa final'!$R$44),"")</f>
        <v/>
      </c>
      <c r="AI46" s="41" t="str">
        <f>IF(AND('Mapa final'!$AH$39="Baja",'Mapa final'!$AJ$39="Catastrófico"),CONCATENATE("R2C",'Mapa final'!$R$39),"")</f>
        <v/>
      </c>
      <c r="AJ46" s="42" t="str">
        <f>IF(AND('Mapa final'!$AH$40="Baja",'Mapa final'!$AJ$40="Catastrófico"),CONCATENATE("R2C",'Mapa final'!$R$40),"")</f>
        <v/>
      </c>
      <c r="AK46" s="42" t="str">
        <f>IF(AND('Mapa final'!$AH$41="Baja",'Mapa final'!$AJ$41="Catastrófico"),CONCATENATE("R2C",'Mapa final'!$R$41),"")</f>
        <v/>
      </c>
      <c r="AL46" s="42" t="str">
        <f>IF(AND('Mapa final'!$AH$42="Baja",'Mapa final'!$AJ$42="Catastrófico"),CONCATENATE("R2C",'Mapa final'!$R$42),"")</f>
        <v/>
      </c>
      <c r="AM46" s="42" t="str">
        <f>IF(AND('Mapa final'!$AH$43="Baja",'Mapa final'!$AJ$43="Catastrófico"),CONCATENATE("R2C",'Mapa final'!$R$43),"")</f>
        <v/>
      </c>
      <c r="AN46" s="43" t="str">
        <f>IF(AND('Mapa final'!$AH$44="Baja",'Mapa final'!$AJ$44="Catastrófico"),CONCATENATE("R2C",'Mapa final'!$R$44),"")</f>
        <v/>
      </c>
      <c r="AO46" s="68"/>
      <c r="AP46" s="551"/>
      <c r="AQ46" s="552"/>
      <c r="AR46" s="552"/>
      <c r="AS46" s="552"/>
      <c r="AT46" s="552"/>
      <c r="AU46" s="553"/>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x14ac:dyDescent="0.45">
      <c r="B47" s="68"/>
      <c r="C47" s="476"/>
      <c r="D47" s="476"/>
      <c r="E47" s="477"/>
      <c r="F47" s="519"/>
      <c r="G47" s="520"/>
      <c r="H47" s="520"/>
      <c r="I47" s="520"/>
      <c r="J47" s="520"/>
      <c r="K47" s="62" t="str">
        <f>IF(AND('Mapa final'!$AH$45="Baja",'Mapa final'!$AJ$45="Leve"),CONCATENATE("R2C",'Mapa final'!$R$45),"")</f>
        <v/>
      </c>
      <c r="L47" s="63" t="str">
        <f>IF(AND('Mapa final'!$AH$46="Baja",'Mapa final'!$AJ$46="Leve"),CONCATENATE("R2C",'Mapa final'!$R$46),"")</f>
        <v/>
      </c>
      <c r="M47" s="63" t="str">
        <f>IF(AND('Mapa final'!$AH$47="Baja",'Mapa final'!$AJ$47="Leve"),CONCATENATE("R2C",'Mapa final'!$R$47),"")</f>
        <v/>
      </c>
      <c r="N47" s="63" t="str">
        <f>IF(AND('Mapa final'!$AH$48="Baja",'Mapa final'!$AJ$48="Leve"),CONCATENATE("R2C",'Mapa final'!$R$48),"")</f>
        <v/>
      </c>
      <c r="O47" s="63" t="str">
        <f>IF(AND('Mapa final'!$AH$49="Baja",'Mapa final'!$AJ$49="Leve"),CONCATENATE("R2C",'Mapa final'!$R$49),"")</f>
        <v/>
      </c>
      <c r="P47" s="64" t="str">
        <f>IF(AND('Mapa final'!$AH$60="Baja",'Mapa final'!$AJ$50="Leve"),CONCATENATE("R2C",'Mapa final'!$R$50),"")</f>
        <v/>
      </c>
      <c r="Q47" s="53" t="str">
        <f>IF(AND('Mapa final'!$AH$45="Baja",'Mapa final'!$AJ$45="Menor"),CONCATENATE("R2C",'Mapa final'!$R$45),"")</f>
        <v/>
      </c>
      <c r="R47" s="54" t="str">
        <f>IF(AND('Mapa final'!$AH$46="Baja",'Mapa final'!$AJ$46="Menor"),CONCATENATE("R2C",'Mapa final'!$R$46),"")</f>
        <v/>
      </c>
      <c r="S47" s="54" t="str">
        <f>IF(AND('Mapa final'!$AH$47="Baja",'Mapa final'!$AJ$47="Menor"),CONCATENATE("R2C",'Mapa final'!$R$47),"")</f>
        <v/>
      </c>
      <c r="T47" s="54" t="str">
        <f>IF(AND('Mapa final'!$AH$48="Baja",'Mapa final'!$AJ$48="Menor"),CONCATENATE("R2C",'Mapa final'!$R$48),"")</f>
        <v/>
      </c>
      <c r="U47" s="54" t="str">
        <f>IF(AND('Mapa final'!$AH$49="Baja",'Mapa final'!$AJ$49="Menor"),CONCATENATE("R2C",'Mapa final'!$R$49),"")</f>
        <v/>
      </c>
      <c r="V47" s="55" t="str">
        <f>IF(AND('Mapa final'!$AH$60="Baja",'Mapa final'!$AJ$50="Menor"),CONCATENATE("R2C",'Mapa final'!$R$50),"")</f>
        <v/>
      </c>
      <c r="W47" s="53" t="str">
        <f>IF(AND('Mapa final'!$AH$45="Baja",'Mapa final'!$AJ$45="Moderado"),CONCATENATE("R2C",'Mapa final'!$R$45),"")</f>
        <v/>
      </c>
      <c r="X47" s="54" t="str">
        <f>IF(AND('Mapa final'!$AH$46="Baja",'Mapa final'!$AJ$46="Moderado"),CONCATENATE("R2C",'Mapa final'!$R$46),"")</f>
        <v/>
      </c>
      <c r="Y47" s="54" t="str">
        <f>IF(AND('Mapa final'!$AH$47="Baja",'Mapa final'!$AJ$47="Moderado"),CONCATENATE("R2C",'Mapa final'!$R$47),"")</f>
        <v/>
      </c>
      <c r="Z47" s="54" t="str">
        <f>IF(AND('Mapa final'!$AH$48="Baja",'Mapa final'!$AJ$48="Moderado"),CONCATENATE("R2C",'Mapa final'!$R$48),"")</f>
        <v/>
      </c>
      <c r="AA47" s="54" t="str">
        <f>IF(AND('Mapa final'!$AH$49="Baja",'Mapa final'!$AJ$49="Moderado"),CONCATENATE("R2C",'Mapa final'!$R$49),"")</f>
        <v/>
      </c>
      <c r="AB47" s="55" t="str">
        <f>IF(AND('Mapa final'!$AH$60="Baja",'Mapa final'!$AJ$50="Moderado"),CONCATENATE("R2C",'Mapa final'!$R$50),"")</f>
        <v/>
      </c>
      <c r="AC47" s="38" t="str">
        <f>IF(AND('Mapa final'!$AH$45="Baja",'Mapa final'!$AJ$45="Mayor"),CONCATENATE("R2C",'Mapa final'!$R$45),"")</f>
        <v/>
      </c>
      <c r="AD47" s="39" t="str">
        <f>IF(AND('Mapa final'!$AH$46="Baja",'Mapa final'!$AJ$46="Mayor"),CONCATENATE("R2C",'Mapa final'!$R$46),"")</f>
        <v/>
      </c>
      <c r="AE47" s="39" t="str">
        <f>IF(AND('Mapa final'!$AH$47="Baja",'Mapa final'!$AJ$47="Mayor"),CONCATENATE("R2C",'Mapa final'!$R$47),"")</f>
        <v/>
      </c>
      <c r="AF47" s="39" t="str">
        <f>IF(AND('Mapa final'!$AH$48="Baja",'Mapa final'!$AJ$48="Mayor"),CONCATENATE("R2C",'Mapa final'!$R$48),"")</f>
        <v/>
      </c>
      <c r="AG47" s="39" t="str">
        <f>IF(AND('Mapa final'!$AH$49="Baja",'Mapa final'!$AJ$49="Mayor"),CONCATENATE("R2C",'Mapa final'!$R$49),"")</f>
        <v/>
      </c>
      <c r="AH47" s="40" t="str">
        <f>IF(AND('Mapa final'!$AH$60="Baja",'Mapa final'!$AJ$50="Mayor"),CONCATENATE("R2C",'Mapa final'!$R$50),"")</f>
        <v/>
      </c>
      <c r="AI47" s="41" t="str">
        <f>IF(AND('Mapa final'!$AH$45="Baja",'Mapa final'!$AJ$45="Catastrófico"),CONCATENATE("R2C",'Mapa final'!$R$45),"")</f>
        <v/>
      </c>
      <c r="AJ47" s="42" t="str">
        <f>IF(AND('Mapa final'!$AH$46="Baja",'Mapa final'!$AJ$46="Catastrófico"),CONCATENATE("R2C",'Mapa final'!$R$46),"")</f>
        <v/>
      </c>
      <c r="AK47" s="42" t="str">
        <f>IF(AND('Mapa final'!$AH$47="Baja",'Mapa final'!$AJ$47="Catastrófico"),CONCATENATE("R2C",'Mapa final'!$R$47),"")</f>
        <v/>
      </c>
      <c r="AL47" s="42" t="str">
        <f>IF(AND('Mapa final'!$AH$48="Baja",'Mapa final'!$AJ$48="Catastrófico"),CONCATENATE("R2C",'Mapa final'!$R$48),"")</f>
        <v/>
      </c>
      <c r="AM47" s="42" t="str">
        <f>IF(AND('Mapa final'!$AH$49="Baja",'Mapa final'!$AJ$49="Catastrófico"),CONCATENATE("R2C",'Mapa final'!$R$49),"")</f>
        <v/>
      </c>
      <c r="AN47" s="43" t="str">
        <f>IF(AND('Mapa final'!$AH$60="Baja",'Mapa final'!$AJ$50="Catastrófico"),CONCATENATE("R2C",'Mapa final'!$R$50),"")</f>
        <v/>
      </c>
      <c r="AO47" s="68"/>
      <c r="AP47" s="551"/>
      <c r="AQ47" s="552"/>
      <c r="AR47" s="552"/>
      <c r="AS47" s="552"/>
      <c r="AT47" s="552"/>
      <c r="AU47" s="553"/>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x14ac:dyDescent="0.45">
      <c r="B48" s="68"/>
      <c r="C48" s="476"/>
      <c r="D48" s="476"/>
      <c r="E48" s="477"/>
      <c r="F48" s="519"/>
      <c r="G48" s="520"/>
      <c r="H48" s="520"/>
      <c r="I48" s="520"/>
      <c r="J48" s="520"/>
      <c r="K48" s="62" t="str">
        <f>IF(AND('Mapa final'!$AH$51="Baja",'Mapa final'!$AJ$51="Leve"),CONCATENATE("R2C",'Mapa final'!$R$51),"")</f>
        <v/>
      </c>
      <c r="L48" s="63" t="str">
        <f>IF(AND('Mapa final'!$AH$52="Baja",'Mapa final'!$AJ$52="Leve"),CONCATENATE("R2C",'Mapa final'!$R$52),"")</f>
        <v/>
      </c>
      <c r="M48" s="63" t="str">
        <f>IF(AND('Mapa final'!$AH$53="Baja",'Mapa final'!$AJ$53="Leve"),CONCATENATE("R2C",'Mapa final'!$R$53),"")</f>
        <v/>
      </c>
      <c r="N48" s="63" t="str">
        <f>IF(AND('Mapa final'!$AH$54="Baja",'Mapa final'!$AJ$54="Leve"),CONCATENATE("R2C",'Mapa final'!$R$54),"")</f>
        <v/>
      </c>
      <c r="O48" s="63" t="str">
        <f>IF(AND('Mapa final'!$AH$55="Baja",'Mapa final'!$AJ$55="Leve"),CONCATENATE("R2C",'Mapa final'!$R$55),"")</f>
        <v/>
      </c>
      <c r="P48" s="64" t="str">
        <f>IF(AND('Mapa final'!$AH$56="Baja",'Mapa final'!$AJ$56="Leve"),CONCATENATE("R2C",'Mapa final'!$R$56),"")</f>
        <v/>
      </c>
      <c r="Q48" s="53" t="str">
        <f>IF(AND('Mapa final'!$AH$51="Baja",'Mapa final'!$AJ$51="Menor"),CONCATENATE("R2C",'Mapa final'!$R$51),"")</f>
        <v/>
      </c>
      <c r="R48" s="54" t="str">
        <f>IF(AND('Mapa final'!$AH$52="Baja",'Mapa final'!$AJ$52="Menor"),CONCATENATE("R2C",'Mapa final'!$R$52),"")</f>
        <v/>
      </c>
      <c r="S48" s="54" t="str">
        <f>IF(AND('Mapa final'!$AH$53="Baja",'Mapa final'!$AJ$53="Menor"),CONCATENATE("R2C",'Mapa final'!$R$53),"")</f>
        <v/>
      </c>
      <c r="T48" s="54" t="str">
        <f>IF(AND('Mapa final'!$AH$54="Baja",'Mapa final'!$AJ$54="Menor"),CONCATENATE("R2C",'Mapa final'!$R$54),"")</f>
        <v/>
      </c>
      <c r="U48" s="54" t="str">
        <f>IF(AND('Mapa final'!$AH$55="Baja",'Mapa final'!$AJ$55="Menor"),CONCATENATE("R2C",'Mapa final'!$R$55),"")</f>
        <v/>
      </c>
      <c r="V48" s="55" t="str">
        <f>IF(AND('Mapa final'!$AH$56="Baja",'Mapa final'!$AJ$56="Menor"),CONCATENATE("R2C",'Mapa final'!$R$56),"")</f>
        <v/>
      </c>
      <c r="W48" s="53" t="str">
        <f>IF(AND('Mapa final'!$AH$51="Baja",'Mapa final'!$AJ$51="Moderado"),CONCATENATE("R2C",'Mapa final'!$R$51),"")</f>
        <v/>
      </c>
      <c r="X48" s="54" t="str">
        <f>IF(AND('Mapa final'!$AH$52="Baja",'Mapa final'!$AJ$52="Moderado"),CONCATENATE("R2C",'Mapa final'!$R$52),"")</f>
        <v/>
      </c>
      <c r="Y48" s="54" t="str">
        <f>IF(AND('Mapa final'!$AH$53="Baja",'Mapa final'!$AJ$53="Moderado"),CONCATENATE("R2C",'Mapa final'!$R$53),"")</f>
        <v/>
      </c>
      <c r="Z48" s="54" t="str">
        <f>IF(AND('Mapa final'!$AH$54="Baja",'Mapa final'!$AJ$54="Moderado"),CONCATENATE("R2C",'Mapa final'!$R$54),"")</f>
        <v/>
      </c>
      <c r="AA48" s="54" t="str">
        <f>IF(AND('Mapa final'!$AH$55="Baja",'Mapa final'!$AJ$55="Moderado"),CONCATENATE("R2C",'Mapa final'!$R$55),"")</f>
        <v/>
      </c>
      <c r="AB48" s="55" t="str">
        <f>IF(AND('Mapa final'!$AH$56="Baja",'Mapa final'!$AJ$56="Moderado"),CONCATENATE("R2C",'Mapa final'!$R$56),"")</f>
        <v/>
      </c>
      <c r="AC48" s="38" t="str">
        <f>IF(AND('Mapa final'!$AH$51="Baja",'Mapa final'!$AJ$51="Mayor"),CONCATENATE("R2C",'Mapa final'!$R$51),"")</f>
        <v/>
      </c>
      <c r="AD48" s="39" t="str">
        <f>IF(AND('Mapa final'!$AH$52="Baja",'Mapa final'!$AJ$52="Mayor"),CONCATENATE("R2C",'Mapa final'!$R$52),"")</f>
        <v/>
      </c>
      <c r="AE48" s="39" t="str">
        <f>IF(AND('Mapa final'!$AH$53="Baja",'Mapa final'!$AJ$53="Mayor"),CONCATENATE("R2C",'Mapa final'!$R$53),"")</f>
        <v/>
      </c>
      <c r="AF48" s="39" t="str">
        <f>IF(AND('Mapa final'!$AH$54="Baja",'Mapa final'!$AJ$54="Mayor"),CONCATENATE("R2C",'Mapa final'!$R$54),"")</f>
        <v/>
      </c>
      <c r="AG48" s="39" t="str">
        <f>IF(AND('Mapa final'!$AH$55="Baja",'Mapa final'!$AJ$55="Mayor"),CONCATENATE("R2C",'Mapa final'!$R$55),"")</f>
        <v/>
      </c>
      <c r="AH48" s="40" t="str">
        <f>IF(AND('Mapa final'!$AH$56="Baja",'Mapa final'!$AJ$56="Mayor"),CONCATENATE("R2C",'Mapa final'!$R$56),"")</f>
        <v/>
      </c>
      <c r="AI48" s="41" t="str">
        <f>IF(AND('Mapa final'!$AH$51="Baja",'Mapa final'!$AJ$51="Catastrófico"),CONCATENATE("R2C",'Mapa final'!$R$51),"")</f>
        <v/>
      </c>
      <c r="AJ48" s="42" t="str">
        <f>IF(AND('Mapa final'!$AH$52="Baja",'Mapa final'!$AJ$52="Catastrófico"),CONCATENATE("R2C",'Mapa final'!$R$52),"")</f>
        <v/>
      </c>
      <c r="AK48" s="42" t="str">
        <f>IF(AND('Mapa final'!$AH$53="Baja",'Mapa final'!$AJ$53="Catastrófico"),CONCATENATE("R2C",'Mapa final'!$R$53),"")</f>
        <v/>
      </c>
      <c r="AL48" s="42" t="str">
        <f>IF(AND('Mapa final'!$AH$54="Baja",'Mapa final'!$AJ$54="Catastrófico"),CONCATENATE("R2C",'Mapa final'!$R$54),"")</f>
        <v/>
      </c>
      <c r="AM48" s="42" t="str">
        <f>IF(AND('Mapa final'!$AH$55="Baja",'Mapa final'!$AJ$55="Catastrófico"),CONCATENATE("R2C",'Mapa final'!$R$55),"")</f>
        <v/>
      </c>
      <c r="AN48" s="43" t="str">
        <f>IF(AND('Mapa final'!$AH$56="Baja",'Mapa final'!$AJ$56="Catastrófico"),CONCATENATE("R2C",'Mapa final'!$R$56),"")</f>
        <v/>
      </c>
      <c r="AO48" s="68"/>
      <c r="AP48" s="551"/>
      <c r="AQ48" s="552"/>
      <c r="AR48" s="552"/>
      <c r="AS48" s="552"/>
      <c r="AT48" s="552"/>
      <c r="AU48" s="553"/>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x14ac:dyDescent="0.45">
      <c r="B49" s="68"/>
      <c r="C49" s="476"/>
      <c r="D49" s="476"/>
      <c r="E49" s="477"/>
      <c r="F49" s="519"/>
      <c r="G49" s="520"/>
      <c r="H49" s="520"/>
      <c r="I49" s="520"/>
      <c r="J49" s="520"/>
      <c r="K49" s="62" t="str">
        <f>IF(AND('Mapa final'!$AH$57="Baja",'Mapa final'!$AJ$57="Leve"),CONCATENATE("R2C",'Mapa final'!$R$57),"")</f>
        <v/>
      </c>
      <c r="L49" s="63" t="str">
        <f>IF(AND('Mapa final'!$AH$58="Baja",'Mapa final'!$AJ$58="Leve"),CONCATENATE("R2C",'Mapa final'!$R$58),"")</f>
        <v/>
      </c>
      <c r="M49" s="63" t="str">
        <f>IF(AND('Mapa final'!$AH$59="Baja",'Mapa final'!$AJ$59="Leve"),CONCATENATE("R2C",'Mapa final'!$R$59),"")</f>
        <v/>
      </c>
      <c r="N49" s="63" t="str">
        <f>IF(AND('Mapa final'!$AH$60="Baja",'Mapa final'!$AJ$60="Leve"),CONCATENATE("R2C",'Mapa final'!$R$60),"")</f>
        <v/>
      </c>
      <c r="O49" s="63" t="str">
        <f>IF(AND('Mapa final'!$AH$61="Baja",'Mapa final'!$AJ$61="Leve"),CONCATENATE("R2C",'Mapa final'!$R$61),"")</f>
        <v/>
      </c>
      <c r="P49" s="64" t="str">
        <f>IF(AND('Mapa final'!$AH$62="Baja",'Mapa final'!$AJ$62="Leve"),CONCATENATE("R2C",'Mapa final'!$R$62),"")</f>
        <v/>
      </c>
      <c r="Q49" s="53" t="str">
        <f>IF(AND('Mapa final'!$AH$57="Baja",'Mapa final'!$AJ$57="Menor"),CONCATENATE("R2C",'Mapa final'!$R$57),"")</f>
        <v/>
      </c>
      <c r="R49" s="54" t="str">
        <f>IF(AND('Mapa final'!$AH$58="Baja",'Mapa final'!$AJ$58="Menor"),CONCATENATE("R2C",'Mapa final'!$R$58),"")</f>
        <v/>
      </c>
      <c r="S49" s="54" t="str">
        <f>IF(AND('Mapa final'!$AH$59="Baja",'Mapa final'!$AJ$59="Menor"),CONCATENATE("R2C",'Mapa final'!$R$59),"")</f>
        <v/>
      </c>
      <c r="T49" s="54" t="str">
        <f>IF(AND('Mapa final'!$AH$60="Baja",'Mapa final'!$AJ$60="Menor"),CONCATENATE("R2C",'Mapa final'!$R$60),"")</f>
        <v/>
      </c>
      <c r="U49" s="54" t="str">
        <f>IF(AND('Mapa final'!$AH$61="Baja",'Mapa final'!$AJ$61="Menor"),CONCATENATE("R2C",'Mapa final'!$R$61),"")</f>
        <v/>
      </c>
      <c r="V49" s="55" t="str">
        <f>IF(AND('Mapa final'!$AH$62="Baja",'Mapa final'!$AJ$62="Menor"),CONCATENATE("R2C",'Mapa final'!$R$62),"")</f>
        <v/>
      </c>
      <c r="W49" s="53" t="str">
        <f>IF(AND('Mapa final'!$AH$57="Baja",'Mapa final'!$AJ$57="Moderado"),CONCATENATE("R2C",'Mapa final'!$R$57),"")</f>
        <v/>
      </c>
      <c r="X49" s="54" t="str">
        <f>IF(AND('Mapa final'!$AH$58="Baja",'Mapa final'!$AJ$58="Moderado"),CONCATENATE("R2C",'Mapa final'!$R$58),"")</f>
        <v/>
      </c>
      <c r="Y49" s="54" t="str">
        <f>IF(AND('Mapa final'!$AH$59="Baja",'Mapa final'!$AJ$59="Moderado"),CONCATENATE("R2C",'Mapa final'!$R$59),"")</f>
        <v/>
      </c>
      <c r="Z49" s="54" t="str">
        <f>IF(AND('Mapa final'!$AH$60="Baja",'Mapa final'!$AJ$60="Moderado"),CONCATENATE("R2C",'Mapa final'!$R$60),"")</f>
        <v/>
      </c>
      <c r="AA49" s="54" t="str">
        <f>IF(AND('Mapa final'!$AH$61="Baja",'Mapa final'!$AJ$61="Moderado"),CONCATENATE("R2C",'Mapa final'!$R$61),"")</f>
        <v/>
      </c>
      <c r="AB49" s="55" t="str">
        <f>IF(AND('Mapa final'!$AH$62="Baja",'Mapa final'!$AJ$62="Moderado"),CONCATENATE("R2C",'Mapa final'!$R$62),"")</f>
        <v/>
      </c>
      <c r="AC49" s="38" t="str">
        <f>IF(AND('Mapa final'!$AH$57="Baja",'Mapa final'!$AJ$57="Mayor"),CONCATENATE("R2C",'Mapa final'!$R$57),"")</f>
        <v/>
      </c>
      <c r="AD49" s="39" t="str">
        <f>IF(AND('Mapa final'!$AH$58="Baja",'Mapa final'!$AJ$58="Mayor"),CONCATENATE("R2C",'Mapa final'!$R$58),"")</f>
        <v/>
      </c>
      <c r="AE49" s="39" t="str">
        <f>IF(AND('Mapa final'!$AH$59="Baja",'Mapa final'!$AJ$59="Mayor"),CONCATENATE("R2C",'Mapa final'!$R$59),"")</f>
        <v/>
      </c>
      <c r="AF49" s="39" t="str">
        <f>IF(AND('Mapa final'!$AH$60="Baja",'Mapa final'!$AJ$60="Mayor"),CONCATENATE("R2C",'Mapa final'!$R$60),"")</f>
        <v/>
      </c>
      <c r="AG49" s="39" t="str">
        <f>IF(AND('Mapa final'!$AH$61="Baja",'Mapa final'!$AJ$61="Mayor"),CONCATENATE("R2C",'Mapa final'!$R$61),"")</f>
        <v/>
      </c>
      <c r="AH49" s="40" t="str">
        <f>IF(AND('Mapa final'!$AH$62="Baja",'Mapa final'!$AJ$62="Mayor"),CONCATENATE("R2C",'Mapa final'!$R$62),"")</f>
        <v/>
      </c>
      <c r="AI49" s="41" t="str">
        <f>IF(AND('Mapa final'!$AH$57="Baja",'Mapa final'!$AJ$57="Catastrófico"),CONCATENATE("R2C",'Mapa final'!$R$57),"")</f>
        <v/>
      </c>
      <c r="AJ49" s="42" t="str">
        <f>IF(AND('Mapa final'!$AH$58="Baja",'Mapa final'!$AJ$58="Catastrófico"),CONCATENATE("R2C",'Mapa final'!$R$58),"")</f>
        <v/>
      </c>
      <c r="AK49" s="42" t="str">
        <f>IF(AND('Mapa final'!$AH$59="Baja",'Mapa final'!$AJ$59="Catastrófico"),CONCATENATE("R2C",'Mapa final'!$R$59),"")</f>
        <v/>
      </c>
      <c r="AL49" s="42" t="str">
        <f>IF(AND('Mapa final'!$AH$60="Baja",'Mapa final'!$AJ$60="Catastrófico"),CONCATENATE("R2C",'Mapa final'!$R$60),"")</f>
        <v/>
      </c>
      <c r="AM49" s="42" t="str">
        <f>IF(AND('Mapa final'!$AH$61="Baja",'Mapa final'!$AJ$61="Catastrófico"),CONCATENATE("R2C",'Mapa final'!$R$61),"")</f>
        <v/>
      </c>
      <c r="AN49" s="43" t="str">
        <f>IF(AND('Mapa final'!$AH$62="Baja",'Mapa final'!$AJ$62="Catastrófico"),CONCATENATE("R2C",'Mapa final'!$R$62),"")</f>
        <v/>
      </c>
      <c r="AO49" s="68"/>
      <c r="AP49" s="551"/>
      <c r="AQ49" s="552"/>
      <c r="AR49" s="552"/>
      <c r="AS49" s="552"/>
      <c r="AT49" s="552"/>
      <c r="AU49" s="553"/>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x14ac:dyDescent="0.45">
      <c r="B50" s="68"/>
      <c r="C50" s="476"/>
      <c r="D50" s="476"/>
      <c r="E50" s="477"/>
      <c r="F50" s="519"/>
      <c r="G50" s="520"/>
      <c r="H50" s="520"/>
      <c r="I50" s="520"/>
      <c r="J50" s="520"/>
      <c r="K50" s="62" t="str">
        <f>IF(AND('Mapa final'!$AH$63="Baja",'Mapa final'!$AJ$63="Leve"),CONCATENATE("R2C",'Mapa final'!$R$63),"")</f>
        <v/>
      </c>
      <c r="L50" s="63" t="str">
        <f>IF(AND('Mapa final'!$AH$64="Baja",'Mapa final'!$AJ$64="Leve"),CONCATENATE("R2C",'Mapa final'!$R$64),"")</f>
        <v/>
      </c>
      <c r="M50" s="63" t="str">
        <f>IF(AND('Mapa final'!$AH$65="Baja",'Mapa final'!$AJ$65="Leve"),CONCATENATE("R2C",'Mapa final'!$R$65),"")</f>
        <v/>
      </c>
      <c r="N50" s="63" t="str">
        <f>IF(AND('Mapa final'!$AH$66="Baja",'Mapa final'!$AJ$66="Leve"),CONCATENATE("R2C",'Mapa final'!$R$66),"")</f>
        <v/>
      </c>
      <c r="O50" s="63" t="str">
        <f>IF(AND('Mapa final'!$AH$67="Baja",'Mapa final'!$AJ$67="Leve"),CONCATENATE("R2C",'Mapa final'!$R$67),"")</f>
        <v/>
      </c>
      <c r="P50" s="64" t="str">
        <f>IF(AND('Mapa final'!$AH$68="Baja",'Mapa final'!$AJ$68="Leve"),CONCATENATE("R2C",'Mapa final'!$R$68),"")</f>
        <v/>
      </c>
      <c r="Q50" s="53" t="str">
        <f>IF(AND('Mapa final'!$AH$63="Baja",'Mapa final'!$AJ$63="Menor"),CONCATENATE("R2C",'Mapa final'!$R$63),"")</f>
        <v/>
      </c>
      <c r="R50" s="54" t="str">
        <f>IF(AND('Mapa final'!$AH$64="Baja",'Mapa final'!$AJ$64="Menor"),CONCATENATE("R2C",'Mapa final'!$R$64),"")</f>
        <v/>
      </c>
      <c r="S50" s="54" t="str">
        <f>IF(AND('Mapa final'!$AH$65="Baja",'Mapa final'!$AJ$65="Menor"),CONCATENATE("R2C",'Mapa final'!$R$65),"")</f>
        <v/>
      </c>
      <c r="T50" s="54" t="str">
        <f>IF(AND('Mapa final'!$AH$66="Baja",'Mapa final'!$AJ$66="Menor"),CONCATENATE("R2C",'Mapa final'!$R$66),"")</f>
        <v/>
      </c>
      <c r="U50" s="54" t="str">
        <f>IF(AND('Mapa final'!$AH$67="Baja",'Mapa final'!$AJ$67="Menor"),CONCATENATE("R2C",'Mapa final'!$R$67),"")</f>
        <v/>
      </c>
      <c r="V50" s="55" t="str">
        <f>IF(AND('Mapa final'!$AH$68="Baja",'Mapa final'!$AJ$68="Menor"),CONCATENATE("R2C",'Mapa final'!$R$68),"")</f>
        <v/>
      </c>
      <c r="W50" s="53" t="str">
        <f>IF(AND('Mapa final'!$AH$63="Baja",'Mapa final'!$AJ$63="Moderado"),CONCATENATE("R2C",'Mapa final'!$R$63),"")</f>
        <v/>
      </c>
      <c r="X50" s="54" t="str">
        <f>IF(AND('Mapa final'!$AH$64="Baja",'Mapa final'!$AJ$64="Moderado"),CONCATENATE("R2C",'Mapa final'!$R$64),"")</f>
        <v/>
      </c>
      <c r="Y50" s="54" t="str">
        <f>IF(AND('Mapa final'!$AH$65="Baja",'Mapa final'!$AJ$65="Moderado"),CONCATENATE("R2C",'Mapa final'!$R$65),"")</f>
        <v/>
      </c>
      <c r="Z50" s="54" t="str">
        <f>IF(AND('Mapa final'!$AH$66="Baja",'Mapa final'!$AJ$66="Moderado"),CONCATENATE("R2C",'Mapa final'!$R$66),"")</f>
        <v/>
      </c>
      <c r="AA50" s="54" t="str">
        <f>IF(AND('Mapa final'!$AH$67="Baja",'Mapa final'!$AJ$67="Moderado"),CONCATENATE("R2C",'Mapa final'!$R$67),"")</f>
        <v/>
      </c>
      <c r="AB50" s="55" t="str">
        <f>IF(AND('Mapa final'!$AH$68="Baja",'Mapa final'!$AJ$68="Moderado"),CONCATENATE("R2C",'Mapa final'!$R$68),"")</f>
        <v/>
      </c>
      <c r="AC50" s="38" t="str">
        <f>IF(AND('Mapa final'!$AH$63="Baja",'Mapa final'!$AJ$63="Mayor"),CONCATENATE("R2C",'Mapa final'!$R$63),"")</f>
        <v/>
      </c>
      <c r="AD50" s="39" t="str">
        <f>IF(AND('Mapa final'!$AH$64="Baja",'Mapa final'!$AJ$64="Mayor"),CONCATENATE("R2C",'Mapa final'!$R$64),"")</f>
        <v/>
      </c>
      <c r="AE50" s="39" t="str">
        <f>IF(AND('Mapa final'!$AH$65="Baja",'Mapa final'!$AJ$65="Mayor"),CONCATENATE("R2C",'Mapa final'!$R$65),"")</f>
        <v/>
      </c>
      <c r="AF50" s="39" t="str">
        <f>IF(AND('Mapa final'!$AH$66="Baja",'Mapa final'!$AJ$66="Mayor"),CONCATENATE("R2C",'Mapa final'!$R$66),"")</f>
        <v/>
      </c>
      <c r="AG50" s="39" t="str">
        <f>IF(AND('Mapa final'!$AH$67="Baja",'Mapa final'!$AJ$67="Mayor"),CONCATENATE("R2C",'Mapa final'!$R$67),"")</f>
        <v/>
      </c>
      <c r="AH50" s="40" t="str">
        <f>IF(AND('Mapa final'!$AH$68="Baja",'Mapa final'!$AJ$68="Mayor"),CONCATENATE("R2C",'Mapa final'!$R$68),"")</f>
        <v/>
      </c>
      <c r="AI50" s="41" t="str">
        <f>IF(AND('Mapa final'!$AH$63="Baja",'Mapa final'!$AJ$63="Catastrófico"),CONCATENATE("R2C",'Mapa final'!$R$63),"")</f>
        <v/>
      </c>
      <c r="AJ50" s="42" t="str">
        <f>IF(AND('Mapa final'!$AH$64="Baja",'Mapa final'!$AJ$64="Catastrófico"),CONCATENATE("R2C",'Mapa final'!$R$64),"")</f>
        <v/>
      </c>
      <c r="AK50" s="42" t="str">
        <f>IF(AND('Mapa final'!$AH$65="Baja",'Mapa final'!$AJ$65="Catastrófico"),CONCATENATE("R2C",'Mapa final'!$R$65),"")</f>
        <v/>
      </c>
      <c r="AL50" s="42" t="str">
        <f>IF(AND('Mapa final'!$AH$66="Baja",'Mapa final'!$AJ$66="Catastrófico"),CONCATENATE("R2C",'Mapa final'!$R$66),"")</f>
        <v/>
      </c>
      <c r="AM50" s="42" t="str">
        <f>IF(AND('Mapa final'!$AH$67="Baja",'Mapa final'!$AJ$67="Catastrófico"),CONCATENATE("R2C",'Mapa final'!$R$67),"")</f>
        <v/>
      </c>
      <c r="AN50" s="43" t="str">
        <f>IF(AND('Mapa final'!$AH$68="Baja",'Mapa final'!$AJ$68="Catastrófico"),CONCATENATE("R2C",'Mapa final'!$R$68),"")</f>
        <v/>
      </c>
      <c r="AO50" s="68"/>
      <c r="AP50" s="551"/>
      <c r="AQ50" s="552"/>
      <c r="AR50" s="552"/>
      <c r="AS50" s="552"/>
      <c r="AT50" s="552"/>
      <c r="AU50" s="553"/>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x14ac:dyDescent="0.5">
      <c r="B51" s="68"/>
      <c r="C51" s="476"/>
      <c r="D51" s="476"/>
      <c r="E51" s="477"/>
      <c r="F51" s="522"/>
      <c r="G51" s="523"/>
      <c r="H51" s="523"/>
      <c r="I51" s="523"/>
      <c r="J51" s="523"/>
      <c r="K51" s="65" t="str">
        <f>IF(AND('Mapa final'!$AH$69="Baja",'Mapa final'!$AJ$69="Leve"),CONCATENATE("R2C",'Mapa final'!$R$69),"")</f>
        <v/>
      </c>
      <c r="L51" s="66" t="str">
        <f>IF(AND('Mapa final'!$AH$70="Baja",'Mapa final'!$AJ$70="Leve"),CONCATENATE("R2C",'Mapa final'!$R$70),"")</f>
        <v/>
      </c>
      <c r="M51" s="66" t="str">
        <f>IF(AND('Mapa final'!$AH$71="Baja",'Mapa final'!$AJ$71="Leve"),CONCATENATE("R2C",'Mapa final'!$R$71),"")</f>
        <v/>
      </c>
      <c r="N51" s="66" t="str">
        <f>IF(AND('Mapa final'!$AH$72="Baja",'Mapa final'!$AJ$72="Leve"),CONCATENATE("R2C",'Mapa final'!$R$72),"")</f>
        <v/>
      </c>
      <c r="O51" s="66" t="str">
        <f>IF(AND('Mapa final'!$AH$74="Baja",'Mapa final'!$AJ$74="Leve"),CONCATENATE("R2C",'Mapa final'!$R$74),"")</f>
        <v/>
      </c>
      <c r="P51" s="67" t="str">
        <f>IF(AND('Mapa final'!$AH$75="Baja",'Mapa final'!$AJ$75="Leve"),CONCATENATE("R2C",'Mapa final'!$R$75),"")</f>
        <v/>
      </c>
      <c r="Q51" s="53" t="str">
        <f>IF(AND('Mapa final'!$AH$69="Baja",'Mapa final'!$AJ$69="Menor"),CONCATENATE("R2C",'Mapa final'!$R$69),"")</f>
        <v/>
      </c>
      <c r="R51" s="54" t="str">
        <f>IF(AND('Mapa final'!$AH$70="Baja",'Mapa final'!$AJ$70="Menor"),CONCATENATE("R2C",'Mapa final'!$R$70),"")</f>
        <v/>
      </c>
      <c r="S51" s="54" t="str">
        <f>IF(AND('Mapa final'!$AH$71="Baja",'Mapa final'!$AJ$71="Menor"),CONCATENATE("R2C",'Mapa final'!$R$71),"")</f>
        <v/>
      </c>
      <c r="T51" s="54" t="str">
        <f>IF(AND('Mapa final'!$AH$72="Baja",'Mapa final'!$AJ$72="Menor"),CONCATENATE("R2C",'Mapa final'!$R$72),"")</f>
        <v/>
      </c>
      <c r="U51" s="54" t="str">
        <f>IF(AND('Mapa final'!$AH$74="Baja",'Mapa final'!$AJ$74="Menor"),CONCATENATE("R2C",'Mapa final'!$R$74),"")</f>
        <v/>
      </c>
      <c r="V51" s="55" t="str">
        <f>IF(AND('Mapa final'!$AH$75="Baja",'Mapa final'!$AJ$75="Menor"),CONCATENATE("R2C",'Mapa final'!$R$75),"")</f>
        <v/>
      </c>
      <c r="W51" s="56" t="str">
        <f>IF(AND('Mapa final'!$AH$69="Baja",'Mapa final'!$AJ$69="Moderado"),CONCATENATE("R2C",'Mapa final'!$R$69),"")</f>
        <v/>
      </c>
      <c r="X51" s="57" t="str">
        <f>IF(AND('Mapa final'!$AH$70="Baja",'Mapa final'!$AJ$70="Moderado"),CONCATENATE("R2C",'Mapa final'!$R$70),"")</f>
        <v/>
      </c>
      <c r="Y51" s="57" t="str">
        <f>IF(AND('Mapa final'!$AH$71="Baja",'Mapa final'!$AJ$71="Moderado"),CONCATENATE("R2C",'Mapa final'!$R$71),"")</f>
        <v/>
      </c>
      <c r="Z51" s="57" t="str">
        <f>IF(AND('Mapa final'!$AH$72="Baja",'Mapa final'!$AJ$72="Moderado"),CONCATENATE("R2C",'Mapa final'!$R$72),"")</f>
        <v/>
      </c>
      <c r="AA51" s="57" t="str">
        <f>IF(AND('Mapa final'!$AH$74="Baja",'Mapa final'!$AJ$74="Moderado"),CONCATENATE("R2C",'Mapa final'!$R$74),"")</f>
        <v/>
      </c>
      <c r="AB51" s="58" t="str">
        <f>IF(AND('Mapa final'!$AH$75="Baja",'Mapa final'!$AJ$75="Moderado"),CONCATENATE("R2C",'Mapa final'!$R$75),"")</f>
        <v/>
      </c>
      <c r="AC51" s="44" t="str">
        <f>IF(AND('Mapa final'!$AH$69="Baja",'Mapa final'!$AJ$69="Mayor"),CONCATENATE("R2C",'Mapa final'!$R$69),"")</f>
        <v/>
      </c>
      <c r="AD51" s="45" t="str">
        <f>IF(AND('Mapa final'!$AH$70="Baja",'Mapa final'!$AJ$70="Mayor"),CONCATENATE("R2C",'Mapa final'!$R$70),"")</f>
        <v/>
      </c>
      <c r="AE51" s="45" t="str">
        <f>IF(AND('Mapa final'!$AH$71="Baja",'Mapa final'!$AJ$71="Mayor"),CONCATENATE("R2C",'Mapa final'!$R$71),"")</f>
        <v/>
      </c>
      <c r="AF51" s="45" t="str">
        <f>IF(AND('Mapa final'!$AH$72="Baja",'Mapa final'!$AJ$72="Mayor"),CONCATENATE("R2C",'Mapa final'!$R$72),"")</f>
        <v/>
      </c>
      <c r="AG51" s="45" t="str">
        <f>IF(AND('Mapa final'!$AH$74="Baja",'Mapa final'!$AJ$74="Mayor"),CONCATENATE("R2C",'Mapa final'!$R$74),"")</f>
        <v/>
      </c>
      <c r="AH51" s="46" t="str">
        <f>IF(AND('Mapa final'!$AH$75="Baja",'Mapa final'!$AJ$75="Mayor"),CONCATENATE("R2C",'Mapa final'!$R$75),"")</f>
        <v/>
      </c>
      <c r="AI51" s="47" t="str">
        <f>IF(AND('Mapa final'!$AH$69="Baja",'Mapa final'!$AJ$69="Catastrófico"),CONCATENATE("R2C",'Mapa final'!$R$69),"")</f>
        <v/>
      </c>
      <c r="AJ51" s="48" t="str">
        <f>IF(AND('Mapa final'!$AH$70="Baja",'Mapa final'!$AJ$70="Catastrófico"),CONCATENATE("R2C",'Mapa final'!$R$70),"")</f>
        <v/>
      </c>
      <c r="AK51" s="48" t="str">
        <f>IF(AND('Mapa final'!$AH$71="Baja",'Mapa final'!$AJ$71="Catastrófico"),CONCATENATE("R2C",'Mapa final'!$R$71),"")</f>
        <v/>
      </c>
      <c r="AL51" s="48" t="str">
        <f>IF(AND('Mapa final'!$AH$72="Baja",'Mapa final'!$AJ$72="Catastrófico"),CONCATENATE("R2C",'Mapa final'!$R$72),"")</f>
        <v/>
      </c>
      <c r="AM51" s="48" t="str">
        <f>IF(AND('Mapa final'!$AH$74="Baja",'Mapa final'!$AJ$74="Catastrófico"),CONCATENATE("R2C",'Mapa final'!$R$74),"")</f>
        <v/>
      </c>
      <c r="AN51" s="49" t="str">
        <f>IF(AND('Mapa final'!$AH$75="Baja",'Mapa final'!$AJ$75="Catastrófico"),CONCATENATE("R2C",'Mapa final'!$R$75),"")</f>
        <v/>
      </c>
      <c r="AO51" s="68"/>
      <c r="AP51" s="554"/>
      <c r="AQ51" s="555"/>
      <c r="AR51" s="555"/>
      <c r="AS51" s="555"/>
      <c r="AT51" s="555"/>
      <c r="AU51" s="556"/>
    </row>
    <row r="52" spans="2:81" ht="41.25" customHeight="1" x14ac:dyDescent="0.45">
      <c r="B52" s="68"/>
      <c r="C52" s="476"/>
      <c r="D52" s="476"/>
      <c r="E52" s="477"/>
      <c r="F52" s="516" t="s">
        <v>272</v>
      </c>
      <c r="G52" s="517"/>
      <c r="H52" s="517"/>
      <c r="I52" s="517"/>
      <c r="J52" s="518"/>
      <c r="K52" s="59"/>
      <c r="L52" s="60" t="str">
        <f>IF(AND('Mapa final'!$AH$16="Muy Baja",'Mapa final'!$AJ$16="Leve"),CONCATENATE("R2C",'Mapa final'!$R$15),"")</f>
        <v/>
      </c>
      <c r="M52" s="60" t="str">
        <f>IF(AND('Mapa final'!$AH$17="Muy Baja",'Mapa final'!$AJ$17="Leve"),CONCATENATE("R2C",'Mapa final'!$R$17),"")</f>
        <v/>
      </c>
      <c r="N52" s="60" t="e">
        <f>IF(AND('Mapa final'!#REF!="Muy Baja",'Mapa final'!#REF!="Leve"),CONCATENATE("R2C",'Mapa final'!#REF!),"")</f>
        <v>#REF!</v>
      </c>
      <c r="O52" s="60" t="str">
        <f>IF(AND('Mapa final'!$AH$19="Muy Baja",'Mapa final'!$AJ$19="Leve"),CONCATENATE("R2C",'Mapa final'!$R$19),"")</f>
        <v/>
      </c>
      <c r="P52" s="61" t="str">
        <f>IF(AND('Mapa final'!$AH$20="Muy Baja",'Mapa final'!$AJ$20="Leve"),CONCATENATE("R2C",'Mapa final'!$R$20),"")</f>
        <v/>
      </c>
      <c r="Q52" s="59"/>
      <c r="R52" s="60" t="str">
        <f>IF(AND('Mapa final'!$AH$16="Muy Baja",'Mapa final'!$AJ$16="Menore"),CONCATENATE("R2C",'Mapa final'!$R$15),"")</f>
        <v/>
      </c>
      <c r="S52" s="60" t="str">
        <f>IF(AND('Mapa final'!$AH$17="Muy Baja",'Mapa final'!$AJ$17="Menor"),CONCATENATE("R2C",'Mapa final'!$R$17),"")</f>
        <v/>
      </c>
      <c r="T52" s="60" t="e">
        <f>IF(AND('Mapa final'!#REF!="Muy Baja",'Mapa final'!#REF!="Menor"),CONCATENATE("R2C",'Mapa final'!#REF!),"")</f>
        <v>#REF!</v>
      </c>
      <c r="U52" s="60" t="str">
        <f>IF(AND('Mapa final'!$AH$19="Muy Baja",'Mapa final'!$AJ$19="Menor"),CONCATENATE("R2C",'Mapa final'!$R$19),"")</f>
        <v/>
      </c>
      <c r="V52" s="61" t="str">
        <f>IF(AND('Mapa final'!$AH$20="Muy Baja",'Mapa final'!$AJ$20="Menor"),CONCATENATE("R2C",'Mapa final'!$R$20),"")</f>
        <v/>
      </c>
      <c r="W52" s="50"/>
      <c r="X52" s="202" t="str">
        <f>IF(AND('Mapa final'!$AH$16="Muy Baja",'Mapa final'!$AJ$16="Moderado"),CONCATENATE("R2C",'Mapa final'!$D$15),"")</f>
        <v/>
      </c>
      <c r="Y52" s="51"/>
      <c r="Z52" s="51" t="e">
        <f>IF(AND('Mapa final'!#REF!="Muy Baja",'Mapa final'!#REF!="Moderado"),CONCATENATE("R2C",'Mapa final'!#REF!),"")</f>
        <v>#REF!</v>
      </c>
      <c r="AA52" s="51" t="str">
        <f>IF(AND('Mapa final'!$AH$19="Muy Baja",'Mapa final'!$AJ$19="Moderado"),CONCATENATE("R2C",'Mapa final'!$R$19),"")</f>
        <v/>
      </c>
      <c r="AB52" s="52" t="str">
        <f>IF(AND('Mapa final'!$AH$20="Muy Baja",'Mapa final'!$AJ$20="Moderado"),CONCATENATE("R2C",'Mapa final'!$R$20),"")</f>
        <v/>
      </c>
      <c r="AC52" s="32"/>
      <c r="AD52" s="33" t="str">
        <f>IF(AND('Mapa final'!$AH$16="Muy Baja",'Mapa final'!$AJ$16="Mayor"),CONCATENATE("R2C",'Mapa final'!$R$15),"")</f>
        <v/>
      </c>
      <c r="AE52" s="201" t="str">
        <f>IF(AND('Mapa final'!$AH$17="Muy Baja",'Mapa final'!$AJ$17="Mayor"),CONCATENATE("R2C",'Mapa final'!$D$17),"")</f>
        <v/>
      </c>
      <c r="AF52" s="33" t="e">
        <f>IF(AND('Mapa final'!#REF!="Muy Baja",'Mapa final'!#REF!="Mayor"),CONCATENATE("R2C",'Mapa final'!#REF!),"")</f>
        <v>#REF!</v>
      </c>
      <c r="AG52" s="33" t="str">
        <f>IF(AND('Mapa final'!$AH$19="Muy Baja",'Mapa final'!$AJ$19="Mayor"),CONCATENATE("R2C",'Mapa final'!$R$19),"")</f>
        <v/>
      </c>
      <c r="AH52" s="34" t="str">
        <f>IF(AND('Mapa final'!$AH$20="Muy Baja",'Mapa final'!$AJ$20="Mayor"),CONCATENATE("R2C",'Mapa final'!$R$20),"")</f>
        <v/>
      </c>
      <c r="AI52" s="35"/>
      <c r="AJ52" s="36" t="str">
        <f>IF(AND('Mapa final'!$AH$16="Muy Baja",'Mapa final'!$AJ$16="Catastrófico"),CONCATENATE("R2C",'Mapa final'!$D$15),"")</f>
        <v/>
      </c>
      <c r="AK52" s="36" t="str">
        <f>IF(AND('Mapa final'!$AH$17="Muy Baja",'Mapa final'!$AJ$17="Catastrófico"),CONCATENATE("R2C",'Mapa final'!$R$17),"")</f>
        <v/>
      </c>
      <c r="AL52" s="36" t="e">
        <f>IF(AND('Mapa final'!#REF!="Muy Baja",'Mapa final'!#REF!="Catastrófico"),CONCATENATE("R2C",'Mapa final'!#REF!),"")</f>
        <v>#REF!</v>
      </c>
      <c r="AM52" s="36" t="str">
        <f>IF(AND('Mapa final'!$AH$19="Muy Baja",'Mapa final'!$AJ$19="Catastrófico"),CONCATENATE("R2C",'Mapa final'!$R$19),"")</f>
        <v/>
      </c>
      <c r="AN52" s="37" t="str">
        <f>IF(AND('Mapa final'!$AH$20="Muy Baja",'Mapa final'!$AJ$20="Catastrófico"),CONCATENATE("R2C",'Mapa final'!$R$20),"")</f>
        <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x14ac:dyDescent="0.45">
      <c r="B53" s="68"/>
      <c r="C53" s="476"/>
      <c r="D53" s="476"/>
      <c r="E53" s="477"/>
      <c r="F53" s="535"/>
      <c r="G53" s="520"/>
      <c r="H53" s="520"/>
      <c r="I53" s="520"/>
      <c r="J53" s="521"/>
      <c r="K53" s="62" t="str">
        <f>IF(AND('Mapa final'!$AH$21="Muy Baja",'Mapa final'!$AJ$21="Leve"),CONCATENATE("R2C",'Mapa final'!$R$21),"")</f>
        <v/>
      </c>
      <c r="L53" s="63" t="e">
        <f>IF(AND('Mapa final'!#REF!="Muy Baja",'Mapa final'!#REF!="Leve"),CONCATENATE("R2C",'Mapa final'!#REF!),"")</f>
        <v>#REF!</v>
      </c>
      <c r="M53" s="63" t="str">
        <f>IF(AND('Mapa final'!$AH$23="Muy Baja",'Mapa final'!$AJ$23="Leve"),CONCATENATE("R2C",'Mapa final'!$R$23),"")</f>
        <v/>
      </c>
      <c r="N53" s="63" t="str">
        <f>IF(AND('Mapa final'!$AH$24="Muy Baja",'Mapa final'!$AJ$24="Leve"),CONCATENATE("R2C",'Mapa final'!$R$24),"")</f>
        <v/>
      </c>
      <c r="O53" s="63" t="str">
        <f>IF(AND('Mapa final'!$AH$25="Muy Baja",'Mapa final'!$AJ$25="Leve"),CONCATENATE("R2C",'Mapa final'!$R$25),"")</f>
        <v/>
      </c>
      <c r="P53" s="64" t="str">
        <f>IF(AND('Mapa final'!$AH$26="Muy Baja",'Mapa final'!$AJ$26="Leve"),CONCATENATE("R2C",'Mapa final'!$R$26),"")</f>
        <v/>
      </c>
      <c r="Q53" s="62" t="str">
        <f>IF(AND('Mapa final'!$AH$21="Muy Baja",'Mapa final'!$AJ$21="Menor"),CONCATENATE("R2C",'Mapa final'!$R$21),"")</f>
        <v/>
      </c>
      <c r="R53" s="63" t="e">
        <f>IF(AND('Mapa final'!#REF!="Muy Baja",'Mapa final'!#REF!="Menor"),CONCATENATE("R2C",'Mapa final'!#REF!),"")</f>
        <v>#REF!</v>
      </c>
      <c r="S53" s="63" t="str">
        <f>IF(AND('Mapa final'!$AH$23="Muy Baja",'Mapa final'!$AJ$23="Menor"),CONCATENATE("R2C",'Mapa final'!$R$23),"")</f>
        <v/>
      </c>
      <c r="T53" s="63" t="str">
        <f>IF(AND('Mapa final'!$AH$24="Muy Baja",'Mapa final'!$AJ$24="Menor"),CONCATENATE("R2C",'Mapa final'!$R$24),"")</f>
        <v/>
      </c>
      <c r="U53" s="63" t="str">
        <f>IF(AND('Mapa final'!$AH$25="Muy Baja",'Mapa final'!$AJ$25="Menor"),CONCATENATE("R2C",'Mapa final'!$R$25),"")</f>
        <v/>
      </c>
      <c r="V53" s="64" t="str">
        <f>IF(AND('Mapa final'!$AH$26="Muy Baja",'Mapa final'!$AJ$26="Menor"),CONCATENATE("R2C",'Mapa final'!$R$26),"")</f>
        <v/>
      </c>
      <c r="W53" s="53" t="str">
        <f>IF(AND('Mapa final'!$AH$21="Muy Baja",'Mapa final'!$AJ$21="Moderado"),CONCATENATE("R2C",'Mapa final'!$R$21),"")</f>
        <v/>
      </c>
      <c r="X53" s="54" t="e">
        <f>IF(AND('Mapa final'!#REF!="Muy Baja",'Mapa final'!#REF!="Moderado"),CONCATENATE("R2C",'Mapa final'!#REF!),"")</f>
        <v>#REF!</v>
      </c>
      <c r="Y53" s="54" t="str">
        <f>IF(AND('Mapa final'!$AH$23="Muy Baja",'Mapa final'!$AJ$23="Moderado"),CONCATENATE("R2C",'Mapa final'!$R$23),"")</f>
        <v/>
      </c>
      <c r="Z53" s="54" t="str">
        <f>IF(AND('Mapa final'!$AH$24="Muy Baja",'Mapa final'!$AJ$24="Moderado"),CONCATENATE("R2C",'Mapa final'!$R$24),"")</f>
        <v/>
      </c>
      <c r="AA53" s="54" t="str">
        <f>IF(AND('Mapa final'!$AH$25="Muy Baja",'Mapa final'!$AJ$25="Moderado"),CONCATENATE("R2C",'Mapa final'!$R$25),"")</f>
        <v/>
      </c>
      <c r="AB53" s="55" t="str">
        <f>IF(AND('Mapa final'!$AH$26="Muy Baja",'Mapa final'!$AJ$26="Moderado"),CONCATENATE("R2C",'Mapa final'!$R$26),"")</f>
        <v/>
      </c>
      <c r="AC53" s="38" t="str">
        <f>IF(AND('Mapa final'!$AH$21="Muy Baja",'Mapa final'!$AJ$21="Mayor"),CONCATENATE("R2C",'Mapa final'!$R$21),"")</f>
        <v/>
      </c>
      <c r="AD53" s="39" t="e">
        <f>IF(AND('Mapa final'!#REF!="Muy Baja",'Mapa final'!#REF!="Mayor"),CONCATENATE("R2C",'Mapa final'!#REF!),"")</f>
        <v>#REF!</v>
      </c>
      <c r="AE53" s="39" t="str">
        <f>IF(AND('Mapa final'!$AH$23="Muy Baja",'Mapa final'!$AJ$23="Mayor"),CONCATENATE("R2C",'Mapa final'!$R$23),"")</f>
        <v/>
      </c>
      <c r="AF53" s="39" t="str">
        <f>IF(AND('Mapa final'!$AH$24="Muy Baja",'Mapa final'!$AJ$24="Mayor"),CONCATENATE("R2C",'Mapa final'!$R$24),"")</f>
        <v/>
      </c>
      <c r="AG53" s="39" t="str">
        <f>IF(AND('Mapa final'!$AH$25="Muy Baja",'Mapa final'!$AJ$25="Mayor"),CONCATENATE("R2C",'Mapa final'!$R$25),"")</f>
        <v/>
      </c>
      <c r="AH53" s="40" t="str">
        <f>IF(AND('Mapa final'!$AH$26="Muy Baja",'Mapa final'!$AJ$26="Mayor"),CONCATENATE("R2C",'Mapa final'!$R$26),"")</f>
        <v/>
      </c>
      <c r="AI53" s="41" t="str">
        <f>IF(AND('Mapa final'!$AH$21="Muy Baja",'Mapa final'!$AJ$21="Catastrófico"),CONCATENATE("R2C",'Mapa final'!$A$21),"")</f>
        <v/>
      </c>
      <c r="AJ53" s="42" t="e">
        <f>IF(AND('Mapa final'!#REF!="Muy Baja",'Mapa final'!#REF!="Catastrófico"),CONCATENATE("R2C",'Mapa final'!#REF!),"")</f>
        <v>#REF!</v>
      </c>
      <c r="AK53" s="42" t="str">
        <f>IF(AND('Mapa final'!$AH$23="Muy Baja",'Mapa final'!$AJ$23="Catastrófico"),CONCATENATE("R2C",'Mapa final'!$R$23),"")</f>
        <v/>
      </c>
      <c r="AL53" s="42" t="str">
        <f>IF(AND('Mapa final'!$AH$24="Muy Baja",'Mapa final'!$AJ$24="Catastrófico"),CONCATENATE("R2C",'Mapa final'!$R$24),"")</f>
        <v/>
      </c>
      <c r="AM53" s="42" t="str">
        <f>IF(AND('Mapa final'!$AH$25="Muy Baja",'Mapa final'!$AJ$25="Catastrófico"),CONCATENATE("R2C",'Mapa final'!$R$25),"")</f>
        <v/>
      </c>
      <c r="AN53" s="43" t="str">
        <f>IF(AND('Mapa final'!$AH$26="Muy Baja",'Mapa final'!$AJ$26="Catastrófico"),CONCATENATE("R2C",'Mapa final'!$R$26),"")</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x14ac:dyDescent="0.45">
      <c r="B54" s="68"/>
      <c r="C54" s="476"/>
      <c r="D54" s="476"/>
      <c r="E54" s="477"/>
      <c r="F54" s="535"/>
      <c r="G54" s="520"/>
      <c r="H54" s="520"/>
      <c r="I54" s="520"/>
      <c r="J54" s="521"/>
      <c r="K54" s="62" t="str">
        <f>IF(AND('Mapa final'!$AH$27="Muy Baja",'Mapa final'!$AJ$27="Leve"),CONCATENATE("R2C",'Mapa final'!$R$27),"")</f>
        <v/>
      </c>
      <c r="L54" s="63" t="str">
        <f>IF(AND('Mapa final'!$AH$28="Muy Baja",'Mapa final'!$AJ$28="Leve"),CONCATENATE("R2C",'Mapa final'!$R$28),"")</f>
        <v/>
      </c>
      <c r="M54" s="63" t="str">
        <f>IF(AND('Mapa final'!$AH$29="Muy Baja",'Mapa final'!$AJ$29="Leve"),CONCATENATE("R2C",'Mapa final'!$R$29),"")</f>
        <v/>
      </c>
      <c r="N54" s="63" t="str">
        <f>IF(AND('Mapa final'!$AH$30="Muy Baja",'Mapa final'!$AJ$30="Leve"),CONCATENATE("R2C",'Mapa final'!$R$30),"")</f>
        <v/>
      </c>
      <c r="O54" s="63" t="str">
        <f>IF(AND('Mapa final'!$AH$31="Muy Baja",'Mapa final'!$AJ$31="Leve"),CONCATENATE("R2C",'Mapa final'!$R$31),"")</f>
        <v/>
      </c>
      <c r="P54" s="64" t="str">
        <f>IF(AND('Mapa final'!$AH$32="Muy Baja",'Mapa final'!$AJ$32="Leve"),CONCATENATE("R2C",'Mapa final'!$R$32),"")</f>
        <v/>
      </c>
      <c r="Q54" s="62" t="str">
        <f>IF(AND('Mapa final'!$AH$27="Muy Baja",'Mapa final'!$AJ$27="Menor"),CONCATENATE("R2C",'Mapa final'!$R$27),"")</f>
        <v/>
      </c>
      <c r="R54" s="63" t="str">
        <f>IF(AND('Mapa final'!$AH$28="Muy Baja",'Mapa final'!$AJ$28="Menor"),CONCATENATE("R2C",'Mapa final'!$R$28),"")</f>
        <v/>
      </c>
      <c r="S54" s="63" t="str">
        <f>IF(AND('Mapa final'!$AH$29="Muy Baja",'Mapa final'!$AJ$29="Menor"),CONCATENATE("R2C",'Mapa final'!$R$29),"")</f>
        <v/>
      </c>
      <c r="T54" s="63" t="str">
        <f>IF(AND('Mapa final'!$AH$30="Muy Baja",'Mapa final'!$AJ$30="Menor"),CONCATENATE("R2C",'Mapa final'!$R$30),"")</f>
        <v/>
      </c>
      <c r="U54" s="63" t="str">
        <f>IF(AND('Mapa final'!$AH$31="Muy Baja",'Mapa final'!$AJ$31="Menor"),CONCATENATE("R2C",'Mapa final'!$R$31),"")</f>
        <v/>
      </c>
      <c r="V54" s="64" t="str">
        <f>IF(AND('Mapa final'!$AH$32="Muy Baja",'Mapa final'!$AJ$32="Menor"),CONCATENATE("R2C",'Mapa final'!$R$32),"")</f>
        <v/>
      </c>
      <c r="W54" s="53" t="str">
        <f>IF(AND('Mapa final'!$AH$27="Muy Baja",'Mapa final'!$AJ$27="Moderado"),CONCATENATE("R2C",'Mapa final'!$R$27),"")</f>
        <v/>
      </c>
      <c r="X54" s="54" t="str">
        <f>IF(AND('Mapa final'!$AH$28="Muy Baja",'Mapa final'!$AJ$28="Moderado"),CONCATENATE("R2C",'Mapa final'!$R$28),"")</f>
        <v/>
      </c>
      <c r="Y54" s="54" t="str">
        <f>IF(AND('Mapa final'!$AH$29="Muy Baja",'Mapa final'!$AJ$29="Moderado"),CONCATENATE("R2C",'Mapa final'!$R$29),"")</f>
        <v/>
      </c>
      <c r="Z54" s="54" t="str">
        <f>IF(AND('Mapa final'!$AH$30="Muy Baja",'Mapa final'!$AJ$30="Moderado"),CONCATENATE("R2C",'Mapa final'!$R$30),"")</f>
        <v/>
      </c>
      <c r="AA54" s="54" t="str">
        <f>IF(AND('Mapa final'!$AH$31="Muy Baja",'Mapa final'!$AJ$31="Moderado"),CONCATENATE("R2C",'Mapa final'!$R$31),"")</f>
        <v/>
      </c>
      <c r="AB54" s="55" t="str">
        <f>IF(AND('Mapa final'!$AH$32="Muy Baja",'Mapa final'!$AJ$32="Moderado"),CONCATENATE("R2C",'Mapa final'!$R$32),"")</f>
        <v/>
      </c>
      <c r="AC54" s="38" t="str">
        <f>IF(AND('Mapa final'!$AH$27="Muy Baja",'Mapa final'!$AJ$27="Mayor"),CONCATENATE("R2C",'Mapa final'!$R$27),"")</f>
        <v/>
      </c>
      <c r="AD54" s="39" t="str">
        <f>IF(AND('Mapa final'!$AH$28="Muy Baja",'Mapa final'!$AJ$28="Mayor"),CONCATENATE("R2C",'Mapa final'!$R$28),"")</f>
        <v/>
      </c>
      <c r="AE54" s="39" t="str">
        <f>IF(AND('Mapa final'!$AH$29="Muy Baja",'Mapa final'!$AJ$29="Mayor"),CONCATENATE("R2C",'Mapa final'!$R$29),"")</f>
        <v/>
      </c>
      <c r="AF54" s="39" t="str">
        <f>IF(AND('Mapa final'!$AH$30="Muy Baja",'Mapa final'!$AJ$30="Mayor"),CONCATENATE("R2C",'Mapa final'!$R$30),"")</f>
        <v/>
      </c>
      <c r="AG54" s="39" t="str">
        <f>IF(AND('Mapa final'!$AH$31="Muy Baja",'Mapa final'!$AJ$31="Mayor"),CONCATENATE("R2C",'Mapa final'!$R$31),"")</f>
        <v/>
      </c>
      <c r="AH54" s="40" t="str">
        <f>IF(AND('Mapa final'!$AH$32="Muy Baja",'Mapa final'!$AJ$32="Mayor"),CONCATENATE("R2C",'Mapa final'!$R$32),"")</f>
        <v/>
      </c>
      <c r="AI54" s="41" t="str">
        <f>IF(AND('Mapa final'!$AH$27="Muy Baja",'Mapa final'!$AJ$27="Catastrófico"),CONCATENATE("R2C",'Mapa final'!$R$27),"")</f>
        <v/>
      </c>
      <c r="AJ54" s="42" t="str">
        <f>IF(AND('Mapa final'!$AH$28="Muy Baja",'Mapa final'!$AJ$28="Catastrófico"),CONCATENATE("R2C",'Mapa final'!$R$28),"")</f>
        <v/>
      </c>
      <c r="AK54" s="42" t="str">
        <f>IF(AND('Mapa final'!$AH$29="Muy Baja",'Mapa final'!$AJ$29="Catastrófico"),CONCATENATE("R2C",'Mapa final'!$R$29),"")</f>
        <v/>
      </c>
      <c r="AL54" s="42" t="str">
        <f>IF(AND('Mapa final'!$AH$30="Muy Baja",'Mapa final'!$AJ$30="Catastrófico"),CONCATENATE("R2C",'Mapa final'!$R$30),"")</f>
        <v/>
      </c>
      <c r="AM54" s="42" t="str">
        <f>IF(AND('Mapa final'!$AH$31="Muy Baja",'Mapa final'!$AJ$31="Catastrófico"),CONCATENATE("R2C",'Mapa final'!$R$31),"")</f>
        <v/>
      </c>
      <c r="AN54" s="43" t="str">
        <f>IF(AND('Mapa final'!$AH$32="Muy Baja",'Mapa final'!$AJ$32="Catastrófico"),CONCATENATE("R2C",'Mapa final'!$R$32),"")</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x14ac:dyDescent="0.45">
      <c r="B55" s="68"/>
      <c r="C55" s="476"/>
      <c r="D55" s="476"/>
      <c r="E55" s="477"/>
      <c r="F55" s="519"/>
      <c r="G55" s="520"/>
      <c r="H55" s="520"/>
      <c r="I55" s="520"/>
      <c r="J55" s="521"/>
      <c r="K55" s="62" t="str">
        <f>IF(AND('Mapa final'!$AH$33="Muy Baja",'Mapa final'!$AJ$33="Leve"),CONCATENATE("R2C",'Mapa final'!$R$33),"")</f>
        <v/>
      </c>
      <c r="L55" s="63" t="str">
        <f>IF(AND('Mapa final'!$AH$34="Muy Baja",'Mapa final'!$AJ$34="Leve"),CONCATENATE("R2C",'Mapa final'!$R$34),"")</f>
        <v/>
      </c>
      <c r="M55" s="63" t="str">
        <f>IF(AND('Mapa final'!$AH$35="Muy Baja",'Mapa final'!$AJ$35="Leve"),CONCATENATE("R2C",'Mapa final'!$R$35),"")</f>
        <v/>
      </c>
      <c r="N55" s="63" t="str">
        <f>IF(AND('Mapa final'!$AH$36="Muy Baja",'Mapa final'!$AJ$36="Leve"),CONCATENATE("R2C",'Mapa final'!$R$36),"")</f>
        <v/>
      </c>
      <c r="O55" s="63" t="str">
        <f>IF(AND('Mapa final'!$AH$37="Muy Baja",'Mapa final'!$AJ$37="Leve"),CONCATENATE("R2C",'Mapa final'!$R$37),"")</f>
        <v/>
      </c>
      <c r="P55" s="64" t="str">
        <f>IF(AND('Mapa final'!$AH$38="Muy Baja",'Mapa final'!$AJ$38="Leve"),CONCATENATE("R2C",'Mapa final'!$R$38),"")</f>
        <v/>
      </c>
      <c r="Q55" s="62" t="str">
        <f>IF(AND('Mapa final'!$AH$33="Muy Baja",'Mapa final'!$AJ$33="Menor"),CONCATENATE("R2C",'Mapa final'!$R$33),"")</f>
        <v/>
      </c>
      <c r="R55" s="63" t="str">
        <f>IF(AND('Mapa final'!$AH$34="Muy Baja",'Mapa final'!$AJ$34="Menor"),CONCATENATE("R2C",'Mapa final'!$R$34),"")</f>
        <v/>
      </c>
      <c r="S55" s="63" t="str">
        <f>IF(AND('Mapa final'!$AH$35="Muy Baja",'Mapa final'!$AJ$35="Menor"),CONCATENATE("R2C",'Mapa final'!$R$35),"")</f>
        <v/>
      </c>
      <c r="T55" s="63" t="str">
        <f>IF(AND('Mapa final'!$AH$36="Muy Baja",'Mapa final'!$AJ$36="Menor"),CONCATENATE("R2C",'Mapa final'!$R$36),"")</f>
        <v/>
      </c>
      <c r="U55" s="63" t="str">
        <f>IF(AND('Mapa final'!$AH$37="Muy Baja",'Mapa final'!$AJ$37="LMenor"),CONCATENATE("R2C",'Mapa final'!$R$37),"")</f>
        <v/>
      </c>
      <c r="V55" s="64" t="str">
        <f>IF(AND('Mapa final'!$AH$38="Muy Baja",'Mapa final'!$AJ$38="Menor"),CONCATENATE("R2C",'Mapa final'!$R$38),"")</f>
        <v/>
      </c>
      <c r="W55" s="53" t="str">
        <f>IF(AND('Mapa final'!$AH$33="Muy Baja",'Mapa final'!$AJ$33="Moderado"),CONCATENATE("R2C",'Mapa final'!$R$33),"")</f>
        <v/>
      </c>
      <c r="X55" s="54" t="str">
        <f>IF(AND('Mapa final'!$AH$34="Muy Baja",'Mapa final'!$AJ$34="Moderado"),CONCATENATE("R2C",'Mapa final'!$R$34),"")</f>
        <v/>
      </c>
      <c r="Y55" s="54" t="str">
        <f>IF(AND('Mapa final'!$AH$35="Muy Baja",'Mapa final'!$AJ$35="Moderado"),CONCATENATE("R2C",'Mapa final'!$R$35),"")</f>
        <v/>
      </c>
      <c r="Z55" s="54" t="str">
        <f>IF(AND('Mapa final'!$AH$36="Muy Baja",'Mapa final'!$AJ$36="Moderado"),CONCATENATE("R2C",'Mapa final'!$R$36),"")</f>
        <v/>
      </c>
      <c r="AA55" s="54" t="str">
        <f>IF(AND('Mapa final'!$AH$37="Muy Baja",'Mapa final'!$AJ$37="Moderado"),CONCATENATE("R2C",'Mapa final'!$R$37),"")</f>
        <v/>
      </c>
      <c r="AB55" s="55" t="str">
        <f>IF(AND('Mapa final'!$AH$38="Muy Baja",'Mapa final'!$AJ$38="Moderado"),CONCATENATE("R2C",'Mapa final'!$R$38),"")</f>
        <v/>
      </c>
      <c r="AC55" s="38" t="str">
        <f>IF(AND('Mapa final'!$AH$33="Muy Baja",'Mapa final'!$AJ$33="Mayor"),CONCATENATE("R2C",'Mapa final'!$R$33),"")</f>
        <v/>
      </c>
      <c r="AD55" s="39" t="str">
        <f>IF(AND('Mapa final'!$AH$34="Muy Baja",'Mapa final'!$AJ$34="Mayor"),CONCATENATE("R2C",'Mapa final'!$R$34),"")</f>
        <v/>
      </c>
      <c r="AE55" s="39" t="str">
        <f>IF(AND('Mapa final'!$AH$35="Muy Baja",'Mapa final'!$AJ$35="Mayor"),CONCATENATE("R2C",'Mapa final'!$R$35),"")</f>
        <v/>
      </c>
      <c r="AF55" s="39" t="str">
        <f>IF(AND('Mapa final'!$AH$36="Muy Baja",'Mapa final'!$AJ$36="Mayor"),CONCATENATE("R2C",'Mapa final'!$R$36),"")</f>
        <v/>
      </c>
      <c r="AG55" s="39" t="str">
        <f>IF(AND('Mapa final'!$AH$37="Muy Baja",'Mapa final'!$AJ$37="Mayor"),CONCATENATE("R2C",'Mapa final'!$R$37),"")</f>
        <v/>
      </c>
      <c r="AH55" s="40" t="str">
        <f>IF(AND('Mapa final'!$AH$38="Muy Baja",'Mapa final'!$AJ$38="Mayor"),CONCATENATE("R2C",'Mapa final'!$R$38),"")</f>
        <v/>
      </c>
      <c r="AI55" s="41" t="str">
        <f>IF(AND('Mapa final'!$AH$33="Muy Baja",'Mapa final'!$AJ$33="Catastrófico"),CONCATENATE("R2C",'Mapa final'!$R$33),"")</f>
        <v/>
      </c>
      <c r="AJ55" s="42" t="str">
        <f>IF(AND('Mapa final'!$AH$34="Muy Baja",'Mapa final'!$AJ$34="Catastrófico"),CONCATENATE("R2C",'Mapa final'!$R$34),"")</f>
        <v/>
      </c>
      <c r="AK55" s="42" t="str">
        <f>IF(AND('Mapa final'!$AH$35="Muy Baja",'Mapa final'!$AJ$35="Catastrófico"),CONCATENATE("R2C",'Mapa final'!$R$35),"")</f>
        <v/>
      </c>
      <c r="AL55" s="42" t="str">
        <f>IF(AND('Mapa final'!$AH$36="Muy Baja",'Mapa final'!$AJ$36="Catastrófico"),CONCATENATE("R2C",'Mapa final'!$R$36),"")</f>
        <v/>
      </c>
      <c r="AM55" s="42" t="str">
        <f>IF(AND('Mapa final'!$AH$37="Muy Baja",'Mapa final'!$AJ$37="LCatastrófico"),CONCATENATE("R2C",'Mapa final'!$R$37),"")</f>
        <v/>
      </c>
      <c r="AN55" s="43" t="str">
        <f>IF(AND('Mapa final'!$AH$38="Muy Baja",'Mapa final'!$AJ$38="Catastrófico"),CONCATENATE("R2C",'Mapa final'!$R$38),"")</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x14ac:dyDescent="0.45">
      <c r="B56" s="68"/>
      <c r="C56" s="476"/>
      <c r="D56" s="476"/>
      <c r="E56" s="477"/>
      <c r="F56" s="519"/>
      <c r="G56" s="520"/>
      <c r="H56" s="520"/>
      <c r="I56" s="520"/>
      <c r="J56" s="521"/>
      <c r="K56" s="62" t="str">
        <f>IF(AND('Mapa final'!$AH$39="Muy Baja",'Mapa final'!$AJ$39="Leve"),CONCATENATE("R2C",'Mapa final'!$R$39),"")</f>
        <v/>
      </c>
      <c r="L56" s="63" t="str">
        <f>IF(AND('Mapa final'!$AH$40="Muy Baja",'Mapa final'!$AJ$40="Leve"),CONCATENATE("R2C",'Mapa final'!$R$40),"")</f>
        <v/>
      </c>
      <c r="M56" s="63" t="str">
        <f>IF(AND('Mapa final'!$AH$41="Muy Baja",'Mapa final'!$AJ$41="Leve"),CONCATENATE("R2C",'Mapa final'!$R$41),"")</f>
        <v/>
      </c>
      <c r="N56" s="63" t="str">
        <f>IF(AND('Mapa final'!$AH$42="Muy Baja",'Mapa final'!$AJ$42="Leve"),CONCATENATE("R2C",'Mapa final'!$R$42),"")</f>
        <v/>
      </c>
      <c r="O56" s="63" t="str">
        <f>IF(AND('Mapa final'!$AH$43="Muy Baja",'Mapa final'!$AJ$43="Leve"),CONCATENATE("R2C",'Mapa final'!$R$43),"")</f>
        <v/>
      </c>
      <c r="P56" s="64" t="str">
        <f>IF(AND('Mapa final'!$AH$44="Muy Baja",'Mapa final'!$AJ$44="Leve"),CONCATENATE("R2C",'Mapa final'!$R$44),"")</f>
        <v/>
      </c>
      <c r="Q56" s="62" t="str">
        <f>IF(AND('Mapa final'!$AH$39="Muy Baja",'Mapa final'!$AJ$39="Menor"),CONCATENATE("R2C",'Mapa final'!$R$39),"")</f>
        <v/>
      </c>
      <c r="R56" s="63" t="str">
        <f>IF(AND('Mapa final'!$AH$40="Muy Baja",'Mapa final'!$AJ$40="Menor"),CONCATENATE("R2C",'Mapa final'!$R$40),"")</f>
        <v/>
      </c>
      <c r="S56" s="63" t="str">
        <f>IF(AND('Mapa final'!$AH$41="Muy Baja",'Mapa final'!$AJ$41="Menor"),CONCATENATE("R2C",'Mapa final'!$R$41),"")</f>
        <v/>
      </c>
      <c r="T56" s="63" t="str">
        <f>IF(AND('Mapa final'!$AH$42="Muy Baja",'Mapa final'!$AJ$42="Menor"),CONCATENATE("R2C",'Mapa final'!$R$42),"")</f>
        <v/>
      </c>
      <c r="U56" s="63" t="str">
        <f>IF(AND('Mapa final'!$AH$43="Muy Baja",'Mapa final'!$AJ$43="Menor"),CONCATENATE("R2C",'Mapa final'!$R$43),"")</f>
        <v/>
      </c>
      <c r="V56" s="64" t="str">
        <f>IF(AND('Mapa final'!$AH$44="Muy Baja",'Mapa final'!$AJ$44="Menor"),CONCATENATE("R2C",'Mapa final'!$R$44),"")</f>
        <v/>
      </c>
      <c r="W56" s="53" t="str">
        <f>IF(AND('Mapa final'!$AH$39="Muy Baja",'Mapa final'!$AJ$39="Moderado"),CONCATENATE("R2C",'Mapa final'!$R$39),"")</f>
        <v/>
      </c>
      <c r="X56" s="54" t="str">
        <f>IF(AND('Mapa final'!$AH$40="Muy Baja",'Mapa final'!$AJ$40="Moderado"),CONCATENATE("R2C",'Mapa final'!$R$40),"")</f>
        <v/>
      </c>
      <c r="Y56" s="54" t="str">
        <f>IF(AND('Mapa final'!$AH$41="Muy Baja",'Mapa final'!$AJ$41="Moderado"),CONCATENATE("R2C",'Mapa final'!$R$41),"")</f>
        <v/>
      </c>
      <c r="Z56" s="54" t="str">
        <f>IF(AND('Mapa final'!$AH$42="Muy Baja",'Mapa final'!$AJ$42="Moderado"),CONCATENATE("R2C",'Mapa final'!$R$42),"")</f>
        <v/>
      </c>
      <c r="AA56" s="54" t="str">
        <f>IF(AND('Mapa final'!$AH$43="Muy Baja",'Mapa final'!$AJ$43="Moderado"),CONCATENATE("R2C",'Mapa final'!$R$43),"")</f>
        <v/>
      </c>
      <c r="AB56" s="55" t="str">
        <f>IF(AND('Mapa final'!$AH$44="Muy Baja",'Mapa final'!$AJ$44="Moderado"),CONCATENATE("R2C",'Mapa final'!$R$44),"")</f>
        <v/>
      </c>
      <c r="AC56" s="38" t="str">
        <f>IF(AND('Mapa final'!$AH$39="Muy Baja",'Mapa final'!$AJ$39="Mayor"),CONCATENATE("R2C",'Mapa final'!$R$39),"")</f>
        <v/>
      </c>
      <c r="AD56" s="39" t="str">
        <f>IF(AND('Mapa final'!$AH$40="Muy Baja",'Mapa final'!$AJ$40="Mayor"),CONCATENATE("R2C",'Mapa final'!$R$40),"")</f>
        <v/>
      </c>
      <c r="AE56" s="39" t="str">
        <f>IF(AND('Mapa final'!$AH$41="Muy Baja",'Mapa final'!$AJ$41="Mayor"),CONCATENATE("R2C",'Mapa final'!$R$41),"")</f>
        <v/>
      </c>
      <c r="AF56" s="39" t="str">
        <f>IF(AND('Mapa final'!$AH$42="Muy Baja",'Mapa final'!$AJ$42="Mayor"),CONCATENATE("R2C",'Mapa final'!$R$42),"")</f>
        <v/>
      </c>
      <c r="AG56" s="39" t="str">
        <f>IF(AND('Mapa final'!$AH$43="Muy Baja",'Mapa final'!$AJ$43="Mayor"),CONCATENATE("R2C",'Mapa final'!$R$43),"")</f>
        <v/>
      </c>
      <c r="AH56" s="40" t="str">
        <f>IF(AND('Mapa final'!$AH$44="Muy Baja",'Mapa final'!$AJ$44="Mayor"),CONCATENATE("R2C",'Mapa final'!$R$44),"")</f>
        <v/>
      </c>
      <c r="AI56" s="41" t="str">
        <f>IF(AND('Mapa final'!$AH$39="Muy Baja",'Mapa final'!$AJ$39="Catastrófico"),CONCATENATE("R2C",'Mapa final'!$R$39),"")</f>
        <v/>
      </c>
      <c r="AJ56" s="42" t="str">
        <f>IF(AND('Mapa final'!$AH$40="Muy Baja",'Mapa final'!$AJ$40="Catastrófico"),CONCATENATE("R2C",'Mapa final'!$R$40),"")</f>
        <v/>
      </c>
      <c r="AK56" s="42" t="str">
        <f>IF(AND('Mapa final'!$AH$41="Muy Baja",'Mapa final'!$AJ$41="Catastrófico"),CONCATENATE("R2C",'Mapa final'!$R$41),"")</f>
        <v/>
      </c>
      <c r="AL56" s="42" t="str">
        <f>IF(AND('Mapa final'!$AH$42="Muy Baja",'Mapa final'!$AJ$42="Catastrófico"),CONCATENATE("R2C",'Mapa final'!$R$42),"")</f>
        <v/>
      </c>
      <c r="AM56" s="42" t="str">
        <f>IF(AND('Mapa final'!$AH$43="Muy Baja",'Mapa final'!$AJ$43="Catastrófico"),CONCATENATE("R2C",'Mapa final'!$R$43),"")</f>
        <v/>
      </c>
      <c r="AN56" s="43" t="str">
        <f>IF(AND('Mapa final'!$AH$44="Muy Baja",'Mapa final'!$AJ$44="Catastrófico"),CONCATENATE("R2C",'Mapa final'!$R$44),"")</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x14ac:dyDescent="0.45">
      <c r="B57" s="68"/>
      <c r="C57" s="476"/>
      <c r="D57" s="476"/>
      <c r="E57" s="477"/>
      <c r="F57" s="519"/>
      <c r="G57" s="520"/>
      <c r="H57" s="520"/>
      <c r="I57" s="520"/>
      <c r="J57" s="521"/>
      <c r="K57" s="62" t="str">
        <f>IF(AND('Mapa final'!$AH$45="Muy Baja",'Mapa final'!$AJ$45="Leve"),CONCATENATE("R2C",'Mapa final'!$R$45),"")</f>
        <v/>
      </c>
      <c r="L57" s="63" t="str">
        <f>IF(AND('Mapa final'!$AH$46="Muy Baja",'Mapa final'!$AJ$46="Leve"),CONCATENATE("R2C",'Mapa final'!$R$46),"")</f>
        <v/>
      </c>
      <c r="M57" s="63" t="str">
        <f>IF(AND('Mapa final'!$AH$47="Muy Baja",'Mapa final'!$AJ$47="Leve"),CONCATENATE("R2C",'Mapa final'!$R$47),"")</f>
        <v/>
      </c>
      <c r="N57" s="63" t="str">
        <f>IF(AND('Mapa final'!$AH$48="Muy Baja",'Mapa final'!$AJ$48="Leve"),CONCATENATE("R2C",'Mapa final'!$R$48),"")</f>
        <v/>
      </c>
      <c r="O57" s="63" t="str">
        <f>IF(AND('Mapa final'!$AH$49="Muy Baja",'Mapa final'!$AJ$49="Leve"),CONCATENATE("R2C",'Mapa final'!$R$49),"")</f>
        <v/>
      </c>
      <c r="P57" s="64" t="str">
        <f>IF(AND('Mapa final'!$AH$60="Muy Baja",'Mapa final'!$AJ$50="Leve"),CONCATENATE("R2C",'Mapa final'!$R$50),"")</f>
        <v/>
      </c>
      <c r="Q57" s="62" t="str">
        <f>IF(AND('Mapa final'!$AH$45="Muy Baja",'Mapa final'!$AJ$45="Menor"),CONCATENATE("R2C",'Mapa final'!$R$45),"")</f>
        <v/>
      </c>
      <c r="R57" s="63" t="str">
        <f>IF(AND('Mapa final'!$AH$46="Muy Baja",'Mapa final'!$AJ$46="Menor"),CONCATENATE("R2C",'Mapa final'!$R$46),"")</f>
        <v/>
      </c>
      <c r="S57" s="63" t="str">
        <f>IF(AND('Mapa final'!$AH$47="Muy Baja",'Mapa final'!$AJ$47="Menor"),CONCATENATE("R2C",'Mapa final'!$R$47),"")</f>
        <v/>
      </c>
      <c r="T57" s="63" t="str">
        <f>IF(AND('Mapa final'!$AH$48="Muy Baja",'Mapa final'!$AJ$48="Menor"),CONCATENATE("R2C",'Mapa final'!$R$48),"")</f>
        <v/>
      </c>
      <c r="U57" s="63" t="str">
        <f>IF(AND('Mapa final'!$AH$49="Muy Baja",'Mapa final'!$AJ$49="Menor"),CONCATENATE("R2C",'Mapa final'!$R$49),"")</f>
        <v/>
      </c>
      <c r="V57" s="64" t="str">
        <f>IF(AND('Mapa final'!$AH$60="Muy Baja",'Mapa final'!$AJ$50="Menor"),CONCATENATE("R2C",'Mapa final'!$R$50),"")</f>
        <v/>
      </c>
      <c r="W57" s="53" t="str">
        <f>IF(AND('Mapa final'!$AH$45="Muy Baja",'Mapa final'!$AJ$45="Moderado"),CONCATENATE("R2C",'Mapa final'!$R$45),"")</f>
        <v/>
      </c>
      <c r="X57" s="54" t="str">
        <f>IF(AND('Mapa final'!$AH$46="Muy Baja",'Mapa final'!$AJ$46="Moderado"),CONCATENATE("R2C",'Mapa final'!$R$46),"")</f>
        <v/>
      </c>
      <c r="Y57" s="54" t="str">
        <f>IF(AND('Mapa final'!$AH$47="Muy Baja",'Mapa final'!$AJ$47="Moderado"),CONCATENATE("R2C",'Mapa final'!$R$47),"")</f>
        <v/>
      </c>
      <c r="Z57" s="54" t="str">
        <f>IF(AND('Mapa final'!$AH$48="Muy Baja",'Mapa final'!$AJ$48="Moderado"),CONCATENATE("R2C",'Mapa final'!$R$48),"")</f>
        <v/>
      </c>
      <c r="AA57" s="54" t="str">
        <f>IF(AND('Mapa final'!$AH$49="Muy Baja",'Mapa final'!$AJ$49="Moderado"),CONCATENATE("R2C",'Mapa final'!$R$49),"")</f>
        <v/>
      </c>
      <c r="AB57" s="55" t="str">
        <f>IF(AND('Mapa final'!$AH$60="Muy Baja",'Mapa final'!$AJ$50="Moderado"),CONCATENATE("R2C",'Mapa final'!$R$50),"")</f>
        <v/>
      </c>
      <c r="AC57" s="38" t="str">
        <f>IF(AND('Mapa final'!$AH$45="Muy Baja",'Mapa final'!$AJ$45="Mayor"),CONCATENATE("R2C",'Mapa final'!$R$45),"")</f>
        <v/>
      </c>
      <c r="AD57" s="39" t="str">
        <f>IF(AND('Mapa final'!$AH$46="Muy Baja",'Mapa final'!$AJ$46="Mayor"),CONCATENATE("R2C",'Mapa final'!$R$46),"")</f>
        <v/>
      </c>
      <c r="AE57" s="39" t="str">
        <f>IF(AND('Mapa final'!$AH$47="Muy Baja",'Mapa final'!$AJ$47="Mayor"),CONCATENATE("R2C",'Mapa final'!$R$47),"")</f>
        <v/>
      </c>
      <c r="AF57" s="39" t="str">
        <f>IF(AND('Mapa final'!$AH$48="Muy Baja",'Mapa final'!$AJ$48="Mayor"),CONCATENATE("R2C",'Mapa final'!$R$48),"")</f>
        <v/>
      </c>
      <c r="AG57" s="39" t="str">
        <f>IF(AND('Mapa final'!$AH$49="Muy Baja",'Mapa final'!$AJ$49="Mayor"),CONCATENATE("R2C",'Mapa final'!$R$49),"")</f>
        <v/>
      </c>
      <c r="AH57" s="40" t="str">
        <f>IF(AND('Mapa final'!$AH$60="Muy Baja",'Mapa final'!$AJ$50="Mayor"),CONCATENATE("R2C",'Mapa final'!$R$50),"")</f>
        <v/>
      </c>
      <c r="AI57" s="41" t="str">
        <f>IF(AND('Mapa final'!$AH$45="Muy Baja",'Mapa final'!$AJ$45="Catastrófico"),CONCATENATE("R2C",'Mapa final'!$R$45),"")</f>
        <v/>
      </c>
      <c r="AJ57" s="42" t="str">
        <f>IF(AND('Mapa final'!$AH$46="Muy Baja",'Mapa final'!$AJ$46="Catastrófico"),CONCATENATE("R2C",'Mapa final'!$R$46),"")</f>
        <v/>
      </c>
      <c r="AK57" s="42" t="str">
        <f>IF(AND('Mapa final'!$AH$47="Muy Baja",'Mapa final'!$AJ$47="Catastrófico"),CONCATENATE("R2C",'Mapa final'!$R$47),"")</f>
        <v/>
      </c>
      <c r="AL57" s="42" t="str">
        <f>IF(AND('Mapa final'!$AH$48="Muy Baja",'Mapa final'!$AJ$48="Catastrófico"),CONCATENATE("R2C",'Mapa final'!$R$48),"")</f>
        <v/>
      </c>
      <c r="AM57" s="42" t="str">
        <f>IF(AND('Mapa final'!$AH$49="Muy Baja",'Mapa final'!$AJ$49="Catastrófico"),CONCATENATE("R2C",'Mapa final'!$R$49),"")</f>
        <v/>
      </c>
      <c r="AN57" s="43" t="str">
        <f>IF(AND('Mapa final'!$AH$60="Muy Baja",'Mapa final'!$AJ$50="Catastrófico"),CONCATENATE("R2C",'Mapa final'!$R$50),"")</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x14ac:dyDescent="0.45">
      <c r="B58" s="68"/>
      <c r="C58" s="476"/>
      <c r="D58" s="476"/>
      <c r="E58" s="477"/>
      <c r="F58" s="519"/>
      <c r="G58" s="520"/>
      <c r="H58" s="520"/>
      <c r="I58" s="520"/>
      <c r="J58" s="521"/>
      <c r="K58" s="62" t="str">
        <f>IF(AND('Mapa final'!$AH$51="Muy Baja",'Mapa final'!$AJ$51="Leve"),CONCATENATE("R2C",'Mapa final'!$R$51),"")</f>
        <v/>
      </c>
      <c r="L58" s="63" t="str">
        <f>IF(AND('Mapa final'!$AH$52="Muy Baja",'Mapa final'!$AJ$52="Leve"),CONCATENATE("R2C",'Mapa final'!$R$52),"")</f>
        <v/>
      </c>
      <c r="M58" s="63" t="str">
        <f>IF(AND('Mapa final'!$AH$53="Muy Baja",'Mapa final'!$AJ$53="Leve"),CONCATENATE("R2C",'Mapa final'!$R$53),"")</f>
        <v/>
      </c>
      <c r="N58" s="63" t="str">
        <f>IF(AND('Mapa final'!$AH$54="Muy Baja",'Mapa final'!$AJ$54="Leve"),CONCATENATE("R2C",'Mapa final'!$R$54),"")</f>
        <v/>
      </c>
      <c r="O58" s="63" t="str">
        <f>IF(AND('Mapa final'!$AH$55="Muy Baja",'Mapa final'!$AJ$55="Leve"),CONCATENATE("R2C",'Mapa final'!$R$55),"")</f>
        <v/>
      </c>
      <c r="P58" s="64" t="str">
        <f>IF(AND('Mapa final'!$AH$56="Muy Baja",'Mapa final'!$AJ$56="Leve"),CONCATENATE("R2C",'Mapa final'!$R$56),"")</f>
        <v/>
      </c>
      <c r="Q58" s="62" t="str">
        <f>IF(AND('Mapa final'!$AH$51="Muy Baja",'Mapa final'!$AJ$51="Menor"),CONCATENATE("R2C",'Mapa final'!$R$51),"")</f>
        <v/>
      </c>
      <c r="R58" s="63" t="str">
        <f>IF(AND('Mapa final'!$AH$52="Muy Baja",'Mapa final'!$AJ$52="Menor"),CONCATENATE("R2C",'Mapa final'!$R$52),"")</f>
        <v/>
      </c>
      <c r="S58" s="63" t="str">
        <f>IF(AND('Mapa final'!$AH$53="Muy Baja",'Mapa final'!$AJ$53="Menor"),CONCATENATE("R2C",'Mapa final'!$R$53),"")</f>
        <v/>
      </c>
      <c r="T58" s="63" t="str">
        <f>IF(AND('Mapa final'!$AH$54="Muy Baja",'Mapa final'!$AJ$54="Menor"),CONCATENATE("R2C",'Mapa final'!$R$54),"")</f>
        <v/>
      </c>
      <c r="U58" s="63" t="str">
        <f>IF(AND('Mapa final'!$AH$55="Muy Baja",'Mapa final'!$AJ$55="Menor"),CONCATENATE("R2C",'Mapa final'!$R$55),"")</f>
        <v/>
      </c>
      <c r="V58" s="64" t="str">
        <f>IF(AND('Mapa final'!$AH$56="Muy Baja",'Mapa final'!$AJ$56="Menor"),CONCATENATE("R2C",'Mapa final'!$R$56),"")</f>
        <v/>
      </c>
      <c r="W58" s="53" t="str">
        <f>IF(AND('Mapa final'!$AH$51="Muy Baja",'Mapa final'!$AJ$51="Moderado"),CONCATENATE("R2C",'Mapa final'!$R$51),"")</f>
        <v/>
      </c>
      <c r="X58" s="54" t="str">
        <f>IF(AND('Mapa final'!$AH$52="Muy Baja",'Mapa final'!$AJ$52="Moderado"),CONCATENATE("R2C",'Mapa final'!$R$52),"")</f>
        <v/>
      </c>
      <c r="Y58" s="54" t="str">
        <f>IF(AND('Mapa final'!$AH$53="Muy Baja",'Mapa final'!$AJ$53="Moderado"),CONCATENATE("R2C",'Mapa final'!$R$53),"")</f>
        <v/>
      </c>
      <c r="Z58" s="54" t="str">
        <f>IF(AND('Mapa final'!$AH$54="Muy Baja",'Mapa final'!$AJ$54="Moderado"),CONCATENATE("R2C",'Mapa final'!$R$54),"")</f>
        <v/>
      </c>
      <c r="AA58" s="54" t="str">
        <f>IF(AND('Mapa final'!$AH$55="Muy Baja",'Mapa final'!$AJ$55="Moderado"),CONCATENATE("R2C",'Mapa final'!$R$55),"")</f>
        <v/>
      </c>
      <c r="AB58" s="55" t="str">
        <f>IF(AND('Mapa final'!$AH$56="Muy Baja",'Mapa final'!$AJ$56="Moderado"),CONCATENATE("R2C",'Mapa final'!$R$56),"")</f>
        <v/>
      </c>
      <c r="AC58" s="38" t="str">
        <f>IF(AND('Mapa final'!$AH$51="Muy Baja",'Mapa final'!$AJ$51="Mayor"),CONCATENATE("R2C",'Mapa final'!$R$51),"")</f>
        <v/>
      </c>
      <c r="AD58" s="39" t="str">
        <f>IF(AND('Mapa final'!$AH$52="Muy Baja",'Mapa final'!$AJ$52="Mayor"),CONCATENATE("R2C",'Mapa final'!$R$52),"")</f>
        <v/>
      </c>
      <c r="AE58" s="39" t="str">
        <f>IF(AND('Mapa final'!$AH$53="Muy Baja",'Mapa final'!$AJ$53="Mayor"),CONCATENATE("R2C",'Mapa final'!$R$53),"")</f>
        <v/>
      </c>
      <c r="AF58" s="39" t="str">
        <f>IF(AND('Mapa final'!$AH$54="Muy Baja",'Mapa final'!$AJ$54="Mayor"),CONCATENATE("R2C",'Mapa final'!$R$54),"")</f>
        <v/>
      </c>
      <c r="AG58" s="39" t="str">
        <f>IF(AND('Mapa final'!$AH$55="Muy Baja",'Mapa final'!$AJ$55="Mayor"),CONCATENATE("R2C",'Mapa final'!$R$55),"")</f>
        <v/>
      </c>
      <c r="AH58" s="40" t="str">
        <f>IF(AND('Mapa final'!$AH$56="Muy Baja",'Mapa final'!$AJ$56="Mayor"),CONCATENATE("R2C",'Mapa final'!$R$56),"")</f>
        <v/>
      </c>
      <c r="AI58" s="41" t="str">
        <f>IF(AND('Mapa final'!$AH$51="Muy Baja",'Mapa final'!$AJ$51="Catastrófico"),CONCATENATE("R2C",'Mapa final'!$R$51),"")</f>
        <v/>
      </c>
      <c r="AJ58" s="42" t="str">
        <f>IF(AND('Mapa final'!$AH$52="Muy Baja",'Mapa final'!$AJ$52="Catastrófico"),CONCATENATE("R2C",'Mapa final'!$R$52),"")</f>
        <v/>
      </c>
      <c r="AK58" s="42" t="str">
        <f>IF(AND('Mapa final'!$AH$53="Muy Baja",'Mapa final'!$AJ$53="Catastrófico"),CONCATENATE("R2C",'Mapa final'!$R$53),"")</f>
        <v/>
      </c>
      <c r="AL58" s="42" t="str">
        <f>IF(AND('Mapa final'!$AH$54="Muy Baja",'Mapa final'!$AJ$54="Catastrófico"),CONCATENATE("R2C",'Mapa final'!$R$54),"")</f>
        <v/>
      </c>
      <c r="AM58" s="42" t="str">
        <f>IF(AND('Mapa final'!$AH$55="Muy Baja",'Mapa final'!$AJ$55="Catastrófico"),CONCATENATE("R2C",'Mapa final'!$R$55),"")</f>
        <v/>
      </c>
      <c r="AN58" s="43" t="str">
        <f>IF(AND('Mapa final'!$AH$56="Muy Baja",'Mapa final'!$AJ$56="Catastrófico"),CONCATENATE("R2C",'Mapa final'!$R$56),"")</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x14ac:dyDescent="0.45">
      <c r="B59" s="68"/>
      <c r="C59" s="476"/>
      <c r="D59" s="476"/>
      <c r="E59" s="477"/>
      <c r="F59" s="519"/>
      <c r="G59" s="520"/>
      <c r="H59" s="520"/>
      <c r="I59" s="520"/>
      <c r="J59" s="521"/>
      <c r="K59" s="62" t="str">
        <f>IF(AND('Mapa final'!$AH$57="Muy Baja",'Mapa final'!$AJ$57="Leve"),CONCATENATE("R2C",'Mapa final'!$R$57),"")</f>
        <v/>
      </c>
      <c r="L59" s="63" t="str">
        <f>IF(AND('Mapa final'!$AH$58="Muy Baja",'Mapa final'!$AJ$58="Leve"),CONCATENATE("R2C",'Mapa final'!$R$58),"")</f>
        <v/>
      </c>
      <c r="M59" s="63" t="str">
        <f>IF(AND('Mapa final'!$AH$59="Muy Baja",'Mapa final'!$AJ$59="Leve"),CONCATENATE("R2C",'Mapa final'!$R$59),"")</f>
        <v/>
      </c>
      <c r="N59" s="63" t="str">
        <f>IF(AND('Mapa final'!$AH$60="Muy Baja",'Mapa final'!$AJ$60="Leve"),CONCATENATE("R2C",'Mapa final'!$R$60),"")</f>
        <v/>
      </c>
      <c r="O59" s="63" t="str">
        <f>IF(AND('Mapa final'!$AH$61="Muy Baja",'Mapa final'!$AJ$61="Leve"),CONCATENATE("R2C",'Mapa final'!$R$61),"")</f>
        <v/>
      </c>
      <c r="P59" s="64" t="str">
        <f>IF(AND('Mapa final'!$AH$62="Muy Baja",'Mapa final'!$AJ$62="Leve"),CONCATENATE("R2C",'Mapa final'!$R$62),"")</f>
        <v/>
      </c>
      <c r="Q59" s="62" t="str">
        <f>IF(AND('Mapa final'!$AH$57="Muy Baja",'Mapa final'!$AJ$57="Menor"),CONCATENATE("R2C",'Mapa final'!$R$57),"")</f>
        <v/>
      </c>
      <c r="R59" s="63" t="str">
        <f>IF(AND('Mapa final'!$AH$58="Muy Baja",'Mapa final'!$AJ$58="Menor"),CONCATENATE("R2C",'Mapa final'!$R$58),"")</f>
        <v/>
      </c>
      <c r="S59" s="63" t="str">
        <f>IF(AND('Mapa final'!$AH$59="Muy Baja",'Mapa final'!$AJ$59="Menor"),CONCATENATE("R2C",'Mapa final'!$R$59),"")</f>
        <v/>
      </c>
      <c r="T59" s="63" t="str">
        <f>IF(AND('Mapa final'!$AH$60="Muy Baja",'Mapa final'!$AJ$60="Menor"),CONCATENATE("R2C",'Mapa final'!$R$60),"")</f>
        <v/>
      </c>
      <c r="U59" s="63" t="str">
        <f>IF(AND('Mapa final'!$AH$61="Muy Baja",'Mapa final'!$AJ$61="Menor"),CONCATENATE("R2C",'Mapa final'!$R$61),"")</f>
        <v/>
      </c>
      <c r="V59" s="64" t="str">
        <f>IF(AND('Mapa final'!$AH$62="Muy Baja",'Mapa final'!$AJ$62="Menor"),CONCATENATE("R2C",'Mapa final'!$R$62),"")</f>
        <v/>
      </c>
      <c r="W59" s="53" t="str">
        <f>IF(AND('Mapa final'!$AH$57="Muy Baja",'Mapa final'!$AJ$57="Moderado"),CONCATENATE("R2C",'Mapa final'!$R$57),"")</f>
        <v/>
      </c>
      <c r="X59" s="54" t="str">
        <f>IF(AND('Mapa final'!$AH$58="Muy Baja",'Mapa final'!$AJ$58="Moderado"),CONCATENATE("R2C",'Mapa final'!$R$58),"")</f>
        <v/>
      </c>
      <c r="Y59" s="54" t="str">
        <f>IF(AND('Mapa final'!$AH$59="Muy Baja",'Mapa final'!$AJ$59="Moderado"),CONCATENATE("R2C",'Mapa final'!$R$59),"")</f>
        <v/>
      </c>
      <c r="Z59" s="54" t="str">
        <f>IF(AND('Mapa final'!$AH$60="Muy Baja",'Mapa final'!$AJ$60="Moderado"),CONCATENATE("R2C",'Mapa final'!$R$60),"")</f>
        <v/>
      </c>
      <c r="AA59" s="54" t="str">
        <f>IF(AND('Mapa final'!$AH$61="Muy Baja",'Mapa final'!$AJ$61="Moderado"),CONCATENATE("R2C",'Mapa final'!$R$61),"")</f>
        <v/>
      </c>
      <c r="AB59" s="55" t="str">
        <f>IF(AND('Mapa final'!$AH$62="Muy Baja",'Mapa final'!$AJ$62="Moderado"),CONCATENATE("R2C",'Mapa final'!$R$62),"")</f>
        <v/>
      </c>
      <c r="AC59" s="38" t="str">
        <f>IF(AND('Mapa final'!$AH$57="Muy Baja",'Mapa final'!$AJ$57="Mayor"),CONCATENATE("R2C",'Mapa final'!$R$57),"")</f>
        <v/>
      </c>
      <c r="AD59" s="39" t="str">
        <f>IF(AND('Mapa final'!$AH$58="Muy Baja",'Mapa final'!$AJ$58="Mayor"),CONCATENATE("R2C",'Mapa final'!$R$58),"")</f>
        <v/>
      </c>
      <c r="AE59" s="39" t="str">
        <f>IF(AND('Mapa final'!$AH$59="Muy Baja",'Mapa final'!$AJ$59="Mayor"),CONCATENATE("R2C",'Mapa final'!$R$59),"")</f>
        <v/>
      </c>
      <c r="AF59" s="39" t="str">
        <f>IF(AND('Mapa final'!$AH$60="Muy Baja",'Mapa final'!$AJ$60="Mayor"),CONCATENATE("R2C",'Mapa final'!$R$60),"")</f>
        <v/>
      </c>
      <c r="AG59" s="39" t="str">
        <f>IF(AND('Mapa final'!$AH$61="Muy Baja",'Mapa final'!$AJ$61="Mayor"),CONCATENATE("R2C",'Mapa final'!$R$61),"")</f>
        <v/>
      </c>
      <c r="AH59" s="40" t="str">
        <f>IF(AND('Mapa final'!$AH$62="Muy Baja",'Mapa final'!$AJ$62="Mayor"),CONCATENATE("R2C",'Mapa final'!$R$62),"")</f>
        <v/>
      </c>
      <c r="AI59" s="41" t="str">
        <f>IF(AND('Mapa final'!$AH$57="Muy Baja",'Mapa final'!$AJ$57="Catastrófico"),CONCATENATE("R2C",'Mapa final'!$R$57),"")</f>
        <v/>
      </c>
      <c r="AJ59" s="42" t="str">
        <f>IF(AND('Mapa final'!$AH$58="Muy Baja",'Mapa final'!$AJ$58="Catastrófico"),CONCATENATE("R2C",'Mapa final'!$R$58),"")</f>
        <v/>
      </c>
      <c r="AK59" s="42" t="str">
        <f>IF(AND('Mapa final'!$AH$59="Muy Baja",'Mapa final'!$AJ$59="Catastrófico"),CONCATENATE("R2C",'Mapa final'!$R$59),"")</f>
        <v/>
      </c>
      <c r="AL59" s="42" t="str">
        <f>IF(AND('Mapa final'!$AH$60="Muy Baja",'Mapa final'!$AJ$60="Catastrófico"),CONCATENATE("R2C",'Mapa final'!$R$60),"")</f>
        <v/>
      </c>
      <c r="AM59" s="42" t="str">
        <f>IF(AND('Mapa final'!$AH$61="Muy Baja",'Mapa final'!$AJ$61="Catastrófico"),CONCATENATE("R2C",'Mapa final'!$R$61),"")</f>
        <v/>
      </c>
      <c r="AN59" s="43" t="str">
        <f>IF(AND('Mapa final'!$AH$62="Muy Baja",'Mapa final'!$AJ$62="Catastrófico"),CONCATENATE("R2C",'Mapa final'!$R$62),"")</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x14ac:dyDescent="0.45">
      <c r="B60" s="68"/>
      <c r="C60" s="476"/>
      <c r="D60" s="476"/>
      <c r="E60" s="477"/>
      <c r="F60" s="519"/>
      <c r="G60" s="520"/>
      <c r="H60" s="520"/>
      <c r="I60" s="520"/>
      <c r="J60" s="521"/>
      <c r="K60" s="62" t="str">
        <f>IF(AND('Mapa final'!$AH$63="Muy Baja",'Mapa final'!$AJ$63="Leve"),CONCATENATE("R2C",'Mapa final'!$R$63),"")</f>
        <v/>
      </c>
      <c r="L60" s="63" t="str">
        <f>IF(AND('Mapa final'!$AH$64="Muy Baja",'Mapa final'!$AJ$64="Leve"),CONCATENATE("R2C",'Mapa final'!$R$64),"")</f>
        <v/>
      </c>
      <c r="M60" s="63" t="str">
        <f>IF(AND('Mapa final'!$AH$65="Muy Baja",'Mapa final'!$AJ$65="Leve"),CONCATENATE("R2C",'Mapa final'!$R$65),"")</f>
        <v/>
      </c>
      <c r="N60" s="63" t="str">
        <f>IF(AND('Mapa final'!$AH$66="Muy Baja",'Mapa final'!$AJ$66="Leve"),CONCATENATE("R2C",'Mapa final'!$R$66),"")</f>
        <v/>
      </c>
      <c r="O60" s="63" t="str">
        <f>IF(AND('Mapa final'!$AH$67="Muy Baja",'Mapa final'!$AJ$67="Leve"),CONCATENATE("R2C",'Mapa final'!$R$67),"")</f>
        <v/>
      </c>
      <c r="P60" s="64" t="str">
        <f>IF(AND('Mapa final'!$AH$68="Muy Baja",'Mapa final'!$AJ$68="Leve"),CONCATENATE("R2C",'Mapa final'!$R$68),"")</f>
        <v/>
      </c>
      <c r="Q60" s="62" t="str">
        <f>IF(AND('Mapa final'!$AH$63="Muy Baja",'Mapa final'!$AJ$63="Menor"),CONCATENATE("R2C",'Mapa final'!$R$63),"")</f>
        <v/>
      </c>
      <c r="R60" s="63" t="str">
        <f>IF(AND('Mapa final'!$AH$64="Muy Baja",'Mapa final'!$AJ$64="Menor"),CONCATENATE("R2C",'Mapa final'!$R$64),"")</f>
        <v/>
      </c>
      <c r="S60" s="63" t="str">
        <f>IF(AND('Mapa final'!$AH$65="Muy Baja",'Mapa final'!$AJ$65="Menor"),CONCATENATE("R2C",'Mapa final'!$R$65),"")</f>
        <v/>
      </c>
      <c r="T60" s="63" t="str">
        <f>IF(AND('Mapa final'!$AH$66="Muy Baja",'Mapa final'!$AJ$66="Menor"),CONCATENATE("R2C",'Mapa final'!$R$66),"")</f>
        <v/>
      </c>
      <c r="U60" s="63" t="str">
        <f>IF(AND('Mapa final'!$AH$67="Muy Baja",'Mapa final'!$AJ$67="Menor"),CONCATENATE("R2C",'Mapa final'!$R$67),"")</f>
        <v/>
      </c>
      <c r="V60" s="64" t="str">
        <f>IF(AND('Mapa final'!$AH$68="Muy Baja",'Mapa final'!$AJ$68="Menor"),CONCATENATE("R2C",'Mapa final'!$R$68),"")</f>
        <v/>
      </c>
      <c r="W60" s="53" t="str">
        <f>IF(AND('Mapa final'!$AH$63="Muy Baja",'Mapa final'!$AJ$63="Moderado"),CONCATENATE("R2C",'Mapa final'!$R$63),"")</f>
        <v/>
      </c>
      <c r="X60" s="54" t="str">
        <f>IF(AND('Mapa final'!$AH$64="Muy Baja",'Mapa final'!$AJ$64="Moderado"),CONCATENATE("R2C",'Mapa final'!$R$64),"")</f>
        <v/>
      </c>
      <c r="Y60" s="54" t="str">
        <f>IF(AND('Mapa final'!$AH$65="Muy Baja",'Mapa final'!$AJ$65="Moderado"),CONCATENATE("R2C",'Mapa final'!$R$65),"")</f>
        <v/>
      </c>
      <c r="Z60" s="54" t="str">
        <f>IF(AND('Mapa final'!$AH$66="Muy Baja",'Mapa final'!$AJ$66="Moderado"),CONCATENATE("R2C",'Mapa final'!$R$66),"")</f>
        <v/>
      </c>
      <c r="AA60" s="54" t="str">
        <f>IF(AND('Mapa final'!$AH$67="Muy Baja",'Mapa final'!$AJ$67="Moderado"),CONCATENATE("R2C",'Mapa final'!$R$67),"")</f>
        <v/>
      </c>
      <c r="AB60" s="55" t="str">
        <f>IF(AND('Mapa final'!$AH$68="Muy Baja",'Mapa final'!$AJ$68="Moderado"),CONCATENATE("R2C",'Mapa final'!$R$68),"")</f>
        <v/>
      </c>
      <c r="AC60" s="38" t="str">
        <f>IF(AND('Mapa final'!$AH$63="Muy Baja",'Mapa final'!$AJ$63="Mayor"),CONCATENATE("R2C",'Mapa final'!$R$63),"")</f>
        <v/>
      </c>
      <c r="AD60" s="39" t="str">
        <f>IF(AND('Mapa final'!$AH$64="Muy Baja",'Mapa final'!$AJ$64="Mayor"),CONCATENATE("R2C",'Mapa final'!$R$64),"")</f>
        <v/>
      </c>
      <c r="AE60" s="39" t="str">
        <f>IF(AND('Mapa final'!$AH$65="Muy Baja",'Mapa final'!$AJ$65="Mayor"),CONCATENATE("R2C",'Mapa final'!$R$65),"")</f>
        <v/>
      </c>
      <c r="AF60" s="39" t="str">
        <f>IF(AND('Mapa final'!$AH$66="Muy Baja",'Mapa final'!$AJ$66="Mayor"),CONCATENATE("R2C",'Mapa final'!$R$66),"")</f>
        <v/>
      </c>
      <c r="AG60" s="39" t="str">
        <f>IF(AND('Mapa final'!$AH$67="Muy Baja",'Mapa final'!$AJ$67="Mayor"),CONCATENATE("R2C",'Mapa final'!$R$67),"")</f>
        <v/>
      </c>
      <c r="AH60" s="40" t="str">
        <f>IF(AND('Mapa final'!$AH$68="Muy Baja",'Mapa final'!$AJ$68="Mayor"),CONCATENATE("R2C",'Mapa final'!$R$68),"")</f>
        <v/>
      </c>
      <c r="AI60" s="41" t="str">
        <f>IF(AND('Mapa final'!$AH$63="Muy Baja",'Mapa final'!$AJ$63="Catastrófico"),CONCATENATE("R2C",'Mapa final'!$R$63),"")</f>
        <v/>
      </c>
      <c r="AJ60" s="42" t="str">
        <f>IF(AND('Mapa final'!$AH$64="Muy Baja",'Mapa final'!$AJ$64="Catastrófico"),CONCATENATE("R2C",'Mapa final'!$R$64),"")</f>
        <v/>
      </c>
      <c r="AK60" s="42" t="str">
        <f>IF(AND('Mapa final'!$AH$65="Muy Baja",'Mapa final'!$AJ$65="Catastrófico"),CONCATENATE("R2C",'Mapa final'!$R$65),"")</f>
        <v/>
      </c>
      <c r="AL60" s="42" t="str">
        <f>IF(AND('Mapa final'!$AH$66="Muy Baja",'Mapa final'!$AJ$66="Catastrófico"),CONCATENATE("R2C",'Mapa final'!$R$66),"")</f>
        <v/>
      </c>
      <c r="AM60" s="42" t="str">
        <f>IF(AND('Mapa final'!$AH$67="Muy Baja",'Mapa final'!$AJ$67="Catastrófico"),CONCATENATE("R2C",'Mapa final'!$R$67),"")</f>
        <v/>
      </c>
      <c r="AN60" s="43" t="str">
        <f>IF(AND('Mapa final'!$AH$68="Muy Baja",'Mapa final'!$AJ$68="Catastrófico"),CONCATENATE("R2C",'Mapa final'!$R$68),"")</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x14ac:dyDescent="0.5">
      <c r="B61" s="68"/>
      <c r="C61" s="476"/>
      <c r="D61" s="476"/>
      <c r="E61" s="477"/>
      <c r="F61" s="522"/>
      <c r="G61" s="523"/>
      <c r="H61" s="523"/>
      <c r="I61" s="523"/>
      <c r="J61" s="524"/>
      <c r="K61" s="65" t="str">
        <f>IF(AND('Mapa final'!$AH$69="Muy Baja",'Mapa final'!$AJ$69="Leve"),CONCATENATE("R2C",'Mapa final'!$R$69),"")</f>
        <v/>
      </c>
      <c r="L61" s="66" t="str">
        <f>IF(AND('Mapa final'!$AH$70="Muy Baja",'Mapa final'!$AJ$70="Leve"),CONCATENATE("R2C",'Mapa final'!$R$70),"")</f>
        <v/>
      </c>
      <c r="M61" s="66" t="str">
        <f>IF(AND('Mapa final'!$AH$71="Muy Baja",'Mapa final'!$AJ$71="Leve"),CONCATENATE("R2C",'Mapa final'!$R$71),"")</f>
        <v/>
      </c>
      <c r="N61" s="66" t="str">
        <f>IF(AND('Mapa final'!$AH$72="Muy Baja",'Mapa final'!$AJ$72="Leve"),CONCATENATE("R2C",'Mapa final'!$R$72),"")</f>
        <v/>
      </c>
      <c r="O61" s="66" t="str">
        <f>IF(AND('Mapa final'!$AH$74="Muy Baja",'Mapa final'!$AJ$74="Leve"),CONCATENATE("R2C",'Mapa final'!$R$74),"")</f>
        <v/>
      </c>
      <c r="P61" s="67" t="str">
        <f>IF(AND('Mapa final'!$AH$75="Muy Baja",'Mapa final'!$AJ$75="Leve"),CONCATENATE("R2C",'Mapa final'!$R$75),"")</f>
        <v/>
      </c>
      <c r="Q61" s="65" t="str">
        <f>IF(AND('Mapa final'!$AH$69="Muy Baja",'Mapa final'!$AJ$69="Menor"),CONCATENATE("R2C",'Mapa final'!$R$69),"")</f>
        <v/>
      </c>
      <c r="R61" s="66" t="str">
        <f>IF(AND('Mapa final'!$AH$70="Muy Baja",'Mapa final'!$AJ$70="Menor"),CONCATENATE("R2C",'Mapa final'!$R$70),"")</f>
        <v/>
      </c>
      <c r="S61" s="66" t="str">
        <f>IF(AND('Mapa final'!$AH$71="Muy Baja",'Mapa final'!$AJ$71="Menor"),CONCATENATE("R2C",'Mapa final'!$R$71),"")</f>
        <v/>
      </c>
      <c r="T61" s="66" t="str">
        <f>IF(AND('Mapa final'!$AH$72="Muy Baja",'Mapa final'!$AJ$72="Menor"),CONCATENATE("R2C",'Mapa final'!$R$72),"")</f>
        <v/>
      </c>
      <c r="U61" s="66" t="str">
        <f>IF(AND('Mapa final'!$AH$74="Muy Baja",'Mapa final'!$AJ$74="Menor"),CONCATENATE("R2C",'Mapa final'!$R$74),"")</f>
        <v/>
      </c>
      <c r="V61" s="67" t="str">
        <f>IF(AND('Mapa final'!$AH$75="Muy Baja",'Mapa final'!$AJ$75="Menor"),CONCATENATE("R2C",'Mapa final'!$R$75),"")</f>
        <v/>
      </c>
      <c r="W61" s="56" t="str">
        <f>IF(AND('Mapa final'!$AH$69="Muy Baja",'Mapa final'!$AJ$69="Moderado"),CONCATENATE("R2C",'Mapa final'!$R$69),"")</f>
        <v/>
      </c>
      <c r="X61" s="57" t="str">
        <f>IF(AND('Mapa final'!$AH$70="Muy Baja",'Mapa final'!$AJ$70="Moderado"),CONCATENATE("R2C",'Mapa final'!$R$70),"")</f>
        <v/>
      </c>
      <c r="Y61" s="57" t="str">
        <f>IF(AND('Mapa final'!$AH$71="Muy Baja",'Mapa final'!$AJ$71="Moderado"),CONCATENATE("R2C",'Mapa final'!$R$71),"")</f>
        <v/>
      </c>
      <c r="Z61" s="57" t="str">
        <f>IF(AND('Mapa final'!$AH$72="Muy Baja",'Mapa final'!$AJ$72="Moderado"),CONCATENATE("R2C",'Mapa final'!$R$72),"")</f>
        <v/>
      </c>
      <c r="AA61" s="57" t="str">
        <f>IF(AND('Mapa final'!$AH$74="Muy Baja",'Mapa final'!$AJ$74="Moderado"),CONCATENATE("R2C",'Mapa final'!$R$74),"")</f>
        <v/>
      </c>
      <c r="AB61" s="58" t="str">
        <f>IF(AND('Mapa final'!$AH$75="Muy Baja",'Mapa final'!$AJ$75="Moderado"),CONCATENATE("R2C",'Mapa final'!$R$75),"")</f>
        <v/>
      </c>
      <c r="AC61" s="44" t="str">
        <f>IF(AND('Mapa final'!$AH$69="Muy Baja",'Mapa final'!$AJ$69="Mayor"),CONCATENATE("R2C",'Mapa final'!$R$69),"")</f>
        <v/>
      </c>
      <c r="AD61" s="45" t="str">
        <f>IF(AND('Mapa final'!$AH$70="Muy Baja",'Mapa final'!$AJ$70="Mayor"),CONCATENATE("R2C",'Mapa final'!$R$70),"")</f>
        <v/>
      </c>
      <c r="AE61" s="45" t="str">
        <f>IF(AND('Mapa final'!$AH$71="Muy Baja",'Mapa final'!$AJ$71="Mayor"),CONCATENATE("R2C",'Mapa final'!$R$71),"")</f>
        <v/>
      </c>
      <c r="AF61" s="45" t="str">
        <f>IF(AND('Mapa final'!$AH$72="Muy Baja",'Mapa final'!$AJ$72="Mayor"),CONCATENATE("R2C",'Mapa final'!$R$72),"")</f>
        <v/>
      </c>
      <c r="AG61" s="45" t="str">
        <f>IF(AND('Mapa final'!$AH$74="Muy Baja",'Mapa final'!$AJ$74="Mayor"),CONCATENATE("R2C",'Mapa final'!$R$74),"")</f>
        <v/>
      </c>
      <c r="AH61" s="46" t="str">
        <f>IF(AND('Mapa final'!$AH$75="Muy Baja",'Mapa final'!$AJ$75="Mayor"),CONCATENATE("R2C",'Mapa final'!$R$75),"")</f>
        <v/>
      </c>
      <c r="AI61" s="47" t="str">
        <f>IF(AND('Mapa final'!$AH$69="Muy Baja",'Mapa final'!$AJ$69="Catastrófico"),CONCATENATE("R2C",'Mapa final'!$R$69),"")</f>
        <v/>
      </c>
      <c r="AJ61" s="48" t="str">
        <f>IF(AND('Mapa final'!$AH$70="Muy Baja",'Mapa final'!$AJ$70="Catastrófico"),CONCATENATE("R2C",'Mapa final'!$R$70),"")</f>
        <v/>
      </c>
      <c r="AK61" s="48" t="str">
        <f>IF(AND('Mapa final'!$AH$71="Muy Baja",'Mapa final'!$AJ$71="Catastrófico"),CONCATENATE("R2C",'Mapa final'!$R$71),"")</f>
        <v/>
      </c>
      <c r="AL61" s="48" t="str">
        <f>IF(AND('Mapa final'!$AH$72="Muy Baja",'Mapa final'!$AJ$72="Catastrófico"),CONCATENATE("R2C",'Mapa final'!$R$72),"")</f>
        <v/>
      </c>
      <c r="AM61" s="48" t="str">
        <f>IF(AND('Mapa final'!$AH$74="Muy Baja",'Mapa final'!$AJ$74="Catastrófico"),CONCATENATE("R2C",'Mapa final'!$R$74),"")</f>
        <v/>
      </c>
      <c r="AN61" s="49" t="str">
        <f>IF(AND('Mapa final'!$AH$75="Muy Baja",'Mapa final'!$AJ$75="Catastrófico"),CONCATENATE("R2C",'Mapa final'!$R$75),"")</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x14ac:dyDescent="0.4">
      <c r="B62" s="68"/>
      <c r="C62" s="68"/>
      <c r="D62" s="68"/>
      <c r="E62" s="68"/>
      <c r="F62" s="68"/>
      <c r="G62" s="68"/>
      <c r="H62" s="68"/>
      <c r="I62" s="68"/>
      <c r="J62" s="68"/>
      <c r="K62" s="516" t="s">
        <v>273</v>
      </c>
      <c r="L62" s="517"/>
      <c r="M62" s="517"/>
      <c r="N62" s="517"/>
      <c r="O62" s="517"/>
      <c r="P62" s="518"/>
      <c r="Q62" s="516" t="s">
        <v>274</v>
      </c>
      <c r="R62" s="517"/>
      <c r="S62" s="517"/>
      <c r="T62" s="517"/>
      <c r="U62" s="517"/>
      <c r="V62" s="518"/>
      <c r="W62" s="516" t="s">
        <v>275</v>
      </c>
      <c r="X62" s="517"/>
      <c r="Y62" s="517"/>
      <c r="Z62" s="517"/>
      <c r="AA62" s="517"/>
      <c r="AB62" s="518"/>
      <c r="AC62" s="516" t="s">
        <v>276</v>
      </c>
      <c r="AD62" s="525"/>
      <c r="AE62" s="517"/>
      <c r="AF62" s="517"/>
      <c r="AG62" s="517"/>
      <c r="AH62" s="518"/>
      <c r="AI62" s="516" t="s">
        <v>277</v>
      </c>
      <c r="AJ62" s="517"/>
      <c r="AK62" s="517"/>
      <c r="AL62" s="517"/>
      <c r="AM62" s="517"/>
      <c r="AN62" s="51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x14ac:dyDescent="0.4">
      <c r="B63" s="68"/>
      <c r="C63" s="68"/>
      <c r="D63" s="68"/>
      <c r="E63" s="68"/>
      <c r="F63" s="68"/>
      <c r="G63" s="68"/>
      <c r="H63" s="68"/>
      <c r="I63" s="68"/>
      <c r="J63" s="68"/>
      <c r="K63" s="519"/>
      <c r="L63" s="520"/>
      <c r="M63" s="520"/>
      <c r="N63" s="520"/>
      <c r="O63" s="520"/>
      <c r="P63" s="521"/>
      <c r="Q63" s="519"/>
      <c r="R63" s="520"/>
      <c r="S63" s="520"/>
      <c r="T63" s="520"/>
      <c r="U63" s="520"/>
      <c r="V63" s="521"/>
      <c r="W63" s="519"/>
      <c r="X63" s="520"/>
      <c r="Y63" s="520"/>
      <c r="Z63" s="520"/>
      <c r="AA63" s="520"/>
      <c r="AB63" s="521"/>
      <c r="AC63" s="519"/>
      <c r="AD63" s="520"/>
      <c r="AE63" s="520"/>
      <c r="AF63" s="520"/>
      <c r="AG63" s="520"/>
      <c r="AH63" s="521"/>
      <c r="AI63" s="519"/>
      <c r="AJ63" s="520"/>
      <c r="AK63" s="520"/>
      <c r="AL63" s="520"/>
      <c r="AM63" s="520"/>
      <c r="AN63" s="521"/>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x14ac:dyDescent="0.4">
      <c r="B64" s="68"/>
      <c r="C64" s="68"/>
      <c r="D64" s="68"/>
      <c r="E64" s="68"/>
      <c r="F64" s="68"/>
      <c r="G64" s="68"/>
      <c r="H64" s="68"/>
      <c r="I64" s="68"/>
      <c r="J64" s="68"/>
      <c r="K64" s="519"/>
      <c r="L64" s="520"/>
      <c r="M64" s="520"/>
      <c r="N64" s="520"/>
      <c r="O64" s="520"/>
      <c r="P64" s="521"/>
      <c r="Q64" s="519"/>
      <c r="R64" s="520"/>
      <c r="S64" s="520"/>
      <c r="T64" s="520"/>
      <c r="U64" s="520"/>
      <c r="V64" s="521"/>
      <c r="W64" s="519"/>
      <c r="X64" s="520"/>
      <c r="Y64" s="520"/>
      <c r="Z64" s="520"/>
      <c r="AA64" s="520"/>
      <c r="AB64" s="521"/>
      <c r="AC64" s="519"/>
      <c r="AD64" s="520"/>
      <c r="AE64" s="520"/>
      <c r="AF64" s="520"/>
      <c r="AG64" s="520"/>
      <c r="AH64" s="521"/>
      <c r="AI64" s="519"/>
      <c r="AJ64" s="520"/>
      <c r="AK64" s="520"/>
      <c r="AL64" s="520"/>
      <c r="AM64" s="520"/>
      <c r="AN64" s="521"/>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x14ac:dyDescent="0.4">
      <c r="B65" s="68"/>
      <c r="C65" s="68"/>
      <c r="D65" s="68"/>
      <c r="E65" s="68"/>
      <c r="F65" s="68"/>
      <c r="G65" s="68"/>
      <c r="H65" s="68"/>
      <c r="I65" s="68"/>
      <c r="J65" s="68"/>
      <c r="K65" s="519"/>
      <c r="L65" s="520"/>
      <c r="M65" s="520"/>
      <c r="N65" s="520"/>
      <c r="O65" s="520"/>
      <c r="P65" s="521"/>
      <c r="Q65" s="519"/>
      <c r="R65" s="520"/>
      <c r="S65" s="520"/>
      <c r="T65" s="520"/>
      <c r="U65" s="520"/>
      <c r="V65" s="521"/>
      <c r="W65" s="519"/>
      <c r="X65" s="520"/>
      <c r="Y65" s="520"/>
      <c r="Z65" s="520"/>
      <c r="AA65" s="520"/>
      <c r="AB65" s="521"/>
      <c r="AC65" s="519"/>
      <c r="AD65" s="520"/>
      <c r="AE65" s="520"/>
      <c r="AF65" s="520"/>
      <c r="AG65" s="520"/>
      <c r="AH65" s="521"/>
      <c r="AI65" s="519"/>
      <c r="AJ65" s="520"/>
      <c r="AK65" s="520"/>
      <c r="AL65" s="520"/>
      <c r="AM65" s="520"/>
      <c r="AN65" s="521"/>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x14ac:dyDescent="0.4">
      <c r="B66" s="68"/>
      <c r="C66" s="68"/>
      <c r="D66" s="68"/>
      <c r="E66" s="68"/>
      <c r="F66" s="68"/>
      <c r="G66" s="68"/>
      <c r="H66" s="68"/>
      <c r="I66" s="68"/>
      <c r="J66" s="68"/>
      <c r="K66" s="519"/>
      <c r="L66" s="520"/>
      <c r="M66" s="520"/>
      <c r="N66" s="520"/>
      <c r="O66" s="520"/>
      <c r="P66" s="521"/>
      <c r="Q66" s="519"/>
      <c r="R66" s="520"/>
      <c r="S66" s="520"/>
      <c r="T66" s="520"/>
      <c r="U66" s="520"/>
      <c r="V66" s="521"/>
      <c r="W66" s="519"/>
      <c r="X66" s="520"/>
      <c r="Y66" s="520"/>
      <c r="Z66" s="520"/>
      <c r="AA66" s="520"/>
      <c r="AB66" s="521"/>
      <c r="AC66" s="519"/>
      <c r="AD66" s="520"/>
      <c r="AE66" s="520"/>
      <c r="AF66" s="520"/>
      <c r="AG66" s="520"/>
      <c r="AH66" s="521"/>
      <c r="AI66" s="519"/>
      <c r="AJ66" s="520"/>
      <c r="AK66" s="520"/>
      <c r="AL66" s="520"/>
      <c r="AM66" s="520"/>
      <c r="AN66" s="521"/>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5" thickBot="1" x14ac:dyDescent="0.45">
      <c r="B67" s="68"/>
      <c r="C67" s="68"/>
      <c r="D67" s="68"/>
      <c r="E67" s="68"/>
      <c r="F67" s="68"/>
      <c r="G67" s="68"/>
      <c r="H67" s="68"/>
      <c r="I67" s="68"/>
      <c r="J67" s="68"/>
      <c r="K67" s="522"/>
      <c r="L67" s="523"/>
      <c r="M67" s="523"/>
      <c r="N67" s="523"/>
      <c r="O67" s="523"/>
      <c r="P67" s="524"/>
      <c r="Q67" s="522"/>
      <c r="R67" s="523"/>
      <c r="S67" s="523"/>
      <c r="T67" s="523"/>
      <c r="U67" s="523"/>
      <c r="V67" s="524"/>
      <c r="W67" s="522"/>
      <c r="X67" s="523"/>
      <c r="Y67" s="523"/>
      <c r="Z67" s="523"/>
      <c r="AA67" s="523"/>
      <c r="AB67" s="524"/>
      <c r="AC67" s="522"/>
      <c r="AD67" s="523"/>
      <c r="AE67" s="523"/>
      <c r="AF67" s="523"/>
      <c r="AG67" s="523"/>
      <c r="AH67" s="524"/>
      <c r="AI67" s="522"/>
      <c r="AJ67" s="523"/>
      <c r="AK67" s="523"/>
      <c r="AL67" s="523"/>
      <c r="AM67" s="523"/>
      <c r="AN67" s="524"/>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x14ac:dyDescent="0.4">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x14ac:dyDescent="0.4">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x14ac:dyDescent="0.4">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x14ac:dyDescent="0.4">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x14ac:dyDescent="0.4">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x14ac:dyDescent="0.4">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x14ac:dyDescent="0.4">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x14ac:dyDescent="0.4">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x14ac:dyDescent="0.4">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x14ac:dyDescent="0.4">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x14ac:dyDescent="0.4">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x14ac:dyDescent="0.4">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x14ac:dyDescent="0.4">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x14ac:dyDescent="0.4">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x14ac:dyDescent="0.4">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x14ac:dyDescent="0.4">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x14ac:dyDescent="0.4">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x14ac:dyDescent="0.4">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x14ac:dyDescent="0.4">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x14ac:dyDescent="0.4">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x14ac:dyDescent="0.4">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x14ac:dyDescent="0.4">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x14ac:dyDescent="0.4">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x14ac:dyDescent="0.4">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x14ac:dyDescent="0.4">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x14ac:dyDescent="0.4">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x14ac:dyDescent="0.4">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x14ac:dyDescent="0.4">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x14ac:dyDescent="0.4">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x14ac:dyDescent="0.4">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x14ac:dyDescent="0.4">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x14ac:dyDescent="0.4">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x14ac:dyDescent="0.4">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x14ac:dyDescent="0.4">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x14ac:dyDescent="0.4">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x14ac:dyDescent="0.4">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x14ac:dyDescent="0.4">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x14ac:dyDescent="0.4">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x14ac:dyDescent="0.4">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x14ac:dyDescent="0.4">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x14ac:dyDescent="0.4">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x14ac:dyDescent="0.4">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x14ac:dyDescent="0.4">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x14ac:dyDescent="0.4">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x14ac:dyDescent="0.4">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x14ac:dyDescent="0.4">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x14ac:dyDescent="0.4">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x14ac:dyDescent="0.4">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x14ac:dyDescent="0.4">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x14ac:dyDescent="0.4">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x14ac:dyDescent="0.4">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x14ac:dyDescent="0.4">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x14ac:dyDescent="0.4">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x14ac:dyDescent="0.4">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x14ac:dyDescent="0.4">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x14ac:dyDescent="0.4">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x14ac:dyDescent="0.4">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x14ac:dyDescent="0.4">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x14ac:dyDescent="0.4">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x14ac:dyDescent="0.4">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x14ac:dyDescent="0.4">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x14ac:dyDescent="0.4">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x14ac:dyDescent="0.4">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x14ac:dyDescent="0.4">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x14ac:dyDescent="0.4">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x14ac:dyDescent="0.4">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x14ac:dyDescent="0.4">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x14ac:dyDescent="0.4">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x14ac:dyDescent="0.4">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x14ac:dyDescent="0.4">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x14ac:dyDescent="0.4">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x14ac:dyDescent="0.4">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x14ac:dyDescent="0.4">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x14ac:dyDescent="0.4">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x14ac:dyDescent="0.4">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x14ac:dyDescent="0.4">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x14ac:dyDescent="0.4">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x14ac:dyDescent="0.4">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x14ac:dyDescent="0.4">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x14ac:dyDescent="0.4">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x14ac:dyDescent="0.4">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x14ac:dyDescent="0.4">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x14ac:dyDescent="0.4">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x14ac:dyDescent="0.4">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x14ac:dyDescent="0.4">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x14ac:dyDescent="0.4">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x14ac:dyDescent="0.4">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x14ac:dyDescent="0.4">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x14ac:dyDescent="0.4">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x14ac:dyDescent="0.4">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x14ac:dyDescent="0.4">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x14ac:dyDescent="0.4">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x14ac:dyDescent="0.4">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x14ac:dyDescent="0.4">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x14ac:dyDescent="0.4">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x14ac:dyDescent="0.4">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x14ac:dyDescent="0.4">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x14ac:dyDescent="0.4">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x14ac:dyDescent="0.4">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x14ac:dyDescent="0.4">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x14ac:dyDescent="0.4">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x14ac:dyDescent="0.4">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x14ac:dyDescent="0.4">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x14ac:dyDescent="0.4">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x14ac:dyDescent="0.4">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x14ac:dyDescent="0.4">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x14ac:dyDescent="0.4">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x14ac:dyDescent="0.4">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x14ac:dyDescent="0.4">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x14ac:dyDescent="0.4">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x14ac:dyDescent="0.4">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x14ac:dyDescent="0.4">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x14ac:dyDescent="0.4">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x14ac:dyDescent="0.4">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x14ac:dyDescent="0.4">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x14ac:dyDescent="0.4">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x14ac:dyDescent="0.4">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x14ac:dyDescent="0.4">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x14ac:dyDescent="0.4">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x14ac:dyDescent="0.4">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x14ac:dyDescent="0.4">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x14ac:dyDescent="0.4">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x14ac:dyDescent="0.4">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x14ac:dyDescent="0.4">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x14ac:dyDescent="0.4">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x14ac:dyDescent="0.4">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x14ac:dyDescent="0.4">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x14ac:dyDescent="0.4">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x14ac:dyDescent="0.4">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x14ac:dyDescent="0.4">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x14ac:dyDescent="0.4">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x14ac:dyDescent="0.4">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x14ac:dyDescent="0.4">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x14ac:dyDescent="0.4">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x14ac:dyDescent="0.4">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x14ac:dyDescent="0.4">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x14ac:dyDescent="0.4">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x14ac:dyDescent="0.4">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x14ac:dyDescent="0.4">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x14ac:dyDescent="0.4">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x14ac:dyDescent="0.4">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x14ac:dyDescent="0.4">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x14ac:dyDescent="0.4">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x14ac:dyDescent="0.4">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x14ac:dyDescent="0.4">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x14ac:dyDescent="0.4">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x14ac:dyDescent="0.4">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x14ac:dyDescent="0.4">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x14ac:dyDescent="0.4">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x14ac:dyDescent="0.4">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x14ac:dyDescent="0.4">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x14ac:dyDescent="0.4">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x14ac:dyDescent="0.4">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x14ac:dyDescent="0.4">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x14ac:dyDescent="0.4">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x14ac:dyDescent="0.4">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x14ac:dyDescent="0.4">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x14ac:dyDescent="0.4">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x14ac:dyDescent="0.4">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x14ac:dyDescent="0.4">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x14ac:dyDescent="0.4">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x14ac:dyDescent="0.4">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x14ac:dyDescent="0.4">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x14ac:dyDescent="0.4">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x14ac:dyDescent="0.4">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x14ac:dyDescent="0.4">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x14ac:dyDescent="0.4">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x14ac:dyDescent="0.4">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x14ac:dyDescent="0.4">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x14ac:dyDescent="0.4">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x14ac:dyDescent="0.4">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x14ac:dyDescent="0.4">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x14ac:dyDescent="0.4">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x14ac:dyDescent="0.4">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x14ac:dyDescent="0.4">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x14ac:dyDescent="0.4">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x14ac:dyDescent="0.4">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x14ac:dyDescent="0.4">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x14ac:dyDescent="0.4">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x14ac:dyDescent="0.4">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x14ac:dyDescent="0.4">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x14ac:dyDescent="0.4">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x14ac:dyDescent="0.4">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x14ac:dyDescent="0.4">
      <c r="B251" s="68"/>
    </row>
    <row r="252" spans="2:61" x14ac:dyDescent="0.4">
      <c r="B252" s="68"/>
    </row>
    <row r="253" spans="2:61" x14ac:dyDescent="0.4">
      <c r="B253" s="68"/>
    </row>
    <row r="254" spans="2:61" x14ac:dyDescent="0.4">
      <c r="B254" s="68"/>
    </row>
  </sheetData>
  <mergeCells count="24">
    <mergeCell ref="C2:J5"/>
    <mergeCell ref="K2:AN5"/>
    <mergeCell ref="AO2:AU2"/>
    <mergeCell ref="AO3:AU3"/>
    <mergeCell ref="AO4:AU4"/>
    <mergeCell ref="AO5:AU5"/>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A8:B8"/>
    <mergeCell ref="K62:P67"/>
    <mergeCell ref="Q62:V67"/>
    <mergeCell ref="W62:AB67"/>
    <mergeCell ref="AC62:AH6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PORTADA </vt:lpstr>
      <vt:lpstr>CRITERIOS R CORRUPCION</vt:lpstr>
      <vt:lpstr>Mapa final</vt:lpstr>
      <vt:lpstr>Datos</vt:lpstr>
      <vt:lpstr>Formulas</vt:lpstr>
      <vt:lpstr>Apayo Visual </vt:lpstr>
      <vt:lpstr>eliminar</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Jose Danir Arias Arias</cp:lastModifiedBy>
  <cp:revision/>
  <dcterms:created xsi:type="dcterms:W3CDTF">2020-03-24T23:12:47Z</dcterms:created>
  <dcterms:modified xsi:type="dcterms:W3CDTF">2026-08-26T22:06:19Z</dcterms:modified>
  <cp:category/>
  <cp:contentStatus/>
</cp:coreProperties>
</file>