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454FE396-9D70-479C-A308-F3B997D79B38}" xr6:coauthVersionLast="36" xr6:coauthVersionMax="36" xr10:uidLastSave="{00000000-0000-0000-0000-000000000000}"/>
  <bookViews>
    <workbookView showSheetTabs="0" xWindow="0" yWindow="0" windowWidth="3390" windowHeight="5385" tabRatio="882" firstSheet="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_xlnm._FilterDatabase" localSheetId="2" hidden="1">'Mapa final'!$AP$15:$AP$16</definedName>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4" r:id="rId24"/>
  </pivotCaches>
</workbook>
</file>

<file path=xl/calcChain.xml><?xml version="1.0" encoding="utf-8"?>
<calcChain xmlns="http://schemas.openxmlformats.org/spreadsheetml/2006/main">
  <c r="AI15" i="1" l="1"/>
  <c r="AI23" i="1" l="1"/>
  <c r="AK23" i="1" s="1"/>
  <c r="AD23" i="1"/>
  <c r="AA23" i="1"/>
  <c r="AM23" i="1" s="1"/>
  <c r="AL23" i="1" s="1"/>
  <c r="Q23" i="1"/>
  <c r="AI22" i="1"/>
  <c r="AK22" i="1" s="1"/>
  <c r="AD22" i="1"/>
  <c r="AA22" i="1"/>
  <c r="AM22" i="1" s="1"/>
  <c r="AL22" i="1" s="1"/>
  <c r="Q22" i="1"/>
  <c r="R22" i="1" s="1"/>
  <c r="AI20" i="1"/>
  <c r="AI18" i="1"/>
  <c r="R23" i="1" l="1"/>
  <c r="AJ23" i="1"/>
  <c r="AN23" i="1" s="1"/>
  <c r="AJ22" i="1"/>
  <c r="AN22" i="1" s="1"/>
  <c r="AA17" i="1" l="1"/>
  <c r="AA18" i="1"/>
  <c r="AA19" i="1"/>
  <c r="AA20" i="1"/>
  <c r="AA21" i="1"/>
  <c r="AA16" i="1" l="1"/>
  <c r="AD18" i="1" l="1"/>
  <c r="AA15" i="1"/>
  <c r="AD19" i="1" l="1"/>
  <c r="AD20" i="1"/>
  <c r="AD21" i="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AD16" i="1"/>
  <c r="AD17" i="1"/>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Q17" i="1"/>
  <c r="R17" i="1" s="1"/>
  <c r="Q19" i="1"/>
  <c r="R19" i="1" s="1"/>
  <c r="Q21" i="1"/>
  <c r="R21" i="1" s="1"/>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P27"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K18" i="1" l="1"/>
  <c r="AI21" i="1"/>
  <c r="AJ21" i="1" s="1"/>
  <c r="AI19" i="1"/>
  <c r="AJ19" i="1" s="1"/>
  <c r="AI17" i="1"/>
  <c r="AN13" i="18"/>
  <c r="AN29" i="18"/>
  <c r="AN37" i="18"/>
  <c r="AN21" i="18"/>
  <c r="AN45" i="18"/>
  <c r="AK20" i="1" l="1"/>
  <c r="AK21" i="1"/>
  <c r="AK19" i="1"/>
  <c r="AJ17" i="1"/>
  <c r="AK17" i="1"/>
  <c r="H10" i="27" l="1"/>
  <c r="G29" i="27" s="1"/>
  <c r="H9" i="27"/>
  <c r="H8" i="27"/>
  <c r="F29" i="27"/>
  <c r="E29" i="27"/>
  <c r="Q28" i="1" l="1"/>
  <c r="AD15" i="1" l="1"/>
  <c r="F221" i="13" l="1"/>
  <c r="F211" i="13"/>
  <c r="F212" i="13"/>
  <c r="F213" i="13"/>
  <c r="F214" i="13"/>
  <c r="F215" i="13"/>
  <c r="F216" i="13"/>
  <c r="F217" i="13"/>
  <c r="F218" i="13"/>
  <c r="F219" i="13"/>
  <c r="F220" i="13"/>
  <c r="F210" i="13"/>
  <c r="B221" i="13" a="1"/>
  <c r="B221" i="13" l="1"/>
  <c r="H210" i="13" l="1"/>
  <c r="Q15" i="1" l="1"/>
  <c r="R15" i="1" l="1"/>
  <c r="AJ15" i="1" l="1"/>
  <c r="AK15" i="1" l="1"/>
  <c r="AI16" i="1" s="1"/>
  <c r="AK16" i="1" s="1"/>
  <c r="B223" i="13"/>
  <c r="B222" i="13"/>
  <c r="T22" i="1" l="1"/>
  <c r="U22" i="1" s="1"/>
  <c r="T23" i="1"/>
  <c r="U23" i="1" s="1"/>
  <c r="AF35" i="18"/>
  <c r="T19" i="1"/>
  <c r="U19" i="1" s="1"/>
  <c r="X37" i="18" s="1"/>
  <c r="T21" i="1"/>
  <c r="U21" i="1" s="1"/>
  <c r="AB29" i="18" s="1"/>
  <c r="T17" i="1"/>
  <c r="U17" i="1" s="1"/>
  <c r="AB27" i="18" s="1"/>
  <c r="T15" i="1"/>
  <c r="U15" i="1" l="1"/>
  <c r="X27" i="18" s="1"/>
  <c r="V23" i="1"/>
  <c r="W23" i="1"/>
  <c r="W22" i="1"/>
  <c r="V22" i="1"/>
  <c r="AF11" i="18"/>
  <c r="Z11" i="18"/>
  <c r="Z35" i="18"/>
  <c r="AL35" i="18"/>
  <c r="Z27" i="18"/>
  <c r="AL27" i="18"/>
  <c r="AF19" i="18"/>
  <c r="T19" i="18"/>
  <c r="T43" i="18"/>
  <c r="AL11" i="18"/>
  <c r="AF27" i="18"/>
  <c r="T11" i="18"/>
  <c r="Z43" i="18"/>
  <c r="AL19" i="18"/>
  <c r="T27" i="18"/>
  <c r="AL43" i="18"/>
  <c r="Z19" i="18"/>
  <c r="T35" i="18"/>
  <c r="AF43" i="18"/>
  <c r="AL13" i="18"/>
  <c r="AF13" i="18"/>
  <c r="Z13" i="18"/>
  <c r="T13" i="18"/>
  <c r="T37" i="18"/>
  <c r="T29" i="18"/>
  <c r="AF37" i="18"/>
  <c r="T21" i="18"/>
  <c r="AL29" i="18"/>
  <c r="AL37" i="18"/>
  <c r="Z21" i="18"/>
  <c r="Z45" i="18"/>
  <c r="T45" i="18"/>
  <c r="AF21" i="18"/>
  <c r="AL21" i="18"/>
  <c r="Z29" i="18"/>
  <c r="AF45" i="18"/>
  <c r="AL45" i="18"/>
  <c r="AF29" i="18"/>
  <c r="Z37" i="18"/>
  <c r="V43" i="18"/>
  <c r="AH35" i="18"/>
  <c r="AH19" i="18"/>
  <c r="AB35" i="18"/>
  <c r="AN11" i="18"/>
  <c r="AH11" i="18"/>
  <c r="AB11" i="18"/>
  <c r="V19" i="18"/>
  <c r="V35" i="18"/>
  <c r="AN27" i="18"/>
  <c r="AH27" i="18"/>
  <c r="AB19" i="18"/>
  <c r="AN43" i="18"/>
  <c r="V27" i="18"/>
  <c r="V11" i="18"/>
  <c r="V17" i="1"/>
  <c r="AH43" i="18"/>
  <c r="W17" i="1"/>
  <c r="AB43" i="18"/>
  <c r="AN35" i="18"/>
  <c r="AN19" i="18"/>
  <c r="V37" i="18"/>
  <c r="AH13" i="18"/>
  <c r="V21" i="1"/>
  <c r="AM21" i="1" s="1"/>
  <c r="AL21" i="1" s="1"/>
  <c r="AB37" i="18"/>
  <c r="AH29" i="18"/>
  <c r="AH37" i="18"/>
  <c r="V13" i="18"/>
  <c r="AB13" i="18"/>
  <c r="AH21" i="18"/>
  <c r="AB21" i="18"/>
  <c r="V21" i="18"/>
  <c r="V45" i="18"/>
  <c r="V29" i="18"/>
  <c r="AB45" i="18"/>
  <c r="AH45" i="18"/>
  <c r="W21" i="1"/>
  <c r="R47" i="18"/>
  <c r="R39" i="18"/>
  <c r="X31" i="18"/>
  <c r="R15" i="18"/>
  <c r="L15" i="18"/>
  <c r="X39" i="18"/>
  <c r="AJ47" i="18"/>
  <c r="AJ39" i="18"/>
  <c r="AD31" i="18"/>
  <c r="L47" i="18"/>
  <c r="L39" i="18"/>
  <c r="L31" i="18"/>
  <c r="AJ23" i="18"/>
  <c r="AD23" i="18"/>
  <c r="X23" i="18"/>
  <c r="R23" i="18"/>
  <c r="R31" i="18"/>
  <c r="AD47" i="18"/>
  <c r="AD39" i="18"/>
  <c r="AJ31" i="18"/>
  <c r="L23" i="18"/>
  <c r="AJ15" i="18"/>
  <c r="AD15" i="18"/>
  <c r="X15" i="18"/>
  <c r="X47" i="18"/>
  <c r="AJ29" i="18"/>
  <c r="V19" i="1"/>
  <c r="R21" i="18"/>
  <c r="X13" i="18"/>
  <c r="R45" i="18"/>
  <c r="X45" i="18"/>
  <c r="AD21" i="18"/>
  <c r="L13" i="18"/>
  <c r="AJ13" i="18"/>
  <c r="AJ45" i="18"/>
  <c r="L37" i="18"/>
  <c r="X21" i="18"/>
  <c r="AD29" i="18"/>
  <c r="R29" i="18"/>
  <c r="L45" i="18"/>
  <c r="AD13" i="18"/>
  <c r="L21" i="18"/>
  <c r="L29" i="18"/>
  <c r="R37" i="18"/>
  <c r="R13" i="18"/>
  <c r="W19" i="1"/>
  <c r="AD37" i="18"/>
  <c r="AJ37" i="18"/>
  <c r="X29" i="18"/>
  <c r="AD45" i="18"/>
  <c r="AJ21" i="18"/>
  <c r="AF47" i="18"/>
  <c r="Z31" i="18"/>
  <c r="AF15" i="18"/>
  <c r="T39" i="18"/>
  <c r="T23" i="18"/>
  <c r="Z39" i="18"/>
  <c r="AL47" i="18"/>
  <c r="T31" i="18"/>
  <c r="AL15" i="18"/>
  <c r="T47" i="18"/>
  <c r="AL31" i="18"/>
  <c r="T15" i="18"/>
  <c r="Z47" i="18"/>
  <c r="AF31" i="18"/>
  <c r="Z15" i="18"/>
  <c r="Z23" i="18"/>
  <c r="AF39" i="18"/>
  <c r="AF23" i="18"/>
  <c r="AL39" i="18"/>
  <c r="AL23" i="18"/>
  <c r="L11" i="18" l="1"/>
  <c r="AD19" i="18"/>
  <c r="R19" i="18"/>
  <c r="AJ11" i="18"/>
  <c r="X43" i="18"/>
  <c r="L43" i="18"/>
  <c r="AJ27" i="18"/>
  <c r="AJ19" i="18"/>
  <c r="AJ35" i="18"/>
  <c r="R43" i="18"/>
  <c r="L27" i="18"/>
  <c r="AD27" i="18"/>
  <c r="X11" i="18"/>
  <c r="R35" i="18"/>
  <c r="AJ43" i="18"/>
  <c r="V15" i="1"/>
  <c r="AM16" i="1" s="1"/>
  <c r="R27" i="18"/>
  <c r="L19" i="18"/>
  <c r="L35" i="18"/>
  <c r="AD43" i="18"/>
  <c r="W15" i="1"/>
  <c r="AD11" i="18"/>
  <c r="AD35" i="18"/>
  <c r="R11" i="18"/>
  <c r="X19" i="18"/>
  <c r="X35" i="18"/>
  <c r="AB42" i="19"/>
  <c r="AM17" i="1"/>
  <c r="AL17" i="1" s="1"/>
  <c r="AM18" i="1"/>
  <c r="AM19" i="1"/>
  <c r="AL19" i="1" s="1"/>
  <c r="AM20" i="1"/>
  <c r="AJ42" i="19"/>
  <c r="AD53" i="19"/>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I53" i="19"/>
  <c r="P52" i="19"/>
  <c r="AH42" i="19"/>
  <c r="AH32" i="19"/>
  <c r="AB12" i="19"/>
  <c r="P12" i="19"/>
  <c r="AH52" i="19"/>
  <c r="P42" i="19"/>
  <c r="P32" i="19"/>
  <c r="AH22" i="19"/>
  <c r="AN21" i="1"/>
  <c r="P22" i="19"/>
  <c r="AN12" i="19"/>
  <c r="V22" i="19"/>
  <c r="AB52" i="19"/>
  <c r="AB32" i="19"/>
  <c r="AB22" i="19"/>
  <c r="AH12" i="19"/>
  <c r="V12" i="19"/>
  <c r="AN42" i="19"/>
  <c r="AN32" i="19"/>
  <c r="AN52" i="19"/>
  <c r="V52" i="19"/>
  <c r="V42" i="19"/>
  <c r="V32" i="19"/>
  <c r="AN22" i="19"/>
  <c r="U52" i="19"/>
  <c r="U22" i="19"/>
  <c r="O12" i="19"/>
  <c r="O52" i="19"/>
  <c r="AG42" i="19"/>
  <c r="AG32" i="19"/>
  <c r="AG52" i="19"/>
  <c r="O42" i="19"/>
  <c r="O32" i="19"/>
  <c r="AG22" i="19"/>
  <c r="U12" i="19"/>
  <c r="AM12" i="19"/>
  <c r="AA22" i="19"/>
  <c r="U32" i="19"/>
  <c r="O22" i="19"/>
  <c r="AA52" i="19"/>
  <c r="AA42" i="19"/>
  <c r="AA32" i="19"/>
  <c r="AG12" i="19"/>
  <c r="U42" i="19"/>
  <c r="AM42" i="19"/>
  <c r="AM32" i="19"/>
  <c r="AA12" i="19"/>
  <c r="AM52" i="19"/>
  <c r="AM22" i="19"/>
  <c r="AM15" i="1" l="1"/>
  <c r="AL15" i="1" s="1"/>
  <c r="W52" i="19" s="1"/>
  <c r="Y42" i="19"/>
  <c r="AL52" i="19"/>
  <c r="Z42" i="19"/>
  <c r="S12" i="19"/>
  <c r="S32" i="19"/>
  <c r="M32" i="19"/>
  <c r="AF52" i="19"/>
  <c r="M52" i="19"/>
  <c r="AN17" i="1"/>
  <c r="M12" i="19"/>
  <c r="AE22" i="19"/>
  <c r="AK12" i="19"/>
  <c r="AE12" i="19"/>
  <c r="AE32" i="19"/>
  <c r="AE52" i="19"/>
  <c r="AK32" i="19"/>
  <c r="AK52" i="19"/>
  <c r="S22" i="19"/>
  <c r="S42" i="19"/>
  <c r="M22" i="19"/>
  <c r="M42" i="19"/>
  <c r="AK22" i="19"/>
  <c r="AK42" i="19"/>
  <c r="AE42" i="19"/>
  <c r="S52" i="19"/>
  <c r="T12" i="19"/>
  <c r="T52" i="19"/>
  <c r="Z32" i="19"/>
  <c r="AL32" i="19"/>
  <c r="AL12" i="19"/>
  <c r="Z22" i="19"/>
  <c r="AN19" i="1"/>
  <c r="Z52" i="19"/>
  <c r="N42" i="19"/>
  <c r="AF12" i="19"/>
  <c r="AF22" i="19"/>
  <c r="AF32" i="19"/>
  <c r="AF42" i="19"/>
  <c r="Z12" i="19"/>
  <c r="T32" i="19"/>
  <c r="N22" i="19"/>
  <c r="T22" i="19"/>
  <c r="T42" i="19"/>
  <c r="N32" i="19"/>
  <c r="N52" i="19"/>
  <c r="AL42" i="19"/>
  <c r="N12" i="19"/>
  <c r="AL22" i="19"/>
  <c r="X22" i="19"/>
  <c r="K22" i="19"/>
  <c r="K52" i="19"/>
  <c r="AI22" i="19"/>
  <c r="K42" i="19"/>
  <c r="Q12" i="19"/>
  <c r="AC12" i="19"/>
  <c r="AD52" i="19"/>
  <c r="R32" i="19"/>
  <c r="X12" i="19"/>
  <c r="L32" i="19"/>
  <c r="AD32" i="19"/>
  <c r="R42" i="19"/>
  <c r="R12" i="19"/>
  <c r="AD12" i="19"/>
  <c r="X42" i="19"/>
  <c r="R52" i="19"/>
  <c r="R22" i="19"/>
  <c r="L22" i="19"/>
  <c r="AJ12" i="19"/>
  <c r="X32" i="19"/>
  <c r="AD42" i="19"/>
  <c r="AJ52" i="19"/>
  <c r="AJ22" i="19"/>
  <c r="L42" i="19"/>
  <c r="AD22" i="19"/>
  <c r="AJ32" i="19"/>
  <c r="X52" i="19"/>
  <c r="L52" i="19"/>
  <c r="L12" i="19"/>
  <c r="AC42" i="19" l="1"/>
  <c r="AC22" i="19"/>
  <c r="Q52" i="19"/>
  <c r="W32" i="19"/>
  <c r="W12" i="19"/>
  <c r="K12" i="19"/>
  <c r="W22" i="19"/>
  <c r="AC32" i="19"/>
  <c r="Q42" i="19"/>
  <c r="AN15" i="1"/>
  <c r="AI52" i="19"/>
  <c r="AI32" i="19"/>
  <c r="AI42" i="19"/>
  <c r="AC52" i="19"/>
  <c r="Q32" i="19"/>
  <c r="AI12" i="19"/>
  <c r="K32" i="19"/>
  <c r="Q22" i="19"/>
  <c r="W4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anay</author>
    <author>Calidad ETITC</author>
  </authors>
  <commentList>
    <comment ref="I13" authorId="0" shapeId="0" xr:uid="{B280D14A-61E9-46F1-AB0C-D29736127B95}">
      <text>
        <r>
          <rPr>
            <b/>
            <sz val="9"/>
            <color indexed="81"/>
            <rFont val="Tahoma"/>
            <family val="2"/>
          </rPr>
          <t>anay:</t>
        </r>
        <r>
          <rPr>
            <sz val="9"/>
            <color indexed="81"/>
            <rFont val="Tahoma"/>
            <family val="2"/>
          </rPr>
          <t xml:space="preserve">
Factor de debilidad o Amenaza DOFA</t>
        </r>
      </text>
    </comment>
    <comment ref="L13" authorId="1" shapeId="0" xr:uid="{B94E796C-1EF1-4D31-AF0A-E731745A4441}">
      <text>
        <r>
          <rPr>
            <sz val="9"/>
            <color indexed="81"/>
            <rFont val="Tahoma"/>
            <family val="2"/>
          </rPr>
          <t xml:space="preserve">
Anay Pinto V</t>
        </r>
      </text>
    </comment>
  </commentList>
</comments>
</file>

<file path=xl/sharedStrings.xml><?xml version="1.0" encoding="utf-8"?>
<sst xmlns="http://schemas.openxmlformats.org/spreadsheetml/2006/main" count="737" uniqueCount="442">
  <si>
    <t xml:space="preserve">Referencia </t>
  </si>
  <si>
    <t>Descripción del Riesgo</t>
  </si>
  <si>
    <t>Impacto</t>
  </si>
  <si>
    <t>Causa Inmediata</t>
  </si>
  <si>
    <t>Probabilidad</t>
  </si>
  <si>
    <t>%</t>
  </si>
  <si>
    <t>Alta</t>
  </si>
  <si>
    <t>Mayor</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</si>
  <si>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</si>
  <si>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</si>
  <si>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</si>
  <si>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</si>
  <si>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</si>
  <si>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</si>
  <si>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</si>
  <si>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</si>
  <si>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</si>
  <si>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</si>
  <si>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</si>
  <si>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</si>
  <si>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</si>
  <si>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</si>
  <si>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</si>
  <si>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</si>
  <si>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</si>
  <si>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</si>
  <si>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</si>
  <si>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</si>
  <si>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</si>
  <si>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</si>
  <si>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</si>
  <si>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</si>
  <si>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</si>
  <si>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</si>
  <si>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</si>
  <si>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</si>
  <si>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</si>
  <si>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</si>
  <si>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</si>
  <si>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</si>
  <si>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</si>
  <si>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</si>
  <si>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</si>
  <si>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</si>
  <si>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</si>
  <si>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</si>
  <si>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</si>
  <si>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</si>
  <si>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</si>
  <si>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</si>
  <si>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</si>
  <si>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</si>
  <si>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</si>
  <si>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</si>
  <si>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</si>
  <si>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</si>
  <si>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</si>
  <si>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</si>
  <si>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</si>
  <si>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</si>
  <si>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</si>
  <si>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</si>
  <si>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</si>
  <si>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</si>
  <si>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</si>
  <si>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</si>
  <si>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</si>
  <si>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</si>
  <si>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</si>
  <si>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</si>
  <si>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</si>
  <si>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</si>
  <si>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</si>
  <si>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</si>
  <si>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</si>
  <si>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</si>
  <si>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</si>
  <si>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</si>
  <si>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</si>
  <si>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</si>
  <si>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</si>
  <si>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</si>
  <si>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</si>
  <si>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</si>
  <si>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</si>
  <si>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</si>
  <si>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</si>
  <si>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</si>
  <si>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</si>
  <si>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</si>
  <si>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</si>
  <si>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</si>
  <si>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</si>
  <si>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</si>
  <si>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</si>
  <si>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</si>
  <si>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</si>
  <si>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</si>
  <si>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</si>
  <si>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</si>
  <si>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</si>
  <si>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</si>
  <si>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</si>
  <si>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</si>
  <si>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</si>
  <si>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</si>
  <si>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</si>
  <si>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</si>
  <si>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</si>
  <si>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</si>
  <si>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</si>
  <si>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</si>
  <si>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</si>
  <si>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</si>
  <si>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</si>
  <si>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</si>
  <si>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</si>
  <si>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</si>
  <si>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</si>
  <si>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</si>
  <si>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</si>
  <si>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</si>
  <si>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</si>
  <si>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</si>
  <si>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</si>
  <si>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</si>
  <si>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</si>
  <si>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</si>
  <si>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</si>
  <si>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</si>
  <si>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</si>
  <si>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</si>
  <si>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</si>
  <si>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</si>
  <si>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</si>
  <si>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</si>
  <si>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</si>
  <si>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</si>
  <si>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</si>
  <si>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</si>
  <si>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</si>
  <si>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</si>
  <si>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</si>
  <si>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</si>
  <si>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</si>
  <si>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</si>
  <si>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</si>
  <si>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</si>
  <si>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</si>
  <si>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</si>
  <si>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</si>
  <si>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</si>
  <si>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</si>
  <si>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</si>
  <si>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</si>
  <si>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</si>
  <si>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</si>
  <si>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</si>
  <si>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</si>
  <si>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</si>
  <si>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</si>
  <si>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</si>
  <si>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</si>
  <si>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</si>
  <si>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</si>
  <si>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</si>
  <si>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</si>
  <si>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</si>
  <si>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</si>
  <si>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</si>
  <si>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</si>
  <si>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</si>
  <si>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</si>
  <si>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</si>
  <si>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</si>
  <si>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</si>
  <si>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</si>
  <si>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</si>
  <si>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</si>
  <si>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</si>
  <si>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</si>
  <si>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</si>
  <si>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</si>
  <si>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</si>
  <si>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</si>
  <si>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</si>
  <si>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</si>
  <si>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</si>
  <si>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</si>
  <si>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</si>
  <si>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</si>
  <si>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</si>
  <si>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</si>
  <si>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</si>
  <si>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</si>
  <si>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</si>
  <si>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</si>
  <si>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</si>
  <si>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</si>
  <si>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</si>
  <si>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</si>
  <si>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</si>
  <si>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</si>
  <si>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</si>
  <si>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</si>
  <si>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</si>
  <si>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</si>
  <si>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</si>
  <si>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</si>
  <si>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</si>
  <si>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</si>
  <si>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</si>
  <si>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</si>
  <si>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</si>
  <si>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</si>
  <si>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</si>
  <si>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</si>
  <si>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</si>
  <si>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</si>
  <si>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</si>
  <si>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</si>
  <si>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</si>
  <si>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</si>
  <si>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</si>
  <si>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</si>
  <si>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</si>
  <si>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</si>
  <si>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</si>
  <si>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</si>
  <si>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</si>
  <si>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</si>
  <si>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</si>
  <si>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</si>
  <si>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</si>
  <si>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</si>
  <si>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</si>
  <si>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</si>
  <si>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</si>
  <si>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</si>
  <si>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</si>
  <si>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</si>
  <si>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</si>
  <si>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</si>
  <si>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</si>
  <si>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</si>
  <si>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</si>
  <si>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</si>
  <si>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</si>
  <si>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</si>
  <si>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</si>
  <si>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</si>
  <si>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</si>
  <si>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</si>
  <si>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</si>
  <si>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</si>
  <si>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</si>
  <si>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</si>
  <si>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</si>
  <si>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</si>
  <si>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</si>
  <si>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</si>
  <si>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</si>
  <si>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</si>
  <si>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</si>
  <si>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</si>
  <si>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</si>
  <si>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</si>
  <si>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</si>
  <si>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</si>
  <si>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</si>
  <si>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</si>
  <si>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</si>
  <si>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</si>
  <si>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</si>
  <si>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</si>
  <si>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</si>
  <si>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</si>
  <si>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</si>
  <si>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</si>
  <si>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</si>
  <si>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</si>
  <si>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</si>
  <si>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</si>
  <si>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</si>
  <si>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</si>
  <si>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</si>
  <si>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</si>
  <si>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</si>
  <si>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</si>
  <si>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</si>
  <si>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</si>
  <si>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</si>
  <si>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</si>
  <si>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</si>
  <si>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</si>
  <si>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</si>
  <si>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</si>
  <si>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</si>
  <si>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</si>
  <si>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</si>
  <si>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</si>
  <si>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</si>
  <si>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</si>
  <si>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</si>
  <si>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</si>
  <si>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</si>
  <si>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</si>
  <si>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</si>
  <si>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</si>
  <si>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</si>
  <si>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</si>
  <si>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</si>
  <si>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</si>
  <si>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</si>
  <si>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</si>
  <si>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</si>
  <si>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</si>
  <si>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</si>
  <si>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</si>
  <si>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</si>
  <si>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</si>
  <si>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</si>
  <si>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</si>
  <si>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</si>
  <si>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</si>
  <si>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</si>
  <si>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</si>
  <si>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</si>
  <si>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</si>
  <si>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</si>
  <si>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</si>
  <si>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</si>
  <si>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</si>
  <si>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</si>
  <si>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</si>
  <si>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</si>
  <si>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</si>
  <si>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</si>
  <si>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</si>
  <si>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</si>
  <si>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</si>
  <si>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</si>
  <si>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</si>
  <si>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</si>
  <si>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</si>
  <si>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</si>
  <si>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</si>
  <si>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</si>
  <si>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</si>
  <si>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</si>
  <si>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</si>
  <si>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</si>
  <si>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</si>
  <si>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</si>
  <si>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</si>
  <si>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</si>
  <si>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</si>
  <si>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</si>
  <si>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</si>
  <si>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</si>
  <si>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</si>
  <si>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</si>
  <si>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</si>
  <si>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</si>
  <si>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</si>
  <si>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</si>
  <si>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</si>
  <si>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</si>
  <si>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</si>
  <si>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</si>
  <si>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</si>
  <si>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</si>
  <si>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</si>
  <si>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</si>
  <si>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</si>
  <si>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</si>
  <si>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</si>
  <si>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</si>
  <si>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</si>
  <si>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</si>
  <si>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</si>
  <si>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</si>
  <si>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</si>
  <si>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</si>
  <si>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</si>
  <si>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</si>
  <si>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</si>
  <si>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</si>
  <si>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GESTIÓN DE CALIDAD</t>
  </si>
  <si>
    <t>Apoyar el desarrollo del Sistema Integrado de Gestión por medio de herramientas y métodos que garanticen la documentación, desarrollo, mantenimiento y mejora continua de la eficacia, eficiencia y efectividad de la gestión institucional.</t>
  </si>
  <si>
    <t xml:space="preserve">Aplica a todos los procesos del Sistema Integrado de Gestión de la Institución, desde la planificación del sistema hasta la mejora y efectividad de las acciones tomadas. </t>
  </si>
  <si>
    <t>D1 - Presentar información inexacta sobre el desempeño de la ETITC</t>
  </si>
  <si>
    <t xml:space="preserve">Falta de seguimiento y verificación de la información reportada   </t>
  </si>
  <si>
    <t xml:space="preserve">Posibilidad de afectación reputacional  por presentar información inexacta sobre el desempeño de la ETITC, debido a la falta de seguimiento y verificación de la información reportada </t>
  </si>
  <si>
    <t>Soportes del Control o Evidencia del control</t>
  </si>
  <si>
    <t>Valoración del riesgo residual</t>
  </si>
  <si>
    <t>D2 - Formular e implementar acciones que no contribuyan a aumentar la eficacia, eficiencia y efectividad de los controles y el desempeño institucional</t>
  </si>
  <si>
    <t>Inadecuada identificación y descripción de hallazgos por parte de los auditores internos de la escuela</t>
  </si>
  <si>
    <t>Posibilidad de afectación reputacional  por formular e implementar acciones que no contribuyen al aumento de la eficacia, eficiencia y efectividad de los controles y el desempeño institucional, debido a la inadecuada identificación y descripción de hallazgos por parte de los auditores internos de la escuela</t>
  </si>
  <si>
    <t>D9 - Identificar riesgos que no contribuyen al logro de los objetivos institucionales</t>
  </si>
  <si>
    <t>Insuficiente divulgación de la metodología de riesgos</t>
  </si>
  <si>
    <t>Posibilidad de afectación reputacional  por identificar riesgos que no contribuyan al logro de los objetivos institucionales, debido a la insuficiente divulgación de la metodología de riesgos.</t>
  </si>
  <si>
    <t xml:space="preserve">A4- Ingreso de personal externo sin las medidas de control establecidas en la entidad </t>
  </si>
  <si>
    <t xml:space="preserve">Actualizar la metodología y procedimiento de riesgos de la escuela </t>
  </si>
  <si>
    <t>Aseguramiento de la calidad</t>
  </si>
  <si>
    <t>Fecha:2025-01-30</t>
  </si>
  <si>
    <t>Valoración del control</t>
  </si>
  <si>
    <t>Subcausas de la causa raíz</t>
  </si>
  <si>
    <t>Ejecución y Administración de procesos</t>
  </si>
  <si>
    <r>
      <t xml:space="preserve">El líder del proceso generara informes trimestrales sobre la evaluación de prestación del servicio
</t>
    </r>
    <r>
      <rPr>
        <b/>
        <sz val="10"/>
        <color theme="1"/>
        <rFont val="Arial"/>
        <family val="2"/>
      </rPr>
      <t>Desviación del control</t>
    </r>
    <r>
      <rPr>
        <sz val="10"/>
        <color theme="1"/>
        <rFont val="Arial"/>
        <family val="2"/>
      </rPr>
      <t xml:space="preserve">
Reportar a la información al proceso documental para que consolide la información de prestación del servicio con PQRSD</t>
    </r>
  </si>
  <si>
    <t xml:space="preserve">Reducir la probabilidad de materialización del riesgo mediante la aplicación de los controles establecidos </t>
  </si>
  <si>
    <r>
      <t xml:space="preserve">El líder del proceso debe solicitar los insumos, consolidar y validar la información para elaborar el informe de revisión por la dirección.
</t>
    </r>
    <r>
      <rPr>
        <b/>
        <sz val="10"/>
        <color theme="1"/>
        <rFont val="Arial"/>
        <family val="2"/>
      </rPr>
      <t>Desviación del control</t>
    </r>
  </si>
  <si>
    <r>
      <t xml:space="preserve">El líder del proceso debe realizar seguimiento y revisión de los informes de auditoria 
</t>
    </r>
    <r>
      <rPr>
        <b/>
        <sz val="10"/>
        <color theme="1"/>
        <rFont val="Arial"/>
        <family val="2"/>
      </rPr>
      <t>Desviación del control</t>
    </r>
    <r>
      <rPr>
        <sz val="10"/>
        <color theme="1"/>
        <rFont val="Arial"/>
        <family val="2"/>
      </rPr>
      <t xml:space="preserve">
Solicitar por correo institucional los avances de los informes </t>
    </r>
  </si>
  <si>
    <t xml:space="preserve">Fortalecer las competencias para realizar los planes de mejoramiento a través de herramientas que identifiquen la causa raíz.  </t>
  </si>
  <si>
    <r>
      <t xml:space="preserve">El líder del proceso debe realizar el seguimiento a la formulación de los planes de mejora producto de las auditorias internas 
</t>
    </r>
    <r>
      <rPr>
        <b/>
        <sz val="10"/>
        <color theme="1"/>
        <rFont val="Arial"/>
        <family val="2"/>
      </rPr>
      <t>Desviación del control</t>
    </r>
    <r>
      <rPr>
        <sz val="10"/>
        <color theme="1"/>
        <rFont val="Arial"/>
        <family val="2"/>
      </rPr>
      <t xml:space="preserve">
Solicitar avances por correo electrónico </t>
    </r>
  </si>
  <si>
    <r>
      <t xml:space="preserve">El líder del proceso debe realizar acompañamiento a los lideres de procesos  o monitoreo de riesgos
</t>
    </r>
    <r>
      <rPr>
        <b/>
        <sz val="10"/>
        <color theme="1"/>
        <rFont val="Arial"/>
        <family val="2"/>
      </rPr>
      <t xml:space="preserve">Desviación del control </t>
    </r>
    <r>
      <rPr>
        <sz val="10"/>
        <color theme="1"/>
        <rFont val="Arial"/>
        <family val="2"/>
      </rPr>
      <t xml:space="preserve">
Solicitar los seguimientos que realizan desde planeación </t>
    </r>
  </si>
  <si>
    <r>
      <t xml:space="preserve">El líder del proceso Brindara acompañamiento para la revisión e identificación de riesgos 
</t>
    </r>
    <r>
      <rPr>
        <b/>
        <sz val="11"/>
        <color theme="1"/>
        <rFont val="Arial Narrow"/>
        <family val="2"/>
      </rPr>
      <t>Desviación del control</t>
    </r>
    <r>
      <rPr>
        <sz val="11"/>
        <color theme="1"/>
        <rFont val="Arial Narrow"/>
        <family val="2"/>
      </rPr>
      <t xml:space="preserve">
Solicitar la información para analizarla e incluirla en el mapa de riesgos </t>
    </r>
  </si>
  <si>
    <t xml:space="preserve">No se tiene documentados protocolos de ingreso y control de población flotante en la entidad. </t>
  </si>
  <si>
    <t>Posibilidad de efectos dañoso sobre bienes públicos por pérdida, extravío o hurto de bienes muebles o equipos de computo  de la entidad. a causa de ingresos no autorizado de personal externo a áreas administrativas.</t>
  </si>
  <si>
    <r>
      <t xml:space="preserve">El líder del proceso implementara las medidas de control que estén a su alcance para resguardar el inventario a su cargo. 
</t>
    </r>
    <r>
      <rPr>
        <b/>
        <sz val="10"/>
        <color theme="1"/>
        <rFont val="Arial"/>
        <family val="2"/>
      </rPr>
      <t xml:space="preserve">Desviación del control 
</t>
    </r>
    <r>
      <rPr>
        <sz val="10"/>
        <color theme="1"/>
        <rFont val="Arial"/>
        <family val="2"/>
      </rPr>
      <t xml:space="preserve">Realizar traslado del inventario al supervisor del contrato </t>
    </r>
  </si>
  <si>
    <t xml:space="preserve">Verificar que se cuente con el inventario del área de calidad actualizado. </t>
  </si>
  <si>
    <t xml:space="preserve">Anay Pinto </t>
  </si>
  <si>
    <t>Contratista-Profesional de calidad</t>
  </si>
  <si>
    <t xml:space="preserve">Seguridad de la información </t>
  </si>
  <si>
    <t xml:space="preserve">Informes trimestrales de la evaluación de la prestación del servicio enviados a Gestión Documental
</t>
  </si>
  <si>
    <t xml:space="preserve">
DIE-DO-07</t>
  </si>
  <si>
    <t xml:space="preserve">Informe de revisión por la dirección
documentación 
</t>
  </si>
  <si>
    <t xml:space="preserve">
GDC-PC-03</t>
  </si>
  <si>
    <t xml:space="preserve">Informe revisado 
</t>
  </si>
  <si>
    <t>GCI-PC-02</t>
  </si>
  <si>
    <t xml:space="preserve">Envío de planes de mejoramiento a la Oficina de Control Interno
</t>
  </si>
  <si>
    <t xml:space="preserve">
GDC-PC-05 </t>
  </si>
  <si>
    <t xml:space="preserve">Mapa y plan de tratamiento de riesgos publicado con el monitoreo 
</t>
  </si>
  <si>
    <t xml:space="preserve">
Guía  DAFP</t>
  </si>
  <si>
    <t xml:space="preserve">Mapa y plan de tratamiento de riesgos actualizado 
</t>
  </si>
  <si>
    <t xml:space="preserve">
Guía  DAPT</t>
  </si>
  <si>
    <t xml:space="preserve">Registro GRF-FO-03 
Inventario
</t>
  </si>
  <si>
    <t xml:space="preserve">
Procedimiento GRF-PC-03 </t>
  </si>
  <si>
    <t>LÍDER DEL PROCESO: Anay Pinto V</t>
  </si>
  <si>
    <t xml:space="preserve">Documento controlado por el Sistema de Gestión de la Calidad
Asegúrese que corresponde a la última versión consultando el micrositio de calidad de la Escuela Tecnológica Instituto Técnico Central (ETITC) </t>
  </si>
  <si>
    <r>
      <rPr>
        <b/>
        <sz val="11"/>
        <color rgb="FFC00000"/>
        <rFont val="Arial"/>
        <family val="2"/>
      </rPr>
      <t>*Nota</t>
    </r>
    <r>
      <rPr>
        <sz val="11"/>
        <color theme="1"/>
        <rFont val="Arial"/>
        <family val="2"/>
      </rPr>
      <t>: 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</si>
  <si>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Se actualizo a la versión  No del formato y incluyó riesgo No 4 (riesgo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</si>
</sst>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9"/>
      <color indexed="81"/>
      <name val="Tahoma"/>
      <family val="2"/>
    </font>
    <font>
      <b/>
      <sz val="12"/>
      <color theme="0"/>
      <name val="Arial Black"/>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sz val="12"/>
      <color theme="0"/>
      <name val="Arial Black"/>
      <family val="2"/>
    </font>
    <font>
      <b/>
      <sz val="11"/>
      <color rgb="FFC00000"/>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3" fillId="0" borderId="0" applyFont="0" applyFill="0" applyBorder="0" applyAlignment="0" applyProtection="0"/>
    <xf numFmtId="0" fontId="45" fillId="0" borderId="0"/>
    <xf numFmtId="0" fontId="46" fillId="0" borderId="0"/>
    <xf numFmtId="0" fontId="5" fillId="0" borderId="0"/>
  </cellStyleXfs>
  <cellXfs count="665">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1"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22" fillId="13" borderId="12"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45" fillId="0" borderId="7" xfId="0" applyFont="1" applyBorder="1" applyAlignment="1">
      <alignment vertical="center" wrapText="1"/>
    </xf>
    <xf numFmtId="0" fontId="45" fillId="0" borderId="0" xfId="0" applyFont="1" applyAlignment="1">
      <alignment vertical="center" wrapText="1"/>
    </xf>
    <xf numFmtId="0" fontId="58"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59" fillId="0" borderId="0" xfId="0" applyFont="1" applyAlignment="1">
      <alignment horizontal="center"/>
    </xf>
    <xf numFmtId="0" fontId="61" fillId="0" borderId="0" xfId="0" applyFont="1" applyAlignment="1">
      <alignment horizontal="center" vertical="center" wrapText="1"/>
    </xf>
    <xf numFmtId="0" fontId="0" fillId="0" borderId="0" xfId="0" applyAlignment="1">
      <alignment wrapText="1"/>
    </xf>
    <xf numFmtId="0" fontId="61" fillId="0" borderId="0" xfId="0" applyFont="1" applyAlignment="1">
      <alignment vertical="center" wrapText="1"/>
    </xf>
    <xf numFmtId="0" fontId="60" fillId="0" borderId="70" xfId="0" applyFont="1" applyBorder="1" applyAlignment="1">
      <alignment vertical="center" wrapText="1"/>
    </xf>
    <xf numFmtId="0" fontId="57" fillId="0" borderId="64" xfId="0" applyFont="1" applyBorder="1" applyAlignment="1" applyProtection="1">
      <alignment horizontal="center" wrapText="1"/>
      <protection locked="0"/>
    </xf>
    <xf numFmtId="0" fontId="57" fillId="0" borderId="57" xfId="0" applyFont="1" applyBorder="1" applyAlignment="1" applyProtection="1">
      <alignment horizontal="center" wrapText="1"/>
      <protection locked="0"/>
    </xf>
    <xf numFmtId="0" fontId="56" fillId="0" borderId="63" xfId="0" applyFont="1" applyBorder="1" applyAlignment="1">
      <alignment horizontal="left" vertical="center"/>
    </xf>
    <xf numFmtId="0" fontId="56" fillId="0" borderId="57" xfId="0" applyFont="1" applyBorder="1" applyAlignment="1">
      <alignment horizontal="left" vertical="center"/>
    </xf>
    <xf numFmtId="0" fontId="0" fillId="17" borderId="0" xfId="0" applyFill="1"/>
    <xf numFmtId="0" fontId="56" fillId="0" borderId="21" xfId="0" applyFont="1" applyBorder="1" applyAlignment="1">
      <alignment vertical="center"/>
    </xf>
    <xf numFmtId="0" fontId="67" fillId="17" borderId="0" xfId="0" applyFont="1" applyFill="1"/>
    <xf numFmtId="14" fontId="67" fillId="0" borderId="80" xfId="0" applyNumberFormat="1" applyFont="1" applyBorder="1" applyAlignment="1" applyProtection="1">
      <alignment horizontal="center" vertical="center"/>
      <protection locked="0"/>
    </xf>
    <xf numFmtId="0" fontId="67" fillId="0" borderId="80" xfId="0" applyFont="1" applyBorder="1" applyAlignment="1" applyProtection="1">
      <alignment horizontal="center" vertical="center"/>
      <protection locked="0"/>
    </xf>
    <xf numFmtId="0" fontId="67" fillId="0" borderId="80" xfId="0" applyFont="1" applyBorder="1" applyAlignment="1" applyProtection="1">
      <alignment horizontal="center" vertical="center" wrapText="1"/>
      <protection locked="0"/>
    </xf>
    <xf numFmtId="0" fontId="67" fillId="0" borderId="80" xfId="0" applyFont="1" applyBorder="1" applyAlignment="1" applyProtection="1">
      <alignment horizontal="justify" wrapText="1"/>
      <protection locked="0"/>
    </xf>
    <xf numFmtId="0" fontId="12" fillId="17" borderId="0" xfId="0" applyFont="1" applyFill="1"/>
    <xf numFmtId="0" fontId="68" fillId="0" borderId="24" xfId="0" applyFont="1" applyBorder="1" applyAlignment="1">
      <alignment horizontal="center" vertical="center"/>
    </xf>
    <xf numFmtId="0" fontId="68" fillId="0" borderId="91" xfId="0" applyFont="1" applyBorder="1" applyAlignment="1">
      <alignment horizontal="center" vertical="center" wrapText="1"/>
    </xf>
    <xf numFmtId="0" fontId="68"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2" fillId="16" borderId="80" xfId="0" applyNumberFormat="1" applyFont="1" applyFill="1" applyBorder="1" applyAlignment="1">
      <alignment horizontal="center" vertical="center" wrapText="1"/>
    </xf>
    <xf numFmtId="0" fontId="72" fillId="16" borderId="80" xfId="0" applyFont="1" applyFill="1" applyBorder="1" applyAlignment="1">
      <alignment horizontal="center" vertical="center" wrapText="1"/>
    </xf>
    <xf numFmtId="0" fontId="78" fillId="17" borderId="0" xfId="0" applyFont="1" applyFill="1" applyAlignment="1">
      <alignment horizontal="center" vertical="center" textRotation="90"/>
    </xf>
    <xf numFmtId="0" fontId="83" fillId="0" borderId="0" xfId="0" applyFont="1" applyAlignment="1">
      <alignment vertical="center"/>
    </xf>
    <xf numFmtId="0" fontId="86" fillId="0" borderId="0" xfId="0" applyFont="1"/>
    <xf numFmtId="0" fontId="78" fillId="0" borderId="0" xfId="0" applyFont="1" applyAlignment="1">
      <alignment horizontal="left" vertical="center"/>
    </xf>
    <xf numFmtId="0" fontId="67" fillId="0" borderId="99" xfId="0" applyFont="1" applyBorder="1" applyAlignment="1">
      <alignment horizontal="left" vertical="center"/>
    </xf>
    <xf numFmtId="0" fontId="67" fillId="0" borderId="100" xfId="0" applyFont="1" applyBorder="1" applyAlignment="1">
      <alignment horizontal="left" vertical="center"/>
    </xf>
    <xf numFmtId="0" fontId="86" fillId="3" borderId="0" xfId="0" applyFont="1" applyFill="1"/>
    <xf numFmtId="0" fontId="87" fillId="3" borderId="0" xfId="0" applyFont="1" applyFill="1" applyAlignment="1">
      <alignment horizontal="center" vertical="center"/>
    </xf>
    <xf numFmtId="0" fontId="0" fillId="0" borderId="91" xfId="0" applyBorder="1" applyAlignment="1">
      <alignment horizontal="center" vertical="center"/>
    </xf>
    <xf numFmtId="0" fontId="72" fillId="19" borderId="91" xfId="0" applyFont="1" applyFill="1" applyBorder="1" applyAlignment="1">
      <alignment horizontal="center" vertical="center"/>
    </xf>
    <xf numFmtId="0" fontId="84" fillId="18" borderId="0" xfId="0" applyFont="1" applyFill="1" applyAlignment="1">
      <alignment horizontal="center" vertical="center"/>
    </xf>
    <xf numFmtId="0" fontId="72" fillId="19" borderId="0" xfId="0" applyFont="1" applyFill="1" applyAlignment="1">
      <alignment horizontal="center" vertical="center"/>
    </xf>
    <xf numFmtId="0" fontId="85" fillId="0" borderId="0" xfId="0" applyFont="1" applyAlignment="1">
      <alignment horizontal="center"/>
    </xf>
    <xf numFmtId="0" fontId="85" fillId="0" borderId="0" xfId="0" applyFont="1" applyAlignment="1">
      <alignment horizontal="center" vertical="center"/>
    </xf>
    <xf numFmtId="0" fontId="74" fillId="21" borderId="27" xfId="0" applyFont="1" applyFill="1" applyBorder="1" applyAlignment="1">
      <alignment horizontal="center" vertical="center" wrapText="1"/>
    </xf>
    <xf numFmtId="0" fontId="74" fillId="21" borderId="28" xfId="0" applyFont="1" applyFill="1" applyBorder="1" applyAlignment="1">
      <alignment horizontal="center" vertical="center" wrapText="1"/>
    </xf>
    <xf numFmtId="0" fontId="90" fillId="3" borderId="21" xfId="0" applyFont="1" applyFill="1" applyBorder="1" applyAlignment="1" applyProtection="1">
      <alignment horizontal="justify" vertical="justify" wrapText="1"/>
      <protection locked="0"/>
    </xf>
    <xf numFmtId="0" fontId="73" fillId="0" borderId="22" xfId="0" applyFont="1" applyBorder="1" applyAlignment="1" applyProtection="1">
      <alignment horizontal="center" vertical="center" wrapText="1"/>
      <protection locked="0"/>
    </xf>
    <xf numFmtId="0" fontId="90" fillId="0" borderId="21" xfId="0" applyFont="1" applyBorder="1" applyAlignment="1" applyProtection="1">
      <alignment horizontal="justify" vertical="justify" wrapText="1"/>
      <protection locked="0"/>
    </xf>
    <xf numFmtId="0" fontId="73" fillId="0" borderId="21" xfId="0" applyFont="1" applyBorder="1" applyAlignment="1" applyProtection="1">
      <alignment horizontal="center" vertical="center" wrapText="1"/>
      <protection locked="0"/>
    </xf>
    <xf numFmtId="0" fontId="90" fillId="22" borderId="21" xfId="0" applyFont="1" applyFill="1" applyBorder="1" applyAlignment="1" applyProtection="1">
      <alignment horizontal="justify" vertical="justify" wrapText="1"/>
      <protection locked="0"/>
    </xf>
    <xf numFmtId="0" fontId="45" fillId="0" borderId="25" xfId="0" applyFont="1" applyBorder="1" applyAlignment="1" applyProtection="1">
      <alignment horizontal="justify" vertical="center" wrapText="1"/>
      <protection locked="0"/>
    </xf>
    <xf numFmtId="0" fontId="74" fillId="21" borderId="25" xfId="0" applyFont="1" applyFill="1" applyBorder="1" applyAlignment="1">
      <alignment horizontal="center" vertical="center" wrapText="1"/>
    </xf>
    <xf numFmtId="0" fontId="73" fillId="21" borderId="21" xfId="0" applyFont="1" applyFill="1" applyBorder="1" applyAlignment="1" applyProtection="1">
      <alignment horizontal="center" vertical="center"/>
      <protection locked="0"/>
    </xf>
    <xf numFmtId="0" fontId="90" fillId="23" borderId="22" xfId="0" applyFont="1" applyFill="1" applyBorder="1" applyAlignment="1" applyProtection="1">
      <alignment horizontal="justify" vertical="justify" wrapText="1"/>
      <protection locked="0"/>
    </xf>
    <xf numFmtId="0" fontId="91" fillId="21" borderId="21" xfId="0" applyFont="1" applyFill="1" applyBorder="1" applyAlignment="1" applyProtection="1">
      <alignment horizontal="center" vertical="center"/>
      <protection locked="0"/>
    </xf>
    <xf numFmtId="0" fontId="90" fillId="24" borderId="21" xfId="0" applyFont="1" applyFill="1" applyBorder="1" applyAlignment="1" applyProtection="1">
      <alignment horizontal="justify" vertical="justify" wrapText="1"/>
      <protection locked="0"/>
    </xf>
    <xf numFmtId="0" fontId="90" fillId="22" borderId="69" xfId="0" applyFont="1" applyFill="1" applyBorder="1" applyAlignment="1" applyProtection="1">
      <alignment wrapText="1"/>
      <protection locked="0"/>
    </xf>
    <xf numFmtId="0" fontId="67" fillId="3" borderId="21" xfId="0" applyFont="1" applyFill="1" applyBorder="1" applyAlignment="1" applyProtection="1">
      <alignment horizontal="justify" vertical="justify" wrapText="1"/>
      <protection locked="0"/>
    </xf>
    <xf numFmtId="0" fontId="12" fillId="18" borderId="0" xfId="0" applyFont="1" applyFill="1" applyAlignment="1">
      <alignment horizontal="center" vertical="center"/>
    </xf>
    <xf numFmtId="0" fontId="62" fillId="18" borderId="0" xfId="0" applyFont="1" applyFill="1" applyAlignment="1">
      <alignment horizontal="center" vertical="center"/>
    </xf>
    <xf numFmtId="0" fontId="62" fillId="18" borderId="0" xfId="0" applyFont="1" applyFill="1" applyAlignment="1">
      <alignment horizontal="center" vertical="center" wrapText="1"/>
    </xf>
    <xf numFmtId="0" fontId="62" fillId="0" borderId="0" xfId="0" applyFont="1" applyAlignment="1">
      <alignment horizontal="center" vertical="center"/>
    </xf>
    <xf numFmtId="0" fontId="12" fillId="18" borderId="0" xfId="0" applyFont="1" applyFill="1" applyAlignment="1">
      <alignment wrapText="1"/>
    </xf>
    <xf numFmtId="0" fontId="18" fillId="11" borderId="0" xfId="0" applyFont="1" applyFill="1" applyBorder="1" applyAlignment="1" applyProtection="1">
      <alignment horizontal="center" vertical="center" wrapText="1" readingOrder="1"/>
      <protection hidden="1"/>
    </xf>
    <xf numFmtId="0" fontId="18" fillId="13" borderId="0" xfId="0" applyFont="1" applyFill="1" applyBorder="1" applyAlignment="1" applyProtection="1">
      <alignment horizontal="center" wrapText="1" readingOrder="1"/>
      <protection hidden="1"/>
    </xf>
    <xf numFmtId="0" fontId="61" fillId="0" borderId="70" xfId="0" applyFont="1" applyBorder="1" applyAlignment="1">
      <alignment horizontal="center" vertical="center" wrapText="1"/>
    </xf>
    <xf numFmtId="0" fontId="67" fillId="0" borderId="0" xfId="0" applyFont="1"/>
    <xf numFmtId="0" fontId="67" fillId="0" borderId="0" xfId="0" applyFont="1" applyAlignment="1">
      <alignment horizontal="center" vertical="center"/>
    </xf>
    <xf numFmtId="0" fontId="67" fillId="0" borderId="0" xfId="0" applyFont="1" applyAlignment="1">
      <alignment horizontal="center"/>
    </xf>
    <xf numFmtId="0" fontId="95" fillId="0" borderId="57" xfId="0" applyFont="1" applyBorder="1" applyAlignment="1" applyProtection="1">
      <alignment horizontal="center" vertical="center"/>
      <protection locked="0"/>
    </xf>
    <xf numFmtId="0" fontId="67" fillId="3" borderId="0" xfId="0" applyFont="1" applyFill="1"/>
    <xf numFmtId="0" fontId="97" fillId="3" borderId="0" xfId="0" applyFont="1" applyFill="1"/>
    <xf numFmtId="0" fontId="88" fillId="3" borderId="68" xfId="0" applyFont="1" applyFill="1" applyBorder="1" applyAlignment="1">
      <alignment horizontal="center" vertical="center"/>
    </xf>
    <xf numFmtId="0" fontId="88" fillId="3" borderId="69" xfId="0" applyFont="1" applyFill="1" applyBorder="1" applyAlignment="1">
      <alignment horizontal="center" vertical="center"/>
    </xf>
    <xf numFmtId="0" fontId="88" fillId="3" borderId="67" xfId="0" applyFont="1" applyFill="1" applyBorder="1" applyAlignment="1">
      <alignment horizontal="center" vertical="center"/>
    </xf>
    <xf numFmtId="0" fontId="88" fillId="3" borderId="57" xfId="0" applyFont="1" applyFill="1" applyBorder="1" applyAlignment="1">
      <alignment horizontal="center" vertical="center"/>
    </xf>
    <xf numFmtId="0" fontId="88" fillId="3" borderId="40" xfId="0" applyFont="1" applyFill="1" applyBorder="1" applyAlignment="1">
      <alignment vertical="center"/>
    </xf>
    <xf numFmtId="0" fontId="89" fillId="16" borderId="21" xfId="0" applyFont="1" applyFill="1" applyBorder="1" applyAlignment="1">
      <alignment horizontal="center" vertical="center"/>
    </xf>
    <xf numFmtId="0" fontId="89" fillId="16" borderId="21" xfId="0" applyFont="1" applyFill="1" applyBorder="1" applyAlignment="1">
      <alignment horizontal="center" vertical="center" wrapText="1"/>
    </xf>
    <xf numFmtId="0" fontId="72" fillId="3" borderId="0" xfId="0" applyFont="1" applyFill="1" applyAlignment="1">
      <alignment horizontal="center" vertical="center"/>
    </xf>
    <xf numFmtId="0" fontId="89" fillId="16" borderId="21" xfId="0" applyFont="1" applyFill="1" applyBorder="1" applyAlignment="1">
      <alignment horizontal="center" vertical="center" textRotation="90"/>
    </xf>
    <xf numFmtId="0" fontId="78" fillId="3" borderId="0" xfId="0" applyFont="1" applyFill="1" applyAlignment="1">
      <alignment horizontal="center" vertical="center"/>
    </xf>
    <xf numFmtId="0" fontId="78" fillId="2" borderId="0" xfId="0" applyFont="1" applyFill="1" applyAlignment="1">
      <alignment horizontal="center" vertical="center"/>
    </xf>
    <xf numFmtId="0" fontId="67" fillId="0" borderId="21" xfId="0" applyFont="1" applyBorder="1" applyAlignment="1" applyProtection="1">
      <alignment horizontal="center" vertical="center" wrapText="1"/>
      <protection locked="0"/>
    </xf>
    <xf numFmtId="0" fontId="67" fillId="0" borderId="21" xfId="0" applyFont="1" applyBorder="1" applyAlignment="1">
      <alignment horizontal="center" vertical="center" wrapText="1"/>
    </xf>
    <xf numFmtId="0" fontId="73" fillId="0" borderId="21" xfId="0" applyFont="1" applyBorder="1" applyAlignment="1" applyProtection="1">
      <alignment horizontal="center" vertical="top" wrapText="1"/>
      <protection locked="0"/>
    </xf>
    <xf numFmtId="0" fontId="67" fillId="0" borderId="21" xfId="0" applyFont="1" applyBorder="1" applyAlignment="1" applyProtection="1">
      <alignment horizontal="center" vertical="center" wrapText="1"/>
      <protection hidden="1"/>
    </xf>
    <xf numFmtId="0" fontId="67" fillId="0" borderId="21" xfId="0" applyFont="1" applyBorder="1" applyAlignment="1" applyProtection="1">
      <alignment horizontal="center" vertical="top" textRotation="90" wrapText="1"/>
      <protection locked="0"/>
    </xf>
    <xf numFmtId="9" fontId="67" fillId="0" borderId="21" xfId="0" applyNumberFormat="1" applyFont="1" applyBorder="1" applyAlignment="1" applyProtection="1">
      <alignment horizontal="center" vertical="top" wrapText="1"/>
      <protection hidden="1"/>
    </xf>
    <xf numFmtId="164" fontId="67" fillId="0" borderId="21" xfId="1" applyNumberFormat="1" applyFont="1" applyBorder="1" applyAlignment="1">
      <alignment horizontal="center" vertical="top" wrapText="1"/>
    </xf>
    <xf numFmtId="9" fontId="67" fillId="0" borderId="21" xfId="0" applyNumberFormat="1" applyFont="1" applyBorder="1" applyAlignment="1" applyProtection="1">
      <alignment horizontal="center" vertical="center" wrapText="1"/>
      <protection hidden="1"/>
    </xf>
    <xf numFmtId="0" fontId="67" fillId="0" borderId="21" xfId="0" applyFont="1" applyBorder="1" applyAlignment="1" applyProtection="1">
      <alignment horizontal="center" vertical="center" textRotation="90" wrapText="1"/>
      <protection locked="0"/>
    </xf>
    <xf numFmtId="14" fontId="67" fillId="0" borderId="0" xfId="0" applyNumberFormat="1" applyFont="1" applyAlignment="1">
      <alignment horizontal="center" wrapText="1"/>
    </xf>
    <xf numFmtId="14" fontId="67" fillId="0" borderId="21" xfId="0" applyNumberFormat="1" applyFont="1" applyBorder="1" applyAlignment="1" applyProtection="1">
      <alignment horizontal="center" vertical="center" wrapText="1"/>
      <protection locked="0"/>
    </xf>
    <xf numFmtId="0" fontId="67" fillId="0" borderId="21" xfId="0" applyFont="1" applyBorder="1" applyAlignment="1" applyProtection="1">
      <alignment horizontal="center" vertical="center"/>
      <protection locked="0"/>
    </xf>
    <xf numFmtId="0" fontId="78" fillId="0" borderId="21" xfId="0" applyFont="1" applyBorder="1" applyAlignment="1" applyProtection="1">
      <alignment horizontal="center" vertical="center" wrapText="1"/>
      <protection hidden="1"/>
    </xf>
    <xf numFmtId="9" fontId="67" fillId="0" borderId="21" xfId="0" applyNumberFormat="1" applyFont="1" applyBorder="1" applyAlignment="1" applyProtection="1">
      <alignment horizontal="center" vertical="center" wrapText="1"/>
      <protection locked="0"/>
    </xf>
    <xf numFmtId="9" fontId="67" fillId="0" borderId="21" xfId="0" applyNumberFormat="1" applyFont="1" applyBorder="1" applyAlignment="1" applyProtection="1">
      <alignment vertical="top" wrapText="1"/>
      <protection hidden="1"/>
    </xf>
    <xf numFmtId="0" fontId="78" fillId="0" borderId="21" xfId="0" applyFont="1" applyBorder="1" applyAlignment="1" applyProtection="1">
      <alignment horizontal="center" vertical="center"/>
      <protection hidden="1"/>
    </xf>
    <xf numFmtId="0" fontId="67" fillId="0" borderId="21" xfId="0" applyFont="1" applyBorder="1" applyAlignment="1">
      <alignment horizontal="center" vertical="center"/>
    </xf>
    <xf numFmtId="0" fontId="67" fillId="0" borderId="21" xfId="0" applyFont="1" applyBorder="1" applyAlignment="1" applyProtection="1">
      <alignment horizontal="center" vertical="top" textRotation="90"/>
      <protection locked="0"/>
    </xf>
    <xf numFmtId="9" fontId="67" fillId="0" borderId="21" xfId="0" applyNumberFormat="1" applyFont="1" applyBorder="1" applyAlignment="1" applyProtection="1">
      <alignment horizontal="center" vertical="top"/>
      <protection hidden="1"/>
    </xf>
    <xf numFmtId="164" fontId="67" fillId="0" borderId="21" xfId="1" applyNumberFormat="1" applyFont="1" applyBorder="1" applyAlignment="1">
      <alignment horizontal="center" vertical="top"/>
    </xf>
    <xf numFmtId="0" fontId="78" fillId="0" borderId="21" xfId="0" applyFont="1" applyBorder="1" applyAlignment="1" applyProtection="1">
      <alignment horizontal="center" vertical="top" textRotation="90" wrapText="1"/>
      <protection hidden="1"/>
    </xf>
    <xf numFmtId="9" fontId="67" fillId="0" borderId="21" xfId="0" applyNumberFormat="1" applyFont="1" applyBorder="1" applyAlignment="1" applyProtection="1">
      <alignment horizontal="center" vertical="center"/>
      <protection hidden="1"/>
    </xf>
    <xf numFmtId="0" fontId="78" fillId="0" borderId="21" xfId="0" applyFont="1" applyBorder="1" applyAlignment="1" applyProtection="1">
      <alignment horizontal="center" vertical="top" textRotation="90"/>
      <protection hidden="1"/>
    </xf>
    <xf numFmtId="14" fontId="67" fillId="0" borderId="21" xfId="0" applyNumberFormat="1" applyFont="1" applyBorder="1" applyAlignment="1" applyProtection="1">
      <alignment horizontal="center" vertical="center"/>
      <protection locked="0"/>
    </xf>
    <xf numFmtId="0" fontId="67" fillId="0" borderId="21" xfId="0" applyFont="1" applyBorder="1" applyAlignment="1">
      <alignment vertical="center"/>
    </xf>
    <xf numFmtId="0" fontId="98" fillId="0" borderId="21" xfId="0" applyFont="1" applyBorder="1" applyAlignment="1" applyProtection="1">
      <alignment horizontal="center" vertical="center" wrapText="1"/>
      <protection locked="0"/>
    </xf>
    <xf numFmtId="0" fontId="67" fillId="0" borderId="3" xfId="0" applyFont="1" applyBorder="1" applyAlignment="1">
      <alignment horizontal="center" vertical="center"/>
    </xf>
    <xf numFmtId="0" fontId="67" fillId="0" borderId="2" xfId="0" applyFont="1" applyBorder="1" applyAlignment="1">
      <alignment horizontal="center" vertical="center"/>
    </xf>
    <xf numFmtId="0" fontId="67" fillId="0" borderId="0" xfId="0" applyFont="1" applyAlignment="1">
      <alignment horizontal="center" wrapText="1"/>
    </xf>
    <xf numFmtId="0" fontId="67" fillId="0" borderId="0" xfId="0" applyFont="1" applyAlignment="1">
      <alignment wrapText="1"/>
    </xf>
    <xf numFmtId="0" fontId="67" fillId="0" borderId="0" xfId="0" applyFont="1" applyAlignment="1">
      <alignment vertical="center"/>
    </xf>
    <xf numFmtId="0" fontId="67" fillId="0" borderId="21" xfId="0" applyFont="1" applyBorder="1" applyAlignment="1" applyProtection="1">
      <alignment horizontal="center" vertical="top" wrapText="1"/>
      <protection locked="0"/>
    </xf>
    <xf numFmtId="0" fontId="67" fillId="0" borderId="21" xfId="0" applyFont="1" applyBorder="1" applyAlignment="1" applyProtection="1">
      <alignment vertical="center" wrapText="1"/>
      <protection locked="0"/>
    </xf>
    <xf numFmtId="165" fontId="67" fillId="0" borderId="21" xfId="0" applyNumberFormat="1" applyFont="1" applyBorder="1" applyAlignment="1" applyProtection="1">
      <alignment vertical="center" wrapText="1"/>
      <protection locked="0"/>
    </xf>
    <xf numFmtId="0" fontId="67" fillId="0" borderId="21" xfId="0" applyFont="1" applyBorder="1" applyAlignment="1">
      <alignment vertical="center" wrapText="1"/>
    </xf>
    <xf numFmtId="0" fontId="67" fillId="0" borderId="21" xfId="0" applyFont="1" applyBorder="1" applyAlignment="1">
      <alignment horizontal="center" vertical="center" wrapText="1"/>
    </xf>
    <xf numFmtId="0" fontId="94" fillId="16" borderId="21" xfId="0" applyFont="1" applyFill="1" applyBorder="1" applyAlignment="1">
      <alignment horizontal="center" vertical="center" wrapText="1"/>
    </xf>
    <xf numFmtId="0" fontId="67" fillId="0" borderId="21" xfId="0" applyFont="1" applyBorder="1" applyAlignment="1">
      <alignment horizontal="center" vertical="center"/>
    </xf>
    <xf numFmtId="0" fontId="63" fillId="0" borderId="0" xfId="0" applyFont="1" applyAlignment="1">
      <alignment horizontal="center" wrapText="1"/>
    </xf>
    <xf numFmtId="0" fontId="66" fillId="0" borderId="95" xfId="0" applyFont="1" applyBorder="1" applyAlignment="1">
      <alignment horizontal="center" vertical="center" wrapText="1"/>
    </xf>
    <xf numFmtId="0" fontId="66" fillId="0" borderId="12"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75" xfId="0" applyFont="1" applyBorder="1" applyAlignment="1">
      <alignment horizontal="center" vertical="center" wrapText="1"/>
    </xf>
    <xf numFmtId="0" fontId="66" fillId="0" borderId="0" xfId="0" applyFont="1" applyAlignment="1">
      <alignment horizontal="center" vertical="center" wrapText="1"/>
    </xf>
    <xf numFmtId="0" fontId="66" fillId="0" borderId="76"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84" xfId="0" applyFont="1" applyBorder="1" applyAlignment="1">
      <alignment horizontal="center" vertical="center" wrapText="1"/>
    </xf>
    <xf numFmtId="0" fontId="80" fillId="0" borderId="5" xfId="0" applyFont="1" applyBorder="1" applyAlignment="1">
      <alignment horizontal="center" wrapText="1"/>
    </xf>
    <xf numFmtId="0" fontId="64" fillId="0" borderId="94" xfId="0" applyFont="1" applyBorder="1" applyAlignment="1">
      <alignment horizontal="center" wrapText="1"/>
    </xf>
    <xf numFmtId="0" fontId="64" fillId="0" borderId="7" xfId="0" applyFont="1" applyBorder="1" applyAlignment="1">
      <alignment horizontal="center" wrapText="1"/>
    </xf>
    <xf numFmtId="0" fontId="64" fillId="0" borderId="93" xfId="0" applyFont="1" applyBorder="1" applyAlignment="1">
      <alignment horizontal="center" wrapText="1"/>
    </xf>
    <xf numFmtId="0" fontId="64" fillId="0" borderId="9" xfId="0" applyFont="1" applyBorder="1" applyAlignment="1">
      <alignment horizontal="center" wrapText="1"/>
    </xf>
    <xf numFmtId="0" fontId="64" fillId="0" borderId="96" xfId="0" applyFont="1" applyBorder="1" applyAlignment="1">
      <alignment horizontal="center" wrapText="1"/>
    </xf>
    <xf numFmtId="0" fontId="56" fillId="0" borderId="82" xfId="0" applyFont="1" applyBorder="1" applyAlignment="1">
      <alignment horizontal="left" vertical="center"/>
    </xf>
    <xf numFmtId="0" fontId="56" fillId="0" borderId="6" xfId="0" applyFont="1" applyBorder="1" applyAlignment="1">
      <alignment horizontal="left" vertical="center"/>
    </xf>
    <xf numFmtId="0" fontId="56" fillId="0" borderId="83" xfId="0" applyFont="1" applyBorder="1" applyAlignment="1">
      <alignment horizontal="left" vertical="center"/>
    </xf>
    <xf numFmtId="0" fontId="56" fillId="0" borderId="8" xfId="0" applyFont="1" applyBorder="1" applyAlignment="1">
      <alignment horizontal="left" vertical="center"/>
    </xf>
    <xf numFmtId="0" fontId="56" fillId="0" borderId="85" xfId="0" applyFont="1" applyBorder="1" applyAlignment="1">
      <alignment horizontal="left" vertical="center"/>
    </xf>
    <xf numFmtId="0" fontId="56" fillId="0" borderId="10" xfId="0" applyFont="1" applyBorder="1" applyAlignment="1">
      <alignment horizontal="left" vertical="center"/>
    </xf>
    <xf numFmtId="0" fontId="67" fillId="0" borderId="23" xfId="0" applyFont="1" applyBorder="1" applyAlignment="1">
      <alignment horizontal="left" vertical="center" wrapText="1"/>
    </xf>
    <xf numFmtId="0" fontId="67" fillId="0" borderId="35" xfId="0" applyFont="1" applyBorder="1" applyAlignment="1">
      <alignment horizontal="left" vertical="center" wrapText="1"/>
    </xf>
    <xf numFmtId="0" fontId="66" fillId="0" borderId="102"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101" xfId="0" applyFont="1" applyBorder="1" applyAlignment="1">
      <alignment horizontal="center" vertical="center" wrapText="1"/>
    </xf>
    <xf numFmtId="0" fontId="62" fillId="18" borderId="102" xfId="0" applyFont="1" applyFill="1" applyBorder="1" applyAlignment="1">
      <alignment horizontal="center" vertical="center"/>
    </xf>
    <xf numFmtId="0" fontId="62" fillId="18" borderId="98" xfId="0" applyFont="1" applyFill="1" applyBorder="1" applyAlignment="1">
      <alignment horizontal="center" vertical="center"/>
    </xf>
    <xf numFmtId="0" fontId="62" fillId="18" borderId="101" xfId="0" applyFont="1" applyFill="1" applyBorder="1" applyAlignment="1">
      <alignment horizontal="center" vertical="center"/>
    </xf>
    <xf numFmtId="0" fontId="72" fillId="18" borderId="5" xfId="0" applyFont="1" applyFill="1" applyBorder="1" applyAlignment="1">
      <alignment horizontal="center" vertical="center"/>
    </xf>
    <xf numFmtId="0" fontId="72" fillId="18" borderId="6" xfId="0" applyFont="1" applyFill="1" applyBorder="1" applyAlignment="1">
      <alignment horizontal="center" vertical="center"/>
    </xf>
    <xf numFmtId="0" fontId="72" fillId="18" borderId="9" xfId="0" applyFont="1" applyFill="1" applyBorder="1" applyAlignment="1">
      <alignment horizontal="center" vertical="center"/>
    </xf>
    <xf numFmtId="0" fontId="72" fillId="18" borderId="10" xfId="0" applyFont="1" applyFill="1" applyBorder="1" applyAlignment="1">
      <alignment horizontal="center" vertical="center"/>
    </xf>
    <xf numFmtId="0" fontId="72" fillId="19" borderId="9" xfId="0" applyFont="1" applyFill="1" applyBorder="1" applyAlignment="1">
      <alignment horizontal="center" vertical="center"/>
    </xf>
    <xf numFmtId="0" fontId="72" fillId="19" borderId="10" xfId="0" applyFont="1" applyFill="1" applyBorder="1" applyAlignment="1">
      <alignment horizontal="center" vertical="center"/>
    </xf>
    <xf numFmtId="0" fontId="64" fillId="0" borderId="5" xfId="0" applyFont="1" applyBorder="1" applyAlignment="1">
      <alignment horizontal="center" wrapText="1"/>
    </xf>
    <xf numFmtId="0" fontId="64" fillId="0" borderId="6" xfId="0" applyFont="1" applyBorder="1" applyAlignment="1">
      <alignment horizontal="center" wrapText="1"/>
    </xf>
    <xf numFmtId="0" fontId="64" fillId="0" borderId="8" xfId="0" applyFont="1" applyBorder="1" applyAlignment="1">
      <alignment horizontal="center" wrapText="1"/>
    </xf>
    <xf numFmtId="0" fontId="64" fillId="0" borderId="10" xfId="0" applyFont="1" applyBorder="1" applyAlignment="1">
      <alignment horizontal="center" wrapText="1"/>
    </xf>
    <xf numFmtId="0" fontId="72" fillId="18" borderId="5" xfId="0" applyFont="1" applyFill="1" applyBorder="1" applyAlignment="1">
      <alignment horizontal="center" vertical="center" wrapText="1"/>
    </xf>
    <xf numFmtId="0" fontId="72" fillId="18" borderId="6" xfId="0" applyFont="1" applyFill="1" applyBorder="1" applyAlignment="1">
      <alignment horizontal="center" vertical="center" wrapText="1"/>
    </xf>
    <xf numFmtId="0" fontId="72" fillId="18" borderId="9" xfId="0" applyFont="1" applyFill="1" applyBorder="1" applyAlignment="1">
      <alignment horizontal="center" vertical="center" wrapText="1"/>
    </xf>
    <xf numFmtId="0" fontId="72" fillId="18" borderId="10" xfId="0" applyFont="1" applyFill="1" applyBorder="1" applyAlignment="1">
      <alignment horizontal="center" vertical="center" wrapText="1"/>
    </xf>
    <xf numFmtId="0" fontId="56" fillId="0" borderId="5" xfId="0" applyFont="1" applyBorder="1" applyAlignment="1">
      <alignment horizontal="left" vertical="center"/>
    </xf>
    <xf numFmtId="0" fontId="56" fillId="0" borderId="7" xfId="0" applyFont="1" applyBorder="1" applyAlignment="1">
      <alignment horizontal="left" vertical="center"/>
    </xf>
    <xf numFmtId="0" fontId="56" fillId="0" borderId="9" xfId="0" applyFont="1" applyBorder="1" applyAlignment="1">
      <alignment horizontal="left" vertical="center"/>
    </xf>
    <xf numFmtId="0" fontId="78" fillId="0" borderId="110" xfId="0" applyFont="1" applyBorder="1" applyAlignment="1" applyProtection="1">
      <alignment horizontal="center" vertical="center" textRotation="90" wrapText="1"/>
      <protection hidden="1"/>
    </xf>
    <xf numFmtId="0" fontId="78" fillId="0" borderId="22" xfId="0" applyFont="1" applyBorder="1" applyAlignment="1" applyProtection="1">
      <alignment horizontal="center" vertical="center" textRotation="90" wrapText="1"/>
      <protection hidden="1"/>
    </xf>
    <xf numFmtId="0" fontId="89" fillId="16" borderId="21" xfId="0" applyFont="1" applyFill="1" applyBorder="1" applyAlignment="1">
      <alignment horizontal="center" vertical="center" textRotation="90" wrapText="1"/>
    </xf>
    <xf numFmtId="0" fontId="67" fillId="0" borderId="110" xfId="0" applyFont="1" applyBorder="1" applyAlignment="1" applyProtection="1">
      <alignment horizontal="center" vertical="center" wrapText="1"/>
      <protection locked="0"/>
    </xf>
    <xf numFmtId="0" fontId="67" fillId="0" borderId="22" xfId="0" applyFont="1" applyBorder="1" applyAlignment="1" applyProtection="1">
      <alignment horizontal="center" vertical="center" wrapText="1"/>
      <protection locked="0"/>
    </xf>
    <xf numFmtId="165" fontId="67" fillId="0" borderId="110" xfId="0" applyNumberFormat="1" applyFont="1" applyBorder="1" applyAlignment="1" applyProtection="1">
      <alignment horizontal="center" vertical="center" wrapText="1"/>
      <protection locked="0"/>
    </xf>
    <xf numFmtId="165" fontId="67" fillId="0" borderId="22" xfId="0" applyNumberFormat="1" applyFont="1" applyBorder="1" applyAlignment="1" applyProtection="1">
      <alignment horizontal="center" vertical="center" wrapText="1"/>
      <protection locked="0"/>
    </xf>
    <xf numFmtId="0" fontId="67" fillId="0" borderId="110" xfId="0" applyFont="1" applyBorder="1" applyAlignment="1">
      <alignment horizontal="center" vertical="center"/>
    </xf>
    <xf numFmtId="0" fontId="67" fillId="0" borderId="22" xfId="0" applyFont="1" applyBorder="1" applyAlignment="1">
      <alignment horizontal="center" vertical="center"/>
    </xf>
    <xf numFmtId="0" fontId="67" fillId="0" borderId="21" xfId="0" applyFont="1" applyBorder="1" applyAlignment="1">
      <alignment horizontal="center" vertical="center"/>
    </xf>
    <xf numFmtId="0" fontId="98" fillId="0" borderId="110" xfId="0" applyFont="1" applyBorder="1" applyAlignment="1" applyProtection="1">
      <alignment horizontal="center" vertical="center" wrapText="1"/>
      <protection locked="0"/>
    </xf>
    <xf numFmtId="0" fontId="98" fillId="0" borderId="22" xfId="0" applyFont="1" applyBorder="1" applyAlignment="1" applyProtection="1">
      <alignment horizontal="center" vertical="center" wrapText="1"/>
      <protection locked="0"/>
    </xf>
    <xf numFmtId="9" fontId="67" fillId="0" borderId="110" xfId="0" applyNumberFormat="1" applyFont="1" applyBorder="1" applyAlignment="1" applyProtection="1">
      <alignment horizontal="center" vertical="center" wrapText="1"/>
      <protection hidden="1"/>
    </xf>
    <xf numFmtId="9" fontId="67" fillId="0" borderId="22" xfId="0" applyNumberFormat="1" applyFont="1" applyBorder="1" applyAlignment="1" applyProtection="1">
      <alignment horizontal="center" vertical="center" wrapText="1"/>
      <protection hidden="1"/>
    </xf>
    <xf numFmtId="0" fontId="78" fillId="0" borderId="110" xfId="0" applyFont="1" applyBorder="1" applyAlignment="1" applyProtection="1">
      <alignment horizontal="center" vertical="center" wrapText="1"/>
      <protection hidden="1"/>
    </xf>
    <xf numFmtId="0" fontId="78" fillId="0" borderId="22" xfId="0" applyFont="1" applyBorder="1" applyAlignment="1" applyProtection="1">
      <alignment horizontal="center" vertical="center" wrapText="1"/>
      <protection hidden="1"/>
    </xf>
    <xf numFmtId="0" fontId="89" fillId="16" borderId="22" xfId="0" applyFont="1" applyFill="1" applyBorder="1" applyAlignment="1">
      <alignment horizontal="center" vertical="center"/>
    </xf>
    <xf numFmtId="0" fontId="89" fillId="19" borderId="21" xfId="0" applyFont="1" applyFill="1" applyBorder="1" applyAlignment="1">
      <alignment horizontal="center" vertical="center" wrapText="1"/>
    </xf>
    <xf numFmtId="0" fontId="89" fillId="18" borderId="107" xfId="0" applyFont="1" applyFill="1" applyBorder="1" applyAlignment="1">
      <alignment horizontal="center" vertical="center" wrapText="1"/>
    </xf>
    <xf numFmtId="0" fontId="89" fillId="18" borderId="64" xfId="0" applyFont="1" applyFill="1" applyBorder="1" applyAlignment="1">
      <alignment horizontal="center" vertical="center" wrapText="1"/>
    </xf>
    <xf numFmtId="0" fontId="89" fillId="16" borderId="40" xfId="0" applyFont="1" applyFill="1" applyBorder="1" applyAlignment="1">
      <alignment horizontal="center" vertical="center" wrapText="1"/>
    </xf>
    <xf numFmtId="0" fontId="89" fillId="16" borderId="57" xfId="0" applyFont="1" applyFill="1" applyBorder="1" applyAlignment="1">
      <alignment horizontal="center" vertical="center" wrapText="1"/>
    </xf>
    <xf numFmtId="0" fontId="89" fillId="16" borderId="68" xfId="0" applyFont="1" applyFill="1" applyBorder="1" applyAlignment="1">
      <alignment horizontal="center" vertical="center" wrapText="1"/>
    </xf>
    <xf numFmtId="0" fontId="89" fillId="16" borderId="67" xfId="0" applyFont="1" applyFill="1" applyBorder="1" applyAlignment="1">
      <alignment horizontal="center" vertical="center" wrapText="1"/>
    </xf>
    <xf numFmtId="0" fontId="89" fillId="16" borderId="69" xfId="0" applyFont="1" applyFill="1" applyBorder="1" applyAlignment="1">
      <alignment horizontal="center" vertical="center" wrapText="1"/>
    </xf>
    <xf numFmtId="0" fontId="60" fillId="0" borderId="70" xfId="0" applyFont="1" applyBorder="1" applyAlignment="1">
      <alignment horizontal="center" vertical="center" wrapText="1"/>
    </xf>
    <xf numFmtId="0" fontId="61" fillId="0" borderId="70" xfId="0" applyFont="1" applyBorder="1" applyAlignment="1">
      <alignment horizontal="center" vertical="center" wrapText="1"/>
    </xf>
    <xf numFmtId="0" fontId="100" fillId="0" borderId="68" xfId="0" applyFont="1" applyBorder="1" applyAlignment="1">
      <alignment horizontal="left" vertical="center" wrapText="1"/>
    </xf>
    <xf numFmtId="0" fontId="100" fillId="0" borderId="67" xfId="0" applyFont="1" applyBorder="1" applyAlignment="1">
      <alignment horizontal="left" vertical="center" wrapText="1"/>
    </xf>
    <xf numFmtId="0" fontId="100" fillId="0" borderId="69" xfId="0" applyFont="1" applyBorder="1" applyAlignment="1">
      <alignment horizontal="left" vertical="center" wrapText="1"/>
    </xf>
    <xf numFmtId="0" fontId="99" fillId="0" borderId="21" xfId="0" applyFont="1" applyBorder="1" applyAlignment="1">
      <alignment horizontal="left" vertical="center" wrapText="1"/>
    </xf>
    <xf numFmtId="0" fontId="89" fillId="16" borderId="21" xfId="0" applyFont="1" applyFill="1" applyBorder="1" applyAlignment="1">
      <alignment horizontal="center" vertical="center" wrapText="1"/>
    </xf>
    <xf numFmtId="0" fontId="89" fillId="16" borderId="21" xfId="0" applyFont="1" applyFill="1" applyBorder="1" applyAlignment="1">
      <alignment horizontal="center" vertical="center"/>
    </xf>
    <xf numFmtId="0" fontId="67" fillId="0" borderId="65" xfId="0" applyFont="1" applyBorder="1" applyAlignment="1">
      <alignment horizontal="left" vertical="center" wrapText="1"/>
    </xf>
    <xf numFmtId="0" fontId="67" fillId="0" borderId="66" xfId="0" applyFont="1" applyBorder="1" applyAlignment="1">
      <alignment horizontal="left" vertical="center" wrapText="1"/>
    </xf>
    <xf numFmtId="0" fontId="88" fillId="16" borderId="68" xfId="0" applyFont="1" applyFill="1" applyBorder="1" applyAlignment="1">
      <alignment horizontal="left" vertical="center"/>
    </xf>
    <xf numFmtId="0" fontId="88" fillId="16" borderId="67" xfId="0" applyFont="1" applyFill="1" applyBorder="1" applyAlignment="1">
      <alignment horizontal="left" vertical="center"/>
    </xf>
    <xf numFmtId="0" fontId="88" fillId="16" borderId="69" xfId="0" applyFont="1" applyFill="1" applyBorder="1" applyAlignment="1">
      <alignment horizontal="left" vertical="center"/>
    </xf>
    <xf numFmtId="0" fontId="56" fillId="0" borderId="68" xfId="0" applyFont="1" applyBorder="1" applyAlignment="1">
      <alignment horizontal="left" vertical="center"/>
    </xf>
    <xf numFmtId="0" fontId="56" fillId="0" borderId="69" xfId="0" applyFont="1" applyBorder="1" applyAlignment="1">
      <alignment horizontal="left" vertical="center"/>
    </xf>
    <xf numFmtId="0" fontId="56" fillId="0" borderId="21" xfId="0" applyFont="1" applyBorder="1" applyAlignment="1">
      <alignment horizontal="left" vertical="center"/>
    </xf>
    <xf numFmtId="0" fontId="64" fillId="0" borderId="103" xfId="0" applyFont="1" applyBorder="1" applyAlignment="1">
      <alignment horizontal="center" wrapText="1"/>
    </xf>
    <xf numFmtId="0" fontId="64" fillId="0" borderId="104" xfId="0" applyFont="1" applyBorder="1" applyAlignment="1">
      <alignment horizontal="center" wrapText="1"/>
    </xf>
    <xf numFmtId="0" fontId="64" fillId="0" borderId="92" xfId="0" applyFont="1" applyBorder="1" applyAlignment="1">
      <alignment horizontal="center" wrapText="1"/>
    </xf>
    <xf numFmtId="0" fontId="64" fillId="0" borderId="0" xfId="0" applyFont="1" applyAlignment="1">
      <alignment horizontal="center" wrapText="1"/>
    </xf>
    <xf numFmtId="0" fontId="64" fillId="0" borderId="105" xfId="0" applyFont="1" applyBorder="1" applyAlignment="1">
      <alignment horizontal="center" wrapText="1"/>
    </xf>
    <xf numFmtId="0" fontId="64" fillId="0" borderId="106" xfId="0" applyFont="1" applyBorder="1" applyAlignment="1">
      <alignment horizontal="center" wrapText="1"/>
    </xf>
    <xf numFmtId="0" fontId="96" fillId="0" borderId="68" xfId="0" applyFont="1" applyBorder="1" applyAlignment="1">
      <alignment horizontal="left" vertical="center"/>
    </xf>
    <xf numFmtId="0" fontId="88" fillId="0" borderId="67" xfId="0" applyFont="1" applyBorder="1" applyAlignment="1">
      <alignment horizontal="left" vertical="center"/>
    </xf>
    <xf numFmtId="0" fontId="88" fillId="0" borderId="69" xfId="0" applyFont="1" applyBorder="1" applyAlignment="1">
      <alignment horizontal="left" vertical="center"/>
    </xf>
    <xf numFmtId="0" fontId="96" fillId="0" borderId="67" xfId="0" applyFont="1" applyBorder="1" applyAlignment="1">
      <alignment horizontal="left" vertical="center"/>
    </xf>
    <xf numFmtId="0" fontId="96" fillId="0" borderId="69" xfId="0" applyFont="1" applyBorder="1" applyAlignment="1">
      <alignment horizontal="left" vertical="center"/>
    </xf>
    <xf numFmtId="0" fontId="96" fillId="0" borderId="68" xfId="0" applyFont="1" applyBorder="1" applyAlignment="1">
      <alignment vertical="center"/>
    </xf>
    <xf numFmtId="0" fontId="96" fillId="0" borderId="67" xfId="0" applyFont="1" applyBorder="1" applyAlignment="1">
      <alignment vertical="center"/>
    </xf>
    <xf numFmtId="0" fontId="96" fillId="0" borderId="69" xfId="0" applyFont="1" applyBorder="1" applyAlignment="1">
      <alignment vertical="center"/>
    </xf>
    <xf numFmtId="0" fontId="89" fillId="16" borderId="21" xfId="0" applyFont="1" applyFill="1" applyBorder="1" applyAlignment="1">
      <alignment horizontal="center" vertical="center" textRotation="90"/>
    </xf>
    <xf numFmtId="0" fontId="95" fillId="0" borderId="21" xfId="0" applyFont="1" applyBorder="1" applyAlignment="1" applyProtection="1">
      <alignment horizontal="center" vertical="center"/>
      <protection locked="0"/>
    </xf>
    <xf numFmtId="0" fontId="89" fillId="16" borderId="108" xfId="0" applyFont="1" applyFill="1" applyBorder="1" applyAlignment="1">
      <alignment horizontal="center" vertical="center" wrapText="1"/>
    </xf>
    <xf numFmtId="0" fontId="89" fillId="16" borderId="63" xfId="0" applyFont="1" applyFill="1" applyBorder="1" applyAlignment="1">
      <alignment horizontal="center" vertical="center" wrapText="1"/>
    </xf>
    <xf numFmtId="0" fontId="88" fillId="19" borderId="68" xfId="0" applyFont="1" applyFill="1" applyBorder="1" applyAlignment="1">
      <alignment horizontal="center" vertical="center"/>
    </xf>
    <xf numFmtId="0" fontId="88" fillId="19" borderId="67" xfId="0" applyFont="1" applyFill="1" applyBorder="1" applyAlignment="1">
      <alignment horizontal="center" vertical="center"/>
    </xf>
    <xf numFmtId="0" fontId="89" fillId="18" borderId="68" xfId="0" applyFont="1" applyFill="1" applyBorder="1" applyAlignment="1">
      <alignment horizontal="center" vertical="center" wrapText="1"/>
    </xf>
    <xf numFmtId="0" fontId="89" fillId="18" borderId="67" xfId="0" applyFont="1" applyFill="1" applyBorder="1" applyAlignment="1">
      <alignment horizontal="center" vertical="center" wrapText="1"/>
    </xf>
    <xf numFmtId="0" fontId="89" fillId="18" borderId="69" xfId="0" applyFont="1" applyFill="1" applyBorder="1" applyAlignment="1">
      <alignment horizontal="center" vertical="center" wrapText="1"/>
    </xf>
    <xf numFmtId="0" fontId="89" fillId="19" borderId="68" xfId="0" applyFont="1" applyFill="1" applyBorder="1" applyAlignment="1">
      <alignment horizontal="center" vertical="center" wrapText="1"/>
    </xf>
    <xf numFmtId="0" fontId="89" fillId="19" borderId="67" xfId="0" applyFont="1" applyFill="1" applyBorder="1" applyAlignment="1">
      <alignment horizontal="center" vertical="center" wrapText="1"/>
    </xf>
    <xf numFmtId="0" fontId="89" fillId="19" borderId="69" xfId="0" applyFont="1" applyFill="1" applyBorder="1" applyAlignment="1">
      <alignment horizontal="center" vertical="center" wrapText="1"/>
    </xf>
    <xf numFmtId="0" fontId="89" fillId="16" borderId="64" xfId="0" applyFont="1" applyFill="1" applyBorder="1" applyAlignment="1">
      <alignment horizontal="center" vertical="center"/>
    </xf>
    <xf numFmtId="0" fontId="89" fillId="16" borderId="57" xfId="0" applyFont="1" applyFill="1" applyBorder="1" applyAlignment="1">
      <alignment horizontal="center" vertical="center"/>
    </xf>
    <xf numFmtId="9" fontId="67" fillId="0" borderId="110" xfId="0" applyNumberFormat="1" applyFont="1" applyBorder="1" applyAlignment="1" applyProtection="1">
      <alignment horizontal="center" vertical="center" wrapText="1"/>
      <protection locked="0"/>
    </xf>
    <xf numFmtId="9" fontId="67" fillId="0" borderId="22" xfId="0" applyNumberFormat="1" applyFont="1" applyBorder="1" applyAlignment="1" applyProtection="1">
      <alignment horizontal="center" vertical="center" wrapText="1"/>
      <protection locked="0"/>
    </xf>
    <xf numFmtId="0" fontId="67" fillId="0" borderId="110" xfId="0" applyFont="1" applyBorder="1" applyAlignment="1">
      <alignment horizontal="center" vertical="center" wrapText="1"/>
    </xf>
    <xf numFmtId="0" fontId="67" fillId="0" borderId="22" xfId="0" applyFont="1" applyBorder="1" applyAlignment="1">
      <alignment horizontal="center" vertical="center" wrapText="1"/>
    </xf>
    <xf numFmtId="0" fontId="67" fillId="0" borderId="110" xfId="0" applyFont="1" applyBorder="1" applyAlignment="1" applyProtection="1">
      <alignment horizontal="center" vertical="center"/>
      <protection locked="0"/>
    </xf>
    <xf numFmtId="0" fontId="67" fillId="0" borderId="22" xfId="0" applyFont="1" applyBorder="1" applyAlignment="1" applyProtection="1">
      <alignment horizontal="center" vertical="center"/>
      <protection locked="0"/>
    </xf>
    <xf numFmtId="0" fontId="67" fillId="0" borderId="21" xfId="0" applyFont="1" applyBorder="1" applyAlignment="1">
      <alignment horizontal="center" vertical="center" wrapText="1"/>
    </xf>
    <xf numFmtId="0" fontId="78" fillId="0" borderId="110" xfId="0" applyFont="1" applyBorder="1" applyAlignment="1" applyProtection="1">
      <alignment horizontal="center" vertical="center"/>
      <protection hidden="1"/>
    </xf>
    <xf numFmtId="0" fontId="78" fillId="0" borderId="22" xfId="0" applyFont="1" applyBorder="1" applyAlignment="1" applyProtection="1">
      <alignment horizontal="center" vertical="center"/>
      <protection hidden="1"/>
    </xf>
    <xf numFmtId="0" fontId="1" fillId="0" borderId="110"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78" fillId="13" borderId="110" xfId="0" applyFont="1" applyFill="1" applyBorder="1" applyAlignment="1" applyProtection="1">
      <alignment horizontal="center" vertical="top" textRotation="90" wrapText="1"/>
      <protection hidden="1"/>
    </xf>
    <xf numFmtId="0" fontId="78" fillId="13" borderId="22" xfId="0" applyFont="1" applyFill="1" applyBorder="1" applyAlignment="1" applyProtection="1">
      <alignment horizontal="center" vertical="top" textRotation="90" wrapText="1"/>
      <protection hidden="1"/>
    </xf>
    <xf numFmtId="0" fontId="78" fillId="0" borderId="110" xfId="0" applyFont="1" applyBorder="1" applyAlignment="1" applyProtection="1">
      <alignment horizontal="center" vertical="top" textRotation="90"/>
      <protection hidden="1"/>
    </xf>
    <xf numFmtId="0" fontId="78" fillId="0" borderId="22" xfId="0" applyFont="1" applyBorder="1" applyAlignment="1" applyProtection="1">
      <alignment horizontal="center" vertical="top" textRotation="90"/>
      <protection hidden="1"/>
    </xf>
    <xf numFmtId="0" fontId="78" fillId="0" borderId="110" xfId="0" applyFont="1" applyBorder="1" applyAlignment="1" applyProtection="1">
      <alignment horizontal="center" vertical="top" textRotation="90" wrapText="1"/>
      <protection hidden="1"/>
    </xf>
    <xf numFmtId="0" fontId="78" fillId="0" borderId="22" xfId="0" applyFont="1" applyBorder="1" applyAlignment="1" applyProtection="1">
      <alignment horizontal="center" vertical="top" textRotation="90" wrapText="1"/>
      <protection hidden="1"/>
    </xf>
    <xf numFmtId="9" fontId="67" fillId="0" borderId="110" xfId="0" applyNumberFormat="1" applyFont="1" applyBorder="1" applyAlignment="1" applyProtection="1">
      <alignment horizontal="center" vertical="top" wrapText="1"/>
      <protection hidden="1"/>
    </xf>
    <xf numFmtId="9" fontId="67" fillId="0" borderId="22" xfId="0" applyNumberFormat="1" applyFont="1" applyBorder="1" applyAlignment="1" applyProtection="1">
      <alignment horizontal="center" vertical="top" wrapText="1"/>
      <protection hidden="1"/>
    </xf>
    <xf numFmtId="0" fontId="0" fillId="5" borderId="0" xfId="0" applyFill="1" applyAlignment="1">
      <alignment horizontal="center"/>
    </xf>
    <xf numFmtId="0" fontId="78" fillId="20" borderId="99" xfId="0" applyFont="1" applyFill="1" applyBorder="1" applyAlignment="1">
      <alignment horizontal="center" vertical="center" wrapText="1"/>
    </xf>
    <xf numFmtId="0" fontId="78" fillId="20" borderId="109" xfId="0" applyFont="1" applyFill="1" applyBorder="1" applyAlignment="1">
      <alignment horizontal="center" vertical="center" wrapText="1"/>
    </xf>
    <xf numFmtId="0" fontId="78" fillId="20" borderId="25" xfId="0" applyFont="1" applyFill="1" applyBorder="1" applyAlignment="1">
      <alignment horizontal="center" vertical="center" wrapText="1"/>
    </xf>
    <xf numFmtId="0" fontId="78" fillId="20" borderId="21" xfId="0" applyFont="1" applyFill="1" applyBorder="1" applyAlignment="1">
      <alignment horizontal="center" vertical="center" wrapText="1"/>
    </xf>
    <xf numFmtId="0" fontId="56" fillId="0" borderId="12" xfId="0" applyFont="1" applyBorder="1" applyAlignment="1">
      <alignment horizontal="left" vertical="center"/>
    </xf>
    <xf numFmtId="0" fontId="56" fillId="0" borderId="0" xfId="0" applyFont="1" applyAlignment="1">
      <alignment horizontal="left" vertical="center"/>
    </xf>
    <xf numFmtId="0" fontId="56" fillId="0" borderId="11" xfId="0" applyFont="1" applyBorder="1" applyAlignment="1">
      <alignment horizontal="left" vertical="center"/>
    </xf>
    <xf numFmtId="0" fontId="56" fillId="0" borderId="5" xfId="0" applyFont="1" applyBorder="1" applyAlignment="1">
      <alignment horizontal="center" vertical="center"/>
    </xf>
    <xf numFmtId="0" fontId="56" fillId="0" borderId="12"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0" xfId="0" applyFont="1" applyAlignment="1">
      <alignment horizontal="center" vertical="center"/>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56" fillId="0" borderId="11" xfId="0" applyFont="1" applyBorder="1" applyAlignment="1">
      <alignment horizontal="center" vertical="center"/>
    </xf>
    <xf numFmtId="0" fontId="56" fillId="0" borderId="10" xfId="0" applyFont="1" applyBorder="1" applyAlignment="1">
      <alignment horizontal="center" vertical="center"/>
    </xf>
    <xf numFmtId="0" fontId="69" fillId="0" borderId="5" xfId="0" applyFont="1" applyBorder="1" applyAlignment="1">
      <alignment horizontal="center" wrapText="1"/>
    </xf>
    <xf numFmtId="0" fontId="69" fillId="0" borderId="12" xfId="0" applyFont="1" applyBorder="1" applyAlignment="1">
      <alignment horizontal="center" wrapText="1"/>
    </xf>
    <xf numFmtId="0" fontId="69" fillId="0" borderId="6" xfId="0" applyFont="1" applyBorder="1" applyAlignment="1">
      <alignment horizontal="center" wrapText="1"/>
    </xf>
    <xf numFmtId="0" fontId="69" fillId="0" borderId="7" xfId="0" applyFont="1" applyBorder="1" applyAlignment="1">
      <alignment horizontal="center" wrapText="1"/>
    </xf>
    <xf numFmtId="0" fontId="69" fillId="0" borderId="0" xfId="0" applyFont="1" applyAlignment="1">
      <alignment horizontal="center" wrapText="1"/>
    </xf>
    <xf numFmtId="0" fontId="69" fillId="0" borderId="8" xfId="0" applyFont="1" applyBorder="1" applyAlignment="1">
      <alignment horizontal="center" wrapText="1"/>
    </xf>
    <xf numFmtId="0" fontId="69" fillId="0" borderId="9" xfId="0" applyFont="1" applyBorder="1" applyAlignment="1">
      <alignment horizontal="center" wrapText="1"/>
    </xf>
    <xf numFmtId="0" fontId="69" fillId="0" borderId="11" xfId="0" applyFont="1" applyBorder="1" applyAlignment="1">
      <alignment horizontal="center" wrapText="1"/>
    </xf>
    <xf numFmtId="0" fontId="69" fillId="0" borderId="10" xfId="0" applyFont="1" applyBorder="1" applyAlignment="1">
      <alignment horizontal="center" wrapText="1"/>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7" fillId="25" borderId="0" xfId="0" applyFont="1" applyFill="1" applyAlignment="1">
      <alignment horizontal="center" vertical="center" wrapText="1" readingOrder="1"/>
    </xf>
    <xf numFmtId="0" fontId="19" fillId="11" borderId="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6" fillId="0" borderId="7" xfId="0" applyFont="1" applyBorder="1" applyAlignment="1">
      <alignment horizontal="center" vertical="center" wrapText="1"/>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6" xfId="0" applyFont="1" applyBorder="1" applyAlignment="1">
      <alignment horizontal="center" vertical="center"/>
    </xf>
    <xf numFmtId="0" fontId="19" fillId="11" borderId="8"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6" fillId="0" borderId="12" xfId="0" applyFont="1" applyBorder="1" applyAlignment="1">
      <alignment horizontal="center" vertical="center" wrapText="1"/>
    </xf>
    <xf numFmtId="0" fontId="19" fillId="11" borderId="9"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19" fillId="5" borderId="0" xfId="0" applyFont="1" applyFill="1" applyAlignment="1" applyProtection="1">
      <alignment horizontal="center" wrapText="1" readingOrder="1"/>
      <protection hidden="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17" fillId="10" borderId="0" xfId="0" applyFont="1" applyFill="1" applyAlignment="1">
      <alignment horizontal="center" vertical="center" wrapText="1" readingOrder="1"/>
    </xf>
    <xf numFmtId="0" fontId="41" fillId="0" borderId="0" xfId="0" applyFont="1" applyBorder="1" applyAlignment="1">
      <alignment horizontal="center" vertical="center"/>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64" fillId="0" borderId="71" xfId="0" applyFont="1" applyBorder="1" applyAlignment="1">
      <alignment horizontal="center" wrapText="1"/>
    </xf>
    <xf numFmtId="0" fontId="68" fillId="0" borderId="74" xfId="0" applyFont="1" applyBorder="1" applyAlignment="1">
      <alignment horizontal="center" wrapText="1"/>
    </xf>
    <xf numFmtId="0" fontId="68" fillId="0" borderId="77" xfId="0" applyFont="1" applyBorder="1" applyAlignment="1">
      <alignment horizontal="center" wrapText="1"/>
    </xf>
    <xf numFmtId="0" fontId="66" fillId="0" borderId="72" xfId="0" applyFont="1" applyBorder="1" applyAlignment="1">
      <alignment horizontal="center" vertical="center" wrapText="1"/>
    </xf>
    <xf numFmtId="0" fontId="66" fillId="0" borderId="73" xfId="0" applyFont="1" applyBorder="1" applyAlignment="1">
      <alignment horizontal="center" vertical="center" wrapText="1"/>
    </xf>
    <xf numFmtId="0" fontId="66" fillId="0" borderId="78" xfId="0" applyFont="1" applyBorder="1" applyAlignment="1">
      <alignment horizontal="center" vertical="center" wrapText="1"/>
    </xf>
    <xf numFmtId="0" fontId="66" fillId="0" borderId="79" xfId="0" applyFont="1" applyBorder="1" applyAlignment="1">
      <alignment horizontal="center" vertical="center" wrapText="1"/>
    </xf>
    <xf numFmtId="0" fontId="78" fillId="17" borderId="93" xfId="0" applyFont="1" applyFill="1" applyBorder="1" applyAlignment="1">
      <alignment horizontal="center" vertical="center" textRotation="90"/>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7" fillId="0" borderId="33" xfId="0" applyFont="1" applyBorder="1" applyAlignment="1">
      <alignment horizontal="left" vertical="center" wrapText="1"/>
    </xf>
    <xf numFmtId="0" fontId="67" fillId="0" borderId="34" xfId="0" applyFont="1" applyBorder="1" applyAlignment="1">
      <alignment horizontal="left" vertical="center" wrapText="1"/>
    </xf>
    <xf numFmtId="165" fontId="67" fillId="0" borderId="23" xfId="0" applyNumberFormat="1" applyFont="1" applyBorder="1" applyAlignment="1">
      <alignment horizontal="center" vertical="center"/>
    </xf>
    <xf numFmtId="165" fontId="67" fillId="0" borderId="35" xfId="0" applyNumberFormat="1" applyFont="1" applyBorder="1" applyAlignment="1">
      <alignment horizontal="center" vertical="center"/>
    </xf>
    <xf numFmtId="0" fontId="67" fillId="0" borderId="87" xfId="0" applyFont="1" applyBorder="1" applyAlignment="1">
      <alignment horizontal="center" vertical="center" wrapText="1"/>
    </xf>
    <xf numFmtId="0" fontId="67" fillId="0" borderId="33" xfId="0" applyFont="1" applyBorder="1" applyAlignment="1">
      <alignment horizontal="center" vertical="center" wrapText="1"/>
    </xf>
    <xf numFmtId="0" fontId="77" fillId="0" borderId="0" xfId="0" applyFont="1" applyAlignment="1">
      <alignment horizontal="left" wrapText="1"/>
    </xf>
    <xf numFmtId="0" fontId="75" fillId="0" borderId="7" xfId="0" applyFont="1" applyBorder="1" applyAlignment="1">
      <alignment horizontal="center" vertical="center" wrapText="1"/>
    </xf>
    <xf numFmtId="0" fontId="76" fillId="0" borderId="0" xfId="0" applyFont="1" applyAlignment="1">
      <alignment horizontal="center" vertical="center" wrapText="1"/>
    </xf>
    <xf numFmtId="0" fontId="75" fillId="0" borderId="0" xfId="0" applyFont="1" applyAlignment="1">
      <alignment horizontal="center" vertical="center" wrapText="1"/>
    </xf>
    <xf numFmtId="0" fontId="75" fillId="0" borderId="8" xfId="0" applyFont="1" applyBorder="1" applyAlignment="1">
      <alignment horizontal="center" vertical="center" wrapText="1"/>
    </xf>
    <xf numFmtId="0" fontId="67" fillId="0" borderId="9" xfId="0" applyFont="1" applyBorder="1" applyAlignment="1">
      <alignment horizontal="center" vertical="center" wrapText="1"/>
    </xf>
    <xf numFmtId="0" fontId="67" fillId="0" borderId="11" xfId="0" applyFont="1" applyBorder="1" applyAlignment="1">
      <alignment horizontal="center" vertical="center" wrapText="1"/>
    </xf>
    <xf numFmtId="0" fontId="67" fillId="0" borderId="10" xfId="0" applyFont="1" applyBorder="1" applyAlignment="1">
      <alignment horizontal="center" vertical="center" wrapText="1"/>
    </xf>
    <xf numFmtId="0" fontId="67" fillId="0" borderId="11" xfId="0" applyFont="1" applyBorder="1" applyAlignment="1">
      <alignment horizontal="center"/>
    </xf>
    <xf numFmtId="0" fontId="68" fillId="0" borderId="23"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35" xfId="0" applyFont="1" applyBorder="1" applyAlignment="1">
      <alignment horizontal="center" vertical="center" wrapText="1"/>
    </xf>
    <xf numFmtId="0" fontId="73" fillId="0" borderId="0" xfId="0" applyFont="1" applyAlignment="1">
      <alignment horizontal="center" vertical="center"/>
    </xf>
    <xf numFmtId="0" fontId="74" fillId="16" borderId="88" xfId="0" applyFont="1" applyFill="1" applyBorder="1" applyAlignment="1">
      <alignment horizontal="center" vertical="center" wrapText="1"/>
    </xf>
    <xf numFmtId="0" fontId="74" fillId="16" borderId="89" xfId="0" applyFont="1" applyFill="1" applyBorder="1" applyAlignment="1">
      <alignment horizontal="center" vertical="center" wrapText="1"/>
    </xf>
    <xf numFmtId="0" fontId="74" fillId="16" borderId="90" xfId="0" applyFont="1" applyFill="1" applyBorder="1" applyAlignment="1">
      <alignment horizontal="center" vertical="center" wrapText="1"/>
    </xf>
    <xf numFmtId="0" fontId="74" fillId="16" borderId="5" xfId="0" applyFont="1" applyFill="1" applyBorder="1" applyAlignment="1">
      <alignment horizontal="center" vertical="center" wrapText="1"/>
    </xf>
    <xf numFmtId="0" fontId="74" fillId="16" borderId="12" xfId="0" applyFont="1" applyFill="1" applyBorder="1" applyAlignment="1">
      <alignment horizontal="center" vertical="center" wrapText="1"/>
    </xf>
    <xf numFmtId="0" fontId="74" fillId="16" borderId="6" xfId="0" applyFont="1" applyFill="1" applyBorder="1" applyAlignment="1">
      <alignment horizontal="center" vertical="center" wrapText="1"/>
    </xf>
    <xf numFmtId="0" fontId="74" fillId="16" borderId="81" xfId="0" applyFont="1" applyFill="1" applyBorder="1" applyAlignment="1">
      <alignment horizontal="center" vertical="center" wrapText="1"/>
    </xf>
    <xf numFmtId="0" fontId="74" fillId="16" borderId="82" xfId="0" applyFont="1" applyFill="1" applyBorder="1" applyAlignment="1">
      <alignment horizontal="center" vertical="center" wrapText="1"/>
    </xf>
    <xf numFmtId="0" fontId="75" fillId="0" borderId="5" xfId="0" applyFont="1" applyBorder="1" applyAlignment="1">
      <alignment horizontal="center" vertical="center" wrapText="1"/>
    </xf>
    <xf numFmtId="0" fontId="75" fillId="0" borderId="12" xfId="0" applyFont="1" applyBorder="1" applyAlignment="1">
      <alignment horizontal="center" vertical="center" wrapText="1"/>
    </xf>
    <xf numFmtId="0" fontId="67" fillId="0" borderId="12" xfId="0" applyFont="1" applyBorder="1" applyAlignment="1">
      <alignment horizontal="center"/>
    </xf>
    <xf numFmtId="0" fontId="67" fillId="0" borderId="6" xfId="0" applyFont="1" applyBorder="1" applyAlignment="1">
      <alignment horizontal="center"/>
    </xf>
    <xf numFmtId="0" fontId="72" fillId="16" borderId="32" xfId="0" applyFont="1" applyFill="1" applyBorder="1" applyAlignment="1">
      <alignment horizontal="center" vertical="center" wrapText="1"/>
    </xf>
    <xf numFmtId="0" fontId="72" fillId="16" borderId="33" xfId="0" applyFont="1" applyFill="1" applyBorder="1" applyAlignment="1">
      <alignment horizontal="center" vertical="center" wrapText="1"/>
    </xf>
    <xf numFmtId="0" fontId="72" fillId="16" borderId="86" xfId="0" applyFont="1" applyFill="1" applyBorder="1" applyAlignment="1">
      <alignment horizontal="center" vertical="center" wrapText="1"/>
    </xf>
    <xf numFmtId="0" fontId="72" fillId="16" borderId="87" xfId="0" applyFont="1" applyFill="1" applyBorder="1" applyAlignment="1">
      <alignment horizontal="center" vertical="center" wrapText="1"/>
    </xf>
    <xf numFmtId="0" fontId="72" fillId="16" borderId="24" xfId="0" applyFont="1" applyFill="1" applyBorder="1" applyAlignment="1">
      <alignment horizontal="center" vertical="center" wrapText="1"/>
    </xf>
    <xf numFmtId="0" fontId="72" fillId="16" borderId="35" xfId="0" applyFont="1" applyFill="1" applyBorder="1" applyAlignment="1">
      <alignment horizontal="center" vertical="center" wrapText="1"/>
    </xf>
    <xf numFmtId="0" fontId="69" fillId="0" borderId="71" xfId="0" applyFont="1" applyBorder="1" applyAlignment="1">
      <alignment horizontal="center" wrapText="1"/>
    </xf>
    <xf numFmtId="0" fontId="71" fillId="0" borderId="5" xfId="0" applyFont="1" applyBorder="1" applyAlignment="1">
      <alignment horizontal="center" vertical="center" wrapText="1"/>
    </xf>
    <xf numFmtId="0" fontId="71" fillId="0" borderId="12" xfId="0" applyFont="1" applyBorder="1" applyAlignment="1">
      <alignment horizontal="center" vertical="center" wrapText="1"/>
    </xf>
    <xf numFmtId="0" fontId="71" fillId="0" borderId="7" xfId="0" applyFont="1" applyBorder="1" applyAlignment="1">
      <alignment horizontal="center" vertical="center" wrapText="1"/>
    </xf>
    <xf numFmtId="0" fontId="71" fillId="0" borderId="0" xfId="0" applyFont="1" applyAlignment="1">
      <alignment horizontal="center" vertical="center" wrapText="1"/>
    </xf>
    <xf numFmtId="0" fontId="71" fillId="0" borderId="9" xfId="0" applyFont="1" applyBorder="1" applyAlignment="1">
      <alignment horizontal="center" vertical="center" wrapText="1"/>
    </xf>
    <xf numFmtId="0" fontId="71" fillId="0" borderId="11"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101" fillId="19" borderId="68" xfId="0" applyFont="1" applyFill="1" applyBorder="1" applyAlignment="1">
      <alignment horizontal="center" vertical="center" wrapText="1"/>
    </xf>
    <xf numFmtId="0" fontId="101" fillId="19" borderId="69" xfId="0" applyFont="1" applyFill="1" applyBorder="1" applyAlignment="1">
      <alignment horizontal="center" vertical="center" wrapText="1"/>
    </xf>
    <xf numFmtId="0" fontId="89" fillId="16" borderId="110" xfId="0" applyFont="1" applyFill="1" applyBorder="1" applyAlignment="1">
      <alignment horizontal="center" vertical="center" textRotation="90"/>
    </xf>
    <xf numFmtId="0" fontId="89" fillId="16" borderId="111" xfId="0" applyFont="1" applyFill="1" applyBorder="1" applyAlignment="1">
      <alignment horizontal="center" vertical="center" textRotation="90"/>
    </xf>
    <xf numFmtId="0" fontId="89" fillId="16" borderId="22" xfId="0" applyFont="1" applyFill="1" applyBorder="1" applyAlignment="1">
      <alignment horizontal="center" vertical="center" textRotation="90"/>
    </xf>
    <xf numFmtId="0" fontId="67" fillId="0" borderId="21" xfId="0" applyFont="1" applyBorder="1" applyAlignment="1" applyProtection="1">
      <alignment horizontal="center" vertical="top"/>
      <protection locked="0"/>
    </xf>
    <xf numFmtId="0" fontId="78" fillId="0" borderId="0" xfId="0" applyFont="1" applyAlignment="1">
      <alignment horizontal="center"/>
    </xf>
    <xf numFmtId="0" fontId="78" fillId="0" borderId="76" xfId="0" applyFont="1" applyBorder="1" applyAlignment="1">
      <alignment horizontal="center"/>
    </xf>
    <xf numFmtId="0" fontId="67" fillId="0" borderId="0" xfId="0" applyFont="1" applyAlignment="1">
      <alignment horizontal="center"/>
    </xf>
    <xf numFmtId="0" fontId="67" fillId="0" borderId="76" xfId="0" applyFont="1" applyBorder="1" applyAlignment="1">
      <alignment horizontal="center"/>
    </xf>
    <xf numFmtId="0" fontId="63" fillId="0" borderId="0" xfId="0" applyFont="1" applyAlignment="1">
      <alignment horizontal="center"/>
    </xf>
    <xf numFmtId="9" fontId="1" fillId="0" borderId="21" xfId="1" applyFont="1" applyBorder="1" applyAlignment="1">
      <alignment horizontal="center" vertical="center" wrapText="1"/>
    </xf>
    <xf numFmtId="0" fontId="67" fillId="0" borderId="0" xfId="0" applyFont="1" applyAlignment="1">
      <alignment horizontal="center" vertical="center" wrapText="1"/>
    </xf>
    <xf numFmtId="0" fontId="98" fillId="0" borderId="21" xfId="0" applyFont="1" applyBorder="1" applyAlignment="1" applyProtection="1">
      <alignment vertical="center" wrapText="1"/>
      <protection locked="0"/>
    </xf>
    <xf numFmtId="164" fontId="1" fillId="0" borderId="21" xfId="1" applyNumberFormat="1" applyFont="1" applyBorder="1" applyAlignment="1">
      <alignment horizontal="center" vertical="center"/>
    </xf>
    <xf numFmtId="0" fontId="78" fillId="0" borderId="21" xfId="0" applyFont="1" applyBorder="1" applyAlignment="1" applyProtection="1">
      <alignment horizontal="center" vertical="center" textRotation="90" wrapText="1"/>
      <protection hidden="1"/>
    </xf>
    <xf numFmtId="0" fontId="67" fillId="3" borderId="0" xfId="0" applyFont="1" applyFill="1" applyAlignment="1">
      <alignment horizontal="center" vertical="center" wrapText="1"/>
    </xf>
    <xf numFmtId="0" fontId="100" fillId="0" borderId="21" xfId="0" applyFont="1" applyBorder="1" applyAlignment="1">
      <alignment horizontal="left" vertical="center" wrapText="1"/>
    </xf>
    <xf numFmtId="0" fontId="0" fillId="0" borderId="112" xfId="0" applyBorder="1" applyAlignment="1">
      <alignment horizontal="left" wrapText="1"/>
    </xf>
    <xf numFmtId="0" fontId="0" fillId="0" borderId="112" xfId="0" applyBorder="1" applyAlignment="1">
      <alignment horizontal="left"/>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71">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439510</xdr:colOff>
      <xdr:row>1</xdr:row>
      <xdr:rowOff>49516</xdr:rowOff>
    </xdr:from>
    <xdr:to>
      <xdr:col>6</xdr:col>
      <xdr:colOff>431345</xdr:colOff>
      <xdr:row>3</xdr:row>
      <xdr:rowOff>343711</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3960" y="240016"/>
          <a:ext cx="925285" cy="1018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6</xdr:row>
      <xdr:rowOff>92103</xdr:rowOff>
    </xdr:from>
    <xdr:to>
      <xdr:col>2</xdr:col>
      <xdr:colOff>229961</xdr:colOff>
      <xdr:row>9</xdr:row>
      <xdr:rowOff>285751</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4300" y="1901853"/>
          <a:ext cx="1220561" cy="12223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460375</xdr:colOff>
      <xdr:row>2</xdr:row>
      <xdr:rowOff>174625</xdr:rowOff>
    </xdr:from>
    <xdr:to>
      <xdr:col>2</xdr:col>
      <xdr:colOff>41275</xdr:colOff>
      <xdr:row>7</xdr:row>
      <xdr:rowOff>88900</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375" y="571500"/>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2</xdr:row>
      <xdr:rowOff>95250</xdr:rowOff>
    </xdr:from>
    <xdr:to>
      <xdr:col>1</xdr:col>
      <xdr:colOff>422275</xdr:colOff>
      <xdr:row>7</xdr:row>
      <xdr:rowOff>34925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49212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apaderiesgocalidad24%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MapadeRiesgosaAutoevalu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70" dataDxfId="69">
  <autoFilter ref="B209:C219" xr:uid="{00000000-0009-0000-0100-000001000000}"/>
  <tableColumns count="2">
    <tableColumn id="1" xr3:uid="{00000000-0010-0000-0000-000001000000}" name="Criterios" dataDxfId="68"/>
    <tableColumn id="2" xr3:uid="{00000000-0010-0000-0000-000002000000}" name="Subcriterios" dataDxfId="6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topLeftCell="B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46" t="s">
        <v>265</v>
      </c>
      <c r="C2" s="247"/>
      <c r="D2" s="237" t="s">
        <v>203</v>
      </c>
      <c r="E2" s="238"/>
      <c r="F2" s="238"/>
      <c r="G2" s="238"/>
      <c r="H2" s="238"/>
      <c r="I2" s="238"/>
      <c r="J2" s="238"/>
      <c r="K2" s="238"/>
      <c r="L2" s="239"/>
      <c r="M2" s="252" t="s">
        <v>387</v>
      </c>
      <c r="N2" s="253"/>
    </row>
    <row r="3" spans="2:14" ht="29.25" customHeight="1" x14ac:dyDescent="0.25">
      <c r="B3" s="248"/>
      <c r="C3" s="249"/>
      <c r="D3" s="240"/>
      <c r="E3" s="241"/>
      <c r="F3" s="241"/>
      <c r="G3" s="241"/>
      <c r="H3" s="241"/>
      <c r="I3" s="241"/>
      <c r="J3" s="241"/>
      <c r="K3" s="241"/>
      <c r="L3" s="242"/>
      <c r="M3" s="254" t="s">
        <v>262</v>
      </c>
      <c r="N3" s="255"/>
    </row>
    <row r="4" spans="2:14" ht="29.25" customHeight="1" x14ac:dyDescent="0.25">
      <c r="B4" s="248"/>
      <c r="C4" s="249"/>
      <c r="D4" s="240"/>
      <c r="E4" s="241"/>
      <c r="F4" s="241"/>
      <c r="G4" s="241"/>
      <c r="H4" s="241"/>
      <c r="I4" s="241"/>
      <c r="J4" s="241"/>
      <c r="K4" s="241"/>
      <c r="L4" s="242"/>
      <c r="M4" s="254" t="s">
        <v>386</v>
      </c>
      <c r="N4" s="255"/>
    </row>
    <row r="5" spans="2:14" ht="29.25" customHeight="1" thickBot="1" x14ac:dyDescent="0.3">
      <c r="B5" s="250"/>
      <c r="C5" s="251"/>
      <c r="D5" s="243"/>
      <c r="E5" s="244"/>
      <c r="F5" s="244"/>
      <c r="G5" s="244"/>
      <c r="H5" s="244"/>
      <c r="I5" s="244"/>
      <c r="J5" s="244"/>
      <c r="K5" s="244"/>
      <c r="L5" s="245"/>
      <c r="M5" s="256" t="s">
        <v>243</v>
      </c>
      <c r="N5" s="257"/>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36" t="s">
        <v>307</v>
      </c>
      <c r="E31" s="236"/>
      <c r="N31" s="138"/>
    </row>
    <row r="32" spans="2:14" x14ac:dyDescent="0.25">
      <c r="B32" s="137"/>
      <c r="D32" s="236"/>
      <c r="E32" s="236"/>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65" t="s">
        <v>161</v>
      </c>
      <c r="C2" s="566"/>
      <c r="D2" s="566"/>
      <c r="E2" s="566"/>
      <c r="F2" s="566"/>
      <c r="G2" s="566"/>
      <c r="H2" s="567"/>
      <c r="J2" s="151" t="s">
        <v>272</v>
      </c>
    </row>
    <row r="3" spans="2:10" ht="20.25" x14ac:dyDescent="0.25">
      <c r="B3" s="70"/>
      <c r="C3" s="71"/>
      <c r="D3" s="71"/>
      <c r="E3" s="71"/>
      <c r="F3" s="71"/>
      <c r="G3" s="71"/>
      <c r="H3" s="72"/>
      <c r="J3" s="151"/>
    </row>
    <row r="4" spans="2:10" ht="63" customHeight="1" x14ac:dyDescent="0.25">
      <c r="B4" s="568" t="s">
        <v>303</v>
      </c>
      <c r="C4" s="569"/>
      <c r="D4" s="569"/>
      <c r="E4" s="569"/>
      <c r="F4" s="569"/>
      <c r="G4" s="569"/>
      <c r="H4" s="570"/>
    </row>
    <row r="5" spans="2:10" ht="63" customHeight="1" x14ac:dyDescent="0.25">
      <c r="B5" s="571"/>
      <c r="C5" s="572"/>
      <c r="D5" s="572"/>
      <c r="E5" s="572"/>
      <c r="F5" s="572"/>
      <c r="G5" s="572"/>
      <c r="H5" s="573"/>
    </row>
    <row r="6" spans="2:10" ht="16.5" x14ac:dyDescent="0.25">
      <c r="B6" s="574" t="s">
        <v>159</v>
      </c>
      <c r="C6" s="575"/>
      <c r="D6" s="575"/>
      <c r="E6" s="575"/>
      <c r="F6" s="575"/>
      <c r="G6" s="575"/>
      <c r="H6" s="576"/>
    </row>
    <row r="7" spans="2:10" ht="95.25" customHeight="1" x14ac:dyDescent="0.25">
      <c r="B7" s="584" t="s">
        <v>164</v>
      </c>
      <c r="C7" s="585"/>
      <c r="D7" s="585"/>
      <c r="E7" s="585"/>
      <c r="F7" s="585"/>
      <c r="G7" s="585"/>
      <c r="H7" s="586"/>
    </row>
    <row r="8" spans="2:10" ht="16.5" x14ac:dyDescent="0.25">
      <c r="B8" s="106"/>
      <c r="C8" s="107"/>
      <c r="D8" s="107"/>
      <c r="E8" s="107"/>
      <c r="F8" s="107"/>
      <c r="G8" s="107"/>
      <c r="H8" s="108"/>
    </row>
    <row r="9" spans="2:10" ht="16.5" customHeight="1" x14ac:dyDescent="0.25">
      <c r="B9" s="577" t="s">
        <v>291</v>
      </c>
      <c r="C9" s="578"/>
      <c r="D9" s="578"/>
      <c r="E9" s="578"/>
      <c r="F9" s="578"/>
      <c r="G9" s="578"/>
      <c r="H9" s="579"/>
    </row>
    <row r="10" spans="2:10" ht="44.25" customHeight="1" x14ac:dyDescent="0.25">
      <c r="B10" s="577"/>
      <c r="C10" s="578"/>
      <c r="D10" s="578"/>
      <c r="E10" s="578"/>
      <c r="F10" s="578"/>
      <c r="G10" s="578"/>
      <c r="H10" s="579"/>
    </row>
    <row r="11" spans="2:10" ht="15.75" thickBot="1" x14ac:dyDescent="0.3">
      <c r="B11" s="95"/>
      <c r="C11" s="98"/>
      <c r="D11" s="103"/>
      <c r="E11" s="104"/>
      <c r="F11" s="104"/>
      <c r="G11" s="105"/>
      <c r="H11" s="99"/>
    </row>
    <row r="12" spans="2:10" ht="15.75" thickTop="1" x14ac:dyDescent="0.25">
      <c r="B12" s="95"/>
      <c r="C12" s="580" t="s">
        <v>160</v>
      </c>
      <c r="D12" s="581"/>
      <c r="E12" s="582" t="s">
        <v>197</v>
      </c>
      <c r="F12" s="583"/>
      <c r="G12" s="98"/>
      <c r="H12" s="99"/>
    </row>
    <row r="13" spans="2:10" ht="35.25" customHeight="1" x14ac:dyDescent="0.25">
      <c r="B13" s="95"/>
      <c r="C13" s="552" t="s">
        <v>191</v>
      </c>
      <c r="D13" s="553"/>
      <c r="E13" s="554" t="s">
        <v>196</v>
      </c>
      <c r="F13" s="555"/>
      <c r="G13" s="98"/>
      <c r="H13" s="99"/>
    </row>
    <row r="14" spans="2:10" ht="17.25" customHeight="1" x14ac:dyDescent="0.25">
      <c r="B14" s="95"/>
      <c r="C14" s="552" t="s">
        <v>192</v>
      </c>
      <c r="D14" s="553"/>
      <c r="E14" s="554" t="s">
        <v>194</v>
      </c>
      <c r="F14" s="555"/>
      <c r="G14" s="98"/>
      <c r="H14" s="99"/>
    </row>
    <row r="15" spans="2:10" ht="19.5" customHeight="1" x14ac:dyDescent="0.25">
      <c r="B15" s="95"/>
      <c r="C15" s="552" t="s">
        <v>193</v>
      </c>
      <c r="D15" s="553"/>
      <c r="E15" s="554" t="s">
        <v>195</v>
      </c>
      <c r="F15" s="555"/>
      <c r="G15" s="98"/>
      <c r="H15" s="99"/>
    </row>
    <row r="16" spans="2:10" ht="69.75" customHeight="1" x14ac:dyDescent="0.25">
      <c r="B16" s="95"/>
      <c r="C16" s="552" t="s">
        <v>162</v>
      </c>
      <c r="D16" s="553"/>
      <c r="E16" s="554" t="s">
        <v>163</v>
      </c>
      <c r="F16" s="555"/>
      <c r="G16" s="98"/>
      <c r="H16" s="99"/>
    </row>
    <row r="17" spans="2:8" ht="34.5" customHeight="1" x14ac:dyDescent="0.25">
      <c r="B17" s="95"/>
      <c r="C17" s="556" t="s">
        <v>2</v>
      </c>
      <c r="D17" s="557"/>
      <c r="E17" s="548" t="s">
        <v>198</v>
      </c>
      <c r="F17" s="549"/>
      <c r="G17" s="98"/>
      <c r="H17" s="99"/>
    </row>
    <row r="18" spans="2:8" ht="27.75" customHeight="1" x14ac:dyDescent="0.25">
      <c r="B18" s="95"/>
      <c r="C18" s="556" t="s">
        <v>3</v>
      </c>
      <c r="D18" s="557"/>
      <c r="E18" s="548" t="s">
        <v>199</v>
      </c>
      <c r="F18" s="549"/>
      <c r="G18" s="98"/>
      <c r="H18" s="99"/>
    </row>
    <row r="19" spans="2:8" ht="28.5" customHeight="1" x14ac:dyDescent="0.25">
      <c r="B19" s="95"/>
      <c r="C19" s="556" t="s">
        <v>40</v>
      </c>
      <c r="D19" s="557"/>
      <c r="E19" s="548" t="s">
        <v>200</v>
      </c>
      <c r="F19" s="549"/>
      <c r="G19" s="98"/>
      <c r="H19" s="99"/>
    </row>
    <row r="20" spans="2:8" ht="72.75" customHeight="1" x14ac:dyDescent="0.25">
      <c r="B20" s="95"/>
      <c r="C20" s="556" t="s">
        <v>1</v>
      </c>
      <c r="D20" s="557"/>
      <c r="E20" s="548" t="s">
        <v>201</v>
      </c>
      <c r="F20" s="549"/>
      <c r="G20" s="98"/>
      <c r="H20" s="99"/>
    </row>
    <row r="21" spans="2:8" ht="64.5" customHeight="1" x14ac:dyDescent="0.25">
      <c r="B21" s="95"/>
      <c r="C21" s="556" t="s">
        <v>48</v>
      </c>
      <c r="D21" s="557"/>
      <c r="E21" s="548" t="s">
        <v>166</v>
      </c>
      <c r="F21" s="549"/>
      <c r="G21" s="98"/>
      <c r="H21" s="99"/>
    </row>
    <row r="22" spans="2:8" ht="71.25" customHeight="1" x14ac:dyDescent="0.25">
      <c r="B22" s="95"/>
      <c r="C22" s="556" t="s">
        <v>165</v>
      </c>
      <c r="D22" s="557"/>
      <c r="E22" s="548" t="s">
        <v>167</v>
      </c>
      <c r="F22" s="549"/>
      <c r="G22" s="98"/>
      <c r="H22" s="99"/>
    </row>
    <row r="23" spans="2:8" ht="55.5" customHeight="1" x14ac:dyDescent="0.25">
      <c r="B23" s="95"/>
      <c r="C23" s="550" t="s">
        <v>168</v>
      </c>
      <c r="D23" s="551"/>
      <c r="E23" s="548" t="s">
        <v>169</v>
      </c>
      <c r="F23" s="549"/>
      <c r="G23" s="98"/>
      <c r="H23" s="99"/>
    </row>
    <row r="24" spans="2:8" ht="42" customHeight="1" x14ac:dyDescent="0.25">
      <c r="B24" s="95"/>
      <c r="C24" s="550" t="s">
        <v>46</v>
      </c>
      <c r="D24" s="551"/>
      <c r="E24" s="548" t="s">
        <v>170</v>
      </c>
      <c r="F24" s="549"/>
      <c r="G24" s="98"/>
      <c r="H24" s="99"/>
    </row>
    <row r="25" spans="2:8" ht="59.25" customHeight="1" x14ac:dyDescent="0.25">
      <c r="B25" s="95"/>
      <c r="C25" s="550" t="s">
        <v>158</v>
      </c>
      <c r="D25" s="551"/>
      <c r="E25" s="548" t="s">
        <v>171</v>
      </c>
      <c r="F25" s="549"/>
      <c r="G25" s="98"/>
      <c r="H25" s="99"/>
    </row>
    <row r="26" spans="2:8" ht="23.25" customHeight="1" x14ac:dyDescent="0.25">
      <c r="B26" s="95"/>
      <c r="C26" s="550" t="s">
        <v>11</v>
      </c>
      <c r="D26" s="551"/>
      <c r="E26" s="548" t="s">
        <v>172</v>
      </c>
      <c r="F26" s="549"/>
      <c r="G26" s="98"/>
      <c r="H26" s="99"/>
    </row>
    <row r="27" spans="2:8" ht="30.75" customHeight="1" x14ac:dyDescent="0.25">
      <c r="B27" s="95"/>
      <c r="C27" s="550" t="s">
        <v>176</v>
      </c>
      <c r="D27" s="551"/>
      <c r="E27" s="548" t="s">
        <v>173</v>
      </c>
      <c r="F27" s="549"/>
      <c r="G27" s="98"/>
      <c r="H27" s="99"/>
    </row>
    <row r="28" spans="2:8" ht="35.25" customHeight="1" x14ac:dyDescent="0.25">
      <c r="B28" s="95"/>
      <c r="C28" s="550" t="s">
        <v>177</v>
      </c>
      <c r="D28" s="551"/>
      <c r="E28" s="548" t="s">
        <v>174</v>
      </c>
      <c r="F28" s="549"/>
      <c r="G28" s="98"/>
      <c r="H28" s="99"/>
    </row>
    <row r="29" spans="2:8" ht="33" customHeight="1" x14ac:dyDescent="0.25">
      <c r="B29" s="95"/>
      <c r="C29" s="550" t="s">
        <v>177</v>
      </c>
      <c r="D29" s="551"/>
      <c r="E29" s="548" t="s">
        <v>174</v>
      </c>
      <c r="F29" s="549"/>
      <c r="G29" s="98"/>
      <c r="H29" s="99"/>
    </row>
    <row r="30" spans="2:8" ht="30" customHeight="1" x14ac:dyDescent="0.25">
      <c r="B30" s="95"/>
      <c r="C30" s="550" t="s">
        <v>178</v>
      </c>
      <c r="D30" s="551"/>
      <c r="E30" s="548" t="s">
        <v>175</v>
      </c>
      <c r="F30" s="549"/>
      <c r="G30" s="98"/>
      <c r="H30" s="99"/>
    </row>
    <row r="31" spans="2:8" ht="35.25" customHeight="1" x14ac:dyDescent="0.25">
      <c r="B31" s="95"/>
      <c r="C31" s="550" t="s">
        <v>179</v>
      </c>
      <c r="D31" s="551"/>
      <c r="E31" s="548" t="s">
        <v>180</v>
      </c>
      <c r="F31" s="549"/>
      <c r="G31" s="98"/>
      <c r="H31" s="99"/>
    </row>
    <row r="32" spans="2:8" ht="31.5" customHeight="1" x14ac:dyDescent="0.25">
      <c r="B32" s="95"/>
      <c r="C32" s="550" t="s">
        <v>181</v>
      </c>
      <c r="D32" s="551"/>
      <c r="E32" s="548" t="s">
        <v>182</v>
      </c>
      <c r="F32" s="549"/>
      <c r="G32" s="98"/>
      <c r="H32" s="99"/>
    </row>
    <row r="33" spans="2:8" ht="35.25" customHeight="1" x14ac:dyDescent="0.25">
      <c r="B33" s="95"/>
      <c r="C33" s="550" t="s">
        <v>183</v>
      </c>
      <c r="D33" s="551"/>
      <c r="E33" s="548" t="s">
        <v>184</v>
      </c>
      <c r="F33" s="549"/>
      <c r="G33" s="98"/>
      <c r="H33" s="99"/>
    </row>
    <row r="34" spans="2:8" ht="59.25" customHeight="1" x14ac:dyDescent="0.25">
      <c r="B34" s="95"/>
      <c r="C34" s="550" t="s">
        <v>185</v>
      </c>
      <c r="D34" s="551"/>
      <c r="E34" s="548" t="s">
        <v>186</v>
      </c>
      <c r="F34" s="549"/>
      <c r="G34" s="98"/>
      <c r="H34" s="99"/>
    </row>
    <row r="35" spans="2:8" ht="29.25" customHeight="1" x14ac:dyDescent="0.25">
      <c r="B35" s="95"/>
      <c r="C35" s="550" t="s">
        <v>28</v>
      </c>
      <c r="D35" s="551"/>
      <c r="E35" s="548" t="s">
        <v>187</v>
      </c>
      <c r="F35" s="549"/>
      <c r="G35" s="98"/>
      <c r="H35" s="99"/>
    </row>
    <row r="36" spans="2:8" ht="82.5" customHeight="1" x14ac:dyDescent="0.25">
      <c r="B36" s="95"/>
      <c r="C36" s="550" t="s">
        <v>189</v>
      </c>
      <c r="D36" s="551"/>
      <c r="E36" s="548" t="s">
        <v>188</v>
      </c>
      <c r="F36" s="549"/>
      <c r="G36" s="98"/>
      <c r="H36" s="99"/>
    </row>
    <row r="37" spans="2:8" ht="46.5" customHeight="1" x14ac:dyDescent="0.25">
      <c r="B37" s="95"/>
      <c r="C37" s="550" t="s">
        <v>37</v>
      </c>
      <c r="D37" s="551"/>
      <c r="E37" s="548" t="s">
        <v>190</v>
      </c>
      <c r="F37" s="549"/>
      <c r="G37" s="98"/>
      <c r="H37" s="99"/>
    </row>
    <row r="38" spans="2:8" ht="6.75" customHeight="1" thickBot="1" x14ac:dyDescent="0.3">
      <c r="B38" s="95"/>
      <c r="C38" s="561"/>
      <c r="D38" s="562"/>
      <c r="E38" s="563"/>
      <c r="F38" s="564"/>
      <c r="G38" s="98"/>
      <c r="H38" s="99"/>
    </row>
    <row r="39" spans="2:8" ht="15.75" thickTop="1" x14ac:dyDescent="0.25">
      <c r="B39" s="95"/>
      <c r="C39" s="96"/>
      <c r="D39" s="96"/>
      <c r="E39" s="97"/>
      <c r="F39" s="97"/>
      <c r="G39" s="98"/>
      <c r="H39" s="99"/>
    </row>
    <row r="40" spans="2:8" ht="21" customHeight="1" x14ac:dyDescent="0.25">
      <c r="B40" s="558" t="s">
        <v>292</v>
      </c>
      <c r="C40" s="559"/>
      <c r="D40" s="559"/>
      <c r="E40" s="559"/>
      <c r="F40" s="559"/>
      <c r="G40" s="559"/>
      <c r="H40" s="560"/>
    </row>
    <row r="41" spans="2:8" ht="20.25" customHeight="1" x14ac:dyDescent="0.25">
      <c r="B41" s="558" t="s">
        <v>293</v>
      </c>
      <c r="C41" s="559"/>
      <c r="D41" s="559"/>
      <c r="E41" s="559"/>
      <c r="F41" s="559"/>
      <c r="G41" s="559"/>
      <c r="H41" s="560"/>
    </row>
    <row r="42" spans="2:8" ht="20.25" customHeight="1" x14ac:dyDescent="0.25">
      <c r="B42" s="558" t="s">
        <v>294</v>
      </c>
      <c r="C42" s="559"/>
      <c r="D42" s="559"/>
      <c r="E42" s="559"/>
      <c r="F42" s="559"/>
      <c r="G42" s="559"/>
      <c r="H42" s="560"/>
    </row>
    <row r="43" spans="2:8" ht="20.25" customHeight="1" x14ac:dyDescent="0.25">
      <c r="B43" s="558" t="s">
        <v>295</v>
      </c>
      <c r="C43" s="559"/>
      <c r="D43" s="559"/>
      <c r="E43" s="559"/>
      <c r="F43" s="559"/>
      <c r="G43" s="559"/>
      <c r="H43" s="560"/>
    </row>
    <row r="44" spans="2:8" ht="15" customHeight="1" x14ac:dyDescent="0.25">
      <c r="B44" s="558" t="s">
        <v>296</v>
      </c>
      <c r="C44" s="559"/>
      <c r="D44" s="559"/>
      <c r="E44" s="559"/>
      <c r="F44" s="559"/>
      <c r="G44" s="559"/>
      <c r="H44" s="560"/>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213</v>
      </c>
      <c r="B1" t="s">
        <v>222</v>
      </c>
      <c r="C1" t="s">
        <v>228</v>
      </c>
      <c r="D1" t="s">
        <v>237</v>
      </c>
    </row>
    <row r="2" spans="1:4" x14ac:dyDescent="0.25">
      <c r="A2" t="s">
        <v>221</v>
      </c>
      <c r="B2" t="s">
        <v>223</v>
      </c>
      <c r="C2" t="s">
        <v>229</v>
      </c>
      <c r="D2" t="s">
        <v>234</v>
      </c>
    </row>
    <row r="3" spans="1:4" x14ac:dyDescent="0.25">
      <c r="A3" t="s">
        <v>214</v>
      </c>
      <c r="B3" t="s">
        <v>216</v>
      </c>
      <c r="C3" t="s">
        <v>230</v>
      </c>
      <c r="D3" t="s">
        <v>235</v>
      </c>
    </row>
    <row r="4" spans="1:4" x14ac:dyDescent="0.25">
      <c r="A4" t="s">
        <v>215</v>
      </c>
      <c r="B4" t="s">
        <v>224</v>
      </c>
      <c r="C4" t="s">
        <v>231</v>
      </c>
      <c r="D4" t="s">
        <v>236</v>
      </c>
    </row>
    <row r="5" spans="1:4" x14ac:dyDescent="0.25">
      <c r="A5" t="s">
        <v>216</v>
      </c>
      <c r="B5" t="s">
        <v>225</v>
      </c>
      <c r="C5" t="s">
        <v>232</v>
      </c>
      <c r="D5" t="s">
        <v>233</v>
      </c>
    </row>
    <row r="6" spans="1:4" x14ac:dyDescent="0.25">
      <c r="A6" t="s">
        <v>217</v>
      </c>
      <c r="B6" t="s">
        <v>226</v>
      </c>
      <c r="C6" t="s">
        <v>233</v>
      </c>
    </row>
    <row r="7" spans="1:4" x14ac:dyDescent="0.25">
      <c r="A7" t="s">
        <v>218</v>
      </c>
      <c r="B7" t="s">
        <v>227</v>
      </c>
    </row>
    <row r="8" spans="1:4" x14ac:dyDescent="0.25">
      <c r="A8" t="s">
        <v>219</v>
      </c>
    </row>
    <row r="9" spans="1:4" x14ac:dyDescent="0.25">
      <c r="A9" t="s">
        <v>220</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624" t="s">
        <v>249</v>
      </c>
      <c r="C2" s="625" t="s">
        <v>203</v>
      </c>
      <c r="D2" s="626"/>
      <c r="E2" s="626"/>
      <c r="F2" s="626"/>
      <c r="G2" s="626"/>
      <c r="H2" s="626"/>
      <c r="I2" s="626"/>
      <c r="J2" s="280" t="s">
        <v>248</v>
      </c>
      <c r="K2" s="253"/>
    </row>
    <row r="3" spans="2:11" ht="15" customHeight="1" x14ac:dyDescent="0.25">
      <c r="B3" s="541"/>
      <c r="C3" s="627"/>
      <c r="D3" s="628"/>
      <c r="E3" s="628"/>
      <c r="F3" s="628"/>
      <c r="G3" s="628"/>
      <c r="H3" s="628"/>
      <c r="I3" s="628"/>
      <c r="J3" s="281" t="s">
        <v>262</v>
      </c>
      <c r="K3" s="255"/>
    </row>
    <row r="4" spans="2:11" ht="15" customHeight="1" x14ac:dyDescent="0.25">
      <c r="B4" s="541"/>
      <c r="C4" s="627"/>
      <c r="D4" s="628"/>
      <c r="E4" s="628"/>
      <c r="F4" s="628"/>
      <c r="G4" s="628"/>
      <c r="H4" s="628"/>
      <c r="I4" s="628"/>
      <c r="J4" s="281" t="s">
        <v>261</v>
      </c>
      <c r="K4" s="255" t="s">
        <v>261</v>
      </c>
    </row>
    <row r="5" spans="2:11" ht="15" customHeight="1" thickBot="1" x14ac:dyDescent="0.3">
      <c r="B5" s="542"/>
      <c r="C5" s="629"/>
      <c r="D5" s="630"/>
      <c r="E5" s="630"/>
      <c r="F5" s="630"/>
      <c r="G5" s="630"/>
      <c r="H5" s="630"/>
      <c r="I5" s="630"/>
      <c r="J5" s="282" t="s">
        <v>243</v>
      </c>
      <c r="K5" s="257" t="s">
        <v>243</v>
      </c>
    </row>
    <row r="6" spans="2:11" ht="15.75" thickBot="1" x14ac:dyDescent="0.3"/>
    <row r="7" spans="2:11" customFormat="1" ht="15.75" thickBot="1" x14ac:dyDescent="0.3">
      <c r="B7" s="618" t="s">
        <v>244</v>
      </c>
      <c r="C7" s="619"/>
      <c r="D7" s="620" t="s">
        <v>250</v>
      </c>
      <c r="E7" s="621"/>
      <c r="F7" s="620" t="s">
        <v>251</v>
      </c>
      <c r="G7" s="622"/>
      <c r="H7" s="622"/>
      <c r="I7" s="622"/>
      <c r="J7" s="622"/>
      <c r="K7" s="623"/>
    </row>
    <row r="8" spans="2:11" customFormat="1" ht="18" customHeight="1" thickBot="1" x14ac:dyDescent="0.3">
      <c r="B8" s="589"/>
      <c r="C8" s="590"/>
      <c r="D8" s="591">
        <v>1</v>
      </c>
      <c r="E8" s="592"/>
      <c r="F8" s="587"/>
      <c r="G8" s="587"/>
      <c r="H8" s="587"/>
      <c r="I8" s="587"/>
      <c r="J8" s="587"/>
      <c r="K8" s="588"/>
    </row>
    <row r="9" spans="2:11" customFormat="1" ht="18" customHeight="1" thickBot="1" x14ac:dyDescent="0.3">
      <c r="B9" s="589"/>
      <c r="C9" s="590"/>
      <c r="D9" s="591">
        <v>2</v>
      </c>
      <c r="E9" s="592"/>
      <c r="F9" s="587"/>
      <c r="G9" s="587"/>
      <c r="H9" s="587"/>
      <c r="I9" s="587"/>
      <c r="J9" s="587"/>
      <c r="K9" s="588"/>
    </row>
    <row r="10" spans="2:11" customFormat="1" ht="18" customHeight="1" thickBot="1" x14ac:dyDescent="0.3">
      <c r="B10" s="589"/>
      <c r="C10" s="590"/>
      <c r="D10" s="591">
        <v>3</v>
      </c>
      <c r="E10" s="592"/>
      <c r="F10" s="587"/>
      <c r="G10" s="587"/>
      <c r="H10" s="587"/>
      <c r="I10" s="587"/>
      <c r="J10" s="587"/>
      <c r="K10" s="588"/>
    </row>
    <row r="11" spans="2:11" customFormat="1" ht="18" customHeight="1" thickBot="1" x14ac:dyDescent="0.3">
      <c r="B11" s="589"/>
      <c r="C11" s="590"/>
      <c r="D11" s="591">
        <v>4</v>
      </c>
      <c r="E11" s="592"/>
      <c r="F11" s="587"/>
      <c r="G11" s="587"/>
      <c r="H11" s="587"/>
      <c r="I11" s="587"/>
      <c r="J11" s="587"/>
      <c r="K11" s="588"/>
    </row>
    <row r="12" spans="2:11" customFormat="1" ht="18" customHeight="1" thickBot="1" x14ac:dyDescent="0.3">
      <c r="B12" s="589"/>
      <c r="C12" s="590"/>
      <c r="D12" s="591">
        <v>5</v>
      </c>
      <c r="E12" s="592"/>
      <c r="F12" s="587"/>
      <c r="G12" s="587"/>
      <c r="H12" s="587"/>
      <c r="I12" s="587"/>
      <c r="J12" s="587"/>
      <c r="K12" s="588"/>
    </row>
    <row r="13" spans="2:11" customFormat="1" ht="18" customHeight="1" thickBot="1" x14ac:dyDescent="0.3">
      <c r="B13" s="589"/>
      <c r="C13" s="590"/>
      <c r="D13" s="591">
        <v>6</v>
      </c>
      <c r="E13" s="592"/>
      <c r="F13" s="587"/>
      <c r="G13" s="587"/>
      <c r="H13" s="587"/>
      <c r="I13" s="587"/>
      <c r="J13" s="587"/>
      <c r="K13" s="588"/>
    </row>
    <row r="14" spans="2:11" customFormat="1" ht="18" customHeight="1" thickBot="1" x14ac:dyDescent="0.3">
      <c r="B14" s="589"/>
      <c r="C14" s="590"/>
      <c r="D14" s="591">
        <v>7</v>
      </c>
      <c r="E14" s="592"/>
      <c r="F14" s="587"/>
      <c r="G14" s="587"/>
      <c r="H14" s="587"/>
      <c r="I14" s="587"/>
      <c r="J14" s="587"/>
      <c r="K14" s="588"/>
    </row>
    <row r="15" spans="2:11" customFormat="1" ht="18" customHeight="1" thickBot="1" x14ac:dyDescent="0.3">
      <c r="B15" s="589">
        <v>45352</v>
      </c>
      <c r="C15" s="590"/>
      <c r="D15" s="591">
        <v>8</v>
      </c>
      <c r="E15" s="592"/>
      <c r="F15" s="587" t="s">
        <v>263</v>
      </c>
      <c r="G15" s="587"/>
      <c r="H15" s="587"/>
      <c r="I15" s="587"/>
      <c r="J15" s="587"/>
      <c r="K15" s="588"/>
    </row>
    <row r="16" spans="2:11" customFormat="1" ht="15.75" customHeight="1" thickBot="1" x14ac:dyDescent="0.3">
      <c r="B16" s="605"/>
      <c r="C16" s="605"/>
      <c r="D16" s="605"/>
      <c r="E16" s="605"/>
      <c r="F16" s="605"/>
      <c r="G16" s="605"/>
      <c r="H16" s="605"/>
      <c r="I16" s="605"/>
      <c r="J16" s="605"/>
      <c r="K16" s="605"/>
    </row>
    <row r="17" spans="2:12" customFormat="1" ht="15.75" customHeight="1" thickBot="1" x14ac:dyDescent="0.3">
      <c r="B17" s="606" t="s">
        <v>252</v>
      </c>
      <c r="C17" s="607"/>
      <c r="D17" s="607"/>
      <c r="E17" s="608"/>
      <c r="F17" s="609" t="s">
        <v>253</v>
      </c>
      <c r="G17" s="610"/>
      <c r="H17" s="611"/>
      <c r="I17" s="612" t="s">
        <v>254</v>
      </c>
      <c r="J17" s="613"/>
      <c r="K17" s="608"/>
    </row>
    <row r="18" spans="2:12" customFormat="1" ht="27" customHeight="1" x14ac:dyDescent="0.25">
      <c r="B18" s="614"/>
      <c r="C18" s="615"/>
      <c r="D18" s="615"/>
      <c r="E18" s="615"/>
      <c r="F18" s="615"/>
      <c r="G18" s="615"/>
      <c r="H18" s="615"/>
      <c r="I18" s="616"/>
      <c r="J18" s="616"/>
      <c r="K18" s="617"/>
    </row>
    <row r="19" spans="2:12" customFormat="1" ht="15" customHeight="1" x14ac:dyDescent="0.25">
      <c r="B19" s="594" t="s">
        <v>255</v>
      </c>
      <c r="C19" s="595"/>
      <c r="D19" s="595"/>
      <c r="E19" s="595"/>
      <c r="F19" s="596" t="s">
        <v>256</v>
      </c>
      <c r="G19" s="596"/>
      <c r="H19" s="597"/>
      <c r="I19" s="596" t="s">
        <v>256</v>
      </c>
      <c r="J19" s="596"/>
      <c r="K19" s="597"/>
    </row>
    <row r="20" spans="2:12" customFormat="1" ht="22.5" customHeight="1" thickBot="1" x14ac:dyDescent="0.3">
      <c r="B20" s="598" t="s">
        <v>257</v>
      </c>
      <c r="C20" s="599"/>
      <c r="D20" s="599"/>
      <c r="E20" s="599"/>
      <c r="F20" s="599" t="s">
        <v>258</v>
      </c>
      <c r="G20" s="599"/>
      <c r="H20" s="600"/>
      <c r="I20" s="599" t="s">
        <v>258</v>
      </c>
      <c r="J20" s="599"/>
      <c r="K20" s="600"/>
    </row>
    <row r="21" spans="2:12" customFormat="1" ht="9" customHeight="1" thickBot="1" x14ac:dyDescent="0.3">
      <c r="B21" s="601"/>
      <c r="C21" s="601"/>
      <c r="D21" s="601"/>
      <c r="E21" s="601"/>
      <c r="F21" s="601"/>
      <c r="G21" s="601"/>
      <c r="H21" s="601"/>
      <c r="I21" s="601"/>
      <c r="J21" s="601"/>
      <c r="K21" s="601"/>
    </row>
    <row r="22" spans="2:12" customFormat="1" ht="15.75" thickBot="1" x14ac:dyDescent="0.3">
      <c r="B22" s="602" t="s">
        <v>205</v>
      </c>
      <c r="C22" s="603"/>
      <c r="D22" s="604"/>
      <c r="E22" s="131" t="s">
        <v>206</v>
      </c>
      <c r="F22" s="602" t="s">
        <v>207</v>
      </c>
      <c r="G22" s="604"/>
      <c r="H22" s="132" t="s">
        <v>208</v>
      </c>
      <c r="I22" s="602" t="s">
        <v>209</v>
      </c>
      <c r="J22" s="604"/>
      <c r="K22" s="133">
        <v>1</v>
      </c>
    </row>
    <row r="23" spans="2:12" ht="8.25" customHeight="1" x14ac:dyDescent="0.25"/>
    <row r="24" spans="2:12" x14ac:dyDescent="0.25">
      <c r="B24" s="593" t="s">
        <v>259</v>
      </c>
      <c r="C24" s="593"/>
      <c r="D24" s="593"/>
      <c r="E24" s="593"/>
      <c r="F24" s="593"/>
      <c r="G24" s="593"/>
      <c r="H24" s="593"/>
      <c r="I24" s="593"/>
      <c r="J24" s="593"/>
      <c r="K24" s="593"/>
      <c r="L24" s="593"/>
    </row>
    <row r="25" spans="2:12" x14ac:dyDescent="0.25">
      <c r="B25" s="593" t="s">
        <v>260</v>
      </c>
      <c r="C25" s="593"/>
      <c r="D25" s="593"/>
      <c r="E25" s="593"/>
      <c r="F25" s="593"/>
      <c r="G25" s="593"/>
      <c r="H25" s="593"/>
      <c r="I25" s="593"/>
      <c r="J25" s="593"/>
      <c r="K25" s="593"/>
      <c r="L25" s="593"/>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31" t="s">
        <v>53</v>
      </c>
      <c r="C1" s="631"/>
      <c r="D1" s="631"/>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50</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49</v>
      </c>
      <c r="C4" s="6" t="s">
        <v>100</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51</v>
      </c>
      <c r="C5" s="9" t="s">
        <v>101</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105</v>
      </c>
      <c r="C6" s="9" t="s">
        <v>102</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103</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52</v>
      </c>
      <c r="C8" s="9" t="s">
        <v>104</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32" t="s">
        <v>61</v>
      </c>
      <c r="C1" s="632"/>
      <c r="D1" s="632"/>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54</v>
      </c>
      <c r="D3" s="22" t="s">
        <v>55</v>
      </c>
      <c r="E3" s="69"/>
      <c r="F3" s="69"/>
      <c r="G3" s="69"/>
      <c r="H3" s="69"/>
      <c r="I3" s="69"/>
      <c r="J3" s="69"/>
      <c r="K3" s="69"/>
      <c r="L3" s="69"/>
      <c r="M3" s="69"/>
      <c r="N3" s="69"/>
      <c r="O3" s="69"/>
      <c r="P3" s="69"/>
      <c r="Q3" s="69"/>
      <c r="R3" s="69"/>
      <c r="S3" s="69"/>
      <c r="T3" s="69"/>
      <c r="U3" s="69"/>
    </row>
    <row r="4" spans="1:21" ht="33.75" x14ac:dyDescent="0.25">
      <c r="A4" s="89" t="s">
        <v>81</v>
      </c>
      <c r="B4" s="25" t="s">
        <v>99</v>
      </c>
      <c r="C4" s="30" t="s">
        <v>153</v>
      </c>
      <c r="D4" s="23" t="s">
        <v>95</v>
      </c>
      <c r="E4" s="69"/>
      <c r="F4" s="69"/>
      <c r="G4" s="69"/>
      <c r="H4" s="69"/>
      <c r="I4" s="69"/>
      <c r="J4" s="69"/>
      <c r="K4" s="69"/>
      <c r="L4" s="69"/>
      <c r="M4" s="69"/>
      <c r="N4" s="69"/>
      <c r="O4" s="69"/>
      <c r="P4" s="69"/>
      <c r="Q4" s="69"/>
      <c r="R4" s="69"/>
      <c r="S4" s="69"/>
      <c r="T4" s="69"/>
      <c r="U4" s="69"/>
    </row>
    <row r="5" spans="1:21" ht="67.5" x14ac:dyDescent="0.25">
      <c r="A5" s="89" t="s">
        <v>82</v>
      </c>
      <c r="B5" s="26" t="s">
        <v>57</v>
      </c>
      <c r="C5" s="31" t="s">
        <v>91</v>
      </c>
      <c r="D5" s="24" t="s">
        <v>96</v>
      </c>
      <c r="E5" s="69"/>
      <c r="F5" s="69"/>
      <c r="G5" s="69"/>
      <c r="H5" s="69"/>
      <c r="I5" s="69"/>
      <c r="J5" s="69"/>
      <c r="K5" s="69"/>
      <c r="L5" s="69"/>
      <c r="M5" s="69"/>
      <c r="N5" s="69"/>
      <c r="O5" s="69"/>
      <c r="P5" s="69"/>
      <c r="Q5" s="69"/>
      <c r="R5" s="69"/>
      <c r="S5" s="69"/>
      <c r="T5" s="69"/>
      <c r="U5" s="69"/>
    </row>
    <row r="6" spans="1:21" ht="67.5" x14ac:dyDescent="0.25">
      <c r="A6" s="89" t="s">
        <v>79</v>
      </c>
      <c r="B6" s="27" t="s">
        <v>58</v>
      </c>
      <c r="C6" s="31" t="s">
        <v>92</v>
      </c>
      <c r="D6" s="24" t="s">
        <v>98</v>
      </c>
      <c r="E6" s="69"/>
      <c r="F6" s="69"/>
      <c r="G6" s="69"/>
      <c r="H6" s="69"/>
      <c r="I6" s="69"/>
      <c r="J6" s="69"/>
      <c r="K6" s="69"/>
      <c r="L6" s="69"/>
      <c r="M6" s="69"/>
      <c r="N6" s="69"/>
      <c r="O6" s="69"/>
      <c r="P6" s="69"/>
      <c r="Q6" s="69"/>
      <c r="R6" s="69"/>
      <c r="S6" s="69"/>
      <c r="T6" s="69"/>
      <c r="U6" s="69"/>
    </row>
    <row r="7" spans="1:21" ht="101.25" x14ac:dyDescent="0.25">
      <c r="A7" s="89" t="s">
        <v>7</v>
      </c>
      <c r="B7" s="28" t="s">
        <v>59</v>
      </c>
      <c r="C7" s="31" t="s">
        <v>93</v>
      </c>
      <c r="D7" s="24" t="s">
        <v>202</v>
      </c>
      <c r="E7" s="69"/>
      <c r="F7" s="69"/>
      <c r="G7" s="69"/>
      <c r="H7" s="69"/>
      <c r="I7" s="69"/>
      <c r="J7" s="69"/>
      <c r="K7" s="69"/>
      <c r="L7" s="69"/>
      <c r="M7" s="69"/>
      <c r="N7" s="69"/>
      <c r="O7" s="69"/>
      <c r="P7" s="69"/>
      <c r="Q7" s="69"/>
      <c r="R7" s="69"/>
      <c r="S7" s="69"/>
      <c r="T7" s="69"/>
      <c r="U7" s="69"/>
    </row>
    <row r="8" spans="1:21" ht="67.5" x14ac:dyDescent="0.25">
      <c r="A8" s="89" t="s">
        <v>83</v>
      </c>
      <c r="B8" s="29" t="s">
        <v>60</v>
      </c>
      <c r="C8" s="31" t="s">
        <v>94</v>
      </c>
      <c r="D8" s="24" t="s">
        <v>116</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89</v>
      </c>
      <c r="C11" s="89" t="s">
        <v>141</v>
      </c>
      <c r="D11" s="89" t="s">
        <v>148</v>
      </c>
      <c r="E11" s="69"/>
      <c r="F11" s="69"/>
      <c r="G11" s="69"/>
      <c r="H11" s="69"/>
      <c r="I11" s="69"/>
      <c r="J11" s="69"/>
      <c r="K11" s="69"/>
      <c r="L11" s="69"/>
      <c r="M11" s="69"/>
      <c r="N11" s="69"/>
      <c r="O11" s="69"/>
      <c r="P11" s="69"/>
      <c r="Q11" s="69"/>
      <c r="R11" s="69"/>
      <c r="S11" s="69"/>
      <c r="T11" s="69"/>
      <c r="U11" s="69"/>
    </row>
    <row r="12" spans="1:21" x14ac:dyDescent="0.25">
      <c r="A12" s="89"/>
      <c r="B12" s="89" t="s">
        <v>87</v>
      </c>
      <c r="C12" s="89" t="s">
        <v>145</v>
      </c>
      <c r="D12" s="89" t="s">
        <v>149</v>
      </c>
      <c r="E12" s="69"/>
      <c r="F12" s="69"/>
      <c r="G12" s="69"/>
      <c r="H12" s="69"/>
      <c r="I12" s="69"/>
      <c r="J12" s="69"/>
      <c r="K12" s="69"/>
      <c r="L12" s="69"/>
      <c r="M12" s="69"/>
      <c r="N12" s="69"/>
      <c r="O12" s="69"/>
      <c r="P12" s="69"/>
      <c r="Q12" s="69"/>
      <c r="R12" s="69"/>
      <c r="S12" s="69"/>
      <c r="T12" s="69"/>
      <c r="U12" s="69"/>
    </row>
    <row r="13" spans="1:21" x14ac:dyDescent="0.25">
      <c r="A13" s="89"/>
      <c r="B13" s="89"/>
      <c r="C13" s="89" t="s">
        <v>144</v>
      </c>
      <c r="D13" s="89" t="s">
        <v>150</v>
      </c>
      <c r="E13" s="69"/>
      <c r="F13" s="69"/>
      <c r="G13" s="69"/>
      <c r="H13" s="69"/>
      <c r="I13" s="69"/>
      <c r="J13" s="69"/>
      <c r="K13" s="69"/>
      <c r="L13" s="69"/>
      <c r="M13" s="69"/>
      <c r="N13" s="69"/>
      <c r="O13" s="69"/>
      <c r="P13" s="69"/>
      <c r="Q13" s="69"/>
      <c r="R13" s="69"/>
      <c r="S13" s="69"/>
      <c r="T13" s="69"/>
      <c r="U13" s="69"/>
    </row>
    <row r="14" spans="1:21" x14ac:dyDescent="0.25">
      <c r="A14" s="89"/>
      <c r="B14" s="89"/>
      <c r="C14" s="89" t="s">
        <v>146</v>
      </c>
      <c r="D14" s="89" t="s">
        <v>151</v>
      </c>
      <c r="E14" s="69"/>
      <c r="F14" s="69"/>
      <c r="G14" s="69"/>
      <c r="H14" s="69"/>
      <c r="I14" s="69"/>
      <c r="J14" s="69"/>
      <c r="K14" s="69"/>
      <c r="L14" s="69"/>
      <c r="M14" s="69"/>
      <c r="N14" s="69"/>
      <c r="O14" s="69"/>
      <c r="P14" s="69"/>
      <c r="Q14" s="69"/>
      <c r="R14" s="69"/>
      <c r="S14" s="69"/>
      <c r="T14" s="69"/>
      <c r="U14" s="69"/>
    </row>
    <row r="15" spans="1:21" x14ac:dyDescent="0.25">
      <c r="A15" s="89"/>
      <c r="B15" s="89"/>
      <c r="C15" s="89" t="s">
        <v>147</v>
      </c>
      <c r="D15" s="89" t="s">
        <v>152</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86</v>
      </c>
      <c r="C209" s="16" t="s">
        <v>140</v>
      </c>
      <c r="D209" s="19" t="s">
        <v>86</v>
      </c>
      <c r="E209" s="19" t="s">
        <v>140</v>
      </c>
    </row>
    <row r="210" spans="1:8" ht="21" x14ac:dyDescent="0.35">
      <c r="A210" s="69"/>
      <c r="B210" s="17" t="s">
        <v>88</v>
      </c>
      <c r="C210" s="17" t="s">
        <v>56</v>
      </c>
      <c r="D210" t="s">
        <v>88</v>
      </c>
      <c r="F210" t="str">
        <f>IF(NOT(ISBLANK(D210)),D210,IF(NOT(ISBLANK(E210)),"     "&amp;E210,FALSE))</f>
        <v>Afectación Económica o presupuestal</v>
      </c>
      <c r="G210" t="s">
        <v>88</v>
      </c>
      <c r="H210" t="str">
        <f ca="1">IF(NOT(ISERROR(MATCH(G210,_xlfn.ANCHORARRAY(B221),0))),F223&amp;"Por favor no seleccionar los criterios de impacto",G210)</f>
        <v>Afectación Económica o presupuestal</v>
      </c>
    </row>
    <row r="211" spans="1:8" ht="21" x14ac:dyDescent="0.35">
      <c r="A211" s="69"/>
      <c r="B211" s="17" t="s">
        <v>88</v>
      </c>
      <c r="C211" s="17" t="s">
        <v>91</v>
      </c>
      <c r="E211" t="s">
        <v>56</v>
      </c>
      <c r="F211" t="str">
        <f t="shared" ref="F211:F221" si="0">IF(NOT(ISBLANK(D211)),D211,IF(NOT(ISBLANK(E211)),"     "&amp;E211,FALSE))</f>
        <v xml:space="preserve">     Afectación menor a 10 SMLMV .</v>
      </c>
    </row>
    <row r="212" spans="1:8" ht="21" x14ac:dyDescent="0.35">
      <c r="A212" s="69"/>
      <c r="B212" s="17" t="s">
        <v>88</v>
      </c>
      <c r="C212" s="17" t="s">
        <v>92</v>
      </c>
      <c r="E212" t="s">
        <v>91</v>
      </c>
      <c r="F212" t="str">
        <f t="shared" si="0"/>
        <v xml:space="preserve">     Entre 10 y 50 SMLMV </v>
      </c>
    </row>
    <row r="213" spans="1:8" ht="21" x14ac:dyDescent="0.35">
      <c r="A213" s="69"/>
      <c r="B213" s="17" t="s">
        <v>88</v>
      </c>
      <c r="C213" s="17" t="s">
        <v>93</v>
      </c>
      <c r="E213" t="s">
        <v>92</v>
      </c>
      <c r="F213" t="str">
        <f t="shared" si="0"/>
        <v xml:space="preserve">     Entre 50 y 100 SMLMV </v>
      </c>
    </row>
    <row r="214" spans="1:8" ht="21" x14ac:dyDescent="0.35">
      <c r="A214" s="69"/>
      <c r="B214" s="17" t="s">
        <v>88</v>
      </c>
      <c r="C214" s="17" t="s">
        <v>94</v>
      </c>
      <c r="E214" t="s">
        <v>93</v>
      </c>
      <c r="F214" t="str">
        <f t="shared" si="0"/>
        <v xml:space="preserve">     Entre 100 y 500 SMLMV </v>
      </c>
    </row>
    <row r="215" spans="1:8" ht="21" x14ac:dyDescent="0.35">
      <c r="A215" s="69"/>
      <c r="B215" s="17" t="s">
        <v>55</v>
      </c>
      <c r="C215" s="17" t="s">
        <v>95</v>
      </c>
      <c r="E215" t="s">
        <v>94</v>
      </c>
      <c r="F215" t="str">
        <f t="shared" si="0"/>
        <v xml:space="preserve">     Mayor a 500 SMLMV </v>
      </c>
    </row>
    <row r="216" spans="1:8" ht="21" x14ac:dyDescent="0.35">
      <c r="A216" s="69"/>
      <c r="B216" s="17" t="s">
        <v>55</v>
      </c>
      <c r="C216" s="17" t="s">
        <v>96</v>
      </c>
      <c r="D216" t="s">
        <v>55</v>
      </c>
      <c r="F216" t="str">
        <f t="shared" si="0"/>
        <v>Pérdida Reputacional</v>
      </c>
    </row>
    <row r="217" spans="1:8" ht="21" x14ac:dyDescent="0.35">
      <c r="A217" s="69"/>
      <c r="B217" s="17" t="s">
        <v>55</v>
      </c>
      <c r="C217" s="17" t="s">
        <v>98</v>
      </c>
      <c r="E217" t="s">
        <v>95</v>
      </c>
      <c r="F217" t="str">
        <f t="shared" si="0"/>
        <v xml:space="preserve">     El riesgo afecta la imagen de alguna área de la organización</v>
      </c>
    </row>
    <row r="218" spans="1:8" ht="21" x14ac:dyDescent="0.35">
      <c r="A218" s="69"/>
      <c r="B218" s="17" t="s">
        <v>55</v>
      </c>
      <c r="C218" s="17" t="s">
        <v>97</v>
      </c>
      <c r="E218" t="s">
        <v>96</v>
      </c>
      <c r="F218" t="str">
        <f t="shared" si="0"/>
        <v xml:space="preserve">     El riesgo afecta la imagen de la entidad internamente, de conocimiento general, nivel interno, de junta dircetiva y accionistas y/o de provedores</v>
      </c>
    </row>
    <row r="219" spans="1:8" ht="21" x14ac:dyDescent="0.35">
      <c r="A219" s="69"/>
      <c r="B219" s="17" t="s">
        <v>55</v>
      </c>
      <c r="C219" s="17" t="s">
        <v>116</v>
      </c>
      <c r="E219" t="s">
        <v>98</v>
      </c>
      <c r="F219" t="str">
        <f t="shared" si="0"/>
        <v xml:space="preserve">     El riesgo afecta la imagen de la entidad con algunos usuarios de relevancia frente al logro de los objetivos</v>
      </c>
    </row>
    <row r="220" spans="1:8" x14ac:dyDescent="0.25">
      <c r="A220" s="69"/>
      <c r="B220" s="18"/>
      <c r="C220" s="18"/>
      <c r="E220" t="s">
        <v>97</v>
      </c>
      <c r="F220" t="str">
        <f t="shared" si="0"/>
        <v xml:space="preserve">     El riesgo afecta la imagen de de la entidad con efecto publicitario sostenido a nivel de sector administrativo, nivel departamental o municipal</v>
      </c>
    </row>
    <row r="221" spans="1:8" x14ac:dyDescent="0.25">
      <c r="A221" s="69"/>
      <c r="B221" s="18" t="e">
        <f t="array" aca="1" ref="B221:B223" ca="1">_xlfn.UNIQUE(Tabla1[[#All],[Criterios]])</f>
        <v>#NAME?</v>
      </c>
      <c r="C221" s="18"/>
      <c r="E221" t="s">
        <v>116</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142</v>
      </c>
    </row>
    <row r="224" spans="1:8" x14ac:dyDescent="0.25">
      <c r="B224" s="14"/>
      <c r="C224" s="14"/>
      <c r="F224" s="21" t="s">
        <v>143</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33" t="s">
        <v>76</v>
      </c>
      <c r="C1" s="634"/>
      <c r="D1" s="634"/>
      <c r="E1" s="634"/>
      <c r="F1" s="635"/>
    </row>
    <row r="2" spans="2:6" ht="16.5" thickBot="1" x14ac:dyDescent="0.3">
      <c r="B2" s="75"/>
      <c r="C2" s="75"/>
      <c r="D2" s="75"/>
      <c r="E2" s="75"/>
      <c r="F2" s="75"/>
    </row>
    <row r="3" spans="2:6" ht="16.5" thickBot="1" x14ac:dyDescent="0.25">
      <c r="B3" s="637" t="s">
        <v>62</v>
      </c>
      <c r="C3" s="638"/>
      <c r="D3" s="638"/>
      <c r="E3" s="87" t="s">
        <v>63</v>
      </c>
      <c r="F3" s="88" t="s">
        <v>64</v>
      </c>
    </row>
    <row r="4" spans="2:6" ht="31.5" x14ac:dyDescent="0.2">
      <c r="B4" s="639" t="s">
        <v>65</v>
      </c>
      <c r="C4" s="641" t="s">
        <v>12</v>
      </c>
      <c r="D4" s="76" t="s">
        <v>13</v>
      </c>
      <c r="E4" s="77" t="s">
        <v>66</v>
      </c>
      <c r="F4" s="78">
        <v>0.25</v>
      </c>
    </row>
    <row r="5" spans="2:6" ht="47.25" x14ac:dyDescent="0.2">
      <c r="B5" s="640"/>
      <c r="C5" s="642"/>
      <c r="D5" s="79" t="s">
        <v>14</v>
      </c>
      <c r="E5" s="80" t="s">
        <v>67</v>
      </c>
      <c r="F5" s="81">
        <v>0.15</v>
      </c>
    </row>
    <row r="6" spans="2:6" ht="47.25" x14ac:dyDescent="0.2">
      <c r="B6" s="640"/>
      <c r="C6" s="642"/>
      <c r="D6" s="79" t="s">
        <v>15</v>
      </c>
      <c r="E6" s="80" t="s">
        <v>68</v>
      </c>
      <c r="F6" s="81">
        <v>0.1</v>
      </c>
    </row>
    <row r="7" spans="2:6" ht="63" x14ac:dyDescent="0.2">
      <c r="B7" s="640"/>
      <c r="C7" s="642" t="s">
        <v>16</v>
      </c>
      <c r="D7" s="79" t="s">
        <v>9</v>
      </c>
      <c r="E7" s="80" t="s">
        <v>69</v>
      </c>
      <c r="F7" s="81">
        <v>0.25</v>
      </c>
    </row>
    <row r="8" spans="2:6" ht="31.5" x14ac:dyDescent="0.2">
      <c r="B8" s="640"/>
      <c r="C8" s="642"/>
      <c r="D8" s="79" t="s">
        <v>8</v>
      </c>
      <c r="E8" s="80" t="s">
        <v>70</v>
      </c>
      <c r="F8" s="81">
        <v>0.15</v>
      </c>
    </row>
    <row r="9" spans="2:6" ht="47.25" x14ac:dyDescent="0.2">
      <c r="B9" s="640" t="s">
        <v>157</v>
      </c>
      <c r="C9" s="642" t="s">
        <v>17</v>
      </c>
      <c r="D9" s="79" t="s">
        <v>18</v>
      </c>
      <c r="E9" s="80" t="s">
        <v>71</v>
      </c>
      <c r="F9" s="82" t="s">
        <v>72</v>
      </c>
    </row>
    <row r="10" spans="2:6" ht="63" x14ac:dyDescent="0.2">
      <c r="B10" s="640"/>
      <c r="C10" s="642"/>
      <c r="D10" s="79" t="s">
        <v>19</v>
      </c>
      <c r="E10" s="80" t="s">
        <v>73</v>
      </c>
      <c r="F10" s="82" t="s">
        <v>72</v>
      </c>
    </row>
    <row r="11" spans="2:6" ht="47.25" x14ac:dyDescent="0.2">
      <c r="B11" s="640"/>
      <c r="C11" s="642" t="s">
        <v>20</v>
      </c>
      <c r="D11" s="79" t="s">
        <v>21</v>
      </c>
      <c r="E11" s="80" t="s">
        <v>74</v>
      </c>
      <c r="F11" s="82" t="s">
        <v>72</v>
      </c>
    </row>
    <row r="12" spans="2:6" ht="47.25" x14ac:dyDescent="0.2">
      <c r="B12" s="640"/>
      <c r="C12" s="642"/>
      <c r="D12" s="79" t="s">
        <v>22</v>
      </c>
      <c r="E12" s="80" t="s">
        <v>75</v>
      </c>
      <c r="F12" s="82" t="s">
        <v>72</v>
      </c>
    </row>
    <row r="13" spans="2:6" ht="31.5" x14ac:dyDescent="0.2">
      <c r="B13" s="640"/>
      <c r="C13" s="642" t="s">
        <v>23</v>
      </c>
      <c r="D13" s="79" t="s">
        <v>117</v>
      </c>
      <c r="E13" s="80" t="s">
        <v>120</v>
      </c>
      <c r="F13" s="82" t="s">
        <v>72</v>
      </c>
    </row>
    <row r="14" spans="2:6" ht="32.25" thickBot="1" x14ac:dyDescent="0.25">
      <c r="B14" s="643"/>
      <c r="C14" s="644"/>
      <c r="D14" s="83" t="s">
        <v>118</v>
      </c>
      <c r="E14" s="84" t="s">
        <v>119</v>
      </c>
      <c r="F14" s="85" t="s">
        <v>72</v>
      </c>
    </row>
    <row r="15" spans="2:6" ht="49.5" customHeight="1" x14ac:dyDescent="0.2">
      <c r="B15" s="636" t="s">
        <v>154</v>
      </c>
      <c r="C15" s="636"/>
      <c r="D15" s="636"/>
      <c r="E15" s="636"/>
      <c r="F15" s="636"/>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30</v>
      </c>
      <c r="E2" t="s">
        <v>130</v>
      </c>
    </row>
    <row r="3" spans="2:5" x14ac:dyDescent="0.25">
      <c r="B3" t="s">
        <v>31</v>
      </c>
      <c r="E3" t="s">
        <v>129</v>
      </c>
    </row>
    <row r="4" spans="2:5" x14ac:dyDescent="0.25">
      <c r="B4" t="s">
        <v>134</v>
      </c>
      <c r="E4" t="s">
        <v>131</v>
      </c>
    </row>
    <row r="5" spans="2:5" x14ac:dyDescent="0.25">
      <c r="B5" t="s">
        <v>133</v>
      </c>
    </row>
    <row r="8" spans="2:5" x14ac:dyDescent="0.25">
      <c r="B8" t="s">
        <v>84</v>
      </c>
    </row>
    <row r="9" spans="2:5" x14ac:dyDescent="0.25">
      <c r="B9" t="s">
        <v>38</v>
      </c>
    </row>
    <row r="10" spans="2:5" x14ac:dyDescent="0.25">
      <c r="B10" t="s">
        <v>39</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72" t="s">
        <v>242</v>
      </c>
      <c r="C2" s="273"/>
      <c r="D2" s="260" t="s">
        <v>298</v>
      </c>
      <c r="E2" s="280" t="s">
        <v>374</v>
      </c>
      <c r="F2" s="253"/>
    </row>
    <row r="3" spans="1:8" ht="19.5" customHeight="1" x14ac:dyDescent="0.25">
      <c r="B3" s="248"/>
      <c r="C3" s="274"/>
      <c r="D3" s="261"/>
      <c r="E3" s="281" t="s">
        <v>262</v>
      </c>
      <c r="F3" s="255"/>
    </row>
    <row r="4" spans="1:8" ht="19.5" customHeight="1" x14ac:dyDescent="0.25">
      <c r="B4" s="248"/>
      <c r="C4" s="274"/>
      <c r="D4" s="261"/>
      <c r="E4" s="281" t="s">
        <v>386</v>
      </c>
      <c r="F4" s="255"/>
    </row>
    <row r="5" spans="1:8" ht="19.5" customHeight="1" thickBot="1" x14ac:dyDescent="0.3">
      <c r="A5" t="s">
        <v>264</v>
      </c>
      <c r="B5" s="250"/>
      <c r="C5" s="275"/>
      <c r="D5" s="262"/>
      <c r="E5" s="282" t="s">
        <v>243</v>
      </c>
      <c r="F5" s="257"/>
    </row>
    <row r="6" spans="1:8" ht="15.75" thickBot="1" x14ac:dyDescent="0.3"/>
    <row r="7" spans="1:8" x14ac:dyDescent="0.25">
      <c r="B7" s="263" t="s">
        <v>297</v>
      </c>
      <c r="C7" s="266" t="s">
        <v>266</v>
      </c>
      <c r="D7" s="267"/>
      <c r="E7" s="276" t="s">
        <v>268</v>
      </c>
      <c r="F7" s="277"/>
    </row>
    <row r="8" spans="1:8" ht="15.75" thickBot="1" x14ac:dyDescent="0.3">
      <c r="B8" s="264"/>
      <c r="C8" s="268"/>
      <c r="D8" s="269"/>
      <c r="E8" s="278"/>
      <c r="F8" s="279"/>
      <c r="H8" s="156">
        <f>+COUNTA($E$10:$E$28)</f>
        <v>0</v>
      </c>
    </row>
    <row r="9" spans="1:8" ht="15.75" thickBot="1" x14ac:dyDescent="0.3">
      <c r="B9" s="265"/>
      <c r="C9" s="270" t="s">
        <v>267</v>
      </c>
      <c r="D9" s="271"/>
      <c r="E9" s="153" t="s">
        <v>269</v>
      </c>
      <c r="F9" s="153" t="s">
        <v>270</v>
      </c>
      <c r="H9" s="156">
        <f>+COUNTA($F$10:$F$28)</f>
        <v>0</v>
      </c>
    </row>
    <row r="10" spans="1:8" ht="15.75" thickBot="1" x14ac:dyDescent="0.3">
      <c r="B10" s="152">
        <v>1</v>
      </c>
      <c r="C10" s="258" t="s">
        <v>271</v>
      </c>
      <c r="D10" s="259"/>
      <c r="E10" s="148"/>
      <c r="F10" s="149"/>
      <c r="H10" s="156">
        <f>+COUNTA($E$10:$E$28)-COUNTA(F10:F28)</f>
        <v>0</v>
      </c>
    </row>
    <row r="11" spans="1:8" ht="15.75" thickBot="1" x14ac:dyDescent="0.3">
      <c r="B11" s="152">
        <v>2</v>
      </c>
      <c r="C11" s="258" t="s">
        <v>273</v>
      </c>
      <c r="D11" s="259" t="s">
        <v>273</v>
      </c>
      <c r="E11" s="148"/>
      <c r="F11" s="149"/>
      <c r="H11" s="157"/>
    </row>
    <row r="12" spans="1:8" ht="15.75" thickBot="1" x14ac:dyDescent="0.3">
      <c r="B12" s="152">
        <v>3</v>
      </c>
      <c r="C12" s="258" t="s">
        <v>274</v>
      </c>
      <c r="D12" s="259" t="s">
        <v>274</v>
      </c>
      <c r="E12" s="148"/>
      <c r="F12" s="149"/>
    </row>
    <row r="13" spans="1:8" ht="15.75" thickBot="1" x14ac:dyDescent="0.3">
      <c r="B13" s="152">
        <v>4</v>
      </c>
      <c r="C13" s="258" t="s">
        <v>385</v>
      </c>
      <c r="D13" s="259" t="s">
        <v>275</v>
      </c>
      <c r="E13" s="148"/>
      <c r="F13" s="149"/>
    </row>
    <row r="14" spans="1:8" ht="15.75" thickBot="1" x14ac:dyDescent="0.3">
      <c r="B14" s="152">
        <v>5</v>
      </c>
      <c r="C14" s="258" t="s">
        <v>276</v>
      </c>
      <c r="D14" s="259" t="s">
        <v>276</v>
      </c>
      <c r="E14" s="148"/>
      <c r="F14" s="149"/>
    </row>
    <row r="15" spans="1:8" ht="15.75" thickBot="1" x14ac:dyDescent="0.3">
      <c r="B15" s="152">
        <v>6</v>
      </c>
      <c r="C15" s="258" t="s">
        <v>277</v>
      </c>
      <c r="D15" s="259" t="s">
        <v>277</v>
      </c>
      <c r="E15" s="148"/>
      <c r="F15" s="149"/>
    </row>
    <row r="16" spans="1:8" ht="15.75" thickBot="1" x14ac:dyDescent="0.3">
      <c r="B16" s="152">
        <v>7</v>
      </c>
      <c r="C16" s="258" t="s">
        <v>278</v>
      </c>
      <c r="D16" s="259" t="s">
        <v>278</v>
      </c>
      <c r="E16" s="148"/>
      <c r="F16" s="149"/>
    </row>
    <row r="17" spans="2:7" ht="28.5" customHeight="1" thickBot="1" x14ac:dyDescent="0.3">
      <c r="B17" s="152">
        <v>8</v>
      </c>
      <c r="C17" s="258" t="s">
        <v>279</v>
      </c>
      <c r="D17" s="259" t="s">
        <v>279</v>
      </c>
      <c r="E17" s="148"/>
      <c r="F17" s="149"/>
    </row>
    <row r="18" spans="2:7" ht="18.75" customHeight="1" thickBot="1" x14ac:dyDescent="0.3">
      <c r="B18" s="152">
        <v>9</v>
      </c>
      <c r="C18" s="258" t="s">
        <v>280</v>
      </c>
      <c r="D18" s="259" t="s">
        <v>280</v>
      </c>
      <c r="E18" s="148"/>
      <c r="F18" s="149"/>
    </row>
    <row r="19" spans="2:7" ht="15.75" thickBot="1" x14ac:dyDescent="0.3">
      <c r="B19" s="152">
        <v>10</v>
      </c>
      <c r="C19" s="258" t="s">
        <v>281</v>
      </c>
      <c r="D19" s="259" t="s">
        <v>281</v>
      </c>
      <c r="E19" s="148"/>
      <c r="F19" s="149"/>
    </row>
    <row r="20" spans="2:7" ht="15.75" thickBot="1" x14ac:dyDescent="0.3">
      <c r="B20" s="152">
        <v>11</v>
      </c>
      <c r="C20" s="258" t="s">
        <v>282</v>
      </c>
      <c r="D20" s="259" t="s">
        <v>282</v>
      </c>
      <c r="E20" s="148"/>
      <c r="F20" s="149"/>
    </row>
    <row r="21" spans="2:7" ht="15.75" thickBot="1" x14ac:dyDescent="0.3">
      <c r="B21" s="152">
        <v>12</v>
      </c>
      <c r="C21" s="258" t="s">
        <v>283</v>
      </c>
      <c r="D21" s="259" t="s">
        <v>283</v>
      </c>
      <c r="E21" s="148"/>
      <c r="F21" s="149"/>
    </row>
    <row r="22" spans="2:7" ht="15.75" thickBot="1" x14ac:dyDescent="0.3">
      <c r="B22" s="152">
        <v>13</v>
      </c>
      <c r="C22" s="258" t="s">
        <v>284</v>
      </c>
      <c r="D22" s="259" t="s">
        <v>284</v>
      </c>
      <c r="E22" s="148"/>
      <c r="F22" s="149"/>
    </row>
    <row r="23" spans="2:7" ht="15.75" thickBot="1" x14ac:dyDescent="0.3">
      <c r="B23" s="152">
        <v>14</v>
      </c>
      <c r="C23" s="258" t="s">
        <v>285</v>
      </c>
      <c r="D23" s="259" t="s">
        <v>285</v>
      </c>
      <c r="E23" s="148"/>
      <c r="F23" s="149"/>
    </row>
    <row r="24" spans="2:7" ht="15.75" thickBot="1" x14ac:dyDescent="0.3">
      <c r="B24" s="152">
        <v>15</v>
      </c>
      <c r="C24" s="258" t="s">
        <v>286</v>
      </c>
      <c r="D24" s="259" t="s">
        <v>286</v>
      </c>
      <c r="E24" s="148"/>
      <c r="F24" s="149"/>
    </row>
    <row r="25" spans="2:7" ht="15.75" thickBot="1" x14ac:dyDescent="0.3">
      <c r="B25" s="152">
        <v>16</v>
      </c>
      <c r="C25" s="258" t="s">
        <v>287</v>
      </c>
      <c r="D25" s="259" t="s">
        <v>287</v>
      </c>
      <c r="E25" s="148"/>
      <c r="F25" s="149"/>
    </row>
    <row r="26" spans="2:7" ht="15.75" thickBot="1" x14ac:dyDescent="0.3">
      <c r="B26" s="152">
        <v>17</v>
      </c>
      <c r="C26" s="258" t="s">
        <v>288</v>
      </c>
      <c r="D26" s="259" t="s">
        <v>288</v>
      </c>
      <c r="E26" s="148"/>
      <c r="F26" s="149"/>
    </row>
    <row r="27" spans="2:7" ht="15.75" thickBot="1" x14ac:dyDescent="0.3">
      <c r="B27" s="152">
        <v>18</v>
      </c>
      <c r="C27" s="258" t="s">
        <v>289</v>
      </c>
      <c r="D27" s="259" t="s">
        <v>289</v>
      </c>
      <c r="E27" s="148"/>
      <c r="F27" s="149"/>
    </row>
    <row r="28" spans="2:7" ht="15.75" thickBot="1" x14ac:dyDescent="0.3">
      <c r="B28" s="152">
        <v>19</v>
      </c>
      <c r="C28" s="258" t="s">
        <v>290</v>
      </c>
      <c r="D28" s="259" t="s">
        <v>290</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66" priority="1" stopIfTrue="1" operator="equal">
      <formula>"Catastrófico"</formula>
    </cfRule>
    <cfRule type="cellIs" dxfId="65" priority="2" stopIfTrue="1" operator="equal">
      <formula>"Moderado"</formula>
    </cfRule>
    <cfRule type="cellIs" dxfId="64"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13</v>
      </c>
    </row>
    <row r="4" spans="1:1" x14ac:dyDescent="0.2">
      <c r="A4" s="2" t="s">
        <v>14</v>
      </c>
    </row>
    <row r="5" spans="1:1" x14ac:dyDescent="0.2">
      <c r="A5" s="2" t="s">
        <v>15</v>
      </c>
    </row>
    <row r="6" spans="1:1" x14ac:dyDescent="0.2">
      <c r="A6" s="2" t="s">
        <v>9</v>
      </c>
    </row>
    <row r="7" spans="1:1" x14ac:dyDescent="0.2">
      <c r="A7" s="2" t="s">
        <v>8</v>
      </c>
    </row>
    <row r="8" spans="1:1" x14ac:dyDescent="0.2">
      <c r="A8" s="2" t="s">
        <v>18</v>
      </c>
    </row>
    <row r="9" spans="1:1" x14ac:dyDescent="0.2">
      <c r="A9" s="2" t="s">
        <v>19</v>
      </c>
    </row>
    <row r="10" spans="1:1" x14ac:dyDescent="0.2">
      <c r="A10" s="2" t="s">
        <v>21</v>
      </c>
    </row>
    <row r="11" spans="1:1" x14ac:dyDescent="0.2">
      <c r="A11" s="2" t="s">
        <v>22</v>
      </c>
    </row>
    <row r="12" spans="1:1" x14ac:dyDescent="0.2">
      <c r="A12" s="2" t="s">
        <v>24</v>
      </c>
    </row>
    <row r="13" spans="1:1" x14ac:dyDescent="0.2">
      <c r="A13" s="2" t="s">
        <v>25</v>
      </c>
    </row>
    <row r="14" spans="1:1" x14ac:dyDescent="0.2">
      <c r="A14" s="2" t="s">
        <v>26</v>
      </c>
    </row>
    <row r="16" spans="1:1" x14ac:dyDescent="0.2">
      <c r="A16" s="2" t="s">
        <v>29</v>
      </c>
    </row>
    <row r="17" spans="1:1" x14ac:dyDescent="0.2">
      <c r="A17" s="2" t="s">
        <v>30</v>
      </c>
    </row>
    <row r="18" spans="1:1" x14ac:dyDescent="0.2">
      <c r="A18" s="2" t="s">
        <v>31</v>
      </c>
    </row>
    <row r="20" spans="1:1" x14ac:dyDescent="0.2">
      <c r="A20" s="2" t="s">
        <v>38</v>
      </c>
    </row>
    <row r="21" spans="1:1" x14ac:dyDescent="0.2">
      <c r="A21" s="2"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30"/>
  <sheetViews>
    <sheetView showGridLines="0" zoomScale="50" zoomScaleNormal="50" workbookViewId="0">
      <pane ySplit="10" topLeftCell="A13" activePane="bottomLeft" state="frozen"/>
      <selection pane="bottomLeft"/>
    </sheetView>
  </sheetViews>
  <sheetFormatPr baseColWidth="10" defaultColWidth="11.42578125" defaultRowHeight="14.25" x14ac:dyDescent="0.2"/>
  <cols>
    <col min="1" max="3" width="8.28515625" style="181" customWidth="1"/>
    <col min="4" max="4" width="4.7109375" style="182" customWidth="1"/>
    <col min="5" max="5" width="14.7109375" style="182" customWidth="1"/>
    <col min="6" max="6" width="14" style="182" customWidth="1"/>
    <col min="7" max="7" width="16.5703125" style="182" customWidth="1"/>
    <col min="8" max="8" width="17.5703125" style="182" customWidth="1"/>
    <col min="9" max="9" width="29.42578125" style="182" customWidth="1"/>
    <col min="10" max="10" width="14" style="182" hidden="1" customWidth="1"/>
    <col min="11" max="11" width="16.140625" style="182" customWidth="1"/>
    <col min="12" max="12" width="32.42578125" style="181" customWidth="1"/>
    <col min="13" max="15" width="19" style="183" customWidth="1"/>
    <col min="16" max="16" width="17.7109375" style="181" customWidth="1"/>
    <col min="17" max="17" width="16.42578125" style="181" customWidth="1"/>
    <col min="18" max="18" width="6.28515625" style="181" bestFit="1" customWidth="1"/>
    <col min="19" max="19" width="27.28515625" style="181" bestFit="1" customWidth="1"/>
    <col min="20" max="20" width="17" style="181" customWidth="1"/>
    <col min="21" max="21" width="17.42578125" style="181" customWidth="1"/>
    <col min="22" max="22" width="6.28515625" style="181" bestFit="1" customWidth="1"/>
    <col min="23" max="23" width="16" style="181" customWidth="1"/>
    <col min="24" max="24" width="5.7109375" style="181" customWidth="1"/>
    <col min="25" max="25" width="40.85546875" style="181" customWidth="1"/>
    <col min="26" max="26" width="34.7109375" style="181" customWidth="1"/>
    <col min="27" max="27" width="15.140625" style="181" bestFit="1" customWidth="1"/>
    <col min="28" max="29" width="9.85546875" style="181" customWidth="1"/>
    <col min="30" max="30" width="5.42578125" style="181" customWidth="1"/>
    <col min="31" max="31" width="7.140625" style="181" customWidth="1"/>
    <col min="32" max="32" width="6.7109375" style="181" customWidth="1"/>
    <col min="33" max="33" width="12.5703125" style="181" customWidth="1"/>
    <col min="34" max="34" width="27.7109375"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23" style="181" customWidth="1"/>
    <col min="43" max="43" width="18.710937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324" t="s">
        <v>299</v>
      </c>
      <c r="E2" s="325"/>
      <c r="F2" s="325"/>
      <c r="G2" s="325"/>
      <c r="H2" s="325"/>
      <c r="I2" s="339" t="s">
        <v>203</v>
      </c>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21" t="s">
        <v>374</v>
      </c>
      <c r="BB2" s="322"/>
    </row>
    <row r="3" spans="1:80" ht="27.75" customHeight="1" x14ac:dyDescent="0.2">
      <c r="D3" s="326"/>
      <c r="E3" s="327"/>
      <c r="F3" s="327"/>
      <c r="G3" s="327"/>
      <c r="H3" s="327"/>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23" t="s">
        <v>240</v>
      </c>
      <c r="BB3" s="323"/>
    </row>
    <row r="4" spans="1:80" ht="27.75" customHeight="1" x14ac:dyDescent="0.2">
      <c r="D4" s="326"/>
      <c r="E4" s="327"/>
      <c r="F4" s="327"/>
      <c r="G4" s="327"/>
      <c r="H4" s="327"/>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39"/>
      <c r="AZ4" s="339"/>
      <c r="BA4" s="323" t="s">
        <v>386</v>
      </c>
      <c r="BB4" s="323"/>
    </row>
    <row r="5" spans="1:80" ht="27.75" customHeight="1" thickBot="1" x14ac:dyDescent="0.25">
      <c r="D5" s="328"/>
      <c r="E5" s="329"/>
      <c r="F5" s="329"/>
      <c r="G5" s="329"/>
      <c r="H5" s="32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339"/>
      <c r="AY5" s="339"/>
      <c r="AZ5" s="339"/>
      <c r="BA5" s="323" t="s">
        <v>204</v>
      </c>
      <c r="BB5" s="323"/>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318" t="s">
        <v>41</v>
      </c>
      <c r="E7" s="319"/>
      <c r="F7" s="319"/>
      <c r="G7" s="320"/>
      <c r="H7" s="335" t="s">
        <v>388</v>
      </c>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36"/>
      <c r="AW7" s="336"/>
      <c r="AX7" s="336"/>
      <c r="AY7" s="336"/>
      <c r="AZ7" s="336"/>
      <c r="BA7" s="336"/>
      <c r="BB7" s="337"/>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30" customHeight="1" x14ac:dyDescent="0.2">
      <c r="D8" s="318" t="s">
        <v>128</v>
      </c>
      <c r="E8" s="319"/>
      <c r="F8" s="319"/>
      <c r="G8" s="320"/>
      <c r="H8" s="330" t="s">
        <v>389</v>
      </c>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3"/>
      <c r="AV8" s="333"/>
      <c r="AW8" s="333"/>
      <c r="AX8" s="333"/>
      <c r="AY8" s="333"/>
      <c r="AZ8" s="333"/>
      <c r="BA8" s="333"/>
      <c r="BB8" s="334"/>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318" t="s">
        <v>42</v>
      </c>
      <c r="E9" s="319"/>
      <c r="F9" s="319"/>
      <c r="G9" s="320"/>
      <c r="H9" s="330" t="s">
        <v>390</v>
      </c>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331"/>
      <c r="BB9" s="332"/>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651" t="s">
        <v>264</v>
      </c>
      <c r="B11" s="651"/>
      <c r="C11" s="652"/>
      <c r="D11" s="342" t="s">
        <v>302</v>
      </c>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4" t="s">
        <v>300</v>
      </c>
      <c r="AW11" s="345"/>
      <c r="AX11" s="345"/>
      <c r="AY11" s="346"/>
      <c r="AZ11" s="347" t="s">
        <v>301</v>
      </c>
      <c r="BA11" s="348"/>
      <c r="BB11" s="349"/>
    </row>
    <row r="12" spans="1:80" ht="15.75" x14ac:dyDescent="0.2">
      <c r="A12" s="653"/>
      <c r="B12" s="653"/>
      <c r="C12" s="654"/>
      <c r="D12" s="315" t="s">
        <v>136</v>
      </c>
      <c r="E12" s="315"/>
      <c r="F12" s="315"/>
      <c r="G12" s="315"/>
      <c r="H12" s="315"/>
      <c r="I12" s="299"/>
      <c r="J12" s="299"/>
      <c r="K12" s="299"/>
      <c r="L12" s="299"/>
      <c r="M12" s="299"/>
      <c r="N12" s="299"/>
      <c r="O12" s="299"/>
      <c r="P12" s="299"/>
      <c r="Q12" s="299" t="s">
        <v>137</v>
      </c>
      <c r="R12" s="299"/>
      <c r="S12" s="299"/>
      <c r="T12" s="299"/>
      <c r="U12" s="299"/>
      <c r="V12" s="299"/>
      <c r="W12" s="299"/>
      <c r="X12" s="299" t="s">
        <v>138</v>
      </c>
      <c r="Y12" s="299"/>
      <c r="Z12" s="299"/>
      <c r="AA12" s="299"/>
      <c r="AB12" s="299"/>
      <c r="AC12" s="299"/>
      <c r="AD12" s="299"/>
      <c r="AE12" s="299"/>
      <c r="AF12" s="299"/>
      <c r="AG12" s="299"/>
      <c r="AH12" s="647" t="s">
        <v>17</v>
      </c>
      <c r="AI12" s="299" t="s">
        <v>139</v>
      </c>
      <c r="AJ12" s="299"/>
      <c r="AK12" s="299"/>
      <c r="AL12" s="299"/>
      <c r="AM12" s="299"/>
      <c r="AN12" s="299"/>
      <c r="AO12" s="299"/>
      <c r="AP12" s="350" t="s">
        <v>33</v>
      </c>
      <c r="AQ12" s="351"/>
      <c r="AR12" s="351"/>
      <c r="AS12" s="351"/>
      <c r="AT12" s="351"/>
      <c r="AU12" s="351"/>
      <c r="AV12" s="351"/>
      <c r="AW12" s="351"/>
      <c r="AX12" s="351"/>
      <c r="AY12" s="351"/>
      <c r="AZ12" s="351"/>
      <c r="BA12" s="351"/>
      <c r="BB12" s="351"/>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30.75" customHeight="1" x14ac:dyDescent="0.2">
      <c r="D13" s="338" t="s">
        <v>0</v>
      </c>
      <c r="E13" s="314" t="s">
        <v>309</v>
      </c>
      <c r="F13" s="192"/>
      <c r="G13" s="192"/>
      <c r="H13" s="315" t="s">
        <v>222</v>
      </c>
      <c r="I13" s="314" t="s">
        <v>305</v>
      </c>
      <c r="J13" s="193"/>
      <c r="K13" s="314" t="s">
        <v>306</v>
      </c>
      <c r="L13" s="315" t="s">
        <v>1</v>
      </c>
      <c r="M13" s="314" t="s">
        <v>48</v>
      </c>
      <c r="N13" s="645" t="s">
        <v>423</v>
      </c>
      <c r="O13" s="646"/>
      <c r="P13" s="314" t="s">
        <v>132</v>
      </c>
      <c r="Q13" s="314" t="s">
        <v>32</v>
      </c>
      <c r="R13" s="315" t="s">
        <v>5</v>
      </c>
      <c r="S13" s="314" t="s">
        <v>85</v>
      </c>
      <c r="T13" s="314" t="s">
        <v>90</v>
      </c>
      <c r="U13" s="314" t="s">
        <v>43</v>
      </c>
      <c r="V13" s="315" t="s">
        <v>5</v>
      </c>
      <c r="W13" s="314" t="s">
        <v>46</v>
      </c>
      <c r="X13" s="285" t="s">
        <v>10</v>
      </c>
      <c r="Y13" s="314" t="s">
        <v>158</v>
      </c>
      <c r="Z13" s="314" t="s">
        <v>394</v>
      </c>
      <c r="AA13" s="314" t="s">
        <v>11</v>
      </c>
      <c r="AB13" s="305" t="s">
        <v>406</v>
      </c>
      <c r="AC13" s="306"/>
      <c r="AD13" s="305" t="s">
        <v>395</v>
      </c>
      <c r="AE13" s="306"/>
      <c r="AF13" s="306"/>
      <c r="AG13" s="307"/>
      <c r="AH13" s="648"/>
      <c r="AI13" s="285" t="s">
        <v>135</v>
      </c>
      <c r="AJ13" s="285" t="s">
        <v>44</v>
      </c>
      <c r="AK13" s="285" t="s">
        <v>5</v>
      </c>
      <c r="AL13" s="285" t="s">
        <v>45</v>
      </c>
      <c r="AM13" s="285" t="s">
        <v>5</v>
      </c>
      <c r="AN13" s="285" t="s">
        <v>47</v>
      </c>
      <c r="AO13" s="285" t="s">
        <v>28</v>
      </c>
      <c r="AP13" s="314" t="s">
        <v>33</v>
      </c>
      <c r="AQ13" s="314" t="s">
        <v>34</v>
      </c>
      <c r="AR13" s="314" t="s">
        <v>35</v>
      </c>
      <c r="AS13" s="314" t="s">
        <v>36</v>
      </c>
      <c r="AT13" s="314" t="s">
        <v>210</v>
      </c>
      <c r="AU13" s="314" t="s">
        <v>37</v>
      </c>
      <c r="AV13" s="301" t="s">
        <v>36</v>
      </c>
      <c r="AW13" s="303" t="s">
        <v>211</v>
      </c>
      <c r="AX13" s="303" t="s">
        <v>37</v>
      </c>
      <c r="AY13" s="340" t="s">
        <v>241</v>
      </c>
      <c r="AZ13" s="300" t="s">
        <v>36</v>
      </c>
      <c r="BA13" s="300" t="s">
        <v>212</v>
      </c>
      <c r="BB13" s="300" t="s">
        <v>37</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38"/>
      <c r="E14" s="314"/>
      <c r="F14" s="192" t="s">
        <v>2</v>
      </c>
      <c r="G14" s="193" t="s">
        <v>315</v>
      </c>
      <c r="H14" s="315"/>
      <c r="I14" s="314"/>
      <c r="J14" s="193" t="s">
        <v>407</v>
      </c>
      <c r="K14" s="314"/>
      <c r="L14" s="315"/>
      <c r="M14" s="314"/>
      <c r="N14" s="234" t="s">
        <v>238</v>
      </c>
      <c r="O14" s="234" t="s">
        <v>239</v>
      </c>
      <c r="P14" s="314"/>
      <c r="Q14" s="314"/>
      <c r="R14" s="315"/>
      <c r="S14" s="314"/>
      <c r="T14" s="314"/>
      <c r="U14" s="315"/>
      <c r="V14" s="315"/>
      <c r="W14" s="314"/>
      <c r="X14" s="285"/>
      <c r="Y14" s="314"/>
      <c r="Z14" s="314"/>
      <c r="AA14" s="314"/>
      <c r="AB14" s="195" t="s">
        <v>12</v>
      </c>
      <c r="AC14" s="195" t="s">
        <v>16</v>
      </c>
      <c r="AD14" s="195" t="s">
        <v>27</v>
      </c>
      <c r="AE14" s="195" t="s">
        <v>17</v>
      </c>
      <c r="AF14" s="195" t="s">
        <v>20</v>
      </c>
      <c r="AG14" s="195" t="s">
        <v>23</v>
      </c>
      <c r="AH14" s="649"/>
      <c r="AI14" s="285"/>
      <c r="AJ14" s="285"/>
      <c r="AK14" s="285"/>
      <c r="AL14" s="285"/>
      <c r="AM14" s="285"/>
      <c r="AN14" s="285"/>
      <c r="AO14" s="285"/>
      <c r="AP14" s="314"/>
      <c r="AQ14" s="314"/>
      <c r="AR14" s="314"/>
      <c r="AS14" s="314"/>
      <c r="AT14" s="314"/>
      <c r="AU14" s="314"/>
      <c r="AV14" s="302"/>
      <c r="AW14" s="304"/>
      <c r="AX14" s="304"/>
      <c r="AY14" s="341"/>
      <c r="AZ14" s="300"/>
      <c r="BA14" s="300"/>
      <c r="BB14" s="300"/>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ht="140.25" customHeight="1" x14ac:dyDescent="0.2">
      <c r="D15" s="290">
        <v>1</v>
      </c>
      <c r="E15" s="354" t="s">
        <v>217</v>
      </c>
      <c r="F15" s="358" t="s">
        <v>129</v>
      </c>
      <c r="G15" s="354" t="s">
        <v>311</v>
      </c>
      <c r="H15" s="354" t="s">
        <v>225</v>
      </c>
      <c r="I15" s="286" t="s">
        <v>391</v>
      </c>
      <c r="J15" s="198"/>
      <c r="K15" s="286" t="s">
        <v>392</v>
      </c>
      <c r="L15" s="293" t="s">
        <v>393</v>
      </c>
      <c r="M15" s="286" t="s">
        <v>408</v>
      </c>
      <c r="N15" s="286" t="s">
        <v>232</v>
      </c>
      <c r="O15" s="286" t="s">
        <v>236</v>
      </c>
      <c r="P15" s="286">
        <v>200</v>
      </c>
      <c r="Q15" s="297" t="str">
        <f>IF(P15&lt;=0,"",IF(P15&lt;=2,"Muy Baja",IF(P15&lt;=24,"Baja",IF(P15&lt;=500,"Media",IF(P15&lt;=5000,"Alta","Muy Alta")))))</f>
        <v>Media</v>
      </c>
      <c r="R15" s="295">
        <f>IF(Q15="","",IF(Q15="Muy Baja",0.2,IF(Q15="Baja",0.4,IF(Q15="Media",0.6,IF(Q15="Alta",0.8,IF(Q15="Muy Alta",1,))))))</f>
        <v>0.6</v>
      </c>
      <c r="S15" s="352" t="s">
        <v>150</v>
      </c>
      <c r="T15" s="295" t="str">
        <f ca="1">IF(NOT(ISERROR(MATCH(S15,'Tabla Impacto'!$B$221:$B$223,0))),'Tabla Impacto'!$F$223&amp;"Por favor no seleccionar los criterios de impacto(Afectación Económica o presupuestal y Pérdida Reputacional)",S15)</f>
        <v xml:space="preserve">     El riesgo afecta la imagen de la entidad con algunos usuarios de relevancia frente al logro de los objetivos</v>
      </c>
      <c r="U15" s="297" t="str">
        <f ca="1">IF(OR(T15='Tabla Impacto'!$C$11,T15='Tabla Impacto'!$D$11),"Leve",IF(OR(T15='Tabla Impacto'!$C$12,T15='Tabla Impacto'!$D$12),"Menor",IF(OR(T15='Tabla Impacto'!$C$13,T15='Tabla Impacto'!$D$13),"Moderado",IF(OR(T15='Tabla Impacto'!$C$14,T15='Tabla Impacto'!$D$14),"Mayor",IF(OR(T15='Tabla Impacto'!$C$15,T15='Tabla Impacto'!$D$15),"Catastrófico","")))))</f>
        <v>Moderado</v>
      </c>
      <c r="V15" s="295">
        <f ca="1">IF(U15="","",IF(U15="Leve",0.2,IF(U15="Menor",0.4,IF(U15="Moderado",0.6,IF(U15="Mayor",0.8,IF(U15="Catastrófico",1,))))))</f>
        <v>0.6</v>
      </c>
      <c r="W15" s="297"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Moderado</v>
      </c>
      <c r="X15" s="199">
        <v>1</v>
      </c>
      <c r="Y15" s="200" t="s">
        <v>409</v>
      </c>
      <c r="Z15" s="200" t="s">
        <v>424</v>
      </c>
      <c r="AA15" s="201" t="str">
        <f>IF(OR(AB15="Preventivo",AB15="Detectivo"),"Probabilidad",IF(AB15="Correctivo","Impacto",""))</f>
        <v>Probabilidad</v>
      </c>
      <c r="AB15" s="202" t="s">
        <v>13</v>
      </c>
      <c r="AC15" s="202" t="s">
        <v>8</v>
      </c>
      <c r="AD15" s="203" t="str">
        <f t="shared" ref="AD15:AD23" si="0">IF(AND(AB15="Preventivo",AC15="Automático"),"50%",IF(AND(AB15="Preventivo",AC15="Manual"),"40%",IF(AND(AB15="Detectivo",AC15="Automático"),"40%",IF(AND(AB15="Detectivo",AC15="Manual"),"30%",IF(AND(AB15="Correctivo",AC15="Automático"),"35%",IF(AND(AB15="Correctivo",AC15="Manual"),"25%",""))))))</f>
        <v>40%</v>
      </c>
      <c r="AE15" s="202" t="s">
        <v>18</v>
      </c>
      <c r="AF15" s="202" t="s">
        <v>21</v>
      </c>
      <c r="AG15" s="202" t="s">
        <v>117</v>
      </c>
      <c r="AH15" s="229" t="s">
        <v>425</v>
      </c>
      <c r="AI15" s="204">
        <f>IFERROR(IF(AA15="Probabilidad",(R15-(+R15*AD15)),IF(AA15="Impacto",R15,"")),"")</f>
        <v>0.36</v>
      </c>
      <c r="AJ15" s="283" t="str">
        <f>IFERROR(IF(AI15="","",IF(AI15&lt;=0.2,"Muy Baja",IF(AI15&lt;=0.4,"Baja",IF(AI15&lt;=0.6,"Media",IF(AI15&lt;=0.8,"Alta","Muy Alta"))))),"")</f>
        <v>Baja</v>
      </c>
      <c r="AK15" s="205">
        <f t="shared" ref="AK15:AK23" si="1">+AI15</f>
        <v>0.36</v>
      </c>
      <c r="AL15" s="283" t="str">
        <f ca="1">IFERROR(IF(AM15="","",IF(AM15&lt;=0.2,"Leve",IF(AM15&lt;=0.4,"Menor",IF(AM15&lt;=0.6,"Moderado",IF(AM15&lt;=0.8,"Mayor","Catastrófico"))))),"")</f>
        <v>Moderado</v>
      </c>
      <c r="AM15" s="205">
        <f ca="1">IFERROR(IF(AA15="Impacto",(V15-(+V15*AD15)),IF(AA15="Probabilidad",V15,"")),"")</f>
        <v>0.6</v>
      </c>
      <c r="AN15" s="283" t="str">
        <f t="shared" ref="AN15:AN23" ca="1" si="2">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Moderado</v>
      </c>
      <c r="AO15" s="206" t="s">
        <v>30</v>
      </c>
      <c r="AP15" s="286" t="s">
        <v>410</v>
      </c>
      <c r="AQ15" s="286" t="s">
        <v>257</v>
      </c>
      <c r="AR15" s="288">
        <v>45687</v>
      </c>
      <c r="AS15" s="207"/>
      <c r="AT15" s="198"/>
      <c r="AU15" s="198"/>
      <c r="AV15" s="208"/>
      <c r="AW15" s="198"/>
      <c r="AX15" s="198"/>
      <c r="AY15" s="198"/>
      <c r="AZ15" s="208"/>
      <c r="BA15" s="198"/>
      <c r="BB15" s="198"/>
      <c r="BC15" s="185"/>
      <c r="BD15" s="185"/>
      <c r="BE15" s="185"/>
      <c r="BF15" s="185"/>
      <c r="BG15" s="185"/>
      <c r="BH15" s="185"/>
      <c r="BI15" s="185"/>
      <c r="BJ15" s="185"/>
      <c r="BK15" s="185"/>
      <c r="BL15" s="185"/>
      <c r="BM15" s="185"/>
      <c r="BN15" s="185"/>
      <c r="BO15" s="185"/>
      <c r="BP15" s="185"/>
      <c r="BQ15" s="185"/>
      <c r="BR15" s="185"/>
      <c r="BS15" s="185"/>
      <c r="BT15" s="185"/>
      <c r="BU15" s="185"/>
      <c r="BV15" s="185"/>
      <c r="BW15" s="185"/>
      <c r="BX15" s="185"/>
      <c r="BY15" s="185"/>
      <c r="BZ15" s="185"/>
      <c r="CA15" s="185"/>
      <c r="CB15" s="185"/>
    </row>
    <row r="16" spans="1:80" ht="87" customHeight="1" x14ac:dyDescent="0.2">
      <c r="D16" s="291"/>
      <c r="E16" s="355"/>
      <c r="F16" s="358"/>
      <c r="G16" s="355"/>
      <c r="H16" s="355"/>
      <c r="I16" s="287"/>
      <c r="J16" s="198"/>
      <c r="K16" s="287"/>
      <c r="L16" s="294"/>
      <c r="M16" s="287"/>
      <c r="N16" s="287"/>
      <c r="O16" s="287"/>
      <c r="P16" s="287"/>
      <c r="Q16" s="298"/>
      <c r="R16" s="296"/>
      <c r="S16" s="353"/>
      <c r="T16" s="296"/>
      <c r="U16" s="298"/>
      <c r="V16" s="296"/>
      <c r="W16" s="298"/>
      <c r="X16" s="199">
        <v>2</v>
      </c>
      <c r="Y16" s="200" t="s">
        <v>411</v>
      </c>
      <c r="Z16" s="200" t="s">
        <v>426</v>
      </c>
      <c r="AA16" s="201" t="str">
        <f>IF(OR(AB16="Preventivo",AB16="Detectivo"),"Probabilidad",IF(AB16="Correctivo","Impacto",""))</f>
        <v>Probabilidad</v>
      </c>
      <c r="AB16" s="202" t="s">
        <v>13</v>
      </c>
      <c r="AC16" s="202" t="s">
        <v>8</v>
      </c>
      <c r="AD16" s="203" t="str">
        <f t="shared" si="0"/>
        <v>40%</v>
      </c>
      <c r="AE16" s="202" t="s">
        <v>18</v>
      </c>
      <c r="AF16" s="202" t="s">
        <v>21</v>
      </c>
      <c r="AG16" s="202" t="s">
        <v>117</v>
      </c>
      <c r="AH16" s="229" t="s">
        <v>427</v>
      </c>
      <c r="AI16" s="656">
        <f>IFERROR(IF(AND(AA15="Probabilidad",AA16="Probabilidad"),(AK15-(+AK15*AD16)),IF(AA16="Probabilidad",(S15-(+S15*AA16)),IF(AA16="Impacto",AK15,""))),"")</f>
        <v>0.216</v>
      </c>
      <c r="AJ16" s="284"/>
      <c r="AK16" s="205">
        <f t="shared" si="1"/>
        <v>0.216</v>
      </c>
      <c r="AL16" s="284"/>
      <c r="AM16" s="205">
        <f ca="1">IFERROR(IF(AA16="Impacto",(V15-(+V15*AD16)),IF(AA16="Probabilidad",V15,"")),"")</f>
        <v>0.6</v>
      </c>
      <c r="AN16" s="284"/>
      <c r="AO16" s="206" t="s">
        <v>30</v>
      </c>
      <c r="AP16" s="287"/>
      <c r="AQ16" s="287"/>
      <c r="AR16" s="289"/>
      <c r="AS16" s="208"/>
      <c r="AT16" s="198"/>
      <c r="AU16" s="198"/>
      <c r="AV16" s="208"/>
      <c r="AW16" s="198"/>
      <c r="AX16" s="198"/>
      <c r="AY16" s="198"/>
      <c r="AZ16" s="208"/>
      <c r="BA16" s="198"/>
      <c r="BB16" s="198"/>
      <c r="BC16" s="185"/>
      <c r="BD16" s="185"/>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c r="CB16" s="185"/>
    </row>
    <row r="17" spans="4:80" ht="172.9" customHeight="1" x14ac:dyDescent="0.2">
      <c r="D17" s="290">
        <v>2</v>
      </c>
      <c r="E17" s="290" t="s">
        <v>217</v>
      </c>
      <c r="F17" s="292" t="s">
        <v>129</v>
      </c>
      <c r="G17" s="354" t="s">
        <v>311</v>
      </c>
      <c r="H17" s="290" t="s">
        <v>225</v>
      </c>
      <c r="I17" s="286" t="s">
        <v>396</v>
      </c>
      <c r="J17" s="198"/>
      <c r="K17" s="286" t="s">
        <v>397</v>
      </c>
      <c r="L17" s="293" t="s">
        <v>398</v>
      </c>
      <c r="M17" s="286" t="s">
        <v>408</v>
      </c>
      <c r="N17" s="286" t="s">
        <v>232</v>
      </c>
      <c r="O17" s="286" t="s">
        <v>235</v>
      </c>
      <c r="P17" s="356">
        <v>30</v>
      </c>
      <c r="Q17" s="297" t="str">
        <f t="shared" ref="Q17:Q23" si="3">IF(P17&lt;=0,"",IF(P17&lt;=2,"Muy Baja",IF(P17&lt;=24,"Baja",IF(P17&lt;=500,"Media",IF(P17&lt;=5000,"Alta","Muy Alta")))))</f>
        <v>Media</v>
      </c>
      <c r="R17" s="295">
        <f t="shared" ref="R17:R23" si="4">IF(Q17="","",IF(Q17="Muy Baja",0.2,IF(Q17="Baja",0.4,IF(Q17="Media",0.6,IF(Q17="Alta",0.8,IF(Q17="Muy Alta",1,))))))</f>
        <v>0.6</v>
      </c>
      <c r="S17" s="352" t="s">
        <v>150</v>
      </c>
      <c r="T17" s="295" t="str">
        <f ca="1">IF(NOT(ISERROR(MATCH(S17,'Tabla Impacto'!$B$221:$B$223,0))),'Tabla Impacto'!$F$223&amp;"Por favor no seleccionar los criterios de impacto(Afectación Económica o presupuestal y Pérdida Reputacional)",S17)</f>
        <v xml:space="preserve">     El riesgo afecta la imagen de la entidad con algunos usuarios de relevancia frente al logro de los objetivos</v>
      </c>
      <c r="U17" s="297" t="str">
        <f ca="1">IF(OR(T17='Tabla Impacto'!$C$11,T17='Tabla Impacto'!$D$11),"Leve",IF(OR(T17='Tabla Impacto'!$C$12,T17='Tabla Impacto'!$D$12),"Menor",IF(OR(T17='Tabla Impacto'!$C$13,T17='Tabla Impacto'!$D$13),"Moderado",IF(OR(T17='Tabla Impacto'!$C$14,T17='Tabla Impacto'!$D$14),"Mayor",IF(OR(T17='Tabla Impacto'!$C$15,T17='Tabla Impacto'!$D$15),"Catastrófico","")))))</f>
        <v>Moderado</v>
      </c>
      <c r="V17" s="295">
        <f t="shared" ref="V17:V23" ca="1" si="5">IF(U17="","",IF(U17="Leve",0.2,IF(U17="Menor",0.4,IF(U17="Moderado",0.6,IF(U17="Mayor",0.8,IF(U17="Catastrófico",1,))))))</f>
        <v>0.6</v>
      </c>
      <c r="W17" s="359" t="str">
        <f t="shared" ref="W17:W23" ca="1" si="6">IF(OR(AND(Q17="Muy Baja",U17="Leve"),AND(Q17="Muy Baja",U17="Menor"),AND(Q17="Baja",U17="Leve")),"Bajo",IF(OR(AND(Q17="Muy baja",U17="Moderado"),AND(Q17="Baja",U17="Menor"),AND(Q17="Baja",U17="Moderado"),AND(Q17="Media",U17="Leve"),AND(Q17="Media",U17="Menor"),AND(Q17="Media",U17="Moderado"),AND(Q17="Alta",U17="Leve"),AND(Q17="Alta",U17="Menor")),"Moderado",IF(OR(AND(Q17="Muy Baja",U17="Mayor"),AND(Q17="Baja",U17="Mayor"),AND(Q17="Media",U17="Mayor"),AND(Q17="Alta",U17="Moderado"),AND(Q17="Alta",U17="Mayor"),AND(Q17="Muy Alta",U17="Leve"),AND(Q17="Muy Alta",U17="Menor"),AND(Q17="Muy Alta",U17="Moderado"),AND(Q17="Muy Alta",U17="Mayor")),"Alto",IF(OR(AND(Q17="Muy Baja",U17="Catastrófico"),AND(Q17="Baja",U17="Catastrófico"),AND(Q17="Media",U17="Catastrófico"),AND(Q17="Alta",U17="Catastrófico"),AND(Q17="Muy Alta",U17="Catastrófico")),"Extremo",""))))</f>
        <v>Moderado</v>
      </c>
      <c r="X17" s="214">
        <v>1</v>
      </c>
      <c r="Y17" s="200" t="s">
        <v>412</v>
      </c>
      <c r="Z17" s="163" t="s">
        <v>428</v>
      </c>
      <c r="AA17" s="201" t="str">
        <f t="shared" ref="AA17:AA23" si="7">IF(OR(AB17="Preventivo",AB17="Detectivo"),"Probabilidad",IF(AB17="Correctivo","Impacto",""))</f>
        <v>Probabilidad</v>
      </c>
      <c r="AB17" s="215" t="s">
        <v>13</v>
      </c>
      <c r="AC17" s="215" t="s">
        <v>8</v>
      </c>
      <c r="AD17" s="216" t="str">
        <f t="shared" si="0"/>
        <v>40%</v>
      </c>
      <c r="AE17" s="215" t="s">
        <v>18</v>
      </c>
      <c r="AF17" s="215" t="s">
        <v>21</v>
      </c>
      <c r="AG17" s="215" t="s">
        <v>117</v>
      </c>
      <c r="AH17" s="650" t="s">
        <v>429</v>
      </c>
      <c r="AI17" s="217">
        <f t="shared" ref="AI17:AI23" si="8">IFERROR(IF(AA17="Probabilidad",(R17-(+R17*AD17)),IF(AA17="Impacto",R17,"")),"")</f>
        <v>0.36</v>
      </c>
      <c r="AJ17" s="367" t="str">
        <f t="shared" ref="AJ17:AJ23" si="9">IFERROR(IF(AI17="","",IF(AI17&lt;=0.2,"Muy Baja",IF(AI17&lt;=0.4,"Baja",IF(AI17&lt;=0.6,"Media",IF(AI17&lt;=0.8,"Alta","Muy Alta"))))),"")</f>
        <v>Baja</v>
      </c>
      <c r="AK17" s="219">
        <f t="shared" si="1"/>
        <v>0.36</v>
      </c>
      <c r="AL17" s="367" t="str">
        <f t="shared" ref="AL17:AL23" ca="1" si="10">IFERROR(IF(AM17="","",IF(AM17&lt;=0.2,"Leve",IF(AM17&lt;=0.4,"Menor",IF(AM17&lt;=0.6,"Moderado",IF(AM17&lt;=0.8,"Mayor","Catastrófico"))))),"")</f>
        <v>Moderado</v>
      </c>
      <c r="AM17" s="219">
        <f ca="1">IFERROR(IF(AA17="Impacto",(V17-(+V17*AD17)),IF(AA17="Probabilidad",V17,"")),"")</f>
        <v>0.6</v>
      </c>
      <c r="AN17" s="365" t="str">
        <f t="shared" ca="1" si="2"/>
        <v>Moderado</v>
      </c>
      <c r="AO17" s="215" t="s">
        <v>30</v>
      </c>
      <c r="AP17" s="361" t="s">
        <v>413</v>
      </c>
      <c r="AQ17" s="361" t="s">
        <v>404</v>
      </c>
      <c r="AR17" s="288">
        <v>45687</v>
      </c>
      <c r="AS17" s="221"/>
      <c r="AT17" s="198"/>
      <c r="AU17" s="209"/>
      <c r="AV17" s="221"/>
      <c r="AW17" s="198"/>
      <c r="AX17" s="209"/>
      <c r="AY17" s="209"/>
      <c r="AZ17" s="221"/>
      <c r="BA17" s="198"/>
      <c r="BB17" s="209"/>
      <c r="BC17" s="185"/>
      <c r="BD17" s="185"/>
      <c r="BE17" s="185"/>
      <c r="BF17" s="185"/>
      <c r="BG17" s="185"/>
      <c r="BH17" s="185"/>
      <c r="BI17" s="185"/>
      <c r="BJ17" s="185"/>
      <c r="BK17" s="185"/>
      <c r="BL17" s="185"/>
      <c r="BM17" s="185"/>
      <c r="BN17" s="185"/>
      <c r="BO17" s="185"/>
      <c r="BP17" s="185"/>
      <c r="BQ17" s="185"/>
      <c r="BR17" s="185"/>
      <c r="BS17" s="185"/>
      <c r="BT17" s="185"/>
      <c r="BU17" s="185"/>
      <c r="BV17" s="185"/>
      <c r="BW17" s="185"/>
      <c r="BX17" s="185"/>
      <c r="BY17" s="185"/>
      <c r="BZ17" s="185"/>
      <c r="CA17" s="185"/>
      <c r="CB17" s="185"/>
    </row>
    <row r="18" spans="4:80" ht="172.9" customHeight="1" x14ac:dyDescent="0.2">
      <c r="D18" s="291"/>
      <c r="E18" s="291"/>
      <c r="F18" s="292"/>
      <c r="G18" s="355"/>
      <c r="H18" s="291"/>
      <c r="I18" s="287"/>
      <c r="J18" s="198"/>
      <c r="K18" s="287"/>
      <c r="L18" s="294"/>
      <c r="M18" s="287"/>
      <c r="N18" s="287"/>
      <c r="O18" s="287"/>
      <c r="P18" s="357"/>
      <c r="Q18" s="298"/>
      <c r="R18" s="296"/>
      <c r="S18" s="353"/>
      <c r="T18" s="296"/>
      <c r="U18" s="298"/>
      <c r="V18" s="296"/>
      <c r="W18" s="360"/>
      <c r="X18" s="214">
        <v>2</v>
      </c>
      <c r="Y18" s="200" t="s">
        <v>414</v>
      </c>
      <c r="Z18" s="163" t="s">
        <v>430</v>
      </c>
      <c r="AA18" s="201" t="str">
        <f t="shared" si="7"/>
        <v>Probabilidad</v>
      </c>
      <c r="AB18" s="215" t="s">
        <v>13</v>
      </c>
      <c r="AC18" s="215" t="s">
        <v>8</v>
      </c>
      <c r="AD18" s="216" t="str">
        <f t="shared" si="0"/>
        <v>40%</v>
      </c>
      <c r="AE18" s="215" t="s">
        <v>18</v>
      </c>
      <c r="AF18" s="215" t="s">
        <v>21</v>
      </c>
      <c r="AG18" s="215" t="s">
        <v>118</v>
      </c>
      <c r="AH18" s="198" t="s">
        <v>431</v>
      </c>
      <c r="AI18" s="656">
        <f>IFERROR(IF(AND(AA17="Probabilidad",AA18="Probabilidad"),(AK17-(+AK17*AD18)),IF(AA18="Probabilidad",(S17-(+S17*AA18)),IF(AA18="Impacto",AK17,""))),"")</f>
        <v>0.216</v>
      </c>
      <c r="AJ18" s="368"/>
      <c r="AK18" s="219">
        <f t="shared" ref="AK18" si="11">+AI18</f>
        <v>0.216</v>
      </c>
      <c r="AL18" s="368"/>
      <c r="AM18" s="219">
        <f ca="1">IFERROR(IF(AA17="Impacto",(V17-(+V17*AD17)),IF(AA17="Probabilidad",V17,"")),"")</f>
        <v>0.6</v>
      </c>
      <c r="AN18" s="366"/>
      <c r="AO18" s="215" t="s">
        <v>133</v>
      </c>
      <c r="AP18" s="362"/>
      <c r="AQ18" s="362"/>
      <c r="AR18" s="289"/>
      <c r="AS18" s="221"/>
      <c r="AT18" s="198"/>
      <c r="AU18" s="209"/>
      <c r="AV18" s="221"/>
      <c r="AW18" s="198"/>
      <c r="AX18" s="209"/>
      <c r="AY18" s="209"/>
      <c r="AZ18" s="221"/>
      <c r="BA18" s="198"/>
      <c r="BB18" s="209"/>
      <c r="BC18" s="185"/>
      <c r="BD18" s="185"/>
      <c r="BE18" s="185"/>
      <c r="BF18" s="185"/>
      <c r="BG18" s="185"/>
      <c r="BH18" s="185"/>
      <c r="BI18" s="185"/>
      <c r="BJ18" s="185"/>
      <c r="BK18" s="185"/>
      <c r="BL18" s="185"/>
      <c r="BM18" s="185"/>
      <c r="BN18" s="185"/>
      <c r="BO18" s="185"/>
      <c r="BP18" s="185"/>
      <c r="BQ18" s="185"/>
      <c r="BR18" s="185"/>
      <c r="BS18" s="185"/>
      <c r="BT18" s="185"/>
      <c r="BU18" s="185"/>
      <c r="BV18" s="185"/>
      <c r="BW18" s="185"/>
      <c r="BX18" s="185"/>
      <c r="BY18" s="185"/>
      <c r="BZ18" s="185"/>
      <c r="CA18" s="185"/>
      <c r="CB18" s="185"/>
    </row>
    <row r="19" spans="4:80" ht="172.9" customHeight="1" x14ac:dyDescent="0.2">
      <c r="D19" s="290">
        <v>3</v>
      </c>
      <c r="E19" s="290" t="s">
        <v>217</v>
      </c>
      <c r="F19" s="290" t="s">
        <v>129</v>
      </c>
      <c r="G19" s="354" t="s">
        <v>311</v>
      </c>
      <c r="H19" s="290" t="s">
        <v>225</v>
      </c>
      <c r="I19" s="286" t="s">
        <v>399</v>
      </c>
      <c r="J19" s="198"/>
      <c r="K19" s="286" t="s">
        <v>400</v>
      </c>
      <c r="L19" s="293" t="s">
        <v>401</v>
      </c>
      <c r="M19" s="286" t="s">
        <v>408</v>
      </c>
      <c r="N19" s="286" t="s">
        <v>232</v>
      </c>
      <c r="O19" s="286" t="s">
        <v>236</v>
      </c>
      <c r="P19" s="356">
        <v>20</v>
      </c>
      <c r="Q19" s="297" t="str">
        <f t="shared" si="3"/>
        <v>Baja</v>
      </c>
      <c r="R19" s="295">
        <f t="shared" si="4"/>
        <v>0.4</v>
      </c>
      <c r="S19" s="352" t="s">
        <v>150</v>
      </c>
      <c r="T19" s="369" t="str">
        <f ca="1">IF(NOT(ISERROR(MATCH(S19,'Tabla Impacto'!$B$221:$B$223,0))),'Tabla Impacto'!$F$223&amp;"Por favor no seleccionar los criterios de impacto(Afectación Económica o presupuestal y Pérdida Reputacional)",S19)</f>
        <v xml:space="preserve">     El riesgo afecta la imagen de la entidad con algunos usuarios de relevancia frente al logro de los objetivos</v>
      </c>
      <c r="U19" s="297" t="str">
        <f ca="1">IF(OR(T19='Tabla Impacto'!$C$11,T19='Tabla Impacto'!$D$11),"Leve",IF(OR(T19='Tabla Impacto'!$C$12,T19='Tabla Impacto'!$D$12),"Menor",IF(OR(T19='Tabla Impacto'!$C$13,T19='Tabla Impacto'!$D$13),"Moderado",IF(OR(T19='Tabla Impacto'!$C$14,T19='Tabla Impacto'!$D$14),"Mayor",IF(OR(T19='Tabla Impacto'!$C$15,T19='Tabla Impacto'!$D$15),"Catastrófico","")))))</f>
        <v>Moderado</v>
      </c>
      <c r="V19" s="295">
        <f t="shared" ca="1" si="5"/>
        <v>0.6</v>
      </c>
      <c r="W19" s="359" t="str">
        <f t="shared" ca="1" si="6"/>
        <v>Moderado</v>
      </c>
      <c r="X19" s="214"/>
      <c r="Y19" s="200" t="s">
        <v>415</v>
      </c>
      <c r="Z19" s="163" t="s">
        <v>432</v>
      </c>
      <c r="AA19" s="201" t="str">
        <f t="shared" si="7"/>
        <v>Probabilidad</v>
      </c>
      <c r="AB19" s="215" t="s">
        <v>13</v>
      </c>
      <c r="AC19" s="215" t="s">
        <v>8</v>
      </c>
      <c r="AD19" s="216" t="str">
        <f t="shared" si="0"/>
        <v>40%</v>
      </c>
      <c r="AE19" s="215" t="s">
        <v>18</v>
      </c>
      <c r="AF19" s="215" t="s">
        <v>21</v>
      </c>
      <c r="AG19" s="215" t="s">
        <v>117</v>
      </c>
      <c r="AH19" s="198" t="s">
        <v>433</v>
      </c>
      <c r="AI19" s="217">
        <f t="shared" si="8"/>
        <v>0.24</v>
      </c>
      <c r="AJ19" s="367" t="str">
        <f t="shared" si="9"/>
        <v>Baja</v>
      </c>
      <c r="AK19" s="219">
        <f t="shared" si="1"/>
        <v>0.24</v>
      </c>
      <c r="AL19" s="363" t="str">
        <f t="shared" ca="1" si="10"/>
        <v>Moderado</v>
      </c>
      <c r="AM19" s="219">
        <f t="shared" ref="AM17:AM23" ca="1" si="12">IFERROR(IF(AA19="Impacto",(V19-(+V19*AD19)),IF(AA19="Probabilidad",V19,"")),"")</f>
        <v>0.6</v>
      </c>
      <c r="AN19" s="365" t="str">
        <f t="shared" ca="1" si="2"/>
        <v>Moderado</v>
      </c>
      <c r="AO19" s="215" t="s">
        <v>133</v>
      </c>
      <c r="AP19" s="361" t="s">
        <v>403</v>
      </c>
      <c r="AQ19" s="361" t="s">
        <v>257</v>
      </c>
      <c r="AR19" s="288">
        <v>45687</v>
      </c>
      <c r="AS19" s="221"/>
      <c r="AT19" s="198"/>
      <c r="AU19" s="209"/>
      <c r="AV19" s="221"/>
      <c r="AW19" s="198"/>
      <c r="AX19" s="209"/>
      <c r="AY19" s="209"/>
      <c r="AZ19" s="221"/>
      <c r="BA19" s="198"/>
      <c r="BB19" s="209"/>
      <c r="BC19" s="185"/>
      <c r="BD19" s="185"/>
      <c r="BE19" s="185"/>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row>
    <row r="20" spans="4:80" ht="172.9" customHeight="1" x14ac:dyDescent="0.2">
      <c r="D20" s="291"/>
      <c r="E20" s="291"/>
      <c r="F20" s="291"/>
      <c r="G20" s="355"/>
      <c r="H20" s="291"/>
      <c r="I20" s="287"/>
      <c r="J20" s="198"/>
      <c r="K20" s="287"/>
      <c r="L20" s="294"/>
      <c r="M20" s="287"/>
      <c r="N20" s="287"/>
      <c r="O20" s="287"/>
      <c r="P20" s="357"/>
      <c r="Q20" s="298"/>
      <c r="R20" s="296"/>
      <c r="S20" s="353"/>
      <c r="T20" s="370"/>
      <c r="U20" s="298"/>
      <c r="V20" s="296"/>
      <c r="W20" s="360"/>
      <c r="X20" s="214"/>
      <c r="Y20" s="229" t="s">
        <v>416</v>
      </c>
      <c r="Z20" s="163" t="s">
        <v>434</v>
      </c>
      <c r="AA20" s="201" t="str">
        <f t="shared" si="7"/>
        <v>Probabilidad</v>
      </c>
      <c r="AB20" s="215" t="s">
        <v>13</v>
      </c>
      <c r="AC20" s="215" t="s">
        <v>8</v>
      </c>
      <c r="AD20" s="216" t="str">
        <f t="shared" si="0"/>
        <v>40%</v>
      </c>
      <c r="AE20" s="215" t="s">
        <v>19</v>
      </c>
      <c r="AF20" s="215" t="s">
        <v>21</v>
      </c>
      <c r="AG20" s="215" t="s">
        <v>117</v>
      </c>
      <c r="AH20" s="198" t="s">
        <v>435</v>
      </c>
      <c r="AI20" s="656">
        <f>IFERROR(IF(AND(AA19="Probabilidad",AA20="Probabilidad"),(AK19-(+AK19*AD20)),IF(AA20="Probabilidad",(S19-(+S19*AA20)),IF(AA20="Impacto",AK19,""))),"")</f>
        <v>0.14399999999999999</v>
      </c>
      <c r="AJ20" s="368"/>
      <c r="AK20" s="219">
        <f t="shared" si="1"/>
        <v>0.14399999999999999</v>
      </c>
      <c r="AL20" s="364"/>
      <c r="AM20" s="219">
        <f ca="1">IFERROR(IF(AA20="Impacto",(V19-(+V19*AD19)),IF(AA19="Probabilidad",V19,"")),"")</f>
        <v>0.6</v>
      </c>
      <c r="AN20" s="366"/>
      <c r="AO20" s="215" t="s">
        <v>133</v>
      </c>
      <c r="AP20" s="362"/>
      <c r="AQ20" s="362"/>
      <c r="AR20" s="289"/>
      <c r="AS20" s="221"/>
      <c r="AT20" s="198"/>
      <c r="AU20" s="209"/>
      <c r="AV20" s="221"/>
      <c r="AW20" s="198"/>
      <c r="AX20" s="209"/>
      <c r="AY20" s="209"/>
      <c r="AZ20" s="221"/>
      <c r="BA20" s="198"/>
      <c r="BB20" s="209"/>
      <c r="BC20" s="185"/>
      <c r="BD20" s="185"/>
      <c r="BE20" s="185"/>
      <c r="BF20" s="185"/>
      <c r="BG20" s="185"/>
      <c r="BH20" s="185"/>
      <c r="BI20" s="185"/>
      <c r="BJ20" s="185"/>
      <c r="BK20" s="185"/>
      <c r="BL20" s="185"/>
      <c r="BM20" s="185"/>
      <c r="BN20" s="185"/>
      <c r="BO20" s="185"/>
      <c r="BP20" s="185"/>
      <c r="BQ20" s="185"/>
      <c r="BR20" s="185"/>
      <c r="BS20" s="185"/>
      <c r="BT20" s="185"/>
      <c r="BU20" s="185"/>
      <c r="BV20" s="185"/>
      <c r="BW20" s="185"/>
      <c r="BX20" s="185"/>
      <c r="BY20" s="185"/>
      <c r="BZ20" s="185"/>
      <c r="CA20" s="185"/>
      <c r="CB20" s="185"/>
    </row>
    <row r="21" spans="4:80" ht="172.9" customHeight="1" x14ac:dyDescent="0.2">
      <c r="D21" s="214">
        <v>4</v>
      </c>
      <c r="E21" s="235" t="s">
        <v>215</v>
      </c>
      <c r="F21" s="222" t="s">
        <v>310</v>
      </c>
      <c r="G21" s="232" t="s">
        <v>312</v>
      </c>
      <c r="H21" s="235" t="s">
        <v>224</v>
      </c>
      <c r="I21" s="198" t="s">
        <v>402</v>
      </c>
      <c r="J21" s="198"/>
      <c r="K21" s="198" t="s">
        <v>417</v>
      </c>
      <c r="L21" s="223" t="s">
        <v>418</v>
      </c>
      <c r="M21" s="198" t="s">
        <v>126</v>
      </c>
      <c r="N21" s="198" t="s">
        <v>231</v>
      </c>
      <c r="O21" s="198" t="s">
        <v>235</v>
      </c>
      <c r="P21" s="209">
        <v>365</v>
      </c>
      <c r="Q21" s="210" t="str">
        <f t="shared" si="3"/>
        <v>Media</v>
      </c>
      <c r="R21" s="205">
        <f t="shared" si="4"/>
        <v>0.6</v>
      </c>
      <c r="S21" s="211" t="s">
        <v>150</v>
      </c>
      <c r="T21" s="212" t="str">
        <f ca="1">IF(NOT(ISERROR(MATCH(S21,'Tabla Impacto'!$B$221:$B$223,0))),'Tabla Impacto'!$F$223&amp;"Por favor no seleccionar los criterios de impacto(Afectación Económica o presupuestal y Pérdida Reputacional)",S21)</f>
        <v xml:space="preserve">     El riesgo afecta la imagen de la entidad con algunos usuarios de relevancia frente al logro de los objetivos</v>
      </c>
      <c r="U21" s="210" t="str">
        <f ca="1">IF(OR(T21='Tabla Impacto'!$C$11,T21='Tabla Impacto'!$D$11),"Leve",IF(OR(T21='Tabla Impacto'!$C$12,T21='Tabla Impacto'!$D$12),"Menor",IF(OR(T21='Tabla Impacto'!$C$13,T21='Tabla Impacto'!$D$13),"Moderado",IF(OR(T21='Tabla Impacto'!$C$14,T21='Tabla Impacto'!$D$14),"Mayor",IF(OR(T21='Tabla Impacto'!$C$15,T21='Tabla Impacto'!$D$15),"Catastrófico","")))))</f>
        <v>Moderado</v>
      </c>
      <c r="V21" s="205">
        <f t="shared" ca="1" si="5"/>
        <v>0.6</v>
      </c>
      <c r="W21" s="213" t="str">
        <f t="shared" ca="1" si="6"/>
        <v>Moderado</v>
      </c>
      <c r="X21" s="235">
        <v>1</v>
      </c>
      <c r="Y21" s="229" t="s">
        <v>419</v>
      </c>
      <c r="Z21" s="163" t="s">
        <v>436</v>
      </c>
      <c r="AA21" s="201" t="str">
        <f t="shared" si="7"/>
        <v>Probabilidad</v>
      </c>
      <c r="AB21" s="215" t="s">
        <v>13</v>
      </c>
      <c r="AC21" s="215" t="s">
        <v>8</v>
      </c>
      <c r="AD21" s="216" t="str">
        <f t="shared" si="0"/>
        <v>40%</v>
      </c>
      <c r="AE21" s="215" t="s">
        <v>18</v>
      </c>
      <c r="AF21" s="215"/>
      <c r="AG21" s="215" t="s">
        <v>117</v>
      </c>
      <c r="AH21" s="198" t="s">
        <v>437</v>
      </c>
      <c r="AI21" s="217">
        <f t="shared" si="8"/>
        <v>0.36</v>
      </c>
      <c r="AJ21" s="218" t="str">
        <f t="shared" si="9"/>
        <v>Baja</v>
      </c>
      <c r="AK21" s="219">
        <f t="shared" si="1"/>
        <v>0.36</v>
      </c>
      <c r="AL21" s="218" t="str">
        <f t="shared" ca="1" si="10"/>
        <v>Moderado</v>
      </c>
      <c r="AM21" s="219">
        <f t="shared" ca="1" si="12"/>
        <v>0.6</v>
      </c>
      <c r="AN21" s="220" t="str">
        <f t="shared" ca="1" si="2"/>
        <v>Moderado</v>
      </c>
      <c r="AO21" s="215" t="s">
        <v>133</v>
      </c>
      <c r="AP21" s="230" t="s">
        <v>420</v>
      </c>
      <c r="AQ21" s="198" t="s">
        <v>257</v>
      </c>
      <c r="AR21" s="231">
        <v>45687</v>
      </c>
      <c r="AS21" s="221"/>
      <c r="AT21" s="198"/>
      <c r="AU21" s="209"/>
      <c r="AV21" s="221"/>
      <c r="AW21" s="198"/>
      <c r="AX21" s="209"/>
      <c r="AY21" s="209"/>
      <c r="AZ21" s="221"/>
      <c r="BA21" s="198"/>
      <c r="BB21" s="209"/>
      <c r="BC21" s="185"/>
      <c r="BD21" s="185"/>
      <c r="BE21" s="185"/>
      <c r="BF21" s="185"/>
      <c r="BG21" s="185"/>
      <c r="BH21" s="185"/>
      <c r="BI21" s="185"/>
      <c r="BJ21" s="185"/>
      <c r="BK21" s="185"/>
      <c r="BL21" s="185"/>
      <c r="BM21" s="185"/>
      <c r="BN21" s="185"/>
      <c r="BO21" s="185"/>
      <c r="BP21" s="185"/>
      <c r="BQ21" s="185"/>
      <c r="BR21" s="185"/>
      <c r="BS21" s="185"/>
      <c r="BT21" s="185"/>
      <c r="BU21" s="185"/>
      <c r="BV21" s="185"/>
      <c r="BW21" s="185"/>
      <c r="BX21" s="185"/>
      <c r="BY21" s="185"/>
      <c r="BZ21" s="185"/>
      <c r="CA21" s="185"/>
      <c r="CB21" s="185"/>
    </row>
    <row r="22" spans="4:80" s="657" customFormat="1" ht="172.9" hidden="1" customHeight="1" x14ac:dyDescent="0.25">
      <c r="D22" s="233">
        <v>5</v>
      </c>
      <c r="E22" s="232"/>
      <c r="F22" s="232"/>
      <c r="G22" s="232"/>
      <c r="H22" s="233"/>
      <c r="I22" s="198"/>
      <c r="J22" s="198"/>
      <c r="K22" s="198"/>
      <c r="L22" s="658"/>
      <c r="M22" s="230"/>
      <c r="N22" s="198"/>
      <c r="O22" s="198"/>
      <c r="P22" s="198"/>
      <c r="Q22" s="210" t="str">
        <f t="shared" si="3"/>
        <v/>
      </c>
      <c r="R22" s="205" t="str">
        <f t="shared" si="4"/>
        <v/>
      </c>
      <c r="S22" s="211"/>
      <c r="T22" s="205">
        <f ca="1">IF(NOT(ISERROR(MATCH(S22,'Tabla Impacto'!$B$221:$B$223,0))),'Tabla Impacto'!$F$223&amp;"Por favor no seleccionar los criterios de impacto(Afectación Económica o presupuestal y Pérdida Reputacional)",S22)</f>
        <v>0</v>
      </c>
      <c r="U22" s="210" t="str">
        <f ca="1">IF(OR(T22='[3]Tabla Impacto'!$C$11,T22='[3]Tabla Impacto'!$D$11),"Leve",IF(OR(T22='[3]Tabla Impacto'!$C$12,T22='[3]Tabla Impacto'!$D$12),"Menor",IF(OR(T22='[3]Tabla Impacto'!$C$13,T22='[3]Tabla Impacto'!$D$13),"Moderado",IF(OR(T22='[3]Tabla Impacto'!$C$14,T22='[3]Tabla Impacto'!$D$14),"Mayor",IF(OR(T22='[3]Tabla Impacto'!$C$15,T22='[3]Tabla Impacto'!$D$15),"Catastrófico","")))))</f>
        <v/>
      </c>
      <c r="V22" s="205" t="str">
        <f t="shared" ca="1" si="5"/>
        <v/>
      </c>
      <c r="W22" s="210" t="str">
        <f t="shared" ca="1" si="6"/>
        <v/>
      </c>
      <c r="X22" s="233"/>
      <c r="Y22" s="163"/>
      <c r="Z22" s="163"/>
      <c r="AA22" s="201" t="str">
        <f t="shared" si="7"/>
        <v/>
      </c>
      <c r="AB22" s="206"/>
      <c r="AC22" s="206"/>
      <c r="AD22" s="205" t="str">
        <f t="shared" si="0"/>
        <v/>
      </c>
      <c r="AE22" s="206"/>
      <c r="AF22" s="206"/>
      <c r="AG22" s="206"/>
      <c r="AH22" s="209"/>
      <c r="AI22" s="659" t="str">
        <f t="shared" ref="AI22:AI23" si="13">IFERROR(IF(AB22="Probabilidad",(S22-(+S22*AE22)),IF(AB22="Impacto",S22,"")),"")</f>
        <v/>
      </c>
      <c r="AJ22" s="660" t="str">
        <f t="shared" si="9"/>
        <v/>
      </c>
      <c r="AK22" s="205" t="str">
        <f t="shared" si="1"/>
        <v/>
      </c>
      <c r="AL22" s="660" t="str">
        <f t="shared" si="10"/>
        <v/>
      </c>
      <c r="AM22" s="205" t="str">
        <f t="shared" si="12"/>
        <v/>
      </c>
      <c r="AN22" s="660" t="str">
        <f t="shared" si="2"/>
        <v/>
      </c>
      <c r="AO22" s="206"/>
      <c r="AP22" s="198"/>
      <c r="AQ22" s="198"/>
      <c r="AR22" s="208"/>
      <c r="AS22" s="208"/>
      <c r="AT22" s="198"/>
      <c r="AU22" s="198"/>
      <c r="AV22" s="208"/>
      <c r="AW22" s="198"/>
      <c r="AX22" s="198"/>
      <c r="AY22" s="198"/>
      <c r="AZ22" s="208"/>
      <c r="BA22" s="198"/>
      <c r="BB22" s="198"/>
      <c r="BC22" s="661"/>
      <c r="BD22" s="661"/>
      <c r="BE22" s="661"/>
      <c r="BF22" s="661"/>
      <c r="BG22" s="661"/>
      <c r="BH22" s="661"/>
      <c r="BI22" s="661"/>
      <c r="BJ22" s="661"/>
      <c r="BK22" s="661"/>
      <c r="BL22" s="661"/>
      <c r="BM22" s="661"/>
      <c r="BN22" s="661"/>
      <c r="BO22" s="661"/>
      <c r="BP22" s="661"/>
      <c r="BQ22" s="661"/>
      <c r="BR22" s="661"/>
      <c r="BS22" s="661"/>
      <c r="BT22" s="661"/>
      <c r="BU22" s="661"/>
      <c r="BV22" s="661"/>
      <c r="BW22" s="661"/>
      <c r="BX22" s="661"/>
      <c r="BY22" s="661"/>
      <c r="BZ22" s="661"/>
      <c r="CA22" s="661"/>
      <c r="CB22" s="661"/>
    </row>
    <row r="23" spans="4:80" s="657" customFormat="1" ht="172.9" hidden="1" customHeight="1" x14ac:dyDescent="0.25">
      <c r="D23" s="233">
        <v>6</v>
      </c>
      <c r="E23" s="232"/>
      <c r="F23" s="232"/>
      <c r="G23" s="232"/>
      <c r="H23" s="233"/>
      <c r="I23" s="198"/>
      <c r="J23" s="198"/>
      <c r="K23" s="198"/>
      <c r="L23" s="658"/>
      <c r="M23" s="230"/>
      <c r="N23" s="198"/>
      <c r="O23" s="198"/>
      <c r="P23" s="198"/>
      <c r="Q23" s="210" t="str">
        <f t="shared" si="3"/>
        <v/>
      </c>
      <c r="R23" s="205" t="str">
        <f t="shared" si="4"/>
        <v/>
      </c>
      <c r="S23" s="211"/>
      <c r="T23" s="205">
        <f ca="1">IF(NOT(ISERROR(MATCH(S23,'Tabla Impacto'!$B$221:$B$223,0))),'Tabla Impacto'!$F$223&amp;"Por favor no seleccionar los criterios de impacto(Afectación Económica o presupuestal y Pérdida Reputacional)",S23)</f>
        <v>0</v>
      </c>
      <c r="U23" s="210" t="str">
        <f ca="1">IF(OR(T23='[3]Tabla Impacto'!$C$11,T23='[3]Tabla Impacto'!$D$11),"Leve",IF(OR(T23='[3]Tabla Impacto'!$C$12,T23='[3]Tabla Impacto'!$D$12),"Menor",IF(OR(T23='[3]Tabla Impacto'!$C$13,T23='[3]Tabla Impacto'!$D$13),"Moderado",IF(OR(T23='[3]Tabla Impacto'!$C$14,T23='[3]Tabla Impacto'!$D$14),"Mayor",IF(OR(T23='[3]Tabla Impacto'!$C$15,T23='[3]Tabla Impacto'!$D$15),"Catastrófico","")))))</f>
        <v/>
      </c>
      <c r="V23" s="205" t="str">
        <f t="shared" ca="1" si="5"/>
        <v/>
      </c>
      <c r="W23" s="210" t="str">
        <f t="shared" ca="1" si="6"/>
        <v/>
      </c>
      <c r="X23" s="233"/>
      <c r="Y23" s="163"/>
      <c r="Z23" s="163"/>
      <c r="AA23" s="201" t="str">
        <f t="shared" si="7"/>
        <v/>
      </c>
      <c r="AB23" s="206"/>
      <c r="AC23" s="206"/>
      <c r="AD23" s="205" t="str">
        <f t="shared" si="0"/>
        <v/>
      </c>
      <c r="AE23" s="206"/>
      <c r="AF23" s="206"/>
      <c r="AG23" s="206"/>
      <c r="AH23" s="209"/>
      <c r="AI23" s="656" t="str">
        <f>IFERROR(IF(AND(AB22="Probabilidad",AB23="Probabilidad"),(AK22-(+AK22*AE23)),IF(AB23="Probabilidad",(T22-(+T22*AE23)),IF(AB23="Impacto",AK22,""))),"")</f>
        <v/>
      </c>
      <c r="AJ23" s="660" t="str">
        <f t="shared" si="9"/>
        <v/>
      </c>
      <c r="AK23" s="205" t="str">
        <f t="shared" si="1"/>
        <v/>
      </c>
      <c r="AL23" s="660" t="str">
        <f t="shared" si="10"/>
        <v/>
      </c>
      <c r="AM23" s="205" t="str">
        <f t="shared" si="12"/>
        <v/>
      </c>
      <c r="AN23" s="660" t="str">
        <f t="shared" si="2"/>
        <v/>
      </c>
      <c r="AO23" s="206"/>
      <c r="AP23" s="198"/>
      <c r="AQ23" s="198"/>
      <c r="AR23" s="208"/>
      <c r="AS23" s="208"/>
      <c r="AT23" s="198"/>
      <c r="AU23" s="198"/>
      <c r="AV23" s="208"/>
      <c r="AW23" s="198"/>
      <c r="AX23" s="198"/>
      <c r="AY23" s="198"/>
      <c r="AZ23" s="208"/>
      <c r="BA23" s="198"/>
      <c r="BB23" s="198"/>
      <c r="BC23" s="661"/>
      <c r="BD23" s="661"/>
      <c r="BE23" s="661"/>
      <c r="BF23" s="661"/>
      <c r="BG23" s="661"/>
      <c r="BH23" s="661"/>
      <c r="BI23" s="661"/>
      <c r="BJ23" s="661"/>
      <c r="BK23" s="661"/>
      <c r="BL23" s="661"/>
      <c r="BM23" s="661"/>
      <c r="BN23" s="661"/>
      <c r="BO23" s="661"/>
      <c r="BP23" s="661"/>
      <c r="BQ23" s="661"/>
      <c r="BR23" s="661"/>
      <c r="BS23" s="661"/>
      <c r="BT23" s="661"/>
      <c r="BU23" s="661"/>
      <c r="BV23" s="661"/>
      <c r="BW23" s="661"/>
      <c r="BX23" s="661"/>
      <c r="BY23" s="661"/>
      <c r="BZ23" s="661"/>
      <c r="CA23" s="661"/>
      <c r="CB23" s="661"/>
    </row>
    <row r="24" spans="4:80" ht="49.5" customHeight="1" x14ac:dyDescent="0.2">
      <c r="D24" s="224"/>
      <c r="E24" s="225"/>
      <c r="F24" s="225"/>
      <c r="G24" s="225"/>
      <c r="H24" s="225"/>
      <c r="I24" s="316" t="s">
        <v>440</v>
      </c>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7"/>
    </row>
    <row r="26" spans="4:80" ht="15.75" x14ac:dyDescent="0.2">
      <c r="D26" s="109"/>
      <c r="E26" s="110"/>
      <c r="F26" s="110"/>
      <c r="G26" s="110"/>
      <c r="H26" s="110"/>
      <c r="I26" s="110"/>
      <c r="J26" s="110"/>
      <c r="K26" s="110"/>
      <c r="L26" s="110"/>
      <c r="M26" s="181"/>
      <c r="N26" s="181"/>
      <c r="O26" s="181"/>
      <c r="Q26" s="111"/>
      <c r="R26" s="110"/>
      <c r="S26" s="110"/>
      <c r="T26" s="110"/>
      <c r="U26" s="110"/>
      <c r="V26" s="110"/>
      <c r="W26" s="110"/>
      <c r="X26" s="110"/>
      <c r="Y26" s="110"/>
      <c r="Z26" s="110"/>
      <c r="AA26" s="112"/>
      <c r="AB26" s="112"/>
      <c r="AC26" s="110"/>
      <c r="AD26" s="110"/>
      <c r="AE26" s="110"/>
      <c r="AF26" s="110"/>
      <c r="AG26" s="110"/>
      <c r="AH26" s="110"/>
      <c r="AI26" s="110"/>
      <c r="AJ26" s="110"/>
      <c r="AK26" s="110"/>
      <c r="AL26" s="110"/>
      <c r="AM26" s="110"/>
      <c r="AN26" s="110"/>
      <c r="AO26" s="113"/>
      <c r="AP26" s="113"/>
      <c r="AQ26" s="110"/>
      <c r="AR26" s="110"/>
      <c r="AS26" s="110"/>
      <c r="AT26" s="110"/>
      <c r="AU26" s="110"/>
      <c r="AV26" s="110"/>
      <c r="AW26" s="110"/>
    </row>
    <row r="27" spans="4:80" ht="18" x14ac:dyDescent="0.2">
      <c r="D27" s="662" t="s">
        <v>438</v>
      </c>
      <c r="E27" s="313"/>
      <c r="F27" s="313"/>
      <c r="G27" s="313"/>
      <c r="H27" s="313"/>
      <c r="I27" s="313"/>
      <c r="J27" s="313"/>
      <c r="K27" s="313"/>
      <c r="L27" s="313"/>
      <c r="M27" s="181"/>
      <c r="N27" s="181"/>
      <c r="O27" s="181"/>
      <c r="P27" s="310" t="s">
        <v>405</v>
      </c>
      <c r="Q27" s="311"/>
      <c r="R27" s="311"/>
      <c r="S27" s="312"/>
      <c r="T27" s="110"/>
      <c r="U27" s="110"/>
      <c r="V27" s="110"/>
      <c r="W27" s="110"/>
      <c r="X27" s="110"/>
      <c r="Y27" s="110"/>
      <c r="Z27" s="113"/>
      <c r="AA27" s="112"/>
      <c r="AB27" s="112"/>
      <c r="AC27" s="110"/>
      <c r="AD27" s="112"/>
      <c r="AE27" s="112"/>
      <c r="AF27" s="110"/>
      <c r="AG27" s="110"/>
      <c r="AH27" s="110"/>
      <c r="AI27" s="110"/>
      <c r="AJ27" s="110"/>
      <c r="AK27" s="110"/>
      <c r="AL27" s="110"/>
      <c r="AM27" s="110"/>
      <c r="AN27" s="110"/>
      <c r="AO27" s="110"/>
      <c r="AP27" s="110"/>
      <c r="AQ27" s="110"/>
      <c r="AR27" s="110"/>
      <c r="AS27" s="110"/>
      <c r="AT27" s="110"/>
      <c r="AU27" s="110"/>
      <c r="AV27" s="110"/>
      <c r="AW27" s="110"/>
    </row>
    <row r="28" spans="4:80" ht="15" thickBot="1" x14ac:dyDescent="0.25">
      <c r="D28" s="181"/>
      <c r="E28" s="181"/>
      <c r="F28" s="181"/>
      <c r="G28" s="181"/>
      <c r="H28" s="181"/>
      <c r="I28" s="181"/>
      <c r="J28" s="181"/>
      <c r="K28" s="181"/>
      <c r="M28" s="181"/>
      <c r="N28" s="181"/>
      <c r="O28" s="181"/>
      <c r="Q28" s="183" t="str">
        <f>+IFERROR(VLOOKUP(M28,$M$183:$Q$187,3,FALSE)*VLOOKUP(P28,$P$183:$Q$187,3,FALSE),"")</f>
        <v/>
      </c>
      <c r="AA28" s="183"/>
      <c r="AB28" s="226"/>
      <c r="AD28" s="226"/>
      <c r="AE28" s="226"/>
      <c r="AF28" s="227"/>
      <c r="AG28" s="227"/>
      <c r="AH28" s="227"/>
      <c r="AI28" s="227"/>
      <c r="AJ28" s="227"/>
      <c r="AK28" s="114"/>
      <c r="AL28" s="114"/>
      <c r="AM28" s="227"/>
      <c r="AN28" s="228"/>
      <c r="AR28" s="227"/>
      <c r="AT28" s="227"/>
      <c r="AV28" s="227"/>
    </row>
    <row r="29" spans="4:80" ht="17.45" customHeight="1" thickTop="1" thickBot="1" x14ac:dyDescent="0.25">
      <c r="D29" s="308" t="s">
        <v>205</v>
      </c>
      <c r="E29" s="308"/>
      <c r="F29" s="308"/>
      <c r="G29" s="308"/>
      <c r="H29" s="308"/>
      <c r="I29" s="308"/>
      <c r="J29" s="308"/>
      <c r="K29" s="308"/>
      <c r="L29" s="180" t="s">
        <v>206</v>
      </c>
      <c r="M29" s="308" t="s">
        <v>207</v>
      </c>
      <c r="N29" s="308"/>
      <c r="O29" s="308"/>
      <c r="P29" s="308"/>
      <c r="Q29" s="308"/>
      <c r="R29" s="308"/>
      <c r="S29" s="308"/>
      <c r="T29" s="118"/>
      <c r="U29" s="309" t="s">
        <v>208</v>
      </c>
      <c r="V29" s="309"/>
      <c r="W29" s="309"/>
      <c r="X29" s="308" t="s">
        <v>209</v>
      </c>
      <c r="Y29" s="308"/>
      <c r="Z29" s="308"/>
      <c r="AA29" s="308"/>
      <c r="AB29" s="309">
        <v>1</v>
      </c>
      <c r="AC29" s="309"/>
      <c r="AD29" s="309"/>
      <c r="AE29" s="309"/>
      <c r="AF29" s="117"/>
      <c r="AG29" s="117"/>
      <c r="AH29" s="117"/>
      <c r="AI29" s="117"/>
      <c r="AJ29" s="117"/>
      <c r="AK29" s="117"/>
      <c r="AL29" s="117"/>
      <c r="AM29" s="117"/>
      <c r="AN29" s="117"/>
      <c r="AO29" s="117"/>
      <c r="AP29" s="117"/>
      <c r="AQ29" s="117"/>
      <c r="AR29" s="117"/>
      <c r="AS29" s="117"/>
      <c r="AT29" s="117"/>
      <c r="AU29" s="117"/>
      <c r="AV29" s="117"/>
      <c r="AW29" s="115"/>
    </row>
    <row r="30" spans="4:80" ht="36.75" customHeight="1" thickTop="1" x14ac:dyDescent="0.25">
      <c r="D30" s="663" t="s">
        <v>439</v>
      </c>
      <c r="E30" s="664"/>
      <c r="F30" s="664"/>
      <c r="G30" s="664"/>
      <c r="H30" s="664"/>
      <c r="I30" s="664"/>
      <c r="J30" s="664"/>
      <c r="K30" s="664"/>
      <c r="L30" s="664"/>
      <c r="M30" s="664"/>
      <c r="N30" s="664"/>
      <c r="O30" s="664"/>
      <c r="P30" s="664"/>
      <c r="Q30" s="664"/>
      <c r="R30" s="664"/>
      <c r="S30" s="664"/>
      <c r="T30" s="664"/>
      <c r="U30" s="664"/>
      <c r="V30" s="664"/>
      <c r="W30" s="664"/>
      <c r="X30" s="664"/>
      <c r="Y30" s="664"/>
      <c r="Z30" s="664"/>
      <c r="AA30" s="664"/>
      <c r="AB30" s="664"/>
      <c r="AC30" s="664"/>
      <c r="AD30" s="664"/>
      <c r="AE30" s="664"/>
    </row>
  </sheetData>
  <autoFilter ref="AP15:AP16" xr:uid="{B003E9C5-0CE8-44CB-8B72-73DA0693D38A}"/>
  <dataConsolidate link="1"/>
  <mergeCells count="149">
    <mergeCell ref="A11:C11"/>
    <mergeCell ref="A12:C12"/>
    <mergeCell ref="D30:AE30"/>
    <mergeCell ref="AP19:AP20"/>
    <mergeCell ref="AQ19:AQ20"/>
    <mergeCell ref="AR19:AR20"/>
    <mergeCell ref="AL19:AL20"/>
    <mergeCell ref="AN19:AN20"/>
    <mergeCell ref="AJ17:AJ18"/>
    <mergeCell ref="AL17:AL18"/>
    <mergeCell ref="AN17:AN18"/>
    <mergeCell ref="T19:T20"/>
    <mergeCell ref="U19:U20"/>
    <mergeCell ref="V19:V20"/>
    <mergeCell ref="W19:W20"/>
    <mergeCell ref="AJ19:AJ20"/>
    <mergeCell ref="AQ17:AQ18"/>
    <mergeCell ref="AR17:AR18"/>
    <mergeCell ref="AP17:AP18"/>
    <mergeCell ref="Q19:Q20"/>
    <mergeCell ref="R19:R20"/>
    <mergeCell ref="S19:S20"/>
    <mergeCell ref="T17:T18"/>
    <mergeCell ref="U17:U18"/>
    <mergeCell ref="V17:V18"/>
    <mergeCell ref="W17:W18"/>
    <mergeCell ref="D19:D20"/>
    <mergeCell ref="E19:E20"/>
    <mergeCell ref="F19:F20"/>
    <mergeCell ref="H19:H20"/>
    <mergeCell ref="I19:I20"/>
    <mergeCell ref="K19:K20"/>
    <mergeCell ref="L19:L20"/>
    <mergeCell ref="M19:M20"/>
    <mergeCell ref="N19:N20"/>
    <mergeCell ref="D17:D18"/>
    <mergeCell ref="H17:H18"/>
    <mergeCell ref="I17:I18"/>
    <mergeCell ref="K17:K18"/>
    <mergeCell ref="Q15:Q16"/>
    <mergeCell ref="R15:R16"/>
    <mergeCell ref="S15:S16"/>
    <mergeCell ref="G17:G18"/>
    <mergeCell ref="G19:G20"/>
    <mergeCell ref="L17:L18"/>
    <mergeCell ref="M17:M18"/>
    <mergeCell ref="N17:N18"/>
    <mergeCell ref="O17:O18"/>
    <mergeCell ref="P17:P18"/>
    <mergeCell ref="Q17:Q18"/>
    <mergeCell ref="R17:R18"/>
    <mergeCell ref="S17:S18"/>
    <mergeCell ref="D15:D16"/>
    <mergeCell ref="E15:E16"/>
    <mergeCell ref="F15:F16"/>
    <mergeCell ref="G15:G16"/>
    <mergeCell ref="H15:H16"/>
    <mergeCell ref="O19:O20"/>
    <mergeCell ref="P19:P20"/>
    <mergeCell ref="BA2:BB2"/>
    <mergeCell ref="BA3:BB3"/>
    <mergeCell ref="BA4:BB4"/>
    <mergeCell ref="BA5:BB5"/>
    <mergeCell ref="D2:H5"/>
    <mergeCell ref="H9:BB9"/>
    <mergeCell ref="H8:BB8"/>
    <mergeCell ref="H7:BB7"/>
    <mergeCell ref="D13:D14"/>
    <mergeCell ref="I2:AZ5"/>
    <mergeCell ref="D12:P12"/>
    <mergeCell ref="Q12:W12"/>
    <mergeCell ref="AY13:AY14"/>
    <mergeCell ref="D7:G7"/>
    <mergeCell ref="D11:AU11"/>
    <mergeCell ref="AV11:AY11"/>
    <mergeCell ref="AZ11:BB11"/>
    <mergeCell ref="AZ13:AZ14"/>
    <mergeCell ref="AX13:AX14"/>
    <mergeCell ref="AP12:BB12"/>
    <mergeCell ref="X12:AG12"/>
    <mergeCell ref="N13:O13"/>
    <mergeCell ref="AH12:AH14"/>
    <mergeCell ref="K13:K14"/>
    <mergeCell ref="I13:I14"/>
    <mergeCell ref="S13:S14"/>
    <mergeCell ref="T13:T14"/>
    <mergeCell ref="AP13:AP14"/>
    <mergeCell ref="AJ15:AJ16"/>
    <mergeCell ref="Z13:Z14"/>
    <mergeCell ref="D8:G8"/>
    <mergeCell ref="D9:G9"/>
    <mergeCell ref="X29:AA29"/>
    <mergeCell ref="AB29:AE29"/>
    <mergeCell ref="D29:K29"/>
    <mergeCell ref="P27:S27"/>
    <mergeCell ref="M29:S29"/>
    <mergeCell ref="U29:W29"/>
    <mergeCell ref="D27:L27"/>
    <mergeCell ref="E13:E14"/>
    <mergeCell ref="AA13:AA14"/>
    <mergeCell ref="H13:H14"/>
    <mergeCell ref="X13:X14"/>
    <mergeCell ref="Y13:Y14"/>
    <mergeCell ref="I24:AU24"/>
    <mergeCell ref="W13:W14"/>
    <mergeCell ref="AU13:AU14"/>
    <mergeCell ref="AT13:AT14"/>
    <mergeCell ref="AS13:AS14"/>
    <mergeCell ref="AR13:AR14"/>
    <mergeCell ref="AQ13:AQ14"/>
    <mergeCell ref="AL13:AL14"/>
    <mergeCell ref="AJ13:AJ14"/>
    <mergeCell ref="AK13:AK14"/>
    <mergeCell ref="P13:P14"/>
    <mergeCell ref="Q13:Q14"/>
    <mergeCell ref="AI12:AO12"/>
    <mergeCell ref="BA13:BA14"/>
    <mergeCell ref="BB13:BB14"/>
    <mergeCell ref="AV13:AV14"/>
    <mergeCell ref="AW13:AW14"/>
    <mergeCell ref="AO13:AO14"/>
    <mergeCell ref="AB13:AC13"/>
    <mergeCell ref="AD13:AG13"/>
    <mergeCell ref="R13:R14"/>
    <mergeCell ref="U13:U14"/>
    <mergeCell ref="V13:V14"/>
    <mergeCell ref="AL15:AL16"/>
    <mergeCell ref="AN15:AN16"/>
    <mergeCell ref="AN13:AN14"/>
    <mergeCell ref="AM13:AM14"/>
    <mergeCell ref="AI13:AI14"/>
    <mergeCell ref="AP15:AP16"/>
    <mergeCell ref="AQ15:AQ16"/>
    <mergeCell ref="AR15:AR16"/>
    <mergeCell ref="E17:E18"/>
    <mergeCell ref="F17:F18"/>
    <mergeCell ref="I15:I16"/>
    <mergeCell ref="K15:K16"/>
    <mergeCell ref="L15:L16"/>
    <mergeCell ref="M15:M16"/>
    <mergeCell ref="N15:N16"/>
    <mergeCell ref="T15:T16"/>
    <mergeCell ref="U15:U16"/>
    <mergeCell ref="V15:V16"/>
    <mergeCell ref="W15:W16"/>
    <mergeCell ref="O15:O16"/>
    <mergeCell ref="P15:P16"/>
    <mergeCell ref="M13:M14"/>
    <mergeCell ref="L13:L14"/>
  </mergeCells>
  <conditionalFormatting sqref="Q15 Q17 Q19 Q21">
    <cfRule type="cellIs" dxfId="63" priority="66" operator="equal">
      <formula>"Muy Alta"</formula>
    </cfRule>
    <cfRule type="cellIs" dxfId="62" priority="67" operator="equal">
      <formula>"Alta"</formula>
    </cfRule>
    <cfRule type="cellIs" dxfId="61" priority="68" operator="equal">
      <formula>"Media"</formula>
    </cfRule>
    <cfRule type="cellIs" dxfId="60" priority="69" operator="equal">
      <formula>"Baja"</formula>
    </cfRule>
    <cfRule type="cellIs" dxfId="59" priority="70" operator="equal">
      <formula>"Muy Baja"</formula>
    </cfRule>
  </conditionalFormatting>
  <conditionalFormatting sqref="T15 T17 T19 T21">
    <cfRule type="containsText" dxfId="58" priority="42" operator="containsText" text="❌">
      <formula>NOT(ISERROR(SEARCH("❌",T15)))</formula>
    </cfRule>
  </conditionalFormatting>
  <conditionalFormatting sqref="U15 U17 U19 U21">
    <cfRule type="cellIs" dxfId="57" priority="61" operator="equal">
      <formula>"Catastrófico"</formula>
    </cfRule>
    <cfRule type="cellIs" dxfId="56" priority="62" operator="equal">
      <formula>"Mayor"</formula>
    </cfRule>
    <cfRule type="cellIs" dxfId="55" priority="63" operator="equal">
      <formula>"Moderado"</formula>
    </cfRule>
    <cfRule type="cellIs" dxfId="54" priority="64" operator="equal">
      <formula>"Menor"</formula>
    </cfRule>
    <cfRule type="cellIs" dxfId="53" priority="65" operator="equal">
      <formula>"Leve"</formula>
    </cfRule>
  </conditionalFormatting>
  <conditionalFormatting sqref="W15 W17 W19 W21">
    <cfRule type="cellIs" dxfId="52" priority="57" operator="equal">
      <formula>"Extremo"</formula>
    </cfRule>
    <cfRule type="cellIs" dxfId="51" priority="58" operator="equal">
      <formula>"Alto"</formula>
    </cfRule>
    <cfRule type="cellIs" dxfId="50" priority="59" operator="equal">
      <formula>"Moderado"</formula>
    </cfRule>
    <cfRule type="cellIs" dxfId="49" priority="60" operator="equal">
      <formula>"Bajo"</formula>
    </cfRule>
  </conditionalFormatting>
  <conditionalFormatting sqref="AJ15 AJ17 AJ21 AJ19">
    <cfRule type="cellIs" dxfId="48" priority="52" operator="equal">
      <formula>"Muy Alta"</formula>
    </cfRule>
    <cfRule type="cellIs" dxfId="47" priority="53" operator="equal">
      <formula>"Alta"</formula>
    </cfRule>
    <cfRule type="cellIs" dxfId="46" priority="54" operator="equal">
      <formula>"Media"</formula>
    </cfRule>
    <cfRule type="cellIs" dxfId="45" priority="55" operator="equal">
      <formula>"Baja"</formula>
    </cfRule>
    <cfRule type="cellIs" dxfId="44" priority="56" operator="equal">
      <formula>"Muy Baja"</formula>
    </cfRule>
  </conditionalFormatting>
  <conditionalFormatting sqref="AK26:AK28">
    <cfRule type="cellIs" dxfId="43" priority="30" stopIfTrue="1" operator="equal">
      <formula>#REF!</formula>
    </cfRule>
    <cfRule type="cellIs" dxfId="42" priority="31" operator="equal">
      <formula>#REF!</formula>
    </cfRule>
    <cfRule type="cellIs" dxfId="41" priority="32" operator="equal">
      <formula>#REF!</formula>
    </cfRule>
  </conditionalFormatting>
  <conditionalFormatting sqref="AL15 AL17 AL21 AL19">
    <cfRule type="cellIs" dxfId="40" priority="47" operator="equal">
      <formula>"Catastrófico"</formula>
    </cfRule>
    <cfRule type="cellIs" dxfId="39" priority="48" operator="equal">
      <formula>"Mayor"</formula>
    </cfRule>
    <cfRule type="cellIs" dxfId="38" priority="49" operator="equal">
      <formula>"Moderado"</formula>
    </cfRule>
    <cfRule type="cellIs" dxfId="37" priority="50" operator="equal">
      <formula>"Menor"</formula>
    </cfRule>
    <cfRule type="cellIs" dxfId="36" priority="51" operator="equal">
      <formula>"Leve"</formula>
    </cfRule>
  </conditionalFormatting>
  <conditionalFormatting sqref="AL26:AL28">
    <cfRule type="cellIs" dxfId="35" priority="33" stopIfTrue="1" operator="equal">
      <formula>#REF!</formula>
    </cfRule>
    <cfRule type="cellIs" dxfId="34" priority="34" stopIfTrue="1" operator="equal">
      <formula>#REF!</formula>
    </cfRule>
    <cfRule type="cellIs" dxfId="33" priority="35" stopIfTrue="1" operator="equal">
      <formula>#REF!</formula>
    </cfRule>
  </conditionalFormatting>
  <conditionalFormatting sqref="AN15 AN17 AN21 AN19">
    <cfRule type="cellIs" dxfId="32" priority="43" operator="equal">
      <formula>"Extremo"</formula>
    </cfRule>
    <cfRule type="cellIs" dxfId="31" priority="44" operator="equal">
      <formula>"Alto"</formula>
    </cfRule>
    <cfRule type="cellIs" dxfId="30" priority="45" operator="equal">
      <formula>"Moderado"</formula>
    </cfRule>
    <cfRule type="cellIs" dxfId="29" priority="46" operator="equal">
      <formula>"Bajo"</formula>
    </cfRule>
  </conditionalFormatting>
  <conditionalFormatting sqref="Q22:Q23">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T22:T23">
    <cfRule type="containsText" dxfId="23" priority="1" operator="containsText" text="❌">
      <formula>NOT(ISERROR(SEARCH("❌",T22)))</formula>
    </cfRule>
  </conditionalFormatting>
  <conditionalFormatting sqref="U22:U23">
    <cfRule type="cellIs" dxfId="22" priority="20" operator="equal">
      <formula>"Catastrófico"</formula>
    </cfRule>
    <cfRule type="cellIs" dxfId="21" priority="21" operator="equal">
      <formula>"Mayor"</formula>
    </cfRule>
    <cfRule type="cellIs" dxfId="20" priority="22" operator="equal">
      <formula>"Moderado"</formula>
    </cfRule>
    <cfRule type="cellIs" dxfId="19" priority="23" operator="equal">
      <formula>"Menor"</formula>
    </cfRule>
    <cfRule type="cellIs" dxfId="18" priority="24" operator="equal">
      <formula>"Leve"</formula>
    </cfRule>
  </conditionalFormatting>
  <conditionalFormatting sqref="W22:W23">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AJ22:AJ23">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L22:AL23">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N22:AN23">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dataValidations count="6">
    <dataValidation type="list" allowBlank="1" showInputMessage="1" showErrorMessage="1" sqref="L26" xr:uid="{C607136B-728B-449B-9E73-A919A47CAA65}">
      <formula1>$L$183:$L$192</formula1>
    </dataValidation>
    <dataValidation type="list" allowBlank="1" showInputMessage="1" showErrorMessage="1" sqref="L28 AK28:AL28" xr:uid="{2614BC55-F3E4-49D7-B6A3-6B0354F3005F}">
      <formula1>#REF!</formula1>
    </dataValidation>
    <dataValidation type="list" allowBlank="1" showInputMessage="1" showErrorMessage="1" sqref="AA28" xr:uid="{878451C5-3244-4B01-9678-EF8BA429E8F1}">
      <formula1>$S$183:$S$184</formula1>
    </dataValidation>
    <dataValidation type="list" allowBlank="1" showInputMessage="1" showErrorMessage="1" sqref="P28" xr:uid="{BC966A04-3F21-4555-B4ED-1D0D98A621B0}">
      <formula1>$P$183:$P$187</formula1>
    </dataValidation>
    <dataValidation type="list" allowBlank="1" showInputMessage="1" showErrorMessage="1" sqref="M28:O28" xr:uid="{4A95DB00-1D63-4BA3-8007-EDB27EB8413B}">
      <formula1>$M$183:$M$187</formula1>
    </dataValidation>
    <dataValidation type="list" allowBlank="1" showInputMessage="1" showErrorMessage="1" sqref="AV28 AT28 AR28 AB28 AD28:AJ28" xr:uid="{16819F76-47B6-405B-BAC1-E60358545662}">
      <formula1>$AR$183:$AR$190</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5">
        <x14:dataValidation type="list" allowBlank="1" showInputMessage="1" showErrorMessage="1" xr:uid="{0015F966-C9FF-487C-93B5-AD42B6EB4C0E}">
          <x14:formula1>
            <xm:f>'Opciones Tratamiento'!$B$9:$B$10</xm:f>
          </x14:formula1>
          <xm:sqref>AX15:AY21 AU15:AU21 BB15:BB21</xm:sqref>
        </x14:dataValidation>
        <x14:dataValidation type="list" allowBlank="1" showInputMessage="1" showErrorMessage="1" xr:uid="{F4BD0BBF-316C-460C-BE8D-FBBC644D65A9}">
          <x14:formula1>
            <xm:f>'Tabla Valoración controles'!$D$4:$D$6</xm:f>
          </x14:formula1>
          <xm:sqref>AB15:AB21</xm:sqref>
        </x14:dataValidation>
        <x14:dataValidation type="list" allowBlank="1" showInputMessage="1" showErrorMessage="1" xr:uid="{04E99555-C4B7-49A9-9EA0-CA4CF06F412E}">
          <x14:formula1>
            <xm:f>'Tabla Valoración controles'!$D$7:$D$8</xm:f>
          </x14:formula1>
          <xm:sqref>AC15:AC21</xm:sqref>
        </x14:dataValidation>
        <x14:dataValidation type="list" allowBlank="1" showInputMessage="1" showErrorMessage="1" xr:uid="{97D6DE03-E950-4DF2-8B27-BEEEA1B0A3AB}">
          <x14:formula1>
            <xm:f>'Tabla Valoración controles'!$D$9:$D$10</xm:f>
          </x14:formula1>
          <xm:sqref>AE15:AE21</xm:sqref>
        </x14:dataValidation>
        <x14:dataValidation type="list" allowBlank="1" showInputMessage="1" showErrorMessage="1" xr:uid="{CBD596B0-BDDE-4888-98E2-9C55AA9F2993}">
          <x14:formula1>
            <xm:f>'Tabla Valoración controles'!$D$11:$D$12</xm:f>
          </x14:formula1>
          <xm:sqref>AF15:AF21</xm:sqref>
        </x14:dataValidation>
        <x14:dataValidation type="list" allowBlank="1" showInputMessage="1" showErrorMessage="1" xr:uid="{1C94D8C3-9055-41CE-BD00-E1DBB63F095C}">
          <x14:formula1>
            <xm:f>'Tabla Valoración controles'!$D$13:$D$14</xm:f>
          </x14:formula1>
          <xm:sqref>AG15:AG21</xm:sqref>
        </x14:dataValidation>
        <x14:dataValidation type="list" allowBlank="1" showInputMessage="1" showErrorMessage="1" xr:uid="{5926C4D6-5C73-403C-8357-9491202C8833}">
          <x14:formula1>
            <xm:f>'Opciones Tratamiento'!$B$13:$B$19</xm:f>
          </x14:formula1>
          <xm:sqref>M15 M17 M19 M21</xm:sqref>
        </x14:dataValidation>
        <x14:dataValidation type="list" allowBlank="1" showInputMessage="1" showErrorMessage="1" xr:uid="{740129DE-94FD-434C-90F1-F765C9442422}">
          <x14:formula1>
            <xm:f>'Opciones Tratamiento'!$B$2:$B$5</xm:f>
          </x14:formula1>
          <xm:sqref>AO15:AO21</xm:sqref>
        </x14:dataValidation>
        <x14:dataValidation type="list" allowBlank="1" showInputMessage="1" showErrorMessage="1" xr:uid="{31D13291-37DF-4108-ABE2-CAB5AE682D0D}">
          <x14:formula1>
            <xm:f>'Tabla Impacto'!$F$210:$F$221</xm:f>
          </x14:formula1>
          <xm:sqref>S15 S17 S19 S21</xm:sqref>
        </x14:dataValidation>
        <x14:dataValidation type="custom" allowBlank="1" showInputMessage="1" showErrorMessage="1" error="Recuerde que las acciones se generan bajo la medida de mitigar el riesgo" xr:uid="{FC85F005-AE81-4F5E-B8D1-67413996205B}">
          <x14:formula1>
            <xm:f>IF(OR(AO15='Opciones Tratamiento'!$B$2,AO15='Opciones Tratamiento'!$B$3,AO15='Opciones Tratamiento'!$B$4),ISBLANK(AO15),ISTEXT(AO15))</xm:f>
          </x14:formula1>
          <xm:sqref>AQ15 AQ21</xm:sqref>
        </x14:dataValidation>
        <x14:dataValidation type="custom" allowBlank="1" showInputMessage="1" showErrorMessage="1" error="Recuerde que las acciones se generan bajo la medida de mitigar el riesgo" xr:uid="{FEC434E2-0012-4C79-9A7C-D712BEB33C6B}">
          <x14:formula1>
            <xm:f>IF(OR(AO15='Opciones Tratamiento'!$B$2,AO15='Opciones Tratamiento'!$B$3,AO15='Opciones Tratamiento'!$B$4),ISBLANK(AO15),ISTEXT(AO15))</xm:f>
          </x14:formula1>
          <xm:sqref>AZ15:AZ21 AT15:AT21</xm:sqref>
        </x14:dataValidation>
        <x14:dataValidation type="list" allowBlank="1" showInputMessage="1" showErrorMessage="1" xr:uid="{DBECE422-A95B-441A-935B-995330B25A86}">
          <x14:formula1>
            <xm:f>Listas!$A$2:$A$9</xm:f>
          </x14:formula1>
          <xm:sqref>E17 E19 E21</xm:sqref>
        </x14:dataValidation>
        <x14:dataValidation type="list" allowBlank="1" showInputMessage="1" showErrorMessage="1" xr:uid="{2AF88F11-DE53-4CE8-89B4-5412CC25C00E}">
          <x14:formula1>
            <xm:f>Listas!$B$2:$B$7</xm:f>
          </x14:formula1>
          <xm:sqref>H15 H17 H19 H21</xm:sqref>
        </x14:dataValidation>
        <x14:dataValidation type="list" allowBlank="1" showInputMessage="1" showErrorMessage="1" xr:uid="{DDF05210-AAA9-4FD8-9213-603F8ED87A9E}">
          <x14:formula1>
            <xm:f>Listas!$C$2:$C$6</xm:f>
          </x14:formula1>
          <xm:sqref>N15 N17 N19 N21</xm:sqref>
        </x14:dataValidation>
        <x14:dataValidation type="list" allowBlank="1" showInputMessage="1" showErrorMessage="1" xr:uid="{DDD124D9-3DEB-47EB-AB66-3A281AEEF6A3}">
          <x14:formula1>
            <xm:f>Listas!$D$2:$D$5</xm:f>
          </x14:formula1>
          <xm:sqref>O15 O17 O19 O21</xm:sqref>
        </x14:dataValidation>
        <x14:dataValidation type="custom" allowBlank="1" showInputMessage="1" showErrorMessage="1" error="Recuerde que las acciones se generan bajo la medida de mitigar el riesgo" xr:uid="{403E4756-0952-4893-B511-BEFBBD727F82}">
          <x14:formula1>
            <xm:f>IF(OR(AU15='Opciones Tratamiento'!$B$2,AU15='Opciones Tratamiento'!$B$3,AU15='Opciones Tratamiento'!$B$4),ISBLANK(AU15),ISTEXT(AU15))</xm:f>
          </x14:formula1>
          <xm:sqref>BA15:BA21</xm:sqref>
        </x14:dataValidation>
        <x14:dataValidation type="list" allowBlank="1" showInputMessage="1" showErrorMessage="1" xr:uid="{2557BEBC-18C9-4FE6-8FC0-C8024FC4CA60}">
          <x14:formula1>
            <xm:f>Hoja2!$B$3:$B$18</xm:f>
          </x14:formula1>
          <xm:sqref>E15</xm:sqref>
        </x14:dataValidation>
        <x14:dataValidation type="list" allowBlank="1" showInputMessage="1" showErrorMessage="1" xr:uid="{0038FEBA-45A5-4D6F-8578-E75CDD355948}">
          <x14:formula1>
            <xm:f>Hoja2!$D$3:$D$21</xm:f>
          </x14:formula1>
          <xm:sqref>F15 F17 F19 F21</xm:sqref>
        </x14:dataValidation>
        <x14:dataValidation type="list" allowBlank="1" showInputMessage="1" showErrorMessage="1" xr:uid="{B168C34C-4874-4915-9809-2E47179FFC7C}">
          <x14:formula1>
            <xm:f>Hoja2!$E$3:$E$23</xm:f>
          </x14:formula1>
          <xm:sqref>G15 G17 G19 G21</xm:sqref>
        </x14:dataValidation>
        <x14:dataValidation type="custom" allowBlank="1" showInputMessage="1" showErrorMessage="1" error="Recuerde que las acciones se generan bajo la medida de mitigar el riesgo" xr:uid="{4DC50C42-59AD-4968-A8A9-EE4EAF4E0C0C}">
          <x14:formula1>
            <xm:f>IF(OR(#REF!='Opciones Tratamiento'!$B$2,#REF!='Opciones Tratamiento'!$B$3,#REF!='Opciones Tratamiento'!$B$4),ISBLANK(#REF!),ISTEXT(#REF!))</xm:f>
          </x14:formula1>
          <xm:sqref>AV15:AV21</xm:sqref>
        </x14:dataValidation>
        <x14:dataValidation type="custom" allowBlank="1" showInputMessage="1" showErrorMessage="1" error="Recuerde que las acciones se generan bajo la medida de mitigar el riesgo" xr:uid="{EDA1F27A-A75C-45B2-9F79-A20D1ED07ADC}">
          <x14:formula1>
            <xm:f>IF(OR(AO16='Opciones Tratamiento'!$B$2,AO16='Opciones Tratamiento'!$B$3,AO16='Opciones Tratamiento'!$B$4),ISBLANK(AO16),ISTEXT(AO16))</xm:f>
          </x14:formula1>
          <xm:sqref>AS16:AS21</xm:sqref>
        </x14:dataValidation>
        <x14:dataValidation type="custom" allowBlank="1" showInputMessage="1" showErrorMessage="1" error="Recuerde que las acciones se generan bajo la medida de mitigar el riesgo" xr:uid="{06CE1613-4629-4C95-B4EE-D34333667AB9}">
          <x14:formula1>
            <xm:f>IF(OR(#REF!='Opciones Tratamiento'!$B$2,#REF!='Opciones Tratamiento'!$B$3,#REF!='Opciones Tratamiento'!$B$4),ISBLANK(#REF!),ISTEXT(#REF!))</xm:f>
          </x14:formula1>
          <xm:sqref>AW15:AW21</xm:sqref>
        </x14:dataValidation>
        <x14:dataValidation type="custom" allowBlank="1" showInputMessage="1" showErrorMessage="1" error="Recuerde que las acciones se generan bajo la medida de mitigar el riesgo" xr:uid="{0D212601-69EF-45DD-A2F0-EAEFC9059D73}">
          <x14:formula1>
            <xm:f>IF(OR(AO19='[mapaderiesgocalidad24 (1).xlsx]Opciones Tratamiento'!#REF!,AO19='[mapaderiesgocalidad24 (1).xlsx]Opciones Tratamiento'!#REF!,AO19='[mapaderiesgocalidad24 (1).xlsx]Opciones Tratamiento'!#REF!),ISBLANK(AO19),ISTEXT(AO19))</xm:f>
          </x14:formula1>
          <xm:sqref>AQ19</xm:sqref>
        </x14:dataValidation>
        <x14:dataValidation type="custom" allowBlank="1" showInputMessage="1" showErrorMessage="1" error="Recuerde que las acciones se generan bajo la medida de mitigar el riesgo" xr:uid="{837242C7-3E5C-40B4-B13D-1C2285844C73}">
          <x14:formula1>
            <xm:f>IF(OR(AP17='[mapaderiesgocalidad24 (1).xlsx]Opciones Tratamiento'!#REF!,AP17='[mapaderiesgocalidad24 (1).xlsx]Opciones Tratamiento'!#REF!,AP17='[mapaderiesgocalidad24 (1).xlsx]Opciones Tratamiento'!#REF!),ISBLANK(AP17),ISTEXT(AP17))</xm:f>
          </x14:formula1>
          <xm:sqref>AQ17</xm:sqref>
        </x14:dataValidation>
        <x14:dataValidation type="list" allowBlank="1" showInputMessage="1" showErrorMessage="1" xr:uid="{1EE3D00D-0624-44FA-B34A-6F41B5FD3E42}">
          <x14:formula1>
            <xm:f>'H:\CONTRATOS\ETITC\2025\Riesgos 2025\[2025MapadeRiesgosControlInterno.xlsx]Hoja2'!#REF!</xm:f>
          </x14:formula1>
          <xm:sqref>G22:G23</xm:sqref>
        </x14:dataValidation>
        <x14:dataValidation type="list" allowBlank="1" showInputMessage="1" showErrorMessage="1" xr:uid="{992D6332-8209-4F64-A0B9-FAFD5075686E}">
          <x14:formula1>
            <xm:f>'H:\CONTRATOS\ETITC\2025\Riesgos 2025\[2025MapadeRiesgosControlInterno.xlsx]Hoja2'!#REF!</xm:f>
          </x14:formula1>
          <xm:sqref>F22:F23</xm:sqref>
        </x14:dataValidation>
        <x14:dataValidation type="list" allowBlank="1" showInputMessage="1" showErrorMessage="1" xr:uid="{A2B66708-51FC-4C74-B750-69971C96E997}">
          <x14:formula1>
            <xm:f>'H:\CONTRATOS\ETITC\2025\Riesgos 2025\[2025MapadeRiesgosControlInterno.xlsx]Hoja2'!#REF!</xm:f>
          </x14:formula1>
          <xm:sqref>E22:E23</xm:sqref>
        </x14:dataValidation>
        <x14:dataValidation type="custom" allowBlank="1" showInputMessage="1" showErrorMessage="1" error="Recuerde que las acciones se generan bajo la medida de mitigar el riesgo" xr:uid="{4A40CB39-B713-4F54-92CE-662D94CB2502}">
          <x14:formula1>
            <xm:f>IF(OR(AU22='H:\CONTRATOS\ETITC\2025\Riesgos 2025\[2025MapadeRiesgosControlInterno.xlsx]Opciones Tratamiento'!#REF!,AU22='H:\CONTRATOS\ETITC\2025\Riesgos 2025\[2025MapadeRiesgosControlInterno.xlsx]Opciones Tratamiento'!#REF!,AU22='H:\CONTRATOS\ETITC\2025\Riesgos 2025\[2025MapadeRiesgosControlInterno.xlsx]Opciones Tratamiento'!#REF!),ISBLANK(AU22),ISTEXT(AU22))</xm:f>
          </x14:formula1>
          <xm:sqref>BA22:BA23</xm:sqref>
        </x14:dataValidation>
        <x14:dataValidation type="list" allowBlank="1" showInputMessage="1" showErrorMessage="1" xr:uid="{3574B57F-8212-43C5-A0CA-C9D524A6965F}">
          <x14:formula1>
            <xm:f>'H:\CONTRATOS\ETITC\2025\Riesgos 2025\[2025MapadeRiesgosControlInterno.xlsx]Listas'!#REF!</xm:f>
          </x14:formula1>
          <xm:sqref>O22:O23</xm:sqref>
        </x14:dataValidation>
        <x14:dataValidation type="list" allowBlank="1" showInputMessage="1" showErrorMessage="1" xr:uid="{99DF322A-4364-457C-B49A-FE5F231B52F4}">
          <x14:formula1>
            <xm:f>'H:\CONTRATOS\ETITC\2025\Riesgos 2025\[2025MapadeRiesgosControlInterno.xlsx]Listas'!#REF!</xm:f>
          </x14:formula1>
          <xm:sqref>N22:N23</xm:sqref>
        </x14:dataValidation>
        <x14:dataValidation type="list" allowBlank="1" showInputMessage="1" showErrorMessage="1" xr:uid="{D27893BD-8B35-46E5-A63C-A9FA438C0A4C}">
          <x14:formula1>
            <xm:f>'H:\CONTRATOS\ETITC\2025\Riesgos 2025\[2025MapadeRiesgosControlInterno.xlsx]Listas'!#REF!</xm:f>
          </x14:formula1>
          <xm:sqref>H22:H23</xm:sqref>
        </x14:dataValidation>
        <x14:dataValidation type="custom" allowBlank="1" showInputMessage="1" showErrorMessage="1" error="Recuerde que las acciones se generan bajo la medida de mitigar el riesgo" xr:uid="{7254BEF8-6364-4CD6-8B0A-307152B966D6}">
          <x14:formula1>
            <xm:f>IF(OR(AO22='H:\CONTRATOS\ETITC\2025\Riesgos 2025\[2025MapadeRiesgosControlInterno.xlsx]Opciones Tratamiento'!#REF!,AO22='H:\CONTRATOS\ETITC\2025\Riesgos 2025\[2025MapadeRiesgosControlInterno.xlsx]Opciones Tratamiento'!#REF!,AO22='H:\CONTRATOS\ETITC\2025\Riesgos 2025\[2025MapadeRiesgosControlInterno.xlsx]Opciones Tratamiento'!#REF!),ISBLANK(AO22),ISTEXT(AO22))</xm:f>
          </x14:formula1>
          <xm:sqref>AW22:AW23 AZ22:AZ23 AT22:AT23</xm:sqref>
        </x14:dataValidation>
        <x14:dataValidation type="custom" allowBlank="1" showInputMessage="1" showErrorMessage="1" error="Recuerde que las acciones se generan bajo la medida de mitigar el riesgo" xr:uid="{2911DBDF-1C19-4F7F-A80D-7EDBC3AF2222}">
          <x14:formula1>
            <xm:f>IF(OR(AO22='H:\CONTRATOS\ETITC\2025\Riesgos 2025\[2025MapadeRiesgosControlInterno.xlsx]Opciones Tratamiento'!#REF!,AO22='H:\CONTRATOS\ETITC\2025\Riesgos 2025\[2025MapadeRiesgosControlInterno.xlsx]Opciones Tratamiento'!#REF!,AO22='H:\CONTRATOS\ETITC\2025\Riesgos 2025\[2025MapadeRiesgosControlInterno.xlsx]Opciones Tratamiento'!#REF!),ISBLANK(AO22),ISTEXT(AO22))</xm:f>
          </x14:formula1>
          <xm:sqref>AV22:AV23 AS22:AS23</xm:sqref>
        </x14:dataValidation>
        <x14:dataValidation type="custom" allowBlank="1" showInputMessage="1" showErrorMessage="1" error="Recuerde que las acciones se generan bajo la medida de mitigar el riesgo" xr:uid="{922322A5-3516-4CF2-A95A-88EBA4A71CE7}">
          <x14:formula1>
            <xm:f>IF(OR(AO22='H:\CONTRATOS\ETITC\2025\Riesgos 2025\[2025MapadeRiesgosControlInterno.xlsx]Opciones Tratamiento'!#REF!,AO22='H:\CONTRATOS\ETITC\2025\Riesgos 2025\[2025MapadeRiesgosControlInterno.xlsx]Opciones Tratamiento'!#REF!,AO22='H:\CONTRATOS\ETITC\2025\Riesgos 2025\[2025MapadeRiesgosControlInterno.xlsx]Opciones Tratamiento'!#REF!),ISBLANK(AO22),ISTEXT(AO22))</xm:f>
          </x14:formula1>
          <xm:sqref>AR22:AR23</xm:sqref>
        </x14:dataValidation>
        <x14:dataValidation type="custom" allowBlank="1" showInputMessage="1" showErrorMessage="1" error="Recuerde que las acciones se generan bajo la medida de mitigar el riesgo" xr:uid="{851993B3-632B-4D66-9314-B6E7CE53B14F}">
          <x14:formula1>
            <xm:f>IF(OR(AO22='H:\CONTRATOS\ETITC\2025\Riesgos 2025\[2025MapadeRiesgosControlInterno.xlsx]Opciones Tratamiento'!#REF!,AO22='H:\CONTRATOS\ETITC\2025\Riesgos 2025\[2025MapadeRiesgosControlInterno.xlsx]Opciones Tratamiento'!#REF!,AO22='H:\CONTRATOS\ETITC\2025\Riesgos 2025\[2025MapadeRiesgosControlInterno.xlsx]Opciones Tratamiento'!#REF!),ISBLANK(AO22),ISTEXT(AO22))</xm:f>
          </x14:formula1>
          <xm:sqref>AQ22:AQ23</xm:sqref>
        </x14:dataValidation>
        <x14:dataValidation type="custom" allowBlank="1" showInputMessage="1" showErrorMessage="1" error="Recuerde que las acciones se generan bajo la medida de mitigar el riesgo" xr:uid="{F34172EE-68B0-40C9-B46E-A5668FF52161}">
          <x14:formula1>
            <xm:f>IF(OR(AO22='H:\CONTRATOS\ETITC\2025\Riesgos 2025\[2025MapadeRiesgosControlInterno.xlsx]Opciones Tratamiento'!#REF!,AO22='H:\CONTRATOS\ETITC\2025\Riesgos 2025\[2025MapadeRiesgosControlInterno.xlsx]Opciones Tratamiento'!#REF!,AO22='H:\CONTRATOS\ETITC\2025\Riesgos 2025\[2025MapadeRiesgosControlInterno.xlsx]Opciones Tratamiento'!#REF!),ISBLANK(AO22),ISTEXT(AO22))</xm:f>
          </x14:formula1>
          <xm:sqref>AP22:AP23</xm:sqref>
        </x14:dataValidation>
        <x14:dataValidation type="list" allowBlank="1" showInputMessage="1" showErrorMessage="1" xr:uid="{EA02552D-BC46-45C2-AEA1-8EBFCE005F0E}">
          <x14:formula1>
            <xm:f>'H:\CONTRATOS\ETITC\2025\Riesgos 2025\[2025MapadeRiesgosControlInterno.xlsx]Tabla Impacto'!#REF!</xm:f>
          </x14:formula1>
          <xm:sqref>S22:S23</xm:sqref>
        </x14:dataValidation>
        <x14:dataValidation type="list" allowBlank="1" showInputMessage="1" showErrorMessage="1" xr:uid="{4C03AA88-01BB-478A-830D-045B64C7B2F4}">
          <x14:formula1>
            <xm:f>'H:\CONTRATOS\ETITC\2025\Riesgos 2025\[2025MapadeRiesgosControlInterno.xlsx]Opciones Tratamiento'!#REF!</xm:f>
          </x14:formula1>
          <xm:sqref>AO22:AO23</xm:sqref>
        </x14:dataValidation>
        <x14:dataValidation type="list" allowBlank="1" showInputMessage="1" showErrorMessage="1" xr:uid="{B0598986-778C-48B7-8AA8-5FB4373E48DC}">
          <x14:formula1>
            <xm:f>'H:\CONTRATOS\ETITC\2025\Riesgos 2025\[2025MapadeRiesgosControlInterno.xlsx]Opciones Tratamiento'!#REF!</xm:f>
          </x14:formula1>
          <xm:sqref>M22:M23</xm:sqref>
        </x14:dataValidation>
        <x14:dataValidation type="list" allowBlank="1" showInputMessage="1" showErrorMessage="1" xr:uid="{93F231C3-9A2D-4DFC-8648-C84580B868BF}">
          <x14:formula1>
            <xm:f>'H:\CONTRATOS\ETITC\2025\Riesgos 2025\[2025MapadeRiesgosControlInterno.xlsx]Tabla Valoración controles'!#REF!</xm:f>
          </x14:formula1>
          <xm:sqref>AG22:AG23</xm:sqref>
        </x14:dataValidation>
        <x14:dataValidation type="list" allowBlank="1" showInputMessage="1" showErrorMessage="1" xr:uid="{67FD901C-0F4D-4CDC-8B1C-3DB90BF57D3E}">
          <x14:formula1>
            <xm:f>'H:\CONTRATOS\ETITC\2025\Riesgos 2025\[2025MapadeRiesgosControlInterno.xlsx]Tabla Valoración controles'!#REF!</xm:f>
          </x14:formula1>
          <xm:sqref>AF22:AF23</xm:sqref>
        </x14:dataValidation>
        <x14:dataValidation type="list" allowBlank="1" showInputMessage="1" showErrorMessage="1" xr:uid="{33A57E7C-AED3-4A76-AA77-6EFBA8DEA431}">
          <x14:formula1>
            <xm:f>'H:\CONTRATOS\ETITC\2025\Riesgos 2025\[2025MapadeRiesgosControlInterno.xlsx]Tabla Valoración controles'!#REF!</xm:f>
          </x14:formula1>
          <xm:sqref>AE22:AE23</xm:sqref>
        </x14:dataValidation>
        <x14:dataValidation type="list" allowBlank="1" showInputMessage="1" showErrorMessage="1" xr:uid="{BBEA29E8-5402-4AF2-82E3-87EF3CBBD924}">
          <x14:formula1>
            <xm:f>'H:\CONTRATOS\ETITC\2025\Riesgos 2025\[2025MapadeRiesgosControlInterno.xlsx]Tabla Valoración controles'!#REF!</xm:f>
          </x14:formula1>
          <xm:sqref>AC22:AC23</xm:sqref>
        </x14:dataValidation>
        <x14:dataValidation type="list" allowBlank="1" showInputMessage="1" showErrorMessage="1" xr:uid="{E8676ECA-7E0E-48C3-858B-642F095B7D7E}">
          <x14:formula1>
            <xm:f>'H:\CONTRATOS\ETITC\2025\Riesgos 2025\[2025MapadeRiesgosControlInterno.xlsx]Tabla Valoración controles'!#REF!</xm:f>
          </x14:formula1>
          <xm:sqref>AB22:AB23</xm:sqref>
        </x14:dataValidation>
        <x14:dataValidation type="list" allowBlank="1" showInputMessage="1" showErrorMessage="1" xr:uid="{56F00E77-AACC-4281-B3B4-4095438457E2}">
          <x14:formula1>
            <xm:f>'H:\CONTRATOS\ETITC\2025\Riesgos 2025\[2025MapadeRiesgosControlInterno.xlsx]Opciones Tratamiento'!#REF!</xm:f>
          </x14:formula1>
          <xm:sqref>AX22:AY23 BB22:BB23 AU22:AU23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6" sqref="D6"/>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71" t="s">
        <v>136</v>
      </c>
      <c r="C1" s="371"/>
      <c r="D1" s="371"/>
      <c r="E1" s="371"/>
      <c r="F1" s="371"/>
      <c r="G1" s="371"/>
      <c r="H1" s="371"/>
      <c r="I1" s="371"/>
      <c r="J1" s="371"/>
      <c r="L1" s="371" t="s">
        <v>138</v>
      </c>
      <c r="M1" s="371"/>
      <c r="N1" s="371"/>
      <c r="O1" s="371"/>
      <c r="P1" s="371"/>
      <c r="Q1" s="371"/>
      <c r="R1" s="371"/>
    </row>
    <row r="2" spans="2:18" ht="50.25" customHeight="1" x14ac:dyDescent="0.25">
      <c r="B2" s="175" t="s">
        <v>375</v>
      </c>
      <c r="C2" s="175" t="s">
        <v>379</v>
      </c>
      <c r="D2" s="174" t="s">
        <v>2</v>
      </c>
      <c r="E2" s="174" t="s">
        <v>315</v>
      </c>
      <c r="F2" s="174" t="s">
        <v>364</v>
      </c>
      <c r="G2" s="175" t="s">
        <v>365</v>
      </c>
      <c r="H2" s="176"/>
      <c r="I2" s="175" t="s">
        <v>228</v>
      </c>
      <c r="J2" s="174" t="s">
        <v>237</v>
      </c>
      <c r="L2" s="173" t="s">
        <v>12</v>
      </c>
      <c r="M2" s="173" t="s">
        <v>16</v>
      </c>
      <c r="N2" s="173" t="s">
        <v>17</v>
      </c>
      <c r="O2" s="173" t="s">
        <v>20</v>
      </c>
      <c r="P2" s="173" t="s">
        <v>23</v>
      </c>
      <c r="Q2" s="173" t="s">
        <v>28</v>
      </c>
      <c r="R2" s="177" t="s">
        <v>84</v>
      </c>
    </row>
    <row r="3" spans="2:18" ht="25.5" x14ac:dyDescent="0.25">
      <c r="B3" s="18" t="s">
        <v>217</v>
      </c>
      <c r="C3" s="18" t="s">
        <v>380</v>
      </c>
      <c r="D3" s="116" t="s">
        <v>130</v>
      </c>
      <c r="E3" s="116" t="s">
        <v>311</v>
      </c>
      <c r="F3" t="s">
        <v>223</v>
      </c>
      <c r="G3" s="116" t="s">
        <v>127</v>
      </c>
      <c r="I3" t="s">
        <v>366</v>
      </c>
      <c r="J3" t="s">
        <v>234</v>
      </c>
      <c r="L3" s="2" t="s">
        <v>13</v>
      </c>
      <c r="M3" s="2" t="s">
        <v>9</v>
      </c>
      <c r="N3" s="2" t="s">
        <v>18</v>
      </c>
      <c r="O3" s="2" t="s">
        <v>21</v>
      </c>
      <c r="P3" s="2" t="s">
        <v>24</v>
      </c>
      <c r="Q3" s="2" t="s">
        <v>30</v>
      </c>
      <c r="R3" t="s">
        <v>38</v>
      </c>
    </row>
    <row r="4" spans="2:18" ht="31.5" customHeight="1" x14ac:dyDescent="0.25">
      <c r="B4" s="18" t="s">
        <v>214</v>
      </c>
      <c r="C4" s="18" t="s">
        <v>381</v>
      </c>
      <c r="D4" s="116" t="s">
        <v>129</v>
      </c>
      <c r="E4" s="116" t="s">
        <v>312</v>
      </c>
      <c r="F4" t="s">
        <v>216</v>
      </c>
      <c r="G4" s="116" t="s">
        <v>121</v>
      </c>
      <c r="I4" t="s">
        <v>367</v>
      </c>
      <c r="J4" t="s">
        <v>235</v>
      </c>
      <c r="L4" s="2" t="s">
        <v>14</v>
      </c>
      <c r="M4" s="2" t="s">
        <v>8</v>
      </c>
      <c r="N4" s="2" t="s">
        <v>19</v>
      </c>
      <c r="O4" s="2" t="s">
        <v>22</v>
      </c>
      <c r="P4" s="2" t="s">
        <v>25</v>
      </c>
      <c r="Q4" s="2" t="s">
        <v>31</v>
      </c>
      <c r="R4" t="s">
        <v>39</v>
      </c>
    </row>
    <row r="5" spans="2:18" ht="51.75" customHeight="1" x14ac:dyDescent="0.25">
      <c r="B5" s="18" t="s">
        <v>215</v>
      </c>
      <c r="C5" s="18" t="s">
        <v>382</v>
      </c>
      <c r="D5" s="116" t="s">
        <v>131</v>
      </c>
      <c r="E5" s="116" t="s">
        <v>313</v>
      </c>
      <c r="F5" t="s">
        <v>224</v>
      </c>
      <c r="G5" s="116" t="s">
        <v>124</v>
      </c>
      <c r="I5" t="s">
        <v>229</v>
      </c>
      <c r="J5" t="s">
        <v>236</v>
      </c>
      <c r="L5" s="2" t="s">
        <v>15</v>
      </c>
      <c r="P5" s="2" t="s">
        <v>26</v>
      </c>
      <c r="Q5" s="2" t="s">
        <v>29</v>
      </c>
    </row>
    <row r="6" spans="2:18" ht="24.75" customHeight="1" x14ac:dyDescent="0.25">
      <c r="B6" s="18" t="s">
        <v>216</v>
      </c>
      <c r="C6" s="18" t="s">
        <v>383</v>
      </c>
      <c r="D6" s="116" t="s">
        <v>310</v>
      </c>
      <c r="E6" t="s">
        <v>371</v>
      </c>
      <c r="F6" t="s">
        <v>225</v>
      </c>
      <c r="G6" s="116" t="s">
        <v>122</v>
      </c>
      <c r="I6" t="s">
        <v>231</v>
      </c>
      <c r="J6" t="s">
        <v>314</v>
      </c>
      <c r="Q6" s="2" t="s">
        <v>133</v>
      </c>
    </row>
    <row r="7" spans="2:18" ht="26.25" customHeight="1" x14ac:dyDescent="0.25">
      <c r="B7" s="18" t="s">
        <v>220</v>
      </c>
      <c r="C7" s="18" t="s">
        <v>384</v>
      </c>
      <c r="D7" s="116"/>
      <c r="F7" t="s">
        <v>226</v>
      </c>
      <c r="G7" s="116" t="s">
        <v>123</v>
      </c>
      <c r="I7" t="s">
        <v>368</v>
      </c>
      <c r="Q7" s="2" t="s">
        <v>134</v>
      </c>
    </row>
    <row r="8" spans="2:18" ht="30" x14ac:dyDescent="0.25">
      <c r="B8" s="18" t="s">
        <v>308</v>
      </c>
      <c r="C8" s="18"/>
      <c r="D8" s="116"/>
      <c r="F8" t="s">
        <v>227</v>
      </c>
      <c r="G8" s="116" t="s">
        <v>125</v>
      </c>
      <c r="I8" s="116" t="s">
        <v>369</v>
      </c>
    </row>
    <row r="9" spans="2:18" ht="31.5" customHeight="1" x14ac:dyDescent="0.25">
      <c r="B9" s="18" t="s">
        <v>378</v>
      </c>
      <c r="C9" s="18"/>
      <c r="D9" s="116"/>
      <c r="G9" s="116" t="s">
        <v>126</v>
      </c>
      <c r="I9" t="s">
        <v>370</v>
      </c>
    </row>
    <row r="10" spans="2:18" x14ac:dyDescent="0.25">
      <c r="B10" s="18" t="s">
        <v>218</v>
      </c>
      <c r="C10" s="18"/>
      <c r="D10" s="116"/>
      <c r="I10" t="s">
        <v>371</v>
      </c>
    </row>
    <row r="11" spans="2:18" x14ac:dyDescent="0.25">
      <c r="B11" s="18" t="s">
        <v>376</v>
      </c>
      <c r="C11" s="18"/>
      <c r="D11" s="116"/>
    </row>
    <row r="12" spans="2:18" x14ac:dyDescent="0.25">
      <c r="B12" s="18" t="s">
        <v>377</v>
      </c>
      <c r="C12" s="18"/>
      <c r="I12" t="s">
        <v>371</v>
      </c>
    </row>
    <row r="13" spans="2:18" x14ac:dyDescent="0.25">
      <c r="B13" s="18" t="s">
        <v>221</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topLeftCell="A10" zoomScale="70" zoomScaleNormal="70" workbookViewId="0">
      <selection activeCell="O24" sqref="O24"/>
    </sheetView>
  </sheetViews>
  <sheetFormatPr baseColWidth="10" defaultRowHeight="15" x14ac:dyDescent="0.25"/>
  <sheetData>
    <row r="2" spans="2:2" x14ac:dyDescent="0.25">
      <c r="B2" t="s">
        <v>372</v>
      </c>
    </row>
    <row r="30" spans="2:2" x14ac:dyDescent="0.25">
      <c r="B30" t="s">
        <v>373</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40"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72" t="s">
        <v>316</v>
      </c>
      <c r="D2" s="373"/>
    </row>
    <row r="3" spans="3:4" x14ac:dyDescent="0.25">
      <c r="C3" s="374"/>
      <c r="D3" s="375"/>
    </row>
    <row r="4" spans="3:4" ht="15.75" thickBot="1" x14ac:dyDescent="0.3">
      <c r="C4" s="158" t="s">
        <v>317</v>
      </c>
      <c r="D4" s="159" t="s">
        <v>318</v>
      </c>
    </row>
    <row r="5" spans="3:4" ht="30" customHeight="1" x14ac:dyDescent="0.25">
      <c r="C5" s="160" t="s">
        <v>319</v>
      </c>
      <c r="D5" s="161">
        <v>1</v>
      </c>
    </row>
    <row r="6" spans="3:4" ht="28.5" customHeight="1" x14ac:dyDescent="0.25">
      <c r="C6" s="162" t="s">
        <v>320</v>
      </c>
      <c r="D6" s="163">
        <v>1</v>
      </c>
    </row>
    <row r="7" spans="3:4" ht="28.5" customHeight="1" x14ac:dyDescent="0.25">
      <c r="C7" s="164" t="s">
        <v>321</v>
      </c>
      <c r="D7" s="163">
        <v>1</v>
      </c>
    </row>
    <row r="8" spans="3:4" ht="28.5" customHeight="1" x14ac:dyDescent="0.25">
      <c r="C8" s="164" t="s">
        <v>322</v>
      </c>
      <c r="D8" s="163">
        <v>1</v>
      </c>
    </row>
    <row r="9" spans="3:4" ht="18.600000000000001" customHeight="1" x14ac:dyDescent="0.25">
      <c r="C9" s="164" t="s">
        <v>323</v>
      </c>
      <c r="D9" s="163">
        <v>1</v>
      </c>
    </row>
    <row r="10" spans="3:4" ht="28.5" customHeight="1" x14ac:dyDescent="0.25">
      <c r="C10" s="164" t="s">
        <v>324</v>
      </c>
      <c r="D10" s="163">
        <v>1</v>
      </c>
    </row>
    <row r="11" spans="3:4" ht="21" customHeight="1" x14ac:dyDescent="0.25">
      <c r="C11" s="162" t="s">
        <v>325</v>
      </c>
      <c r="D11" s="163">
        <v>1</v>
      </c>
    </row>
    <row r="12" spans="3:4" ht="21" customHeight="1" x14ac:dyDescent="0.25">
      <c r="C12" s="162" t="s">
        <v>326</v>
      </c>
      <c r="D12" s="163">
        <v>1</v>
      </c>
    </row>
    <row r="13" spans="3:4" ht="21.6" customHeight="1" x14ac:dyDescent="0.25">
      <c r="C13" s="162" t="s">
        <v>327</v>
      </c>
      <c r="D13" s="163">
        <v>1</v>
      </c>
    </row>
    <row r="14" spans="3:4" ht="28.5" customHeight="1" x14ac:dyDescent="0.25">
      <c r="C14" s="162" t="s">
        <v>328</v>
      </c>
      <c r="D14" s="163">
        <v>1</v>
      </c>
    </row>
    <row r="15" spans="3:4" ht="22.5" customHeight="1" x14ac:dyDescent="0.25">
      <c r="C15" s="165"/>
      <c r="D15" s="163">
        <v>1</v>
      </c>
    </row>
    <row r="16" spans="3:4" ht="28.5" customHeight="1" x14ac:dyDescent="0.25">
      <c r="C16" s="166" t="s">
        <v>329</v>
      </c>
      <c r="D16" s="167"/>
    </row>
    <row r="17" spans="3:4" ht="28.5" customHeight="1" x14ac:dyDescent="0.25">
      <c r="C17" s="160" t="s">
        <v>330</v>
      </c>
      <c r="D17" s="163">
        <v>1</v>
      </c>
    </row>
    <row r="18" spans="3:4" ht="28.5" customHeight="1" x14ac:dyDescent="0.25">
      <c r="C18" s="160" t="s">
        <v>331</v>
      </c>
      <c r="D18" s="163">
        <v>1</v>
      </c>
    </row>
    <row r="19" spans="3:4" ht="28.5" customHeight="1" x14ac:dyDescent="0.25">
      <c r="C19" s="160" t="s">
        <v>332</v>
      </c>
      <c r="D19" s="163">
        <v>1</v>
      </c>
    </row>
    <row r="20" spans="3:4" ht="28.5" customHeight="1" x14ac:dyDescent="0.25">
      <c r="C20" s="162" t="s">
        <v>333</v>
      </c>
      <c r="D20" s="163">
        <v>1</v>
      </c>
    </row>
    <row r="21" spans="3:4" ht="28.5" customHeight="1" x14ac:dyDescent="0.25">
      <c r="C21" s="160" t="s">
        <v>334</v>
      </c>
      <c r="D21" s="163">
        <v>1</v>
      </c>
    </row>
    <row r="22" spans="3:4" ht="28.5" customHeight="1" x14ac:dyDescent="0.25">
      <c r="C22" s="168" t="s">
        <v>335</v>
      </c>
      <c r="D22" s="163">
        <v>1</v>
      </c>
    </row>
    <row r="23" spans="3:4" ht="28.5" customHeight="1" x14ac:dyDescent="0.25">
      <c r="C23" s="160" t="s">
        <v>336</v>
      </c>
      <c r="D23" s="163">
        <v>1</v>
      </c>
    </row>
    <row r="24" spans="3:4" ht="28.5" customHeight="1" x14ac:dyDescent="0.25">
      <c r="C24" s="160" t="s">
        <v>337</v>
      </c>
      <c r="D24" s="163">
        <v>1</v>
      </c>
    </row>
    <row r="25" spans="3:4" ht="28.5" customHeight="1" x14ac:dyDescent="0.25">
      <c r="C25" s="165"/>
      <c r="D25" s="163">
        <v>1</v>
      </c>
    </row>
    <row r="26" spans="3:4" ht="28.5" customHeight="1" x14ac:dyDescent="0.25">
      <c r="C26" s="165"/>
      <c r="D26" s="163">
        <v>1</v>
      </c>
    </row>
    <row r="27" spans="3:4" ht="28.5" customHeight="1" x14ac:dyDescent="0.25">
      <c r="C27" s="166" t="s">
        <v>338</v>
      </c>
      <c r="D27" s="169"/>
    </row>
    <row r="28" spans="3:4" ht="28.5" customHeight="1" x14ac:dyDescent="0.25">
      <c r="C28" s="164" t="s">
        <v>339</v>
      </c>
      <c r="D28" s="163">
        <v>1</v>
      </c>
    </row>
    <row r="29" spans="3:4" ht="28.5" customHeight="1" x14ac:dyDescent="0.25">
      <c r="C29" s="164" t="s">
        <v>340</v>
      </c>
      <c r="D29" s="163">
        <v>1</v>
      </c>
    </row>
    <row r="30" spans="3:4" ht="28.5" customHeight="1" x14ac:dyDescent="0.25">
      <c r="C30" s="164" t="s">
        <v>341</v>
      </c>
      <c r="D30" s="163">
        <v>1</v>
      </c>
    </row>
    <row r="31" spans="3:4" ht="28.5" customHeight="1" x14ac:dyDescent="0.25">
      <c r="C31" s="164" t="s">
        <v>342</v>
      </c>
      <c r="D31" s="163">
        <v>1</v>
      </c>
    </row>
    <row r="32" spans="3:4" ht="28.5" customHeight="1" x14ac:dyDescent="0.25">
      <c r="C32" s="164" t="s">
        <v>343</v>
      </c>
      <c r="D32" s="163">
        <v>1</v>
      </c>
    </row>
    <row r="33" spans="3:4" ht="28.5" customHeight="1" x14ac:dyDescent="0.25">
      <c r="C33" s="170" t="s">
        <v>344</v>
      </c>
      <c r="D33" s="163">
        <v>1</v>
      </c>
    </row>
    <row r="34" spans="3:4" ht="28.5" customHeight="1" x14ac:dyDescent="0.25">
      <c r="C34" s="162" t="s">
        <v>345</v>
      </c>
      <c r="D34" s="163">
        <v>1</v>
      </c>
    </row>
    <row r="35" spans="3:4" ht="28.5" customHeight="1" x14ac:dyDescent="0.25">
      <c r="C35" s="164" t="s">
        <v>346</v>
      </c>
      <c r="D35" s="163">
        <v>1</v>
      </c>
    </row>
    <row r="36" spans="3:4" ht="28.5" customHeight="1" x14ac:dyDescent="0.25">
      <c r="C36" s="164" t="s">
        <v>347</v>
      </c>
      <c r="D36" s="163">
        <v>1</v>
      </c>
    </row>
    <row r="37" spans="3:4" ht="28.5" customHeight="1" x14ac:dyDescent="0.25">
      <c r="C37" s="164" t="s">
        <v>348</v>
      </c>
      <c r="D37" s="163">
        <v>1</v>
      </c>
    </row>
    <row r="38" spans="3:4" ht="28.5" customHeight="1" x14ac:dyDescent="0.25">
      <c r="C38" s="162" t="s">
        <v>349</v>
      </c>
      <c r="D38" s="163">
        <v>1</v>
      </c>
    </row>
    <row r="39" spans="3:4" ht="28.5" customHeight="1" x14ac:dyDescent="0.25">
      <c r="C39" s="170" t="s">
        <v>350</v>
      </c>
      <c r="D39" s="163">
        <v>1</v>
      </c>
    </row>
    <row r="40" spans="3:4" ht="28.5" customHeight="1" x14ac:dyDescent="0.25">
      <c r="C40" s="170" t="s">
        <v>351</v>
      </c>
      <c r="D40" s="163">
        <v>1</v>
      </c>
    </row>
    <row r="41" spans="3:4" ht="28.5" customHeight="1" x14ac:dyDescent="0.25">
      <c r="C41" s="170" t="s">
        <v>352</v>
      </c>
      <c r="D41" s="163">
        <v>1</v>
      </c>
    </row>
    <row r="42" spans="3:4" ht="28.5" customHeight="1" x14ac:dyDescent="0.25">
      <c r="C42" s="170" t="s">
        <v>353</v>
      </c>
      <c r="D42" s="163">
        <v>1</v>
      </c>
    </row>
    <row r="43" spans="3:4" ht="28.5" customHeight="1" x14ac:dyDescent="0.25">
      <c r="C43" s="171"/>
      <c r="D43" s="163"/>
    </row>
    <row r="44" spans="3:4" ht="28.5" customHeight="1" x14ac:dyDescent="0.25">
      <c r="C44" s="171"/>
      <c r="D44" s="163"/>
    </row>
    <row r="45" spans="3:4" ht="28.5" customHeight="1" x14ac:dyDescent="0.25">
      <c r="C45" s="166" t="s">
        <v>354</v>
      </c>
      <c r="D45" s="169"/>
    </row>
    <row r="46" spans="3:4" ht="28.5" customHeight="1" x14ac:dyDescent="0.25">
      <c r="C46" s="170" t="s">
        <v>355</v>
      </c>
      <c r="D46" s="163">
        <v>1</v>
      </c>
    </row>
    <row r="47" spans="3:4" ht="28.5" customHeight="1" x14ac:dyDescent="0.25">
      <c r="C47" s="170" t="s">
        <v>356</v>
      </c>
      <c r="D47" s="163">
        <v>1</v>
      </c>
    </row>
    <row r="48" spans="3:4" ht="28.5" customHeight="1" x14ac:dyDescent="0.25">
      <c r="C48" s="170" t="s">
        <v>357</v>
      </c>
      <c r="D48" s="163">
        <v>1</v>
      </c>
    </row>
    <row r="49" spans="3:4" ht="28.5" customHeight="1" x14ac:dyDescent="0.25">
      <c r="C49" s="170" t="s">
        <v>358</v>
      </c>
      <c r="D49" s="163">
        <v>1</v>
      </c>
    </row>
    <row r="50" spans="3:4" ht="28.5" customHeight="1" x14ac:dyDescent="0.25">
      <c r="C50" s="172" t="s">
        <v>359</v>
      </c>
      <c r="D50" s="163">
        <v>1</v>
      </c>
    </row>
    <row r="51" spans="3:4" ht="28.5" customHeight="1" x14ac:dyDescent="0.25">
      <c r="C51" s="172" t="s">
        <v>360</v>
      </c>
      <c r="D51" s="163">
        <v>1</v>
      </c>
    </row>
    <row r="52" spans="3:4" ht="28.5" customHeight="1" x14ac:dyDescent="0.25">
      <c r="C52" s="172" t="s">
        <v>361</v>
      </c>
      <c r="D52" s="163">
        <v>1</v>
      </c>
    </row>
    <row r="53" spans="3:4" ht="28.5" customHeight="1" x14ac:dyDescent="0.25">
      <c r="C53" s="160" t="s">
        <v>362</v>
      </c>
      <c r="D53" s="163">
        <v>1</v>
      </c>
    </row>
    <row r="54" spans="3:4" ht="28.5" customHeight="1" x14ac:dyDescent="0.25">
      <c r="C54" s="160" t="s">
        <v>363</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sheetView>
  </sheetViews>
  <sheetFormatPr baseColWidth="10" defaultRowHeight="15" x14ac:dyDescent="0.25"/>
  <cols>
    <col min="1" max="1" width="11" customWidth="1"/>
    <col min="2" max="2" width="9" customWidth="1"/>
    <col min="3" max="3" width="5.42578125" customWidth="1"/>
    <col min="4" max="41" width="5.7109375" customWidth="1"/>
    <col min="43" max="48" width="5.7109375" customWidth="1"/>
  </cols>
  <sheetData>
    <row r="1" spans="1:101" ht="15.75" thickBot="1" x14ac:dyDescent="0.3"/>
    <row r="2" spans="1:101" ht="15" customHeight="1" x14ac:dyDescent="0.25">
      <c r="D2" s="388" t="s">
        <v>249</v>
      </c>
      <c r="E2" s="389"/>
      <c r="F2" s="389"/>
      <c r="G2" s="389"/>
      <c r="H2" s="389"/>
      <c r="I2" s="389"/>
      <c r="J2" s="389"/>
      <c r="K2" s="390"/>
      <c r="L2" s="379" t="s">
        <v>203</v>
      </c>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1"/>
      <c r="AP2" s="280" t="s">
        <v>248</v>
      </c>
      <c r="AQ2" s="376"/>
      <c r="AR2" s="376"/>
      <c r="AS2" s="376"/>
      <c r="AT2" s="376"/>
      <c r="AU2" s="376"/>
      <c r="AV2" s="253"/>
    </row>
    <row r="3" spans="1:101" x14ac:dyDescent="0.25">
      <c r="D3" s="391"/>
      <c r="E3" s="392"/>
      <c r="F3" s="392"/>
      <c r="G3" s="392"/>
      <c r="H3" s="392"/>
      <c r="I3" s="392"/>
      <c r="J3" s="392"/>
      <c r="K3" s="393"/>
      <c r="L3" s="382"/>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4"/>
      <c r="AP3" s="281" t="s">
        <v>262</v>
      </c>
      <c r="AQ3" s="377"/>
      <c r="AR3" s="377"/>
      <c r="AS3" s="377"/>
      <c r="AT3" s="377"/>
      <c r="AU3" s="377"/>
      <c r="AV3" s="255"/>
    </row>
    <row r="4" spans="1:101" x14ac:dyDescent="0.25">
      <c r="D4" s="391"/>
      <c r="E4" s="392"/>
      <c r="F4" s="392"/>
      <c r="G4" s="392"/>
      <c r="H4" s="392"/>
      <c r="I4" s="392"/>
      <c r="J4" s="392"/>
      <c r="K4" s="393"/>
      <c r="L4" s="382"/>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4"/>
      <c r="AP4" s="281" t="s">
        <v>386</v>
      </c>
      <c r="AQ4" s="377" t="s">
        <v>261</v>
      </c>
      <c r="AR4" s="377"/>
      <c r="AS4" s="377"/>
      <c r="AT4" s="377"/>
      <c r="AU4" s="377"/>
      <c r="AV4" s="255"/>
    </row>
    <row r="5" spans="1:101" ht="15.75" thickBot="1" x14ac:dyDescent="0.3">
      <c r="D5" s="394"/>
      <c r="E5" s="395"/>
      <c r="F5" s="395"/>
      <c r="G5" s="395"/>
      <c r="H5" s="395"/>
      <c r="I5" s="395"/>
      <c r="J5" s="395"/>
      <c r="K5" s="396"/>
      <c r="L5" s="385"/>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6"/>
      <c r="AO5" s="387"/>
      <c r="AP5" s="282" t="s">
        <v>243</v>
      </c>
      <c r="AQ5" s="378" t="s">
        <v>243</v>
      </c>
      <c r="AR5" s="378"/>
      <c r="AS5" s="378"/>
      <c r="AT5" s="378"/>
      <c r="AU5" s="378"/>
      <c r="AV5" s="257"/>
    </row>
    <row r="7" spans="1:101" ht="18" customHeight="1" x14ac:dyDescent="0.25">
      <c r="C7" s="69"/>
      <c r="D7" s="487" t="s">
        <v>156</v>
      </c>
      <c r="E7" s="487"/>
      <c r="F7" s="487"/>
      <c r="G7" s="487"/>
      <c r="H7" s="487"/>
      <c r="I7" s="487"/>
      <c r="J7" s="487"/>
      <c r="K7" s="487"/>
      <c r="L7" s="442" t="s">
        <v>2</v>
      </c>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651" t="s">
        <v>264</v>
      </c>
      <c r="B8" s="651"/>
      <c r="C8" s="652"/>
      <c r="D8" s="487"/>
      <c r="E8" s="487"/>
      <c r="F8" s="487"/>
      <c r="G8" s="487"/>
      <c r="H8" s="487"/>
      <c r="I8" s="487"/>
      <c r="J8" s="487"/>
      <c r="K8" s="487"/>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87"/>
      <c r="E9" s="487"/>
      <c r="F9" s="487"/>
      <c r="G9" s="487"/>
      <c r="H9" s="487"/>
      <c r="I9" s="487"/>
      <c r="J9" s="487"/>
      <c r="K9" s="487"/>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442"/>
      <c r="AK9" s="442"/>
      <c r="AL9" s="442"/>
      <c r="AM9" s="442"/>
      <c r="AN9" s="442"/>
      <c r="AO9" s="442"/>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97" t="s">
        <v>4</v>
      </c>
      <c r="E11" s="397"/>
      <c r="F11" s="398"/>
      <c r="G11" s="435" t="s">
        <v>114</v>
      </c>
      <c r="H11" s="436"/>
      <c r="I11" s="436"/>
      <c r="J11" s="436"/>
      <c r="K11" s="436"/>
      <c r="L11" s="444" t="str">
        <f ca="1">IF(AND('Mapa final'!$Q$15="Muy Alta",'Mapa final'!$U$15="Leve"),CONCATENATE("R",'Mapa final'!$A$15),"")</f>
        <v/>
      </c>
      <c r="M11" s="445"/>
      <c r="N11" s="445" t="str">
        <f>IF(AND('Mapa final'!$L$16="Muy Alta",'Mapa final'!$P$16="Leve"),CONCATENATE("R",'Mapa final'!$A$16),"")</f>
        <v/>
      </c>
      <c r="O11" s="445"/>
      <c r="P11" s="445" t="str">
        <f>IF(AND('Mapa final'!$L$17="Muy Alta",'Mapa final'!$P$17="Leve"),CONCATENATE("R",'Mapa final'!$A$17),"")</f>
        <v/>
      </c>
      <c r="Q11" s="458"/>
      <c r="R11" s="444" t="str">
        <f ca="1">IF(AND('Mapa final'!$Q$15="Muy Alta",'Mapa final'!$U$15="Menor"),CONCATENATE("R",'Mapa final'!$A$15),"")</f>
        <v/>
      </c>
      <c r="S11" s="445"/>
      <c r="T11" s="445" t="str">
        <f>IF(AND('Mapa final'!$Q$16="Muy Alta",'Mapa final'!$U$16="Menor"),CONCATENATE("R",'Mapa final'!$A$16),"")</f>
        <v/>
      </c>
      <c r="U11" s="445"/>
      <c r="V11" s="445" t="str">
        <f ca="1">IF(AND('Mapa final'!$Q$17="Muy Alta",'Mapa final'!$U$17="Menor"),CONCATENATE("R",'Mapa final'!$A$17),"")</f>
        <v/>
      </c>
      <c r="W11" s="445"/>
      <c r="X11" s="444" t="str">
        <f ca="1">IF(AND('Mapa final'!$Q$15="Muy Alta",'Mapa final'!$U$15="Moderado"),CONCATENATE("R",'Mapa final'!$A$15),"")</f>
        <v/>
      </c>
      <c r="Y11" s="445"/>
      <c r="Z11" s="445" t="str">
        <f>IF(AND('Mapa final'!Q$16="Muy Alta",'Mapa final'!$U$16="Moderado"),CONCATENATE("R",'Mapa final'!$A$16),"")</f>
        <v/>
      </c>
      <c r="AA11" s="445"/>
      <c r="AB11" s="445" t="str">
        <f ca="1">IF(AND('Mapa final'!$Q$17="Muy Alta",'Mapa final'!$U$17="Moderado"),CONCATENATE("R",'Mapa final'!$A$17),"")</f>
        <v/>
      </c>
      <c r="AC11" s="445"/>
      <c r="AD11" s="444" t="str">
        <f ca="1">IF(AND('Mapa final'!$Q$15="Muy Alta",'Mapa final'!$U$15="Mayor"),CONCATENATE("R",'Mapa final'!$A$15),"")</f>
        <v/>
      </c>
      <c r="AE11" s="445"/>
      <c r="AF11" s="445" t="str">
        <f>IF(AND('Mapa final'!$Q$16="Muy Alta",'Mapa final'!$U$16="Mayor"),CONCATENATE("R",'Mapa final'!$A$16),"")</f>
        <v/>
      </c>
      <c r="AG11" s="445"/>
      <c r="AH11" s="445" t="str">
        <f ca="1">IF(AND('Mapa final'!$Q$17="Muy Alta",'Mapa final'!$U$17="Mayor"),CONCATENATE("R",'Mapa final'!$A$17),"")</f>
        <v/>
      </c>
      <c r="AI11" s="445"/>
      <c r="AJ11" s="463" t="str">
        <f ca="1">IF(AND('Mapa final'!$Q$15="Muy Alta",'Mapa final'!$U$15="Catastrófico"),CONCATENATE("R",'Mapa final'!$A$15),"")</f>
        <v/>
      </c>
      <c r="AK11" s="464"/>
      <c r="AL11" s="464" t="str">
        <f>IF(AND('Mapa final'!$Q$16="Muy Alta",'Mapa final'!$U$16="Catastrófico"),CONCATENATE("R",'Mapa final'!$A$16),"")</f>
        <v/>
      </c>
      <c r="AM11" s="464"/>
      <c r="AN11" s="464" t="str">
        <f ca="1">IF(AND('Mapa final'!$Q$17="Muy Alta",'Mapa final'!$U$17="Catastrófico"),CONCATENATE("R",'Mapa final'!$A$17),"")</f>
        <v/>
      </c>
      <c r="AO11" s="465"/>
      <c r="AQ11" s="399" t="s">
        <v>77</v>
      </c>
      <c r="AR11" s="400"/>
      <c r="AS11" s="400"/>
      <c r="AT11" s="400"/>
      <c r="AU11" s="400"/>
      <c r="AV11" s="401"/>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97"/>
      <c r="E12" s="397"/>
      <c r="F12" s="398"/>
      <c r="G12" s="437"/>
      <c r="H12" s="438"/>
      <c r="I12" s="438"/>
      <c r="J12" s="438"/>
      <c r="K12" s="439"/>
      <c r="L12" s="446"/>
      <c r="M12" s="443"/>
      <c r="N12" s="443"/>
      <c r="O12" s="443"/>
      <c r="P12" s="443"/>
      <c r="Q12" s="451"/>
      <c r="R12" s="446"/>
      <c r="S12" s="443"/>
      <c r="T12" s="443"/>
      <c r="U12" s="443"/>
      <c r="V12" s="443"/>
      <c r="W12" s="443"/>
      <c r="X12" s="446"/>
      <c r="Y12" s="443"/>
      <c r="Z12" s="443"/>
      <c r="AA12" s="443"/>
      <c r="AB12" s="443"/>
      <c r="AC12" s="443"/>
      <c r="AD12" s="446"/>
      <c r="AE12" s="443"/>
      <c r="AF12" s="443"/>
      <c r="AG12" s="443"/>
      <c r="AH12" s="443"/>
      <c r="AI12" s="443"/>
      <c r="AJ12" s="460"/>
      <c r="AK12" s="461"/>
      <c r="AL12" s="461"/>
      <c r="AM12" s="461"/>
      <c r="AN12" s="461"/>
      <c r="AO12" s="462"/>
      <c r="AP12" s="69"/>
      <c r="AQ12" s="402"/>
      <c r="AR12" s="403"/>
      <c r="AS12" s="403"/>
      <c r="AT12" s="403"/>
      <c r="AU12" s="403"/>
      <c r="AV12" s="404"/>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97"/>
      <c r="E13" s="397"/>
      <c r="F13" s="398"/>
      <c r="G13" s="437"/>
      <c r="H13" s="438"/>
      <c r="I13" s="438"/>
      <c r="J13" s="438"/>
      <c r="K13" s="439"/>
      <c r="L13" s="446" t="str">
        <f ca="1">IF(AND('Mapa final'!$Q$19="Muy Alta",'Mapa final'!$U$19="Leve"),CONCATENATE("R",'Mapa final'!$A$19),"")</f>
        <v/>
      </c>
      <c r="M13" s="443"/>
      <c r="N13" s="443" t="str">
        <f>IF(AND('Mapa final'!$L$20="Muy Alta",'Mapa final'!$P$20="Leve"),CONCATENATE("R",'Mapa final'!$A$20),"")</f>
        <v/>
      </c>
      <c r="O13" s="443"/>
      <c r="P13" s="443" t="str">
        <f>IF(AND('Mapa final'!$L$21="Muy Alta",'Mapa final'!$P$21="Leve"),CONCATENATE("R",'Mapa final'!$A$21),"")</f>
        <v/>
      </c>
      <c r="Q13" s="451"/>
      <c r="R13" s="446" t="str">
        <f ca="1">IF(AND('Mapa final'!$Q$19="Muy Alta",'Mapa final'!$U$19="Menor"),CONCATENATE("R",'Mapa final'!$A$19),"")</f>
        <v/>
      </c>
      <c r="S13" s="443"/>
      <c r="T13" s="443" t="str">
        <f>IF(AND('Mapa final'!$Q$20="Muy Alta",'Mapa final'!$U$20="Menor"),CONCATENATE("R",'Mapa final'!$A$20),"")</f>
        <v/>
      </c>
      <c r="U13" s="443"/>
      <c r="V13" s="443" t="str">
        <f ca="1">IF(AND('Mapa final'!$Q$21="Muy Alta",'Mapa final'!$U$21="Menor"),CONCATENATE("R",'Mapa final'!$A$21),"")</f>
        <v/>
      </c>
      <c r="W13" s="443"/>
      <c r="X13" s="446" t="str">
        <f ca="1">IF(AND('Mapa final'!$Q$19="Muy Alta",'Mapa final'!$U$19="Moderado"),CONCATENATE("R",'Mapa final'!$A$19),"")</f>
        <v/>
      </c>
      <c r="Y13" s="443"/>
      <c r="Z13" s="443" t="str">
        <f>IF(AND('Mapa final'!$Q$20="Muy Alta",'Mapa final'!$U$20="Moderado"),CONCATENATE("R",'Mapa final'!$A$20),"")</f>
        <v/>
      </c>
      <c r="AA13" s="443"/>
      <c r="AB13" s="443" t="str">
        <f ca="1">IF(AND('Mapa final'!$Q$21="Muy Alta",'Mapa final'!$U$21="Moderado"),CONCATENATE("R",'Mapa final'!$A$21),"")</f>
        <v/>
      </c>
      <c r="AC13" s="443"/>
      <c r="AD13" s="446" t="str">
        <f ca="1">IF(AND('Mapa final'!$Q$19="Muy Alta",'Mapa final'!$U$19="Mayor"),CONCATENATE("R",'Mapa final'!$A$19),"")</f>
        <v/>
      </c>
      <c r="AE13" s="443"/>
      <c r="AF13" s="443" t="str">
        <f>IF(AND('Mapa final'!$Q$20="Muy Alta",'Mapa final'!$U$20="Mayor"),CONCATENATE("R",'Mapa final'!$A$20),"")</f>
        <v/>
      </c>
      <c r="AG13" s="443"/>
      <c r="AH13" s="443" t="str">
        <f ca="1">IF(AND('Mapa final'!$Q$21="Muy Alta",'Mapa final'!$U$21="Mayor"),CONCATENATE("R",'Mapa final'!$A$21),"")</f>
        <v/>
      </c>
      <c r="AI13" s="443"/>
      <c r="AJ13" s="460" t="str">
        <f ca="1">IF(AND('Mapa final'!$Q$19="Muy Alta",'Mapa final'!$U$19="Catastrófico"),CONCATENATE("R",'Mapa final'!$A$19),"")</f>
        <v/>
      </c>
      <c r="AK13" s="461"/>
      <c r="AL13" s="461" t="str">
        <f>IF(AND('Mapa final'!$Q$20="Muy Alta",'Mapa final'!$U$20="Catastrófico"),CONCATENATE("R",'Mapa final'!$A$20),"")</f>
        <v/>
      </c>
      <c r="AM13" s="461"/>
      <c r="AN13" s="461" t="str">
        <f>IF(AND('Mapa final'!$Q$21="Muy Alta",'Mapa final'!$L$21="Catastrófico"),CONCATENATE("R",'Mapa final'!$A$21),"")</f>
        <v/>
      </c>
      <c r="AO13" s="462"/>
      <c r="AP13" s="69"/>
      <c r="AQ13" s="402"/>
      <c r="AR13" s="403"/>
      <c r="AS13" s="403"/>
      <c r="AT13" s="403"/>
      <c r="AU13" s="403"/>
      <c r="AV13" s="404"/>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97"/>
      <c r="E14" s="397"/>
      <c r="F14" s="398"/>
      <c r="G14" s="437"/>
      <c r="H14" s="438"/>
      <c r="I14" s="438"/>
      <c r="J14" s="438"/>
      <c r="K14" s="439"/>
      <c r="L14" s="446"/>
      <c r="M14" s="443"/>
      <c r="N14" s="443"/>
      <c r="O14" s="443"/>
      <c r="P14" s="443"/>
      <c r="Q14" s="451"/>
      <c r="R14" s="446"/>
      <c r="S14" s="443"/>
      <c r="T14" s="443"/>
      <c r="U14" s="443"/>
      <c r="V14" s="443"/>
      <c r="W14" s="443"/>
      <c r="X14" s="446"/>
      <c r="Y14" s="443"/>
      <c r="Z14" s="443"/>
      <c r="AA14" s="443"/>
      <c r="AB14" s="443"/>
      <c r="AC14" s="443"/>
      <c r="AD14" s="446"/>
      <c r="AE14" s="443"/>
      <c r="AF14" s="443"/>
      <c r="AG14" s="443"/>
      <c r="AH14" s="443"/>
      <c r="AI14" s="443"/>
      <c r="AJ14" s="460"/>
      <c r="AK14" s="461"/>
      <c r="AL14" s="461"/>
      <c r="AM14" s="461"/>
      <c r="AN14" s="461"/>
      <c r="AO14" s="462"/>
      <c r="AP14" s="69"/>
      <c r="AQ14" s="402"/>
      <c r="AR14" s="403"/>
      <c r="AS14" s="403"/>
      <c r="AT14" s="403"/>
      <c r="AU14" s="403"/>
      <c r="AV14" s="404"/>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97"/>
      <c r="E15" s="397"/>
      <c r="F15" s="398"/>
      <c r="G15" s="437"/>
      <c r="H15" s="438"/>
      <c r="I15" s="438"/>
      <c r="J15" s="438"/>
      <c r="K15" s="439"/>
      <c r="L15" s="446" t="str">
        <f ca="1">IF(AND('Mapa final'!$Q$22="Muy Alta",'Mapa final'!$U$22="Leve"),CONCATENATE("R",'Mapa final'!$A$22),"")</f>
        <v/>
      </c>
      <c r="M15" s="443"/>
      <c r="N15" s="443" t="str">
        <f>IF(AND('Mapa final'!$L$23="Muy Alta",'Mapa final'!$P$23="Leve"),CONCATENATE("R",'Mapa final'!$A$23),"")</f>
        <v/>
      </c>
      <c r="O15" s="443"/>
      <c r="P15" s="443" t="str">
        <f>IF(AND('Mapa final'!$L$24="Muy Alta",'Mapa final'!$P$24="Leve"),CONCATENATE("R",'Mapa final'!$A$24),"")</f>
        <v/>
      </c>
      <c r="Q15" s="451"/>
      <c r="R15" s="446" t="str">
        <f ca="1">IF(AND('Mapa final'!$Q$22="Muy Alta",'Mapa final'!$U$22="Menor"),CONCATENATE("R",'Mapa final'!$A$22),"")</f>
        <v/>
      </c>
      <c r="S15" s="443"/>
      <c r="T15" s="443" t="str">
        <f ca="1">IF(AND('Mapa final'!$LR$23="Muy Alta",'Mapa final'!$U$23="Menor"),CONCATENATE("R",'Mapa final'!$A$23),"")</f>
        <v/>
      </c>
      <c r="U15" s="443"/>
      <c r="V15" s="443" t="str">
        <f>IF(AND('Mapa final'!$Q$24="Muy Alta",'Mapa final'!$U$24="Menor"),CONCATENATE("R",'Mapa final'!$A$24),"")</f>
        <v/>
      </c>
      <c r="W15" s="443"/>
      <c r="X15" s="446" t="str">
        <f ca="1">IF(AND('Mapa final'!$Q$22="Muy Alta",'Mapa final'!$U$22="Moderado"),CONCATENATE("R",'Mapa final'!$A$22),"")</f>
        <v/>
      </c>
      <c r="Y15" s="443"/>
      <c r="Z15" s="443" t="str">
        <f ca="1">IF(AND('Mapa final'!$Q$23="Muy Alta",'Mapa final'!$U$23="Moderado"),CONCATENATE("R",'Mapa final'!$A$23),"")</f>
        <v/>
      </c>
      <c r="AA15" s="443"/>
      <c r="AB15" s="443" t="str">
        <f>IF(AND('Mapa final'!$Q$24="Muy Alta",'Mapa final'!$U$24="Moderado"),CONCATENATE("R",'Mapa final'!$A$24),"")</f>
        <v/>
      </c>
      <c r="AC15" s="443"/>
      <c r="AD15" s="446" t="str">
        <f ca="1">IF(AND('Mapa final'!$Q$22="Muy Alta",'Mapa final'!$U$22="Mayor"),CONCATENATE("R",'Mapa final'!$A$22),"")</f>
        <v/>
      </c>
      <c r="AE15" s="443"/>
      <c r="AF15" s="443" t="str">
        <f ca="1">IF(AND('Mapa final'!$Q$23="Muy Alta",'Mapa final'!$U$23="Mayor"),CONCATENATE("R",'Mapa final'!$A$23),"")</f>
        <v/>
      </c>
      <c r="AG15" s="443"/>
      <c r="AH15" s="443" t="str">
        <f>IF(AND('Mapa final'!$Q$24="Muy Alta",'Mapa final'!$U$24="Mayor"),CONCATENATE("R",'Mapa final'!$A$24),"")</f>
        <v/>
      </c>
      <c r="AI15" s="443"/>
      <c r="AJ15" s="460" t="str">
        <f ca="1">IF(AND('Mapa final'!$Q$22="Muy Alta",'Mapa final'!$U$22="Catastrófico"),CONCATENATE("R",'Mapa final'!$A$22),"")</f>
        <v/>
      </c>
      <c r="AK15" s="461"/>
      <c r="AL15" s="461" t="str">
        <f ca="1">IF(AND('Mapa final'!$Q$23="Muy Alta",'Mapa final'!$U$23="Catastrófico"),CONCATENATE("R",'Mapa final'!$A$23),"")</f>
        <v/>
      </c>
      <c r="AM15" s="461"/>
      <c r="AN15" s="461" t="str">
        <f>IF(AND('Mapa final'!$Q$24="Muy Alta",'Mapa final'!$U$24="Catastrófico"),CONCATENATE("R",'Mapa final'!$A$24),"")</f>
        <v/>
      </c>
      <c r="AO15" s="462"/>
      <c r="AP15" s="69"/>
      <c r="AQ15" s="402"/>
      <c r="AR15" s="403"/>
      <c r="AS15" s="403"/>
      <c r="AT15" s="403"/>
      <c r="AU15" s="403"/>
      <c r="AV15" s="404"/>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97"/>
      <c r="E16" s="397"/>
      <c r="F16" s="398"/>
      <c r="G16" s="437"/>
      <c r="H16" s="438"/>
      <c r="I16" s="438"/>
      <c r="J16" s="438"/>
      <c r="K16" s="439"/>
      <c r="L16" s="446"/>
      <c r="M16" s="443"/>
      <c r="N16" s="443"/>
      <c r="O16" s="443"/>
      <c r="P16" s="443"/>
      <c r="Q16" s="451"/>
      <c r="R16" s="446"/>
      <c r="S16" s="443"/>
      <c r="T16" s="443"/>
      <c r="U16" s="443"/>
      <c r="V16" s="443"/>
      <c r="W16" s="443"/>
      <c r="X16" s="446"/>
      <c r="Y16" s="443"/>
      <c r="Z16" s="443"/>
      <c r="AA16" s="443"/>
      <c r="AB16" s="443"/>
      <c r="AC16" s="443"/>
      <c r="AD16" s="446"/>
      <c r="AE16" s="443"/>
      <c r="AF16" s="443"/>
      <c r="AG16" s="443"/>
      <c r="AH16" s="443"/>
      <c r="AI16" s="443"/>
      <c r="AJ16" s="460"/>
      <c r="AK16" s="461"/>
      <c r="AL16" s="461"/>
      <c r="AM16" s="461"/>
      <c r="AN16" s="461"/>
      <c r="AO16" s="462"/>
      <c r="AP16" s="69"/>
      <c r="AQ16" s="402"/>
      <c r="AR16" s="403"/>
      <c r="AS16" s="403"/>
      <c r="AT16" s="403"/>
      <c r="AU16" s="403"/>
      <c r="AV16" s="404"/>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97"/>
      <c r="E17" s="397"/>
      <c r="F17" s="398"/>
      <c r="G17" s="437"/>
      <c r="H17" s="438"/>
      <c r="I17" s="438"/>
      <c r="J17" s="438"/>
      <c r="K17" s="439"/>
      <c r="L17" s="446" t="str">
        <f>IF(AND('Mapa final'!$Q$25="Muy Alta",'Mapa final'!$U$25="Leve"),CONCATENATE("R",'Mapa final'!$A$25),"")</f>
        <v/>
      </c>
      <c r="M17" s="443"/>
      <c r="N17" s="443" t="str">
        <f>IF(AND('Mapa final'!$L$26="Muy Alta",'Mapa final'!$P$26="Leve"),CONCATENATE("R",'Mapa final'!$A$26),"")</f>
        <v/>
      </c>
      <c r="O17" s="443"/>
      <c r="P17" s="443" t="str">
        <f>IF(AND('Mapa final'!$L$27="Muy Alta",'Mapa final'!$P$27="Leve"),CONCATENATE("R",'Mapa final'!$A$27),"")</f>
        <v/>
      </c>
      <c r="Q17" s="451"/>
      <c r="R17" s="446" t="str">
        <f>IF(AND('Mapa final'!$Q$25="Muy Alta",'Mapa final'!$U$25="Menor"),CONCATENATE("R",'Mapa final'!$A$25),"")</f>
        <v/>
      </c>
      <c r="S17" s="443"/>
      <c r="T17" s="443" t="str">
        <f>IF(AND('Mapa final'!$Q$26="Muy Alta",'Mapa final'!$U$26="Menor"),CONCATENATE("R",'Mapa final'!$A$26),"")</f>
        <v/>
      </c>
      <c r="U17" s="443"/>
      <c r="V17" s="443" t="str">
        <f>IF(AND('Mapa final'!$Q$27="Muy Alta",'Mapa final'!$U$27="Menor"),CONCATENATE("R",'Mapa final'!$A$27),"")</f>
        <v/>
      </c>
      <c r="W17" s="443"/>
      <c r="X17" s="446" t="str">
        <f>IF(AND('Mapa final'!$Q$25="Muy Alta",'Mapa final'!$U$25="Moderado"),CONCATENATE("R",'Mapa final'!$A$25),"")</f>
        <v/>
      </c>
      <c r="Y17" s="443"/>
      <c r="Z17" s="443" t="str">
        <f>IF(AND('Mapa final'!$Q$26="Muy Alta",'Mapa final'!$U$26="Moderado"),CONCATENATE("R",'Mapa final'!$A$26),"")</f>
        <v/>
      </c>
      <c r="AA17" s="443"/>
      <c r="AB17" s="443" t="str">
        <f>IF(AND('Mapa final'!$Q$27="Muy Alta",'Mapa final'!$U$27="Moderado"),CONCATENATE("R",'Mapa final'!$A$27),"")</f>
        <v/>
      </c>
      <c r="AC17" s="443"/>
      <c r="AD17" s="446" t="str">
        <f>IF(AND('Mapa final'!$Q$25="Muy Alta",'Mapa final'!$U$25="Mayor"),CONCATENATE("R",'Mapa final'!$A$25),"")</f>
        <v/>
      </c>
      <c r="AE17" s="443"/>
      <c r="AF17" s="443" t="str">
        <f>IF(AND('Mapa final'!$Q$26="Muy Alta",'Mapa final'!$U$26="Mayor"),CONCATENATE("R",'Mapa final'!$A$26),"")</f>
        <v/>
      </c>
      <c r="AG17" s="443"/>
      <c r="AH17" s="443" t="str">
        <f>IF(AND('Mapa final'!$Q$27="Muy Alta",'Mapa final'!$U$27="Mayor"),CONCATENATE("R",'Mapa final'!$A$27),"")</f>
        <v/>
      </c>
      <c r="AI17" s="443"/>
      <c r="AJ17" s="460" t="str">
        <f>IF(AND('Mapa final'!$Q$25="Muy Alta",'Mapa final'!$U$25="Catastrófico"),CONCATENATE("R",'Mapa final'!$A$25),"")</f>
        <v/>
      </c>
      <c r="AK17" s="461"/>
      <c r="AL17" s="461" t="str">
        <f>IF(AND('Mapa final'!$Q$26="Muy Alta",'Mapa final'!$U$26="Catastrófico"),CONCATENATE("R",'Mapa final'!$A$26),"")</f>
        <v/>
      </c>
      <c r="AM17" s="461"/>
      <c r="AN17" s="461" t="str">
        <f>IF(AND('Mapa final'!$Q$27="Muy Alta",'Mapa final'!$U$27="Catastrófico"),CONCATENATE("R",'Mapa final'!$A$27),"")</f>
        <v/>
      </c>
      <c r="AO17" s="462"/>
      <c r="AP17" s="69"/>
      <c r="AQ17" s="402"/>
      <c r="AR17" s="403"/>
      <c r="AS17" s="403"/>
      <c r="AT17" s="403"/>
      <c r="AU17" s="403"/>
      <c r="AV17" s="404"/>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97"/>
      <c r="E18" s="397"/>
      <c r="F18" s="398"/>
      <c r="G18" s="440"/>
      <c r="H18" s="441"/>
      <c r="I18" s="441"/>
      <c r="J18" s="441"/>
      <c r="K18" s="441"/>
      <c r="L18" s="457"/>
      <c r="M18" s="452"/>
      <c r="N18" s="452"/>
      <c r="O18" s="452"/>
      <c r="P18" s="452"/>
      <c r="Q18" s="453"/>
      <c r="R18" s="457"/>
      <c r="S18" s="452"/>
      <c r="T18" s="452"/>
      <c r="U18" s="452"/>
      <c r="V18" s="452"/>
      <c r="W18" s="452"/>
      <c r="X18" s="446"/>
      <c r="Y18" s="443"/>
      <c r="Z18" s="443"/>
      <c r="AA18" s="443"/>
      <c r="AB18" s="443"/>
      <c r="AC18" s="443"/>
      <c r="AD18" s="446"/>
      <c r="AE18" s="443"/>
      <c r="AF18" s="443"/>
      <c r="AG18" s="443"/>
      <c r="AH18" s="443"/>
      <c r="AI18" s="443"/>
      <c r="AJ18" s="460"/>
      <c r="AK18" s="461"/>
      <c r="AL18" s="461"/>
      <c r="AM18" s="461"/>
      <c r="AN18" s="461"/>
      <c r="AO18" s="462"/>
      <c r="AP18" s="69"/>
      <c r="AQ18" s="405"/>
      <c r="AR18" s="406"/>
      <c r="AS18" s="406"/>
      <c r="AT18" s="406"/>
      <c r="AU18" s="406"/>
      <c r="AV18" s="407"/>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97"/>
      <c r="E19" s="397"/>
      <c r="F19" s="398"/>
      <c r="G19" s="435" t="s">
        <v>113</v>
      </c>
      <c r="H19" s="436"/>
      <c r="I19" s="436"/>
      <c r="J19" s="436"/>
      <c r="K19" s="436"/>
      <c r="L19" s="474" t="str">
        <f ca="1">IF(AND('Mapa final'!$Q$15="Alta",'Mapa final'!$U$15="Leve"),CONCATENATE("R",'Mapa final'!$A$15),"")</f>
        <v/>
      </c>
      <c r="M19" s="475"/>
      <c r="N19" s="475" t="str">
        <f>IF(AND('Mapa final'!$L$16="Alta",'Mapa final'!$P$16="Leve"),CONCATENATE("R",'Mapa final'!$A$16),"")</f>
        <v/>
      </c>
      <c r="O19" s="475"/>
      <c r="P19" s="475" t="str">
        <f>IF(AND('Mapa final'!$L$17="Alta",'Mapa final'!$P$17="Leve"),CONCATENATE("R",'Mapa final'!$A$17),"")</f>
        <v/>
      </c>
      <c r="Q19" s="476"/>
      <c r="R19" s="474" t="str">
        <f ca="1">IF(AND('Mapa final'!$Q$15="Alta",'Mapa final'!$U$15="Menor"),CONCATENATE("R",'Mapa final'!$A$15),"")</f>
        <v/>
      </c>
      <c r="S19" s="475"/>
      <c r="T19" s="455" t="str">
        <f>IF(AND('Mapa final'!$Q$16="Alta",'Mapa final'!$U$16="Menor"),CONCATENATE("R",'Mapa final'!$A$16),"")</f>
        <v/>
      </c>
      <c r="U19" s="455"/>
      <c r="V19" s="455" t="str">
        <f ca="1">IF(AND('Mapa final'!$Q$17="Alta",'Mapa final'!$U$17="Menor"),CONCATENATE("R",'Mapa final'!$A$17),"")</f>
        <v/>
      </c>
      <c r="W19" s="455"/>
      <c r="X19" s="444" t="str">
        <f ca="1">IF(AND('Mapa final'!$Q$15="Alta",'Mapa final'!$U$15="Moderado"),CONCATENATE("R",'Mapa final'!$A$15),"")</f>
        <v/>
      </c>
      <c r="Y19" s="445"/>
      <c r="Z19" s="445" t="str">
        <f>IF(AND('Mapa final'!Q$16="Alta",'Mapa final'!$U$16="Moderado"),CONCATENATE("R",'Mapa final'!$A$16),"")</f>
        <v/>
      </c>
      <c r="AA19" s="445"/>
      <c r="AB19" s="445" t="str">
        <f ca="1">IF(AND('Mapa final'!$Q$17="Alta",'Mapa final'!$U$17="Moderado"),CONCATENATE("R",'Mapa final'!$A$17),"")</f>
        <v/>
      </c>
      <c r="AC19" s="445"/>
      <c r="AD19" s="444" t="str">
        <f ca="1">IF(AND('Mapa final'!$Q$15="Alta",'Mapa final'!$U$15="Mayor"),CONCATENATE("R",'Mapa final'!$A$15),"")</f>
        <v/>
      </c>
      <c r="AE19" s="445"/>
      <c r="AF19" s="445" t="str">
        <f>IF(AND('Mapa final'!$Q$16="Alta",'Mapa final'!$U$16="Mayor"),CONCATENATE("R",'Mapa final'!$A$16),"")</f>
        <v/>
      </c>
      <c r="AG19" s="445"/>
      <c r="AH19" s="445" t="str">
        <f ca="1">IF(AND('Mapa final'!$Q$17="Alta",'Mapa final'!$U$17="Mayor"),CONCATENATE("R",'Mapa final'!$A$17),"")</f>
        <v/>
      </c>
      <c r="AI19" s="445"/>
      <c r="AJ19" s="463" t="str">
        <f ca="1">IF(AND('Mapa final'!$Q$15="Alta",'Mapa final'!$U$15="Catastrófico"),CONCATENATE("R",'Mapa final'!$A$15),"")</f>
        <v/>
      </c>
      <c r="AK19" s="464"/>
      <c r="AL19" s="464" t="str">
        <f>IF(AND('Mapa final'!$Q$16="Alta",'Mapa final'!$U$16="Catastrófico"),CONCATENATE("R",'Mapa final'!$A$16),"")</f>
        <v/>
      </c>
      <c r="AM19" s="464"/>
      <c r="AN19" s="464" t="str">
        <f ca="1">IF(AND('Mapa final'!$Q$17="Alta",'Mapa final'!$U$17="Catastrófico"),CONCATENATE("R",'Mapa final'!$A$17),"")</f>
        <v/>
      </c>
      <c r="AO19" s="465"/>
      <c r="AP19" s="69"/>
      <c r="AQ19" s="408" t="s">
        <v>78</v>
      </c>
      <c r="AR19" s="409"/>
      <c r="AS19" s="409"/>
      <c r="AT19" s="409"/>
      <c r="AU19" s="409"/>
      <c r="AV19" s="410"/>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97"/>
      <c r="E20" s="397"/>
      <c r="F20" s="398"/>
      <c r="G20" s="437"/>
      <c r="H20" s="438"/>
      <c r="I20" s="438"/>
      <c r="J20" s="438"/>
      <c r="K20" s="438"/>
      <c r="L20" s="454"/>
      <c r="M20" s="455"/>
      <c r="N20" s="455"/>
      <c r="O20" s="455"/>
      <c r="P20" s="455"/>
      <c r="Q20" s="470"/>
      <c r="R20" s="454"/>
      <c r="S20" s="455"/>
      <c r="T20" s="477"/>
      <c r="U20" s="477"/>
      <c r="V20" s="477"/>
      <c r="W20" s="477"/>
      <c r="X20" s="446"/>
      <c r="Y20" s="443"/>
      <c r="Z20" s="443"/>
      <c r="AA20" s="443"/>
      <c r="AB20" s="443"/>
      <c r="AC20" s="443"/>
      <c r="AD20" s="446"/>
      <c r="AE20" s="443"/>
      <c r="AF20" s="443"/>
      <c r="AG20" s="443"/>
      <c r="AH20" s="443"/>
      <c r="AI20" s="443"/>
      <c r="AJ20" s="460"/>
      <c r="AK20" s="461"/>
      <c r="AL20" s="461"/>
      <c r="AM20" s="461"/>
      <c r="AN20" s="461"/>
      <c r="AO20" s="462"/>
      <c r="AP20" s="69"/>
      <c r="AQ20" s="411"/>
      <c r="AR20" s="412"/>
      <c r="AS20" s="412"/>
      <c r="AT20" s="412"/>
      <c r="AU20" s="412"/>
      <c r="AV20" s="413"/>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97"/>
      <c r="E21" s="397"/>
      <c r="F21" s="398"/>
      <c r="G21" s="437"/>
      <c r="H21" s="438"/>
      <c r="I21" s="438"/>
      <c r="J21" s="438"/>
      <c r="K21" s="438"/>
      <c r="L21" s="454" t="str">
        <f ca="1">IF(AND('Mapa final'!$Q$19="Alta",'Mapa final'!$U$19="Leve"),CONCATENATE("R",'Mapa final'!$A$19),"")</f>
        <v/>
      </c>
      <c r="M21" s="455"/>
      <c r="N21" s="455" t="str">
        <f>IF(AND('Mapa final'!$L$20="Alta",'Mapa final'!$P$20="Leve"),CONCATENATE("R",'Mapa final'!$A$20),"")</f>
        <v/>
      </c>
      <c r="O21" s="455"/>
      <c r="P21" s="455" t="str">
        <f>IF(AND('Mapa final'!$L$21="Alta",'Mapa final'!$P$21="Leve"),CONCATENATE("R",'Mapa final'!$A$21),"")</f>
        <v/>
      </c>
      <c r="Q21" s="470"/>
      <c r="R21" s="454" t="str">
        <f ca="1">IF(AND('Mapa final'!$Q$19="Alta",'Mapa final'!$U$19="Menor"),CONCATENATE("R",'Mapa final'!$A$19),"")</f>
        <v/>
      </c>
      <c r="S21" s="455"/>
      <c r="T21" s="455" t="str">
        <f>IF(AND('Mapa final'!$Q$20="Alta",'Mapa final'!$U$20="Menor"),CONCATENATE("R",'Mapa final'!$A$20),"")</f>
        <v/>
      </c>
      <c r="U21" s="455"/>
      <c r="V21" s="455" t="str">
        <f ca="1">IF(AND('Mapa final'!$Q$21="Alta",'Mapa final'!$U$21="Menor"),CONCATENATE("R",'Mapa final'!$A$21),"")</f>
        <v/>
      </c>
      <c r="W21" s="455"/>
      <c r="X21" s="446" t="str">
        <f ca="1">IF(AND('Mapa final'!$Q$19="Alta",'Mapa final'!$U$19="Moderado"),CONCATENATE("R",'Mapa final'!$A$19),"")</f>
        <v/>
      </c>
      <c r="Y21" s="443"/>
      <c r="Z21" s="443" t="str">
        <f>IF(AND('Mapa final'!$Q$20="Alta",'Mapa final'!$U$20="Moderado"),CONCATENATE("R",'Mapa final'!$A$20),"")</f>
        <v/>
      </c>
      <c r="AA21" s="443"/>
      <c r="AB21" s="443" t="str">
        <f ca="1">IF(AND('Mapa final'!$Q$21="Alta",'Mapa final'!$U$21="Moderado"),CONCATENATE("R",'Mapa final'!$A$21),"")</f>
        <v/>
      </c>
      <c r="AC21" s="443"/>
      <c r="AD21" s="446" t="str">
        <f ca="1">IF(AND('Mapa final'!$Q$19="Alta",'Mapa final'!$U$19="Mayor"),CONCATENATE("R",'Mapa final'!$A$19),"")</f>
        <v/>
      </c>
      <c r="AE21" s="443"/>
      <c r="AF21" s="443" t="str">
        <f>IF(AND('Mapa final'!$Q$20="Alta",'Mapa final'!$U$20="Mayor"),CONCATENATE("R",'Mapa final'!$A$20),"")</f>
        <v/>
      </c>
      <c r="AG21" s="443"/>
      <c r="AH21" s="443" t="str">
        <f ca="1">IF(AND('Mapa final'!$Q$21="Alta",'Mapa final'!$U$21="Mayor"),CONCATENATE("R",'Mapa final'!$A$21),"")</f>
        <v/>
      </c>
      <c r="AI21" s="443"/>
      <c r="AJ21" s="460" t="str">
        <f ca="1">IF(AND('Mapa final'!$Q$19="Alta",'Mapa final'!$U$19="Catastrófico"),CONCATENATE("R",'Mapa final'!$A$19),"")</f>
        <v/>
      </c>
      <c r="AK21" s="461"/>
      <c r="AL21" s="461" t="str">
        <f>IF(AND('Mapa final'!$Q$20="Alta",'Mapa final'!$U$20="Catastrófico"),CONCATENATE("R",'Mapa final'!$A$20),"")</f>
        <v/>
      </c>
      <c r="AM21" s="461"/>
      <c r="AN21" s="461" t="str">
        <f>IF(AND('Mapa final'!$Q$21="Alta",'Mapa final'!$L$21="Catastrófico"),CONCATENATE("R",'Mapa final'!$A$21),"")</f>
        <v/>
      </c>
      <c r="AO21" s="462"/>
      <c r="AP21" s="69"/>
      <c r="AQ21" s="411"/>
      <c r="AR21" s="412"/>
      <c r="AS21" s="412"/>
      <c r="AT21" s="412"/>
      <c r="AU21" s="412"/>
      <c r="AV21" s="413"/>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97"/>
      <c r="E22" s="397"/>
      <c r="F22" s="398"/>
      <c r="G22" s="437"/>
      <c r="H22" s="438"/>
      <c r="I22" s="438"/>
      <c r="J22" s="438"/>
      <c r="K22" s="438"/>
      <c r="L22" s="454"/>
      <c r="M22" s="455"/>
      <c r="N22" s="455"/>
      <c r="O22" s="455"/>
      <c r="P22" s="455"/>
      <c r="Q22" s="470"/>
      <c r="R22" s="454"/>
      <c r="S22" s="455"/>
      <c r="T22" s="477"/>
      <c r="U22" s="477"/>
      <c r="V22" s="477"/>
      <c r="W22" s="477"/>
      <c r="X22" s="446"/>
      <c r="Y22" s="443"/>
      <c r="Z22" s="443"/>
      <c r="AA22" s="443"/>
      <c r="AB22" s="443"/>
      <c r="AC22" s="443"/>
      <c r="AD22" s="446"/>
      <c r="AE22" s="443"/>
      <c r="AF22" s="443"/>
      <c r="AG22" s="443"/>
      <c r="AH22" s="443"/>
      <c r="AI22" s="443"/>
      <c r="AJ22" s="460"/>
      <c r="AK22" s="461"/>
      <c r="AL22" s="461"/>
      <c r="AM22" s="461"/>
      <c r="AN22" s="461"/>
      <c r="AO22" s="462"/>
      <c r="AP22" s="69"/>
      <c r="AQ22" s="411"/>
      <c r="AR22" s="412"/>
      <c r="AS22" s="412"/>
      <c r="AT22" s="412"/>
      <c r="AU22" s="412"/>
      <c r="AV22" s="413"/>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97"/>
      <c r="E23" s="397"/>
      <c r="F23" s="398"/>
      <c r="G23" s="437"/>
      <c r="H23" s="438"/>
      <c r="I23" s="438"/>
      <c r="J23" s="438"/>
      <c r="K23" s="438"/>
      <c r="L23" s="454" t="str">
        <f ca="1">IF(AND('Mapa final'!$Q$22="Alta",'Mapa final'!$U$22="Leve"),CONCATENATE("R",'Mapa final'!$A$22),"")</f>
        <v/>
      </c>
      <c r="M23" s="455"/>
      <c r="N23" s="455" t="str">
        <f>IF(AND('Mapa final'!$L$23="Alta",'Mapa final'!$P$23="Leve"),CONCATENATE("R",'Mapa final'!$A$23),"")</f>
        <v/>
      </c>
      <c r="O23" s="455"/>
      <c r="P23" s="455" t="str">
        <f>IF(AND('Mapa final'!$L$24="Alta",'Mapa final'!$P$24="Leve"),CONCATENATE("R",'Mapa final'!$A$24),"")</f>
        <v/>
      </c>
      <c r="Q23" s="470"/>
      <c r="R23" s="454" t="str">
        <f ca="1">IF(AND('Mapa final'!$Q$22="Alta",'Mapa final'!$U$22="Menor"),CONCATENATE("R",'Mapa final'!$A$22),"")</f>
        <v/>
      </c>
      <c r="S23" s="455"/>
      <c r="T23" s="455" t="str">
        <f ca="1">IF(AND('Mapa final'!$LR$23="Alta",'Mapa final'!$U$23="Menor"),CONCATENATE("R",'Mapa final'!$A$23),"")</f>
        <v/>
      </c>
      <c r="U23" s="455"/>
      <c r="V23" s="455" t="str">
        <f>IF(AND('Mapa final'!$Q$24="Alta",'Mapa final'!$U$24="Menor"),CONCATENATE("R",'Mapa final'!$A$24),"")</f>
        <v/>
      </c>
      <c r="W23" s="455"/>
      <c r="X23" s="446" t="str">
        <f ca="1">IF(AND('Mapa final'!$Q$22="Alta",'Mapa final'!$U$22="Moderado"),CONCATENATE("R",'Mapa final'!$A$22),"")</f>
        <v/>
      </c>
      <c r="Y23" s="443"/>
      <c r="Z23" s="443" t="str">
        <f ca="1">IF(AND('Mapa final'!$Q$23="Alta",'Mapa final'!$U$23="Moderado"),CONCATENATE("R",'Mapa final'!$A$23),"")</f>
        <v/>
      </c>
      <c r="AA23" s="443"/>
      <c r="AB23" s="443" t="str">
        <f>IF(AND('Mapa final'!$Q$24="Alta",'Mapa final'!$U$24="Moderado"),CONCATENATE("R",'Mapa final'!$A$24),"")</f>
        <v/>
      </c>
      <c r="AC23" s="443"/>
      <c r="AD23" s="446" t="str">
        <f ca="1">IF(AND('Mapa final'!$Q$22="Alta",'Mapa final'!$U$22="Mayor"),CONCATENATE("R",'Mapa final'!$A$22),"")</f>
        <v/>
      </c>
      <c r="AE23" s="443"/>
      <c r="AF23" s="443" t="str">
        <f ca="1">IF(AND('Mapa final'!$Q$23="Alta",'Mapa final'!$U$23="Mayor"),CONCATENATE("R",'Mapa final'!$A$23),"")</f>
        <v/>
      </c>
      <c r="AG23" s="443"/>
      <c r="AH23" s="443" t="str">
        <f>IF(AND('Mapa final'!$Q$24="Alta",'Mapa final'!$U$24="Mayor"),CONCATENATE("R",'Mapa final'!$A$24),"")</f>
        <v/>
      </c>
      <c r="AI23" s="443"/>
      <c r="AJ23" s="460" t="str">
        <f ca="1">IF(AND('Mapa final'!$Q$22="Alta",'Mapa final'!$U$22="Catastrófico"),CONCATENATE("R",'Mapa final'!$A$22),"")</f>
        <v/>
      </c>
      <c r="AK23" s="461"/>
      <c r="AL23" s="461" t="str">
        <f ca="1">IF(AND('Mapa final'!$Q$23="Alta",'Mapa final'!$U$23="Catastrófico"),CONCATENATE("R",'Mapa final'!$A$23),"")</f>
        <v/>
      </c>
      <c r="AM23" s="461"/>
      <c r="AN23" s="461" t="str">
        <f>IF(AND('Mapa final'!$Q$24="Alta",'Mapa final'!$U$24="Catastrófico"),CONCATENATE("R",'Mapa final'!$A$24),"")</f>
        <v/>
      </c>
      <c r="AO23" s="462"/>
      <c r="AP23" s="69"/>
      <c r="AQ23" s="411"/>
      <c r="AR23" s="412"/>
      <c r="AS23" s="412"/>
      <c r="AT23" s="412"/>
      <c r="AU23" s="412"/>
      <c r="AV23" s="413"/>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97"/>
      <c r="E24" s="397"/>
      <c r="F24" s="398"/>
      <c r="G24" s="437"/>
      <c r="H24" s="438"/>
      <c r="I24" s="438"/>
      <c r="J24" s="438"/>
      <c r="K24" s="438"/>
      <c r="L24" s="454"/>
      <c r="M24" s="455"/>
      <c r="N24" s="455"/>
      <c r="O24" s="455"/>
      <c r="P24" s="455"/>
      <c r="Q24" s="470"/>
      <c r="R24" s="454"/>
      <c r="S24" s="455"/>
      <c r="T24" s="477"/>
      <c r="U24" s="477"/>
      <c r="V24" s="477"/>
      <c r="W24" s="477"/>
      <c r="X24" s="446"/>
      <c r="Y24" s="443"/>
      <c r="Z24" s="443"/>
      <c r="AA24" s="443"/>
      <c r="AB24" s="443"/>
      <c r="AC24" s="443"/>
      <c r="AD24" s="446"/>
      <c r="AE24" s="443"/>
      <c r="AF24" s="443"/>
      <c r="AG24" s="443"/>
      <c r="AH24" s="443"/>
      <c r="AI24" s="443"/>
      <c r="AJ24" s="460"/>
      <c r="AK24" s="461"/>
      <c r="AL24" s="461"/>
      <c r="AM24" s="461"/>
      <c r="AN24" s="461"/>
      <c r="AO24" s="462"/>
      <c r="AP24" s="69"/>
      <c r="AQ24" s="411"/>
      <c r="AR24" s="412"/>
      <c r="AS24" s="412"/>
      <c r="AT24" s="412"/>
      <c r="AU24" s="412"/>
      <c r="AV24" s="413"/>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97"/>
      <c r="E25" s="397"/>
      <c r="F25" s="398"/>
      <c r="G25" s="437"/>
      <c r="H25" s="438"/>
      <c r="I25" s="438"/>
      <c r="J25" s="438"/>
      <c r="K25" s="438"/>
      <c r="L25" s="454" t="str">
        <f>IF(AND('Mapa final'!$Q$25="Alta",'Mapa final'!$U$25="Leve"),CONCATENATE("R",'Mapa final'!$A$25),"")</f>
        <v/>
      </c>
      <c r="M25" s="455"/>
      <c r="N25" s="455" t="str">
        <f>IF(AND('Mapa final'!$L$26="Alta",'Mapa final'!$P$26="Leve"),CONCATENATE("R",'Mapa final'!$A$26),"")</f>
        <v/>
      </c>
      <c r="O25" s="455"/>
      <c r="P25" s="455" t="str">
        <f>IF(AND('Mapa final'!$L$27="Alta",'Mapa final'!$P$27="Leve"),CONCATENATE("R",'Mapa final'!$A$27),"")</f>
        <v/>
      </c>
      <c r="Q25" s="470"/>
      <c r="R25" s="454" t="str">
        <f>IF(AND('Mapa final'!$Q$25="Alta",'Mapa final'!$U$25="Menor"),CONCATENATE("R",'Mapa final'!$A$25),"")</f>
        <v/>
      </c>
      <c r="S25" s="455"/>
      <c r="T25" s="455" t="str">
        <f>IF(AND('Mapa final'!$Q$26="Alta",'Mapa final'!$U$26="Menor"),CONCATENATE("R",'Mapa final'!$A$26),"")</f>
        <v/>
      </c>
      <c r="U25" s="455"/>
      <c r="V25" s="455" t="str">
        <f>IF(AND('Mapa final'!$Q$27="Alta",'Mapa final'!$U$27="Menor"),CONCATENATE("R",'Mapa final'!$A$27),"")</f>
        <v/>
      </c>
      <c r="W25" s="455"/>
      <c r="X25" s="446" t="str">
        <f>IF(AND('Mapa final'!$Q$25="Alta",'Mapa final'!$U$25="Moderado"),CONCATENATE("R",'Mapa final'!$A$25),"")</f>
        <v/>
      </c>
      <c r="Y25" s="443"/>
      <c r="Z25" s="443" t="str">
        <f>IF(AND('Mapa final'!$Q$26="Alta",'Mapa final'!$U$26="Moderado"),CONCATENATE("R",'Mapa final'!$A$26),"")</f>
        <v/>
      </c>
      <c r="AA25" s="443"/>
      <c r="AB25" s="443" t="str">
        <f>IF(AND('Mapa final'!$Q$27="Alta",'Mapa final'!$U$27="Moderado"),CONCATENATE("R",'Mapa final'!$A$27),"")</f>
        <v/>
      </c>
      <c r="AC25" s="443"/>
      <c r="AD25" s="446" t="str">
        <f>IF(AND('Mapa final'!$Q$25="Alta",'Mapa final'!$U$25="Mayor"),CONCATENATE("R",'Mapa final'!$A$25),"")</f>
        <v/>
      </c>
      <c r="AE25" s="443"/>
      <c r="AF25" s="443" t="str">
        <f>IF(AND('Mapa final'!$Q$26="Alta",'Mapa final'!$U$26="Mayor"),CONCATENATE("R",'Mapa final'!$A$26),"")</f>
        <v/>
      </c>
      <c r="AG25" s="443"/>
      <c r="AH25" s="443" t="str">
        <f>IF(AND('Mapa final'!$Q$27="Alta",'Mapa final'!$U$27="Mayor"),CONCATENATE("R",'Mapa final'!$A$27),"")</f>
        <v/>
      </c>
      <c r="AI25" s="443"/>
      <c r="AJ25" s="460" t="str">
        <f>IF(AND('Mapa final'!$Q$25="Alta",'Mapa final'!$U$25="Catastrófico"),CONCATENATE("R",'Mapa final'!$A$25),"")</f>
        <v/>
      </c>
      <c r="AK25" s="461"/>
      <c r="AL25" s="461" t="str">
        <f>IF(AND('Mapa final'!$Q$26="Alta",'Mapa final'!$U$26="Catastrófico"),CONCATENATE("R",'Mapa final'!$A$26),"")</f>
        <v/>
      </c>
      <c r="AM25" s="461"/>
      <c r="AN25" s="461" t="str">
        <f>IF(AND('Mapa final'!$Q$27="Alta",'Mapa final'!$U$27="Catastrófico"),CONCATENATE("R",'Mapa final'!$A$27),"")</f>
        <v/>
      </c>
      <c r="AO25" s="462"/>
      <c r="AP25" s="69"/>
      <c r="AQ25" s="411"/>
      <c r="AR25" s="412"/>
      <c r="AS25" s="412"/>
      <c r="AT25" s="412"/>
      <c r="AU25" s="412"/>
      <c r="AV25" s="413"/>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97"/>
      <c r="E26" s="397"/>
      <c r="F26" s="398"/>
      <c r="G26" s="440"/>
      <c r="H26" s="441"/>
      <c r="I26" s="441"/>
      <c r="J26" s="441"/>
      <c r="K26" s="441"/>
      <c r="L26" s="471"/>
      <c r="M26" s="472"/>
      <c r="N26" s="472"/>
      <c r="O26" s="472"/>
      <c r="P26" s="472"/>
      <c r="Q26" s="473"/>
      <c r="R26" s="471"/>
      <c r="S26" s="472"/>
      <c r="T26" s="477"/>
      <c r="U26" s="477"/>
      <c r="V26" s="477"/>
      <c r="W26" s="477"/>
      <c r="X26" s="446"/>
      <c r="Y26" s="443"/>
      <c r="Z26" s="443"/>
      <c r="AA26" s="443"/>
      <c r="AB26" s="443"/>
      <c r="AC26" s="443"/>
      <c r="AD26" s="446"/>
      <c r="AE26" s="443"/>
      <c r="AF26" s="443"/>
      <c r="AG26" s="443"/>
      <c r="AH26" s="443"/>
      <c r="AI26" s="443"/>
      <c r="AJ26" s="460"/>
      <c r="AK26" s="461"/>
      <c r="AL26" s="461"/>
      <c r="AM26" s="461"/>
      <c r="AN26" s="461"/>
      <c r="AO26" s="462"/>
      <c r="AP26" s="69"/>
      <c r="AQ26" s="414"/>
      <c r="AR26" s="415"/>
      <c r="AS26" s="415"/>
      <c r="AT26" s="415"/>
      <c r="AU26" s="415"/>
      <c r="AV26" s="416"/>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97"/>
      <c r="E27" s="397"/>
      <c r="F27" s="398"/>
      <c r="G27" s="435" t="s">
        <v>115</v>
      </c>
      <c r="H27" s="436"/>
      <c r="I27" s="436"/>
      <c r="J27" s="436"/>
      <c r="K27" s="436"/>
      <c r="L27" s="474" t="str">
        <f ca="1">IF(AND('Mapa final'!$Q$15="Media",'Mapa final'!$U$15="Leve"),CONCATENATE("R",'Mapa final'!$A$15),"")</f>
        <v/>
      </c>
      <c r="M27" s="475"/>
      <c r="N27" s="475" t="str">
        <f>IF(AND('Mapa final'!$L$16="Media",'Mapa final'!$P$16="Leve"),CONCATENATE("R",'Mapa final'!$A$16),"")</f>
        <v/>
      </c>
      <c r="O27" s="475"/>
      <c r="P27" s="475" t="str">
        <f>IF(AND('Mapa final'!$L$17="Media",'Mapa final'!$P$17="Leve"),CONCATENATE("R",'Mapa final'!$A$17),"")</f>
        <v/>
      </c>
      <c r="Q27" s="476"/>
      <c r="R27" s="474" t="str">
        <f ca="1">IF(AND('Mapa final'!$Q$15="Media",'Mapa final'!$U$15="Menor"),CONCATENATE("R",'Mapa final'!$A$15),"")</f>
        <v/>
      </c>
      <c r="S27" s="475"/>
      <c r="T27" s="475" t="str">
        <f>IF(AND('Mapa final'!$Q$16="Media",'Mapa final'!$U$16="Menor"),CONCATENATE("R",'Mapa final'!$A$16),"")</f>
        <v/>
      </c>
      <c r="U27" s="475"/>
      <c r="V27" s="475" t="str">
        <f ca="1">IF(AND('Mapa final'!$Q$17="Media",'Mapa final'!$U$17="Menor"),CONCATENATE("R",'Mapa final'!$A$17),"")</f>
        <v/>
      </c>
      <c r="W27" s="475"/>
      <c r="X27" s="474" t="str">
        <f ca="1">IF(AND('Mapa final'!$Q$15="Media",'Mapa final'!$U$15="Moderado"),CONCATENATE("R",'Mapa final'!$D$15),"")</f>
        <v>R1</v>
      </c>
      <c r="Y27" s="475"/>
      <c r="Z27" s="475" t="str">
        <f>IF(AND('Mapa final'!Q$16="Media",'Mapa final'!$U$16="Moderado"),CONCATENATE("R",'Mapa final'!$A$16),"")</f>
        <v/>
      </c>
      <c r="AA27" s="475"/>
      <c r="AB27" s="475" t="str">
        <f ca="1">IF(AND('Mapa final'!$Q$17="Media",'Mapa final'!$U$17="Moderado"),CONCATENATE("R",'Mapa final'!$D$17),"")</f>
        <v>R2</v>
      </c>
      <c r="AC27" s="475"/>
      <c r="AD27" s="444" t="str">
        <f ca="1">IF(AND('Mapa final'!$Q$15="Media",'Mapa final'!$U$15="Mayor"),CONCATENATE("R",'Mapa final'!$A$15),"")</f>
        <v/>
      </c>
      <c r="AE27" s="445"/>
      <c r="AF27" s="445" t="str">
        <f>IF(AND('Mapa final'!$Q$16="Media",'Mapa final'!$U$16="Mayor"),CONCATENATE("R",'Mapa final'!$A$16),"")</f>
        <v/>
      </c>
      <c r="AG27" s="445"/>
      <c r="AH27" s="445" t="str">
        <f ca="1">IF(AND('Mapa final'!$Q$17="Media",'Mapa final'!$U$17="Mayor"),CONCATENATE("R",'Mapa final'!$A$17),"")</f>
        <v/>
      </c>
      <c r="AI27" s="445"/>
      <c r="AJ27" s="463" t="str">
        <f ca="1">IF(AND('Mapa final'!$Q$15="Media",'Mapa final'!$U$15="Catastrófico"),CONCATENATE("R",'Mapa final'!$A$15),"")</f>
        <v/>
      </c>
      <c r="AK27" s="464"/>
      <c r="AL27" s="464" t="str">
        <f>IF(AND('Mapa final'!$Q$16="Media",'Mapa final'!$U$16="Catastrófico"),CONCATENATE("R",'Mapa final'!$A$16),"")</f>
        <v/>
      </c>
      <c r="AM27" s="464"/>
      <c r="AN27" s="464" t="str">
        <f ca="1">IF(AND('Mapa final'!$Q$17="Media",'Mapa final'!$U$17="Catastrófico"),CONCATENATE("R",'Mapa final'!$A$17),"")</f>
        <v/>
      </c>
      <c r="AO27" s="465"/>
      <c r="AP27" s="69"/>
      <c r="AQ27" s="417" t="s">
        <v>79</v>
      </c>
      <c r="AR27" s="418"/>
      <c r="AS27" s="418"/>
      <c r="AT27" s="418"/>
      <c r="AU27" s="418"/>
      <c r="AV27" s="41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97"/>
      <c r="E28" s="397"/>
      <c r="F28" s="398"/>
      <c r="G28" s="437"/>
      <c r="H28" s="438"/>
      <c r="I28" s="438"/>
      <c r="J28" s="438"/>
      <c r="K28" s="439"/>
      <c r="L28" s="454"/>
      <c r="M28" s="455"/>
      <c r="N28" s="455"/>
      <c r="O28" s="455"/>
      <c r="P28" s="455"/>
      <c r="Q28" s="470"/>
      <c r="R28" s="454"/>
      <c r="S28" s="455"/>
      <c r="T28" s="455"/>
      <c r="U28" s="455"/>
      <c r="V28" s="455"/>
      <c r="W28" s="455"/>
      <c r="X28" s="454"/>
      <c r="Y28" s="455"/>
      <c r="Z28" s="455"/>
      <c r="AA28" s="455"/>
      <c r="AB28" s="455"/>
      <c r="AC28" s="455"/>
      <c r="AD28" s="446"/>
      <c r="AE28" s="443"/>
      <c r="AF28" s="443"/>
      <c r="AG28" s="443"/>
      <c r="AH28" s="443"/>
      <c r="AI28" s="443"/>
      <c r="AJ28" s="460"/>
      <c r="AK28" s="461"/>
      <c r="AL28" s="461"/>
      <c r="AM28" s="461"/>
      <c r="AN28" s="461"/>
      <c r="AO28" s="462"/>
      <c r="AP28" s="69"/>
      <c r="AQ28" s="420"/>
      <c r="AR28" s="421"/>
      <c r="AS28" s="421"/>
      <c r="AT28" s="421"/>
      <c r="AU28" s="421"/>
      <c r="AV28" s="422"/>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97"/>
      <c r="E29" s="397"/>
      <c r="F29" s="398"/>
      <c r="G29" s="437"/>
      <c r="H29" s="438"/>
      <c r="I29" s="438"/>
      <c r="J29" s="438"/>
      <c r="K29" s="439"/>
      <c r="L29" s="454" t="str">
        <f ca="1">IF(AND('Mapa final'!$Q$19="Media",'Mapa final'!$U$19="Leve"),CONCATENATE("R",'Mapa final'!$A$19),"")</f>
        <v/>
      </c>
      <c r="M29" s="455"/>
      <c r="N29" s="455" t="str">
        <f>IF(AND('Mapa final'!$L$20="Media",'Mapa final'!$P$20="Leve"),CONCATENATE("R",'Mapa final'!$A$20),"")</f>
        <v/>
      </c>
      <c r="O29" s="455"/>
      <c r="P29" s="455" t="str">
        <f>IF(AND('Mapa final'!$L$21="Media",'Mapa final'!$P$21="Leve"),CONCATENATE("R",'Mapa final'!$A$21),"")</f>
        <v/>
      </c>
      <c r="Q29" s="470"/>
      <c r="R29" s="454" t="str">
        <f ca="1">IF(AND('Mapa final'!$Q$19="Media",'Mapa final'!$U$19="Menor"),CONCATENATE("R",'Mapa final'!$A$19),"")</f>
        <v/>
      </c>
      <c r="S29" s="455"/>
      <c r="T29" s="455" t="str">
        <f>IF(AND('Mapa final'!$Q$20="Media",'Mapa final'!$U$20="Menor"),CONCATENATE("R",'Mapa final'!$A$20),"")</f>
        <v/>
      </c>
      <c r="U29" s="455"/>
      <c r="V29" s="455" t="str">
        <f ca="1">IF(AND('Mapa final'!$Q$21="Media",'Mapa final'!$U$21="Menor"),CONCATENATE("R",'Mapa final'!$A$21),"")</f>
        <v/>
      </c>
      <c r="W29" s="455"/>
      <c r="X29" s="454" t="str">
        <f ca="1">IF(AND('Mapa final'!$Q$19="Media",'Mapa final'!$U$19="Moderado"),CONCATENATE("R",'Mapa final'!$A$19),"")</f>
        <v/>
      </c>
      <c r="Y29" s="455"/>
      <c r="Z29" s="455" t="str">
        <f>IF(AND('Mapa final'!$Q$20="Media",'Mapa final'!$U$20="Moderado"),CONCATENATE("R",'Mapa final'!$A$20),"")</f>
        <v/>
      </c>
      <c r="AA29" s="455"/>
      <c r="AB29" s="455" t="str">
        <f ca="1">IF(AND('Mapa final'!$Q$21="Media",'Mapa final'!$U$21="Moderado"),CONCATENATE("R",'Mapa final'!$D$21),"")</f>
        <v>R4</v>
      </c>
      <c r="AC29" s="455"/>
      <c r="AD29" s="446" t="str">
        <f ca="1">IF(AND('Mapa final'!$Q$19="Media",'Mapa final'!$U$19="Mayor"),CONCATENATE("R",'Mapa final'!$A$19),"")</f>
        <v/>
      </c>
      <c r="AE29" s="443"/>
      <c r="AF29" s="443" t="str">
        <f>IF(AND('Mapa final'!$Q$20="Media",'Mapa final'!$U$20="Mayor"),CONCATENATE("R",'Mapa final'!$A$20),"")</f>
        <v/>
      </c>
      <c r="AG29" s="443"/>
      <c r="AH29" s="443" t="str">
        <f ca="1">IF(AND('Mapa final'!$Q$21="Media",'Mapa final'!$U$21="Mayor"),CONCATENATE("R",'Mapa final'!$A$21),"")</f>
        <v/>
      </c>
      <c r="AI29" s="443"/>
      <c r="AJ29" s="460" t="str">
        <f ca="1">IF(AND('Mapa final'!$Q$19="Media",'Mapa final'!$U$19="Catastrófico"),CONCATENATE("R",'Mapa final'!$A$19),"")</f>
        <v/>
      </c>
      <c r="AK29" s="461"/>
      <c r="AL29" s="461" t="str">
        <f>IF(AND('Mapa final'!$Q$20="Media",'Mapa final'!$U$20="Catastrófico"),CONCATENATE("R",'Mapa final'!$A$20),"")</f>
        <v/>
      </c>
      <c r="AM29" s="461"/>
      <c r="AN29" s="461" t="str">
        <f>IF(AND('Mapa final'!$Q$21="Media",'Mapa final'!$L$21="Catastrófico"),CONCATENATE("R",'Mapa final'!$A$21),"")</f>
        <v/>
      </c>
      <c r="AO29" s="462"/>
      <c r="AP29" s="69"/>
      <c r="AQ29" s="420"/>
      <c r="AR29" s="421"/>
      <c r="AS29" s="421"/>
      <c r="AT29" s="421"/>
      <c r="AU29" s="421"/>
      <c r="AV29" s="422"/>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97"/>
      <c r="E30" s="397"/>
      <c r="F30" s="398"/>
      <c r="G30" s="437"/>
      <c r="H30" s="438"/>
      <c r="I30" s="438"/>
      <c r="J30" s="438"/>
      <c r="K30" s="439"/>
      <c r="L30" s="454"/>
      <c r="M30" s="455"/>
      <c r="N30" s="455"/>
      <c r="O30" s="455"/>
      <c r="P30" s="455"/>
      <c r="Q30" s="470"/>
      <c r="R30" s="454"/>
      <c r="S30" s="455"/>
      <c r="T30" s="455"/>
      <c r="U30" s="455"/>
      <c r="V30" s="455"/>
      <c r="W30" s="455"/>
      <c r="X30" s="454"/>
      <c r="Y30" s="455"/>
      <c r="Z30" s="455"/>
      <c r="AA30" s="455"/>
      <c r="AB30" s="455"/>
      <c r="AC30" s="455"/>
      <c r="AD30" s="446"/>
      <c r="AE30" s="443"/>
      <c r="AF30" s="443"/>
      <c r="AG30" s="443"/>
      <c r="AH30" s="443"/>
      <c r="AI30" s="443"/>
      <c r="AJ30" s="460"/>
      <c r="AK30" s="461"/>
      <c r="AL30" s="461"/>
      <c r="AM30" s="461"/>
      <c r="AN30" s="461"/>
      <c r="AO30" s="462"/>
      <c r="AP30" s="69"/>
      <c r="AQ30" s="420"/>
      <c r="AR30" s="421"/>
      <c r="AS30" s="421"/>
      <c r="AT30" s="421"/>
      <c r="AU30" s="421"/>
      <c r="AV30" s="422"/>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97"/>
      <c r="E31" s="397"/>
      <c r="F31" s="398"/>
      <c r="G31" s="437"/>
      <c r="H31" s="438"/>
      <c r="I31" s="438"/>
      <c r="J31" s="438"/>
      <c r="K31" s="439"/>
      <c r="L31" s="454" t="str">
        <f ca="1">IF(AND('Mapa final'!$Q$22="Media",'Mapa final'!$U$22="Leve"),CONCATENATE("R",'Mapa final'!$A$22),"")</f>
        <v/>
      </c>
      <c r="M31" s="455"/>
      <c r="N31" s="455" t="str">
        <f>IF(AND('Mapa final'!$L$23="Media",'Mapa final'!$P$23="Leve"),CONCATENATE("R",'Mapa final'!$A$23),"")</f>
        <v/>
      </c>
      <c r="O31" s="455"/>
      <c r="P31" s="455" t="str">
        <f>IF(AND('Mapa final'!$L$24="Media",'Mapa final'!$P$24="Leve"),CONCATENATE("R",'Mapa final'!$A$24),"")</f>
        <v/>
      </c>
      <c r="Q31" s="470"/>
      <c r="R31" s="454" t="str">
        <f ca="1">IF(AND('Mapa final'!$Q$22="Media",'Mapa final'!$U$22="Menor"),CONCATENATE("R",'Mapa final'!$A$22),"")</f>
        <v/>
      </c>
      <c r="S31" s="455"/>
      <c r="T31" s="455" t="str">
        <f ca="1">IF(AND('Mapa final'!$LR$23="Media",'Mapa final'!$U$23="Menor"),CONCATENATE("R",'Mapa final'!$A$23),"")</f>
        <v/>
      </c>
      <c r="U31" s="455"/>
      <c r="V31" s="455" t="str">
        <f>IF(AND('Mapa final'!$Q$24="Media",'Mapa final'!$U$24="Menor"),CONCATENATE("R",'Mapa final'!$A$24),"")</f>
        <v/>
      </c>
      <c r="W31" s="455"/>
      <c r="X31" s="454" t="str">
        <f ca="1">IF(AND('Mapa final'!$Q$22="Media",'Mapa final'!$U$22="Moderado"),CONCATENATE("R",'Mapa final'!$A$22),"")</f>
        <v/>
      </c>
      <c r="Y31" s="455"/>
      <c r="Z31" s="455" t="str">
        <f ca="1">IF(AND('Mapa final'!$Q$23="Media",'Mapa final'!$U$23="Moderado"),CONCATENATE("R",'Mapa final'!$A$23),"")</f>
        <v/>
      </c>
      <c r="AA31" s="455"/>
      <c r="AB31" s="455" t="str">
        <f>IF(AND('Mapa final'!$Q$24="Media",'Mapa final'!$U$24="Moderado"),CONCATENATE("R",'Mapa final'!$A$24),"")</f>
        <v/>
      </c>
      <c r="AC31" s="455"/>
      <c r="AD31" s="446" t="str">
        <f ca="1">IF(AND('Mapa final'!$Q$22="Media",'Mapa final'!$U$22="Mayor"),CONCATENATE("R",'Mapa final'!$A$22),"")</f>
        <v/>
      </c>
      <c r="AE31" s="443"/>
      <c r="AF31" s="443" t="str">
        <f ca="1">IF(AND('Mapa final'!$Q$23="Media",'Mapa final'!$U$23="Mayor"),CONCATENATE("R",'Mapa final'!$A$23),"")</f>
        <v/>
      </c>
      <c r="AG31" s="443"/>
      <c r="AH31" s="443" t="str">
        <f>IF(AND('Mapa final'!$Q$24="Media",'Mapa final'!$U$24="Mayor"),CONCATENATE("R",'Mapa final'!$A$24),"")</f>
        <v/>
      </c>
      <c r="AI31" s="443"/>
      <c r="AJ31" s="460" t="str">
        <f ca="1">IF(AND('Mapa final'!$Q$22="Media",'Mapa final'!$U$22="Catastrófico"),CONCATENATE("R",'Mapa final'!$A$22),"")</f>
        <v/>
      </c>
      <c r="AK31" s="461"/>
      <c r="AL31" s="461" t="str">
        <f ca="1">IF(AND('Mapa final'!$Q$23="Media",'Mapa final'!$U$23="Catastrófico"),CONCATENATE("R",'Mapa final'!$A$23),"")</f>
        <v/>
      </c>
      <c r="AM31" s="461"/>
      <c r="AN31" s="461" t="str">
        <f>IF(AND('Mapa final'!$Q$24="Media",'Mapa final'!$U$24="Catastrófico"),CONCATENATE("R",'Mapa final'!$A$24),"")</f>
        <v/>
      </c>
      <c r="AO31" s="462"/>
      <c r="AP31" s="69"/>
      <c r="AQ31" s="420"/>
      <c r="AR31" s="421"/>
      <c r="AS31" s="421"/>
      <c r="AT31" s="421"/>
      <c r="AU31" s="421"/>
      <c r="AV31" s="422"/>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97"/>
      <c r="E32" s="397"/>
      <c r="F32" s="398"/>
      <c r="G32" s="437"/>
      <c r="H32" s="438"/>
      <c r="I32" s="438"/>
      <c r="J32" s="438"/>
      <c r="K32" s="439"/>
      <c r="L32" s="454"/>
      <c r="M32" s="455"/>
      <c r="N32" s="455"/>
      <c r="O32" s="455"/>
      <c r="P32" s="455"/>
      <c r="Q32" s="470"/>
      <c r="R32" s="454"/>
      <c r="S32" s="455"/>
      <c r="T32" s="455"/>
      <c r="U32" s="455"/>
      <c r="V32" s="455"/>
      <c r="W32" s="455"/>
      <c r="X32" s="454"/>
      <c r="Y32" s="455"/>
      <c r="Z32" s="455"/>
      <c r="AA32" s="455"/>
      <c r="AB32" s="455"/>
      <c r="AC32" s="455"/>
      <c r="AD32" s="446"/>
      <c r="AE32" s="443"/>
      <c r="AF32" s="443"/>
      <c r="AG32" s="443"/>
      <c r="AH32" s="443"/>
      <c r="AI32" s="443"/>
      <c r="AJ32" s="460"/>
      <c r="AK32" s="461"/>
      <c r="AL32" s="461"/>
      <c r="AM32" s="461"/>
      <c r="AN32" s="461"/>
      <c r="AO32" s="462"/>
      <c r="AP32" s="69"/>
      <c r="AQ32" s="420"/>
      <c r="AR32" s="421"/>
      <c r="AS32" s="421"/>
      <c r="AT32" s="421"/>
      <c r="AU32" s="421"/>
      <c r="AV32" s="422"/>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97"/>
      <c r="E33" s="397"/>
      <c r="F33" s="398"/>
      <c r="G33" s="437"/>
      <c r="H33" s="438"/>
      <c r="I33" s="438"/>
      <c r="J33" s="438"/>
      <c r="K33" s="439"/>
      <c r="L33" s="454" t="str">
        <f>IF(AND('Mapa final'!$Q$25="Mediaa",'Mapa final'!$U$25="Leve"),CONCATENATE("R",'Mapa final'!$A$25),"")</f>
        <v/>
      </c>
      <c r="M33" s="455"/>
      <c r="N33" s="455" t="str">
        <f>IF(AND('Mapa final'!$L$26="Media",'Mapa final'!$P$26="Leve"),CONCATENATE("R",'Mapa final'!$A$26),"")</f>
        <v/>
      </c>
      <c r="O33" s="455"/>
      <c r="P33" s="455" t="str">
        <f>IF(AND('Mapa final'!$L$27="Media",'Mapa final'!$P$27="Leve"),CONCATENATE("R",'Mapa final'!$A$27),"")</f>
        <v/>
      </c>
      <c r="Q33" s="470"/>
      <c r="R33" s="454" t="str">
        <f>IF(AND('Mapa final'!$Q$25="Media",'Mapa final'!$U$25="Menor"),CONCATENATE("R",'Mapa final'!$A$25),"")</f>
        <v/>
      </c>
      <c r="S33" s="455"/>
      <c r="T33" s="455" t="str">
        <f>IF(AND('Mapa final'!$Q$26="Media",'Mapa final'!$U$26="Menor"),CONCATENATE("R",'Mapa final'!$A$26),"")</f>
        <v/>
      </c>
      <c r="U33" s="455"/>
      <c r="V33" s="455" t="str">
        <f>IF(AND('Mapa final'!$Q$27="Media",'Mapa final'!$U$27="Menor"),CONCATENATE("R",'Mapa final'!$A$27),"")</f>
        <v/>
      </c>
      <c r="W33" s="455"/>
      <c r="X33" s="454" t="str">
        <f>IF(AND('Mapa final'!$Q$25="Media",'Mapa final'!$U$25="Moderado"),CONCATENATE("R",'Mapa final'!$A$25),"")</f>
        <v/>
      </c>
      <c r="Y33" s="455"/>
      <c r="Z33" s="455" t="str">
        <f>IF(AND('Mapa final'!$Q$26="Media",'Mapa final'!$U$26="Moderado"),CONCATENATE("R",'Mapa final'!$A$26),"")</f>
        <v/>
      </c>
      <c r="AA33" s="455"/>
      <c r="AB33" s="455" t="str">
        <f>IF(AND('Mapa final'!$Q$27="Media",'Mapa final'!$U$27="Moderado"),CONCATENATE("R",'Mapa final'!$A$27),"")</f>
        <v/>
      </c>
      <c r="AC33" s="455"/>
      <c r="AD33" s="446" t="str">
        <f>IF(AND('Mapa final'!$Q$25="Media",'Mapa final'!$U$25="Mayor"),CONCATENATE("R",'Mapa final'!$A$25),"")</f>
        <v/>
      </c>
      <c r="AE33" s="443"/>
      <c r="AF33" s="443" t="str">
        <f>IF(AND('Mapa final'!$Q$26="Media",'Mapa final'!$U$26="Mayor"),CONCATENATE("R",'Mapa final'!$A$26),"")</f>
        <v/>
      </c>
      <c r="AG33" s="443"/>
      <c r="AH33" s="443" t="str">
        <f>IF(AND('Mapa final'!$Q$27="Media",'Mapa final'!$U$27="Mayor"),CONCATENATE("R",'Mapa final'!$A$27),"")</f>
        <v/>
      </c>
      <c r="AI33" s="443"/>
      <c r="AJ33" s="460" t="str">
        <f>IF(AND('Mapa final'!$Q$25="Media",'Mapa final'!$U$25="Catastrófico"),CONCATENATE("R",'Mapa final'!$A$25),"")</f>
        <v/>
      </c>
      <c r="AK33" s="461"/>
      <c r="AL33" s="461" t="str">
        <f>IF(AND('Mapa final'!$Q$26="Media",'Mapa final'!$U$26="Catastrófico"),CONCATENATE("R",'Mapa final'!$A$26),"")</f>
        <v/>
      </c>
      <c r="AM33" s="461"/>
      <c r="AN33" s="461" t="str">
        <f>IF(AND('Mapa final'!$Q$27="Media",'Mapa final'!$U$27="Catastrófico"),CONCATENATE("R",'Mapa final'!$A$27),"")</f>
        <v/>
      </c>
      <c r="AO33" s="462"/>
      <c r="AP33" s="69"/>
      <c r="AQ33" s="420"/>
      <c r="AR33" s="421"/>
      <c r="AS33" s="421"/>
      <c r="AT33" s="421"/>
      <c r="AU33" s="421"/>
      <c r="AV33" s="422"/>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97"/>
      <c r="E34" s="397"/>
      <c r="F34" s="398"/>
      <c r="G34" s="440"/>
      <c r="H34" s="441"/>
      <c r="I34" s="441"/>
      <c r="J34" s="441"/>
      <c r="K34" s="441"/>
      <c r="L34" s="471"/>
      <c r="M34" s="472"/>
      <c r="N34" s="472"/>
      <c r="O34" s="472"/>
      <c r="P34" s="472"/>
      <c r="Q34" s="473"/>
      <c r="R34" s="471"/>
      <c r="S34" s="472"/>
      <c r="T34" s="472"/>
      <c r="U34" s="472"/>
      <c r="V34" s="472"/>
      <c r="W34" s="472"/>
      <c r="X34" s="471"/>
      <c r="Y34" s="472"/>
      <c r="Z34" s="472"/>
      <c r="AA34" s="472"/>
      <c r="AB34" s="472"/>
      <c r="AC34" s="472"/>
      <c r="AD34" s="457"/>
      <c r="AE34" s="452"/>
      <c r="AF34" s="452"/>
      <c r="AG34" s="452"/>
      <c r="AH34" s="452"/>
      <c r="AI34" s="452"/>
      <c r="AJ34" s="460"/>
      <c r="AK34" s="461"/>
      <c r="AL34" s="461"/>
      <c r="AM34" s="461"/>
      <c r="AN34" s="461"/>
      <c r="AO34" s="462"/>
      <c r="AP34" s="69"/>
      <c r="AQ34" s="423"/>
      <c r="AR34" s="424"/>
      <c r="AS34" s="424"/>
      <c r="AT34" s="424"/>
      <c r="AU34" s="424"/>
      <c r="AV34" s="425"/>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97"/>
      <c r="E35" s="397"/>
      <c r="F35" s="398"/>
      <c r="G35" s="435" t="s">
        <v>112</v>
      </c>
      <c r="H35" s="436"/>
      <c r="I35" s="436"/>
      <c r="J35" s="436"/>
      <c r="K35" s="436"/>
      <c r="L35" s="484" t="str">
        <f ca="1">IF(AND('Mapa final'!$Q$15="Baja",'Mapa final'!$U$15="Leve"),CONCATENATE("R",'Mapa final'!$A$15),"")</f>
        <v/>
      </c>
      <c r="M35" s="485"/>
      <c r="N35" s="485" t="str">
        <f>IF(AND('Mapa final'!$L$16="Baja",'Mapa final'!$P$16="Leve"),CONCATENATE("R",'Mapa final'!$A$16),"")</f>
        <v/>
      </c>
      <c r="O35" s="485"/>
      <c r="P35" s="485" t="str">
        <f>IF(AND('Mapa final'!$L$17="Baja",'Mapa final'!$P$17="Leve"),CONCATENATE("R",'Mapa final'!$A$17),"")</f>
        <v/>
      </c>
      <c r="Q35" s="486"/>
      <c r="R35" s="474" t="str">
        <f ca="1">IF(AND('Mapa final'!$Q$15="Baja",'Mapa final'!$U$15="Menor"),CONCATENATE("R",'Mapa final'!$A$15),"")</f>
        <v/>
      </c>
      <c r="S35" s="475"/>
      <c r="T35" s="455" t="str">
        <f>IF(AND('Mapa final'!$Q$16="Baja",'Mapa final'!$U$16="Menor"),CONCATENATE("R",'Mapa final'!$A$16),"")</f>
        <v/>
      </c>
      <c r="U35" s="455"/>
      <c r="V35" s="455" t="str">
        <f ca="1">IF(AND('Mapa final'!$Q$17="Baja",'Mapa final'!$U$17="Menor"),CONCATENATE("R",'Mapa final'!$A$17),"")</f>
        <v/>
      </c>
      <c r="W35" s="470"/>
      <c r="X35" s="454" t="str">
        <f ca="1">IF(AND('Mapa final'!$Q$15="Baja",'Mapa final'!$U$15="Moderado"),CONCATENATE("R",'Mapa final'!$A$15),"")</f>
        <v/>
      </c>
      <c r="Y35" s="455"/>
      <c r="Z35" s="455" t="str">
        <f>IF(AND('Mapa final'!Q$16="Baja",'Mapa final'!$U$16="Moderado"),CONCATENATE("R",'Mapa final'!$A$16),"")</f>
        <v/>
      </c>
      <c r="AA35" s="455"/>
      <c r="AB35" s="455" t="str">
        <f ca="1">IF(AND('Mapa final'!$Q$17="Baja",'Mapa final'!$U$17="Moderado"),CONCATENATE("R",'Mapa final'!$A$17),"")</f>
        <v/>
      </c>
      <c r="AC35" s="470"/>
      <c r="AD35" s="446" t="str">
        <f ca="1">IF(AND('Mapa final'!$Q$15="Baja",'Mapa final'!$U$15="Mayor"),CONCATENATE("R",'Mapa final'!$A$15),"")</f>
        <v/>
      </c>
      <c r="AE35" s="443"/>
      <c r="AF35" s="443" t="str">
        <f>IF(AND('Mapa final'!$Q$16="Baja",'Mapa final'!$U$16="Mayor"),CONCATENATE("R",'Mapa final'!$A$16),"")</f>
        <v/>
      </c>
      <c r="AG35" s="443"/>
      <c r="AH35" s="443" t="str">
        <f ca="1">IF(AND('Mapa final'!$Q$17="Baja",'Mapa final'!$U$17="Mayor"),CONCATENATE("R",'Mapa final'!$A$17),"")</f>
        <v/>
      </c>
      <c r="AI35" s="443"/>
      <c r="AJ35" s="463" t="str">
        <f ca="1">IF(AND('Mapa final'!$Q$15="Baja",'Mapa final'!$U$15="Catastrófico"),CONCATENATE("R",'Mapa final'!$A$15),"")</f>
        <v/>
      </c>
      <c r="AK35" s="464"/>
      <c r="AL35" s="464" t="str">
        <f>IF(AND('Mapa final'!$Q$16="Baja",'Mapa final'!$U$16="Catastrófico"),CONCATENATE("R",'Mapa final'!$A$16),"")</f>
        <v/>
      </c>
      <c r="AM35" s="464"/>
      <c r="AN35" s="464" t="str">
        <f ca="1">IF(AND('Mapa final'!$Q$17="Baja",'Mapa final'!$U$17="Catastrófico"),CONCATENATE("R",'Mapa final'!$A$17),"")</f>
        <v/>
      </c>
      <c r="AO35" s="465"/>
      <c r="AP35" s="69"/>
      <c r="AQ35" s="426" t="s">
        <v>80</v>
      </c>
      <c r="AR35" s="427"/>
      <c r="AS35" s="427"/>
      <c r="AT35" s="427"/>
      <c r="AU35" s="427"/>
      <c r="AV35" s="428"/>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97"/>
      <c r="E36" s="397"/>
      <c r="F36" s="398"/>
      <c r="G36" s="437"/>
      <c r="H36" s="438"/>
      <c r="I36" s="438"/>
      <c r="J36" s="438"/>
      <c r="K36" s="438"/>
      <c r="L36" s="480"/>
      <c r="M36" s="478"/>
      <c r="N36" s="478"/>
      <c r="O36" s="478"/>
      <c r="P36" s="478"/>
      <c r="Q36" s="479"/>
      <c r="R36" s="454"/>
      <c r="S36" s="455"/>
      <c r="T36" s="477"/>
      <c r="U36" s="477"/>
      <c r="V36" s="477"/>
      <c r="W36" s="470"/>
      <c r="X36" s="454"/>
      <c r="Y36" s="477"/>
      <c r="Z36" s="477"/>
      <c r="AA36" s="477"/>
      <c r="AB36" s="477"/>
      <c r="AC36" s="470"/>
      <c r="AD36" s="446"/>
      <c r="AE36" s="459"/>
      <c r="AF36" s="459"/>
      <c r="AG36" s="459"/>
      <c r="AH36" s="459"/>
      <c r="AI36" s="443"/>
      <c r="AJ36" s="460"/>
      <c r="AK36" s="461"/>
      <c r="AL36" s="461"/>
      <c r="AM36" s="461"/>
      <c r="AN36" s="461"/>
      <c r="AO36" s="462"/>
      <c r="AP36" s="69"/>
      <c r="AQ36" s="429"/>
      <c r="AR36" s="430"/>
      <c r="AS36" s="430"/>
      <c r="AT36" s="430"/>
      <c r="AU36" s="430"/>
      <c r="AV36" s="431"/>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97"/>
      <c r="E37" s="397"/>
      <c r="F37" s="398"/>
      <c r="G37" s="437"/>
      <c r="H37" s="438"/>
      <c r="I37" s="438"/>
      <c r="J37" s="438"/>
      <c r="K37" s="438"/>
      <c r="L37" s="480" t="str">
        <f ca="1">IF(AND('Mapa final'!$Q$19="Baja",'Mapa final'!$U$19="Leve"),CONCATENATE("R",'Mapa final'!$A$19),"")</f>
        <v/>
      </c>
      <c r="M37" s="478"/>
      <c r="N37" s="478" t="str">
        <f>IF(AND('Mapa final'!$L$20="Baja",'Mapa final'!$P$20="Leve"),CONCATENATE("R",'Mapa final'!$A$20),"")</f>
        <v/>
      </c>
      <c r="O37" s="478"/>
      <c r="P37" s="478" t="str">
        <f>IF(AND('Mapa final'!$L$21="Baja",'Mapa final'!$P$21="Leve"),CONCATENATE("R",'Mapa final'!$A$21),"")</f>
        <v/>
      </c>
      <c r="Q37" s="479"/>
      <c r="R37" s="454" t="str">
        <f ca="1">IF(AND('Mapa final'!$Q$19="Baja",'Mapa final'!$U$19="Menor"),CONCATENATE("R",'Mapa final'!$A$19),"")</f>
        <v/>
      </c>
      <c r="S37" s="477"/>
      <c r="T37" s="477" t="str">
        <f>IF(AND('Mapa final'!$Q$20="Baja",'Mapa final'!$U$20="Menor"),CONCATENATE("R",'Mapa final'!$A$20),"")</f>
        <v/>
      </c>
      <c r="U37" s="477"/>
      <c r="V37" s="477" t="str">
        <f ca="1">IF(AND('Mapa final'!$Q$21="Baja",'Mapa final'!$U$21="Menor"),CONCATENATE("R",'Mapa final'!$A$21),"")</f>
        <v/>
      </c>
      <c r="W37" s="470"/>
      <c r="X37" s="454" t="str">
        <f ca="1">IF(AND('Mapa final'!$Q$19="Baja",'Mapa final'!$U$19="Moderado"),CONCATENATE("R",'Mapa final'!$D$19),"")</f>
        <v>R3</v>
      </c>
      <c r="Y37" s="477"/>
      <c r="Z37" s="477" t="str">
        <f>IF(AND('Mapa final'!$Q$20="Baja",'Mapa final'!$U$20="Moderado"),CONCATENATE("R",'Mapa final'!$A$20),"")</f>
        <v/>
      </c>
      <c r="AA37" s="477"/>
      <c r="AB37" s="477" t="str">
        <f ca="1">IF(AND('Mapa final'!$Q$21="Baja",'Mapa final'!$U$21="Moderado"),CONCATENATE("R",'Mapa final'!$A$21),"")</f>
        <v/>
      </c>
      <c r="AC37" s="470"/>
      <c r="AD37" s="446" t="str">
        <f ca="1">IF(AND('Mapa final'!$Q$19="Baja",'Mapa final'!$U$19="Mayor"),CONCATENATE("R",'Mapa final'!$A$19),"")</f>
        <v/>
      </c>
      <c r="AE37" s="459"/>
      <c r="AF37" s="459" t="str">
        <f>IF(AND('Mapa final'!$Q$20="Baja",'Mapa final'!$U$20="Mayor"),CONCATENATE("R",'Mapa final'!$A$20),"")</f>
        <v/>
      </c>
      <c r="AG37" s="459"/>
      <c r="AH37" s="459" t="str">
        <f ca="1">IF(AND('Mapa final'!$Q$21="Baja",'Mapa final'!$U$21="Mayor"),CONCATENATE("R",'Mapa final'!$A$21),"")</f>
        <v/>
      </c>
      <c r="AI37" s="443"/>
      <c r="AJ37" s="460" t="str">
        <f ca="1">IF(AND('Mapa final'!$Q$19="Baja",'Mapa final'!$U$19="Catastrófico"),CONCATENATE("R",'Mapa final'!$A$19),"")</f>
        <v/>
      </c>
      <c r="AK37" s="461"/>
      <c r="AL37" s="461" t="str">
        <f>IF(AND('Mapa final'!$Q$20="Baja",'Mapa final'!$U$20="Catastrófico"),CONCATENATE("R",'Mapa final'!$A$20),"")</f>
        <v/>
      </c>
      <c r="AM37" s="461"/>
      <c r="AN37" s="461" t="str">
        <f>IF(AND('Mapa final'!$Q$21="Baja",'Mapa final'!$L$21="Catastrófico"),CONCATENATE("R",'Mapa final'!$A$21),"")</f>
        <v/>
      </c>
      <c r="AO37" s="462"/>
      <c r="AP37" s="69"/>
      <c r="AQ37" s="429"/>
      <c r="AR37" s="430"/>
      <c r="AS37" s="430"/>
      <c r="AT37" s="430"/>
      <c r="AU37" s="430"/>
      <c r="AV37" s="431"/>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97"/>
      <c r="E38" s="397"/>
      <c r="F38" s="398"/>
      <c r="G38" s="437"/>
      <c r="H38" s="438"/>
      <c r="I38" s="438"/>
      <c r="J38" s="438"/>
      <c r="K38" s="438"/>
      <c r="L38" s="480"/>
      <c r="M38" s="478"/>
      <c r="N38" s="478"/>
      <c r="O38" s="478"/>
      <c r="P38" s="478"/>
      <c r="Q38" s="479"/>
      <c r="R38" s="454"/>
      <c r="S38" s="477"/>
      <c r="T38" s="477"/>
      <c r="U38" s="477"/>
      <c r="V38" s="477"/>
      <c r="W38" s="470"/>
      <c r="X38" s="454"/>
      <c r="Y38" s="477"/>
      <c r="Z38" s="477"/>
      <c r="AA38" s="477"/>
      <c r="AB38" s="477"/>
      <c r="AC38" s="470"/>
      <c r="AD38" s="446"/>
      <c r="AE38" s="459"/>
      <c r="AF38" s="459"/>
      <c r="AG38" s="459"/>
      <c r="AH38" s="459"/>
      <c r="AI38" s="443"/>
      <c r="AJ38" s="460"/>
      <c r="AK38" s="461"/>
      <c r="AL38" s="461"/>
      <c r="AM38" s="461"/>
      <c r="AN38" s="461"/>
      <c r="AO38" s="462"/>
      <c r="AP38" s="69"/>
      <c r="AQ38" s="429"/>
      <c r="AR38" s="430"/>
      <c r="AS38" s="430"/>
      <c r="AT38" s="430"/>
      <c r="AU38" s="430"/>
      <c r="AV38" s="431"/>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97"/>
      <c r="E39" s="397"/>
      <c r="F39" s="398"/>
      <c r="G39" s="437"/>
      <c r="H39" s="438"/>
      <c r="I39" s="438"/>
      <c r="J39" s="438"/>
      <c r="K39" s="438"/>
      <c r="L39" s="480" t="str">
        <f ca="1">IF(AND('Mapa final'!$Q$22="Baja",'Mapa final'!$U$22="Leve"),CONCATENATE("R",'Mapa final'!$A$22),"")</f>
        <v/>
      </c>
      <c r="M39" s="478"/>
      <c r="N39" s="478" t="str">
        <f>IF(AND('Mapa final'!$L$23="Baja",'Mapa final'!$P$23="Leve"),CONCATENATE("R",'Mapa final'!$A$23),"")</f>
        <v/>
      </c>
      <c r="O39" s="478"/>
      <c r="P39" s="478" t="str">
        <f>IF(AND('Mapa final'!$L$24="Baja",'Mapa final'!$P$24="Leve"),CONCATENATE("R",'Mapa final'!$A$24),"")</f>
        <v/>
      </c>
      <c r="Q39" s="479"/>
      <c r="R39" s="454" t="str">
        <f ca="1">IF(AND('Mapa final'!$Q$22="Baja",'Mapa final'!$U$22="Menor"),CONCATENATE("R",'Mapa final'!$A$22),"")</f>
        <v/>
      </c>
      <c r="S39" s="477"/>
      <c r="T39" s="477" t="str">
        <f ca="1">IF(AND('Mapa final'!$LR$23="Baja",'Mapa final'!$U$23="Menor"),CONCATENATE("R",'Mapa final'!$A$23),"")</f>
        <v/>
      </c>
      <c r="U39" s="477"/>
      <c r="V39" s="477" t="str">
        <f>IF(AND('Mapa final'!$Q$24="Baja",'Mapa final'!$U$24="Menor"),CONCATENATE("R",'Mapa final'!$A$24),"")</f>
        <v/>
      </c>
      <c r="W39" s="470"/>
      <c r="X39" s="454" t="str">
        <f ca="1">IF(AND('Mapa final'!$Q$22="Baja",'Mapa final'!$U$22="Moderado"),CONCATENATE("R",'Mapa final'!$A$22),"")</f>
        <v/>
      </c>
      <c r="Y39" s="477"/>
      <c r="Z39" s="477" t="str">
        <f ca="1">IF(AND('Mapa final'!$Q$23="Baja",'Mapa final'!$U$23="Moderado"),CONCATENATE("R",'Mapa final'!$A$23),"")</f>
        <v/>
      </c>
      <c r="AA39" s="477"/>
      <c r="AB39" s="477" t="str">
        <f>IF(AND('Mapa final'!$Q$24="Baja",'Mapa final'!$U$24="Moderado"),CONCATENATE("R",'Mapa final'!$A$24),"")</f>
        <v/>
      </c>
      <c r="AC39" s="470"/>
      <c r="AD39" s="446" t="str">
        <f ca="1">IF(AND('Mapa final'!$Q$22="Baja",'Mapa final'!$U$22="Mayor"),CONCATENATE("R",'Mapa final'!$A$22),"")</f>
        <v/>
      </c>
      <c r="AE39" s="459"/>
      <c r="AF39" s="459" t="str">
        <f ca="1">IF(AND('Mapa final'!$Q$23="Baja",'Mapa final'!$U$23="Mayor"),CONCATENATE("R",'Mapa final'!$A$23),"")</f>
        <v/>
      </c>
      <c r="AG39" s="459"/>
      <c r="AH39" s="459" t="str">
        <f>IF(AND('Mapa final'!$Q$24="Baja",'Mapa final'!$U$24="Mayor"),CONCATENATE("R",'Mapa final'!$A$24),"")</f>
        <v/>
      </c>
      <c r="AI39" s="443"/>
      <c r="AJ39" s="460" t="str">
        <f ca="1">IF(AND('Mapa final'!$Q$22="Baja",'Mapa final'!$U$22="Catastrófico"),CONCATENATE("R",'Mapa final'!$A$22),"")</f>
        <v/>
      </c>
      <c r="AK39" s="461"/>
      <c r="AL39" s="461" t="str">
        <f ca="1">IF(AND('Mapa final'!$Q$23="Baja",'Mapa final'!$U$23="Catastrófico"),CONCATENATE("R",'Mapa final'!$A$23),"")</f>
        <v/>
      </c>
      <c r="AM39" s="461"/>
      <c r="AN39" s="461" t="str">
        <f>IF(AND('Mapa final'!$Q$24="Baja",'Mapa final'!$U$24="Catastrófico"),CONCATENATE("R",'Mapa final'!$A$24),"")</f>
        <v/>
      </c>
      <c r="AO39" s="462"/>
      <c r="AP39" s="69"/>
      <c r="AQ39" s="429"/>
      <c r="AR39" s="430"/>
      <c r="AS39" s="430"/>
      <c r="AT39" s="430"/>
      <c r="AU39" s="430"/>
      <c r="AV39" s="431"/>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97"/>
      <c r="E40" s="397"/>
      <c r="F40" s="398"/>
      <c r="G40" s="437"/>
      <c r="H40" s="438"/>
      <c r="I40" s="438"/>
      <c r="J40" s="438"/>
      <c r="K40" s="438"/>
      <c r="L40" s="480"/>
      <c r="M40" s="478"/>
      <c r="N40" s="478"/>
      <c r="O40" s="478"/>
      <c r="P40" s="478"/>
      <c r="Q40" s="479"/>
      <c r="R40" s="454"/>
      <c r="S40" s="477"/>
      <c r="T40" s="477"/>
      <c r="U40" s="477"/>
      <c r="V40" s="477"/>
      <c r="W40" s="470"/>
      <c r="X40" s="454"/>
      <c r="Y40" s="477"/>
      <c r="Z40" s="477"/>
      <c r="AA40" s="477"/>
      <c r="AB40" s="477"/>
      <c r="AC40" s="470"/>
      <c r="AD40" s="446"/>
      <c r="AE40" s="459"/>
      <c r="AF40" s="459"/>
      <c r="AG40" s="459"/>
      <c r="AH40" s="459"/>
      <c r="AI40" s="443"/>
      <c r="AJ40" s="460"/>
      <c r="AK40" s="461"/>
      <c r="AL40" s="461"/>
      <c r="AM40" s="461"/>
      <c r="AN40" s="461"/>
      <c r="AO40" s="462"/>
      <c r="AP40" s="69"/>
      <c r="AQ40" s="429"/>
      <c r="AR40" s="430"/>
      <c r="AS40" s="430"/>
      <c r="AT40" s="430"/>
      <c r="AU40" s="430"/>
      <c r="AV40" s="431"/>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97"/>
      <c r="E41" s="397"/>
      <c r="F41" s="398"/>
      <c r="G41" s="437"/>
      <c r="H41" s="438"/>
      <c r="I41" s="438"/>
      <c r="J41" s="438"/>
      <c r="K41" s="438"/>
      <c r="L41" s="480" t="str">
        <f>IF(AND('Mapa final'!$Q$25="Baja",'Mapa final'!$U$25="Leve"),CONCATENATE("R",'Mapa final'!$A$25),"")</f>
        <v/>
      </c>
      <c r="M41" s="478"/>
      <c r="N41" s="478" t="str">
        <f>IF(AND('Mapa final'!$L$26="Baja",'Mapa final'!$P$26="Leve"),CONCATENATE("R",'Mapa final'!$A$26),"")</f>
        <v/>
      </c>
      <c r="O41" s="478"/>
      <c r="P41" s="478" t="str">
        <f>IF(AND('Mapa final'!$L$27="Baja",'Mapa final'!$P$27="Leve"),CONCATENATE("R",'Mapa final'!$A$27),"")</f>
        <v/>
      </c>
      <c r="Q41" s="479"/>
      <c r="R41" s="454" t="str">
        <f>IF(AND('Mapa final'!$Q$25="Baja",'Mapa final'!$U$25="Menor"),CONCATENATE("R",'Mapa final'!$A$25),"")</f>
        <v/>
      </c>
      <c r="S41" s="477"/>
      <c r="T41" s="477" t="str">
        <f>IF(AND('Mapa final'!$Q$26="Baja",'Mapa final'!$U$26="Menor"),CONCATENATE("R",'Mapa final'!$A$26),"")</f>
        <v/>
      </c>
      <c r="U41" s="477"/>
      <c r="V41" s="477" t="str">
        <f>IF(AND('Mapa final'!$Q$27="Baja",'Mapa final'!$U$27="Menor"),CONCATENATE("R",'Mapa final'!$A$27),"")</f>
        <v/>
      </c>
      <c r="W41" s="470"/>
      <c r="X41" s="454" t="str">
        <f>IF(AND('Mapa final'!$Q$25="Baja",'Mapa final'!$U$25="Moderado"),CONCATENATE("R",'Mapa final'!$A$25),"")</f>
        <v/>
      </c>
      <c r="Y41" s="477"/>
      <c r="Z41" s="477" t="str">
        <f>IF(AND('Mapa final'!$Q$26="Baja",'Mapa final'!$U$26="Moderado"),CONCATENATE("R",'Mapa final'!$A$26),"")</f>
        <v/>
      </c>
      <c r="AA41" s="477"/>
      <c r="AB41" s="477" t="str">
        <f>IF(AND('Mapa final'!$Q$27="Baja",'Mapa final'!$U$27="Moderado"),CONCATENATE("R",'Mapa final'!$A$27),"")</f>
        <v/>
      </c>
      <c r="AC41" s="470"/>
      <c r="AD41" s="446" t="str">
        <f>IF(AND('Mapa final'!$Q$25="Baja",'Mapa final'!$U$25="Mayor"),CONCATENATE("R",'Mapa final'!$A$25),"")</f>
        <v/>
      </c>
      <c r="AE41" s="459"/>
      <c r="AF41" s="459" t="str">
        <f>IF(AND('Mapa final'!$Q$26="Baja",'Mapa final'!$U$26="Mayor"),CONCATENATE("R",'Mapa final'!$A$26),"")</f>
        <v/>
      </c>
      <c r="AG41" s="459"/>
      <c r="AH41" s="459" t="str">
        <f>IF(AND('Mapa final'!$Q$27="Baja",'Mapa final'!$U$27="Mayor"),CONCATENATE("R",'Mapa final'!$A$27),"")</f>
        <v/>
      </c>
      <c r="AI41" s="443"/>
      <c r="AJ41" s="460" t="str">
        <f>IF(AND('Mapa final'!$Q$25="Baja",'Mapa final'!$U$25="Catastrófico"),CONCATENATE("R",'Mapa final'!$A$25),"")</f>
        <v/>
      </c>
      <c r="AK41" s="461"/>
      <c r="AL41" s="461" t="str">
        <f>IF(AND('Mapa final'!$Q$26="Baja",'Mapa final'!$U$26="Catastrófico"),CONCATENATE("R",'Mapa final'!$A$26),"")</f>
        <v/>
      </c>
      <c r="AM41" s="461"/>
      <c r="AN41" s="461" t="str">
        <f>IF(AND('Mapa final'!$Q$27="Baja",'Mapa final'!$U$27="Catastrófico"),CONCATENATE("R",'Mapa final'!$A$27),"")</f>
        <v/>
      </c>
      <c r="AO41" s="462"/>
      <c r="AP41" s="69"/>
      <c r="AQ41" s="429"/>
      <c r="AR41" s="430"/>
      <c r="AS41" s="430"/>
      <c r="AT41" s="430"/>
      <c r="AU41" s="430"/>
      <c r="AV41" s="431"/>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97"/>
      <c r="E42" s="397"/>
      <c r="F42" s="398"/>
      <c r="G42" s="440"/>
      <c r="H42" s="441"/>
      <c r="I42" s="441"/>
      <c r="J42" s="441"/>
      <c r="K42" s="441"/>
      <c r="L42" s="481"/>
      <c r="M42" s="482"/>
      <c r="N42" s="482"/>
      <c r="O42" s="482"/>
      <c r="P42" s="482"/>
      <c r="Q42" s="483"/>
      <c r="R42" s="471"/>
      <c r="S42" s="472"/>
      <c r="T42" s="472"/>
      <c r="U42" s="472"/>
      <c r="V42" s="472"/>
      <c r="W42" s="473"/>
      <c r="X42" s="471"/>
      <c r="Y42" s="472"/>
      <c r="Z42" s="472"/>
      <c r="AA42" s="472"/>
      <c r="AB42" s="472"/>
      <c r="AC42" s="473"/>
      <c r="AD42" s="457"/>
      <c r="AE42" s="452"/>
      <c r="AF42" s="452"/>
      <c r="AG42" s="452"/>
      <c r="AH42" s="452"/>
      <c r="AI42" s="452"/>
      <c r="AJ42" s="466"/>
      <c r="AK42" s="467"/>
      <c r="AL42" s="467"/>
      <c r="AM42" s="467"/>
      <c r="AN42" s="467"/>
      <c r="AO42" s="468"/>
      <c r="AP42" s="69"/>
      <c r="AQ42" s="432"/>
      <c r="AR42" s="433"/>
      <c r="AS42" s="433"/>
      <c r="AT42" s="433"/>
      <c r="AU42" s="433"/>
      <c r="AV42" s="434"/>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97"/>
      <c r="E43" s="397"/>
      <c r="F43" s="398"/>
      <c r="G43" s="435" t="s">
        <v>111</v>
      </c>
      <c r="H43" s="436"/>
      <c r="I43" s="436"/>
      <c r="J43" s="436"/>
      <c r="K43" s="436"/>
      <c r="L43" s="484" t="str">
        <f ca="1">IF(AND('Mapa final'!$Q$15="Muy Baja",'Mapa final'!$U$15="Leve"),CONCATENATE("R",'Mapa final'!$A$15),"")</f>
        <v/>
      </c>
      <c r="M43" s="485"/>
      <c r="N43" s="485" t="str">
        <f>IF(AND('Mapa final'!$L$16="Muy Baja",'Mapa final'!$P$16="Leve"),CONCATENATE("R",'Mapa final'!$A$16),"")</f>
        <v/>
      </c>
      <c r="O43" s="485"/>
      <c r="P43" s="485" t="str">
        <f>IF(AND('Mapa final'!$L$17="Muy Baja",'Mapa final'!$P$17="Leve"),CONCATENATE("R",'Mapa final'!$A$17),"")</f>
        <v/>
      </c>
      <c r="Q43" s="486"/>
      <c r="R43" s="484" t="str">
        <f ca="1">IF(AND('Mapa final'!$Q$15="Muy Baja",'Mapa final'!$U$15="Menor"),CONCATENATE("R",'Mapa final'!$A$15),"")</f>
        <v/>
      </c>
      <c r="S43" s="485"/>
      <c r="T43" s="485" t="str">
        <f>IF(AND('Mapa final'!$Q$16="Muy Baja",'Mapa final'!$U$16="Menor"),CONCATENATE("R",'Mapa final'!$A$16),"")</f>
        <v/>
      </c>
      <c r="U43" s="485"/>
      <c r="V43" s="485" t="str">
        <f ca="1">IF(AND('Mapa final'!$Q$17="Muy Baja",'Mapa final'!$U$17="Menor"),CONCATENATE("R",'Mapa final'!$A$17),"")</f>
        <v/>
      </c>
      <c r="W43" s="486"/>
      <c r="X43" s="474" t="str">
        <f ca="1">IF(AND('Mapa final'!$Q$15="Muy Baja",'Mapa final'!$U$15="Moderado"),CONCATENATE("R",'Mapa final'!$A$15),"")</f>
        <v/>
      </c>
      <c r="Y43" s="475"/>
      <c r="Z43" s="475" t="str">
        <f>IF(AND('Mapa final'!Q$16="Muy Baja",'Mapa final'!$U$16="Moderado"),CONCATENATE("R",'Mapa final'!$A$16),"")</f>
        <v/>
      </c>
      <c r="AA43" s="475"/>
      <c r="AB43" s="475" t="str">
        <f ca="1">IF(AND('Mapa final'!$Q$17="Muy Baja",'Mapa final'!$U$17="Moderado"),CONCATENATE("R",'Mapa final'!$A$17),"")</f>
        <v/>
      </c>
      <c r="AC43" s="476"/>
      <c r="AD43" s="444" t="str">
        <f ca="1">IF(AND('Mapa final'!$Q$15="Muy Baja",'Mapa final'!$U$15="Mayor"),CONCATENATE("R",'Mapa final'!$A$15),"")</f>
        <v/>
      </c>
      <c r="AE43" s="445"/>
      <c r="AF43" s="445" t="str">
        <f>IF(AND('Mapa final'!$Q$16="Muy Baja",'Mapa final'!$U$16="Mayor"),CONCATENATE("R",'Mapa final'!$A$16),"")</f>
        <v/>
      </c>
      <c r="AG43" s="445"/>
      <c r="AH43" s="445" t="str">
        <f ca="1">IF(AND('Mapa final'!$Q$17="Muy Baja",'Mapa final'!$U$17="Mayor"),CONCATENATE("R",'Mapa final'!$A$17),"")</f>
        <v/>
      </c>
      <c r="AI43" s="458"/>
      <c r="AJ43" s="460" t="str">
        <f ca="1">IF(AND('Mapa final'!$Q$15="Muy Baja",'Mapa final'!$U$15="Catastrófico"),CONCATENATE("R",'Mapa final'!$A$15),"")</f>
        <v/>
      </c>
      <c r="AK43" s="461"/>
      <c r="AL43" s="461" t="str">
        <f>IF(AND('Mapa final'!$Q$16="Muy Baja",'Mapa final'!$U$16="Catastrófico"),CONCATENATE("R",'Mapa final'!$A$16),"")</f>
        <v/>
      </c>
      <c r="AM43" s="461"/>
      <c r="AN43" s="461" t="str">
        <f ca="1">IF(AND('Mapa final'!$Q$17="Muy Baja",'Mapa final'!$U$17="Catastrófico"),CONCATENATE("R",'Mapa final'!$A$17),"")</f>
        <v/>
      </c>
      <c r="AO43" s="462"/>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97"/>
      <c r="E44" s="397"/>
      <c r="F44" s="398"/>
      <c r="G44" s="437"/>
      <c r="H44" s="438"/>
      <c r="I44" s="438"/>
      <c r="J44" s="438"/>
      <c r="K44" s="439"/>
      <c r="L44" s="480"/>
      <c r="M44" s="478"/>
      <c r="N44" s="478"/>
      <c r="O44" s="478"/>
      <c r="P44" s="478"/>
      <c r="Q44" s="479"/>
      <c r="R44" s="480"/>
      <c r="S44" s="478"/>
      <c r="T44" s="488"/>
      <c r="U44" s="488"/>
      <c r="V44" s="488"/>
      <c r="W44" s="479"/>
      <c r="X44" s="454"/>
      <c r="Y44" s="477"/>
      <c r="Z44" s="477"/>
      <c r="AA44" s="477"/>
      <c r="AB44" s="477"/>
      <c r="AC44" s="470"/>
      <c r="AD44" s="446"/>
      <c r="AE44" s="459"/>
      <c r="AF44" s="459"/>
      <c r="AG44" s="459"/>
      <c r="AH44" s="459"/>
      <c r="AI44" s="451"/>
      <c r="AJ44" s="460"/>
      <c r="AK44" s="469"/>
      <c r="AL44" s="469"/>
      <c r="AM44" s="469"/>
      <c r="AN44" s="469"/>
      <c r="AO44" s="462"/>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97"/>
      <c r="E45" s="397"/>
      <c r="F45" s="398"/>
      <c r="G45" s="437"/>
      <c r="H45" s="438"/>
      <c r="I45" s="438"/>
      <c r="J45" s="438"/>
      <c r="K45" s="439"/>
      <c r="L45" s="480" t="str">
        <f ca="1">IF(AND('Mapa final'!$Q$19="Muy Baja",'Mapa final'!$U$19="Leve"),CONCATENATE("R",'Mapa final'!$A$19),"")</f>
        <v/>
      </c>
      <c r="M45" s="478"/>
      <c r="N45" s="478" t="str">
        <f>IF(AND('Mapa final'!$L$20="Muy Baja",'Mapa final'!$P$20="Leve"),CONCATENATE("R",'Mapa final'!$A$20),"")</f>
        <v/>
      </c>
      <c r="O45" s="478"/>
      <c r="P45" s="478" t="str">
        <f>IF(AND('Mapa final'!$L$21="Muy Baja",'Mapa final'!$P$21="Leve"),CONCATENATE("R",'Mapa final'!$A$21),"")</f>
        <v/>
      </c>
      <c r="Q45" s="479"/>
      <c r="R45" s="480" t="str">
        <f ca="1">IF(AND('Mapa final'!$Q$19="Muy Baja",'Mapa final'!$U$19="Menor"),CONCATENATE("R",'Mapa final'!$A$19),"")</f>
        <v/>
      </c>
      <c r="S45" s="478"/>
      <c r="T45" s="488" t="str">
        <f>IF(AND('Mapa final'!$Q$20="Muy Baja",'Mapa final'!$U$20="Menor"),CONCATENATE("R",'Mapa final'!$A$20),"")</f>
        <v/>
      </c>
      <c r="U45" s="488"/>
      <c r="V45" s="488" t="str">
        <f ca="1">IF(AND('Mapa final'!$Q$21="Muy Baja",'Mapa final'!$U$21="Menor"),CONCATENATE("R",'Mapa final'!$A$21),"")</f>
        <v/>
      </c>
      <c r="W45" s="479"/>
      <c r="X45" s="454" t="str">
        <f ca="1">IF(AND('Mapa final'!$Q$19="Muy Baja",'Mapa final'!$U$19="Moderado"),CONCATENATE("R",'Mapa final'!$A$19),"")</f>
        <v/>
      </c>
      <c r="Y45" s="477"/>
      <c r="Z45" s="477" t="str">
        <f>IF(AND('Mapa final'!$Q$20="Muy Baja",'Mapa final'!$U$20="Moderado"),CONCATENATE("R",'Mapa final'!$A$20),"")</f>
        <v/>
      </c>
      <c r="AA45" s="477"/>
      <c r="AB45" s="477" t="str">
        <f ca="1">IF(AND('Mapa final'!$Q$21="Muy Baja",'Mapa final'!$U$21="Moderado"),CONCATENATE("R",'Mapa final'!$A$21),"")</f>
        <v/>
      </c>
      <c r="AC45" s="470"/>
      <c r="AD45" s="446" t="str">
        <f ca="1">IF(AND('Mapa final'!$Q$19="Muy Baja",'Mapa final'!$U$19="Mayor"),CONCATENATE("R",'Mapa final'!$A$19),"")</f>
        <v/>
      </c>
      <c r="AE45" s="459"/>
      <c r="AF45" s="459" t="str">
        <f>IF(AND('Mapa final'!$Q$20="Muy Baja",'Mapa final'!$U$20="Mayor"),CONCATENATE("R",'Mapa final'!$A$20),"")</f>
        <v/>
      </c>
      <c r="AG45" s="459"/>
      <c r="AH45" s="459" t="str">
        <f ca="1">IF(AND('Mapa final'!$Q$21="Muy Baja",'Mapa final'!$U$21="Mayor"),CONCATENATE("R",'Mapa final'!$A$21),"")</f>
        <v/>
      </c>
      <c r="AI45" s="451"/>
      <c r="AJ45" s="460" t="str">
        <f ca="1">IF(AND('Mapa final'!$Q$19="Muy Baja",'Mapa final'!$U$19="Catastrófico"),CONCATENATE("R",'Mapa final'!$A$19),"")</f>
        <v/>
      </c>
      <c r="AK45" s="469"/>
      <c r="AL45" s="469" t="str">
        <f>IF(AND('Mapa final'!$Q$20="Muy Baja",'Mapa final'!$U$20="Catastrófico"),CONCATENATE("R",'Mapa final'!$A$20),"")</f>
        <v/>
      </c>
      <c r="AM45" s="469"/>
      <c r="AN45" s="469" t="str">
        <f>IF(AND('Mapa final'!$Q$21="Muy Baja",'Mapa final'!$L$21="Catastrófico"),CONCATENATE("R",'Mapa final'!$A$21),"")</f>
        <v/>
      </c>
      <c r="AO45" s="462"/>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97"/>
      <c r="E46" s="397"/>
      <c r="F46" s="398"/>
      <c r="G46" s="437"/>
      <c r="H46" s="438"/>
      <c r="I46" s="438"/>
      <c r="J46" s="438"/>
      <c r="K46" s="439"/>
      <c r="L46" s="480"/>
      <c r="M46" s="478"/>
      <c r="N46" s="478"/>
      <c r="O46" s="478"/>
      <c r="P46" s="478"/>
      <c r="Q46" s="479"/>
      <c r="R46" s="480"/>
      <c r="S46" s="478"/>
      <c r="T46" s="488"/>
      <c r="U46" s="488"/>
      <c r="V46" s="488"/>
      <c r="W46" s="479"/>
      <c r="X46" s="454"/>
      <c r="Y46" s="477"/>
      <c r="Z46" s="477"/>
      <c r="AA46" s="477"/>
      <c r="AB46" s="477"/>
      <c r="AC46" s="470"/>
      <c r="AD46" s="446"/>
      <c r="AE46" s="459"/>
      <c r="AF46" s="459"/>
      <c r="AG46" s="459"/>
      <c r="AH46" s="459"/>
      <c r="AI46" s="451"/>
      <c r="AJ46" s="460"/>
      <c r="AK46" s="469"/>
      <c r="AL46" s="469"/>
      <c r="AM46" s="469"/>
      <c r="AN46" s="469"/>
      <c r="AO46" s="462"/>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97"/>
      <c r="E47" s="397"/>
      <c r="F47" s="398"/>
      <c r="G47" s="437"/>
      <c r="H47" s="438"/>
      <c r="I47" s="438"/>
      <c r="J47" s="438"/>
      <c r="K47" s="439"/>
      <c r="L47" s="480" t="str">
        <f ca="1">IF(AND('Mapa final'!$Q$22="Muy Baja",'Mapa final'!$U$22="Leve"),CONCATENATE("R",'Mapa final'!$A$22),"")</f>
        <v/>
      </c>
      <c r="M47" s="478"/>
      <c r="N47" s="478" t="str">
        <f>IF(AND('Mapa final'!$L$23="Muy Baja",'Mapa final'!$P$23="Leve"),CONCATENATE("R",'Mapa final'!$A$23),"")</f>
        <v/>
      </c>
      <c r="O47" s="478"/>
      <c r="P47" s="478" t="str">
        <f>IF(AND('Mapa final'!$L$24="Muy Baja",'Mapa final'!$P$24="Leve"),CONCATENATE("R",'Mapa final'!$A$24),"")</f>
        <v/>
      </c>
      <c r="Q47" s="479"/>
      <c r="R47" s="480" t="str">
        <f ca="1">IF(AND('Mapa final'!$Q$22="Muy Baja",'Mapa final'!$U$22="Menor"),CONCATENATE("R",'Mapa final'!$A$22),"")</f>
        <v/>
      </c>
      <c r="S47" s="478"/>
      <c r="T47" s="488" t="str">
        <f ca="1">IF(AND('Mapa final'!$LR$23="Muy Baja",'Mapa final'!$U$23="Menor"),CONCATENATE("R",'Mapa final'!$A$23),"")</f>
        <v/>
      </c>
      <c r="U47" s="488"/>
      <c r="V47" s="488" t="str">
        <f>IF(AND('Mapa final'!$Q$24="Muy Baja",'Mapa final'!$U$24="Menor"),CONCATENATE("R",'Mapa final'!$A$24),"")</f>
        <v/>
      </c>
      <c r="W47" s="479"/>
      <c r="X47" s="454" t="str">
        <f ca="1">IF(AND('Mapa final'!$Q$22="Muy Baja",'Mapa final'!$U$22="Moderado"),CONCATENATE("R",'Mapa final'!$A$22),"")</f>
        <v/>
      </c>
      <c r="Y47" s="477"/>
      <c r="Z47" s="477" t="str">
        <f ca="1">IF(AND('Mapa final'!$Q$23="Muy Baja",'Mapa final'!$U$23="Moderado"),CONCATENATE("R",'Mapa final'!$A$23),"")</f>
        <v/>
      </c>
      <c r="AA47" s="477"/>
      <c r="AB47" s="477" t="str">
        <f>IF(AND('Mapa final'!$Q$24="Muy Baja",'Mapa final'!$U$24="Moderado"),CONCATENATE("R",'Mapa final'!$A$24),"")</f>
        <v/>
      </c>
      <c r="AC47" s="470"/>
      <c r="AD47" s="446" t="str">
        <f ca="1">IF(AND('Mapa final'!$Q$22="Muy Baja",'Mapa final'!$U$22="Mayor"),CONCATENATE("R",'Mapa final'!$A$22),"")</f>
        <v/>
      </c>
      <c r="AE47" s="459"/>
      <c r="AF47" s="459" t="str">
        <f ca="1">IF(AND('Mapa final'!$Q$23="Muy Baja",'Mapa final'!$U$23="Mayor"),CONCATENATE("R",'Mapa final'!$A$23),"")</f>
        <v/>
      </c>
      <c r="AG47" s="459"/>
      <c r="AH47" s="459" t="str">
        <f>IF(AND('Mapa final'!$Q$24="Muy Baja",'Mapa final'!$U$24="Mayor"),CONCATENATE("R",'Mapa final'!$A$24),"")</f>
        <v/>
      </c>
      <c r="AI47" s="451"/>
      <c r="AJ47" s="460" t="str">
        <f ca="1">IF(AND('Mapa final'!$Q$22="Muy Baja",'Mapa final'!$U$22="Catastrófico"),CONCATENATE("R",'Mapa final'!$A$22),"")</f>
        <v/>
      </c>
      <c r="AK47" s="469"/>
      <c r="AL47" s="469" t="str">
        <f ca="1">IF(AND('Mapa final'!$Q$23="Muy Baja",'Mapa final'!$U$23="Catastrófico"),CONCATENATE("R",'Mapa final'!$A$23),"")</f>
        <v/>
      </c>
      <c r="AM47" s="469"/>
      <c r="AN47" s="469" t="str">
        <f>IF(AND('Mapa final'!$Q$24="Muy Baja",'Mapa final'!$U$24="Catastrófico"),CONCATENATE("R",'Mapa final'!$A$24),"")</f>
        <v/>
      </c>
      <c r="AO47" s="462"/>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97"/>
      <c r="E48" s="397"/>
      <c r="F48" s="398"/>
      <c r="G48" s="437"/>
      <c r="H48" s="438"/>
      <c r="I48" s="438"/>
      <c r="J48" s="438"/>
      <c r="K48" s="439"/>
      <c r="L48" s="480"/>
      <c r="M48" s="478"/>
      <c r="N48" s="478"/>
      <c r="O48" s="478"/>
      <c r="P48" s="478"/>
      <c r="Q48" s="479"/>
      <c r="R48" s="480"/>
      <c r="S48" s="478"/>
      <c r="T48" s="488"/>
      <c r="U48" s="488"/>
      <c r="V48" s="488"/>
      <c r="W48" s="479"/>
      <c r="X48" s="454"/>
      <c r="Y48" s="477"/>
      <c r="Z48" s="477"/>
      <c r="AA48" s="477"/>
      <c r="AB48" s="477"/>
      <c r="AC48" s="470"/>
      <c r="AD48" s="446"/>
      <c r="AE48" s="459"/>
      <c r="AF48" s="459"/>
      <c r="AG48" s="459"/>
      <c r="AH48" s="459"/>
      <c r="AI48" s="451"/>
      <c r="AJ48" s="460"/>
      <c r="AK48" s="469"/>
      <c r="AL48" s="469"/>
      <c r="AM48" s="469"/>
      <c r="AN48" s="469"/>
      <c r="AO48" s="462"/>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97"/>
      <c r="E49" s="397"/>
      <c r="F49" s="398"/>
      <c r="G49" s="437"/>
      <c r="H49" s="438"/>
      <c r="I49" s="438"/>
      <c r="J49" s="438"/>
      <c r="K49" s="439"/>
      <c r="L49" s="480" t="str">
        <f>IF(AND('Mapa final'!$Q$25="Muy Baja",'Mapa final'!$U$25="Leve"),CONCATENATE("R",'Mapa final'!$A$25),"")</f>
        <v/>
      </c>
      <c r="M49" s="478"/>
      <c r="N49" s="478" t="str">
        <f>IF(AND('Mapa final'!$L$26="Muy Baja",'Mapa final'!$P$26="Leve"),CONCATENATE("R",'Mapa final'!$A$26),"")</f>
        <v/>
      </c>
      <c r="O49" s="478"/>
      <c r="P49" s="478" t="str">
        <f>IF(AND('Mapa final'!$L$27="Muy Baja",'Mapa final'!$P$27="Leve"),CONCATENATE("R",'Mapa final'!$A$27),"")</f>
        <v/>
      </c>
      <c r="Q49" s="479"/>
      <c r="R49" s="478" t="str">
        <f>IF(AND('Mapa final'!$Q$25="Muy Baja",'Mapa final'!$U$25="Menor"),CONCATENATE("R",'Mapa final'!$A$25),"")</f>
        <v/>
      </c>
      <c r="S49" s="488"/>
      <c r="T49" s="488" t="str">
        <f>IF(AND('Mapa final'!$Q$26="Muy Baja",'Mapa final'!$U$26="Menor"),CONCATENATE("R",'Mapa final'!$A$26),"")</f>
        <v/>
      </c>
      <c r="U49" s="488"/>
      <c r="V49" s="488" t="str">
        <f>IF(AND('Mapa final'!$Q$27="Muy Baja",'Mapa final'!$U$27="Menor"),CONCATENATE("R",'Mapa final'!$A$27),"")</f>
        <v/>
      </c>
      <c r="W49" s="479"/>
      <c r="X49" s="454" t="str">
        <f>IF(AND('Mapa final'!$Q$25="Muy Baja",'Mapa final'!$U$25="Moderado"),CONCATENATE("R",'Mapa final'!$A$25),"")</f>
        <v/>
      </c>
      <c r="Y49" s="477"/>
      <c r="Z49" s="477" t="str">
        <f>IF(AND('Mapa final'!$Q$26="Muy Baja",'Mapa final'!$U$26="Moderado"),CONCATENATE("R",'Mapa final'!$A$26),"")</f>
        <v/>
      </c>
      <c r="AA49" s="477"/>
      <c r="AB49" s="477" t="str">
        <f>IF(AND('Mapa final'!$Q$27="Muy Baja",'Mapa final'!$U$27="Moderado"),CONCATENATE("R",'Mapa final'!$A$27),"")</f>
        <v/>
      </c>
      <c r="AC49" s="470"/>
      <c r="AD49" s="446" t="str">
        <f>IF(AND('Mapa final'!$Q$25="Muy Baja",'Mapa final'!$U$25="Mayor"),CONCATENATE("R",'Mapa final'!$A$25),"")</f>
        <v/>
      </c>
      <c r="AE49" s="459"/>
      <c r="AF49" s="459" t="str">
        <f>IF(AND('Mapa final'!$Q$26="Muy Baja",'Mapa final'!$U$26="Mayor"),CONCATENATE("R",'Mapa final'!$A$26),"")</f>
        <v/>
      </c>
      <c r="AG49" s="459"/>
      <c r="AH49" s="459" t="str">
        <f>IF(AND('Mapa final'!$Q$27="Muy Baja",'Mapa final'!$U$27="Mayor"),CONCATENATE("R",'Mapa final'!$A$27),"")</f>
        <v/>
      </c>
      <c r="AI49" s="451"/>
      <c r="AJ49" s="460" t="str">
        <f>IF(AND('Mapa final'!$Q$25="Muy Baja",'Mapa final'!$U$25="Catastrófico"),CONCATENATE("R",'Mapa final'!$A$25),"")</f>
        <v/>
      </c>
      <c r="AK49" s="469"/>
      <c r="AL49" s="469" t="str">
        <f>IF(AND('Mapa final'!$Q$26="Muy Baja",'Mapa final'!$U$26="Catastrófico"),CONCATENATE("R",'Mapa final'!$A$26),"")</f>
        <v/>
      </c>
      <c r="AM49" s="469"/>
      <c r="AN49" s="469" t="str">
        <f>IF(AND('Mapa final'!$Q$27="Muy Baja",'Mapa final'!$U$27="Catastrófico"),CONCATENATE("R",'Mapa final'!$A$27),"")</f>
        <v/>
      </c>
      <c r="AO49" s="462"/>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97"/>
      <c r="E50" s="397"/>
      <c r="F50" s="398"/>
      <c r="G50" s="440"/>
      <c r="H50" s="441"/>
      <c r="I50" s="441"/>
      <c r="J50" s="441"/>
      <c r="K50" s="441"/>
      <c r="L50" s="481"/>
      <c r="M50" s="482"/>
      <c r="N50" s="482"/>
      <c r="O50" s="482"/>
      <c r="P50" s="482"/>
      <c r="Q50" s="483"/>
      <c r="R50" s="482"/>
      <c r="S50" s="482"/>
      <c r="T50" s="482"/>
      <c r="U50" s="482"/>
      <c r="V50" s="482"/>
      <c r="W50" s="483"/>
      <c r="X50" s="471"/>
      <c r="Y50" s="472"/>
      <c r="Z50" s="472"/>
      <c r="AA50" s="472"/>
      <c r="AB50" s="472"/>
      <c r="AC50" s="473"/>
      <c r="AD50" s="457"/>
      <c r="AE50" s="452"/>
      <c r="AF50" s="452"/>
      <c r="AG50" s="452"/>
      <c r="AH50" s="452"/>
      <c r="AI50" s="453"/>
      <c r="AJ50" s="466"/>
      <c r="AK50" s="467"/>
      <c r="AL50" s="467"/>
      <c r="AM50" s="467"/>
      <c r="AN50" s="467"/>
      <c r="AO50" s="468"/>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47" t="s">
        <v>110</v>
      </c>
      <c r="M51" s="439"/>
      <c r="N51" s="439"/>
      <c r="O51" s="439"/>
      <c r="P51" s="439"/>
      <c r="Q51" s="448"/>
      <c r="R51" s="435" t="s">
        <v>109</v>
      </c>
      <c r="S51" s="436"/>
      <c r="T51" s="436"/>
      <c r="U51" s="436"/>
      <c r="V51" s="436"/>
      <c r="W51" s="450"/>
      <c r="X51" s="435" t="s">
        <v>108</v>
      </c>
      <c r="Y51" s="436"/>
      <c r="Z51" s="436"/>
      <c r="AA51" s="436"/>
      <c r="AB51" s="436"/>
      <c r="AC51" s="450"/>
      <c r="AD51" s="435" t="s">
        <v>107</v>
      </c>
      <c r="AE51" s="456"/>
      <c r="AF51" s="436"/>
      <c r="AG51" s="436"/>
      <c r="AH51" s="436"/>
      <c r="AI51" s="450"/>
      <c r="AJ51" s="435" t="s">
        <v>106</v>
      </c>
      <c r="AK51" s="436"/>
      <c r="AL51" s="436"/>
      <c r="AM51" s="436"/>
      <c r="AN51" s="436"/>
      <c r="AO51" s="450"/>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37"/>
      <c r="M52" s="438"/>
      <c r="N52" s="438"/>
      <c r="O52" s="438"/>
      <c r="P52" s="438"/>
      <c r="Q52" s="448"/>
      <c r="R52" s="437"/>
      <c r="S52" s="438"/>
      <c r="T52" s="438"/>
      <c r="U52" s="438"/>
      <c r="V52" s="438"/>
      <c r="W52" s="448"/>
      <c r="X52" s="437"/>
      <c r="Y52" s="438"/>
      <c r="Z52" s="438"/>
      <c r="AA52" s="438"/>
      <c r="AB52" s="438"/>
      <c r="AC52" s="448"/>
      <c r="AD52" s="437"/>
      <c r="AE52" s="438"/>
      <c r="AF52" s="438"/>
      <c r="AG52" s="438"/>
      <c r="AH52" s="438"/>
      <c r="AI52" s="448"/>
      <c r="AJ52" s="437"/>
      <c r="AK52" s="438"/>
      <c r="AL52" s="438"/>
      <c r="AM52" s="438"/>
      <c r="AN52" s="438"/>
      <c r="AO52" s="448"/>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37"/>
      <c r="M53" s="438"/>
      <c r="N53" s="438"/>
      <c r="O53" s="438"/>
      <c r="P53" s="438"/>
      <c r="Q53" s="448"/>
      <c r="R53" s="437"/>
      <c r="S53" s="438"/>
      <c r="T53" s="438"/>
      <c r="U53" s="438"/>
      <c r="V53" s="438"/>
      <c r="W53" s="448"/>
      <c r="X53" s="437"/>
      <c r="Y53" s="438"/>
      <c r="Z53" s="438"/>
      <c r="AA53" s="438"/>
      <c r="AB53" s="438"/>
      <c r="AC53" s="448"/>
      <c r="AD53" s="437"/>
      <c r="AE53" s="438"/>
      <c r="AF53" s="438"/>
      <c r="AG53" s="438"/>
      <c r="AH53" s="438"/>
      <c r="AI53" s="448"/>
      <c r="AJ53" s="437"/>
      <c r="AK53" s="438"/>
      <c r="AL53" s="438"/>
      <c r="AM53" s="438"/>
      <c r="AN53" s="438"/>
      <c r="AO53" s="448"/>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37"/>
      <c r="M54" s="438"/>
      <c r="N54" s="438"/>
      <c r="O54" s="438"/>
      <c r="P54" s="438"/>
      <c r="Q54" s="448"/>
      <c r="R54" s="437"/>
      <c r="S54" s="438"/>
      <c r="T54" s="438"/>
      <c r="U54" s="438"/>
      <c r="V54" s="438"/>
      <c r="W54" s="448"/>
      <c r="X54" s="437"/>
      <c r="Y54" s="438"/>
      <c r="Z54" s="438"/>
      <c r="AA54" s="438"/>
      <c r="AB54" s="438"/>
      <c r="AC54" s="448"/>
      <c r="AD54" s="437"/>
      <c r="AE54" s="438"/>
      <c r="AF54" s="438"/>
      <c r="AG54" s="438"/>
      <c r="AH54" s="438"/>
      <c r="AI54" s="448"/>
      <c r="AJ54" s="437"/>
      <c r="AK54" s="438"/>
      <c r="AL54" s="438"/>
      <c r="AM54" s="438"/>
      <c r="AN54" s="438"/>
      <c r="AO54" s="448"/>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37"/>
      <c r="M55" s="438"/>
      <c r="N55" s="438"/>
      <c r="O55" s="438"/>
      <c r="P55" s="438"/>
      <c r="Q55" s="448"/>
      <c r="R55" s="437"/>
      <c r="S55" s="438"/>
      <c r="T55" s="438"/>
      <c r="U55" s="438"/>
      <c r="V55" s="438"/>
      <c r="W55" s="448"/>
      <c r="X55" s="437"/>
      <c r="Y55" s="438"/>
      <c r="Z55" s="438"/>
      <c r="AA55" s="438"/>
      <c r="AB55" s="438"/>
      <c r="AC55" s="448"/>
      <c r="AD55" s="437"/>
      <c r="AE55" s="438"/>
      <c r="AF55" s="438"/>
      <c r="AG55" s="438"/>
      <c r="AH55" s="438"/>
      <c r="AI55" s="448"/>
      <c r="AJ55" s="437"/>
      <c r="AK55" s="438"/>
      <c r="AL55" s="438"/>
      <c r="AM55" s="438"/>
      <c r="AN55" s="438"/>
      <c r="AO55" s="448"/>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40"/>
      <c r="M56" s="441"/>
      <c r="N56" s="441"/>
      <c r="O56" s="441"/>
      <c r="P56" s="441"/>
      <c r="Q56" s="449"/>
      <c r="R56" s="440"/>
      <c r="S56" s="441"/>
      <c r="T56" s="441"/>
      <c r="U56" s="441"/>
      <c r="V56" s="441"/>
      <c r="W56" s="449"/>
      <c r="X56" s="440"/>
      <c r="Y56" s="441"/>
      <c r="Z56" s="441"/>
      <c r="AA56" s="441"/>
      <c r="AB56" s="441"/>
      <c r="AC56" s="449"/>
      <c r="AD56" s="440"/>
      <c r="AE56" s="441"/>
      <c r="AF56" s="441"/>
      <c r="AG56" s="441"/>
      <c r="AH56" s="441"/>
      <c r="AI56" s="449"/>
      <c r="AJ56" s="440"/>
      <c r="AK56" s="441"/>
      <c r="AL56" s="441"/>
      <c r="AM56" s="441"/>
      <c r="AN56" s="441"/>
      <c r="AO56" s="44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304</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sheetView>
  </sheetViews>
  <sheetFormatPr baseColWidth="10" defaultRowHeight="15" x14ac:dyDescent="0.25"/>
  <cols>
    <col min="3" max="19" width="5.7109375" customWidth="1"/>
    <col min="20" max="20" width="6.7109375" customWidth="1"/>
    <col min="21" max="22" width="5.7109375" customWidth="1"/>
    <col min="23" max="23" width="11.85546875" customWidth="1"/>
    <col min="24" max="24" width="5.7109375" customWidth="1"/>
    <col min="25" max="25" width="10.140625" customWidth="1"/>
    <col min="26" max="26" width="9.140625" customWidth="1"/>
    <col min="27" max="27" width="5.28515625" customWidth="1"/>
    <col min="28" max="28" width="10.7109375" customWidth="1"/>
    <col min="29" max="29" width="5.7109375" customWidth="1"/>
    <col min="30" max="30" width="7.42578125" customWidth="1"/>
    <col min="31" max="34" width="5.7109375" customWidth="1"/>
    <col min="35" max="35" width="8.42578125" customWidth="1"/>
    <col min="36" max="40" width="5.7109375" customWidth="1"/>
    <col min="42" max="47" width="5.7109375" customWidth="1"/>
  </cols>
  <sheetData>
    <row r="1" spans="1:92" ht="15.75" thickBot="1" x14ac:dyDescent="0.3"/>
    <row r="2" spans="1:92" x14ac:dyDescent="0.25">
      <c r="C2" s="388" t="s">
        <v>249</v>
      </c>
      <c r="D2" s="389"/>
      <c r="E2" s="389"/>
      <c r="F2" s="389"/>
      <c r="G2" s="389"/>
      <c r="H2" s="389"/>
      <c r="I2" s="389"/>
      <c r="J2" s="390"/>
      <c r="K2" s="379" t="s">
        <v>203</v>
      </c>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1"/>
      <c r="AO2" s="280" t="s">
        <v>374</v>
      </c>
      <c r="AP2" s="376"/>
      <c r="AQ2" s="376"/>
      <c r="AR2" s="376"/>
      <c r="AS2" s="376"/>
      <c r="AT2" s="376"/>
      <c r="AU2" s="253"/>
    </row>
    <row r="3" spans="1:92" x14ac:dyDescent="0.25">
      <c r="C3" s="391"/>
      <c r="D3" s="392"/>
      <c r="E3" s="392"/>
      <c r="F3" s="392"/>
      <c r="G3" s="392"/>
      <c r="H3" s="392"/>
      <c r="I3" s="392"/>
      <c r="J3" s="393"/>
      <c r="K3" s="382"/>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4"/>
      <c r="AO3" s="281" t="s">
        <v>262</v>
      </c>
      <c r="AP3" s="377"/>
      <c r="AQ3" s="377"/>
      <c r="AR3" s="377"/>
      <c r="AS3" s="377"/>
      <c r="AT3" s="377"/>
      <c r="AU3" s="255"/>
    </row>
    <row r="4" spans="1:92" x14ac:dyDescent="0.25">
      <c r="C4" s="391"/>
      <c r="D4" s="392"/>
      <c r="E4" s="392"/>
      <c r="F4" s="392"/>
      <c r="G4" s="392"/>
      <c r="H4" s="392"/>
      <c r="I4" s="392"/>
      <c r="J4" s="393"/>
      <c r="K4" s="382"/>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4"/>
      <c r="AO4" s="281" t="s">
        <v>386</v>
      </c>
      <c r="AP4" s="377" t="s">
        <v>261</v>
      </c>
      <c r="AQ4" s="377"/>
      <c r="AR4" s="377"/>
      <c r="AS4" s="377"/>
      <c r="AT4" s="377"/>
      <c r="AU4" s="255"/>
    </row>
    <row r="5" spans="1:92" ht="15.75" thickBot="1" x14ac:dyDescent="0.3">
      <c r="C5" s="394"/>
      <c r="D5" s="395"/>
      <c r="E5" s="395"/>
      <c r="F5" s="395"/>
      <c r="G5" s="395"/>
      <c r="H5" s="395"/>
      <c r="I5" s="395"/>
      <c r="J5" s="396"/>
      <c r="K5" s="385"/>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7"/>
      <c r="AO5" s="282" t="s">
        <v>243</v>
      </c>
      <c r="AP5" s="378" t="s">
        <v>243</v>
      </c>
      <c r="AQ5" s="378"/>
      <c r="AR5" s="378"/>
      <c r="AS5" s="378"/>
      <c r="AT5" s="378"/>
      <c r="AU5" s="257"/>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655" t="s">
        <v>264</v>
      </c>
      <c r="B8" s="655"/>
      <c r="C8" s="514" t="s">
        <v>155</v>
      </c>
      <c r="D8" s="515"/>
      <c r="E8" s="515"/>
      <c r="F8" s="515"/>
      <c r="G8" s="515"/>
      <c r="H8" s="515"/>
      <c r="I8" s="515"/>
      <c r="J8" s="515"/>
      <c r="K8" s="516" t="s">
        <v>2</v>
      </c>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516"/>
      <c r="AN8" s="516"/>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515"/>
      <c r="D9" s="515"/>
      <c r="E9" s="515"/>
      <c r="F9" s="515"/>
      <c r="G9" s="515"/>
      <c r="H9" s="515"/>
      <c r="I9" s="515"/>
      <c r="J9" s="515"/>
      <c r="K9" s="516"/>
      <c r="L9" s="516"/>
      <c r="M9" s="516"/>
      <c r="N9" s="516"/>
      <c r="O9" s="516"/>
      <c r="P9" s="516"/>
      <c r="Q9" s="516"/>
      <c r="R9" s="516"/>
      <c r="S9" s="516"/>
      <c r="T9" s="516"/>
      <c r="U9" s="516"/>
      <c r="V9" s="516"/>
      <c r="W9" s="516"/>
      <c r="X9" s="516"/>
      <c r="Y9" s="516"/>
      <c r="Z9" s="516"/>
      <c r="AA9" s="516"/>
      <c r="AB9" s="516"/>
      <c r="AC9" s="516"/>
      <c r="AD9" s="516"/>
      <c r="AE9" s="516"/>
      <c r="AF9" s="516"/>
      <c r="AG9" s="516"/>
      <c r="AH9" s="516"/>
      <c r="AI9" s="516"/>
      <c r="AJ9" s="516"/>
      <c r="AK9" s="516"/>
      <c r="AL9" s="516"/>
      <c r="AM9" s="516"/>
      <c r="AN9" s="516"/>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515"/>
      <c r="D10" s="515"/>
      <c r="E10" s="515"/>
      <c r="F10" s="515"/>
      <c r="G10" s="515"/>
      <c r="H10" s="515"/>
      <c r="I10" s="515"/>
      <c r="J10" s="515"/>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97" t="s">
        <v>4</v>
      </c>
      <c r="D12" s="397"/>
      <c r="E12" s="398"/>
      <c r="F12" s="498" t="s">
        <v>114</v>
      </c>
      <c r="G12" s="499"/>
      <c r="H12" s="499"/>
      <c r="I12" s="499"/>
      <c r="J12" s="499"/>
      <c r="K12" s="32" t="str">
        <f ca="1">IF(AND('Mapa final'!$AJ$15="Muy Alta",'Mapa final'!$AL$15="Leve"),CONCATENATE("R2C",'Mapa final'!$S$15),"")</f>
        <v/>
      </c>
      <c r="L12" s="33" t="str">
        <f>IF(AND('Mapa final'!$AJ$16="Muy Alta",'Mapa final'!$AL$16="Leve"),CONCATENATE("R2C",'Mapa final'!$S$16),"")</f>
        <v/>
      </c>
      <c r="M12" s="33" t="str">
        <f ca="1">IF(AND('Mapa final'!$AJ$17="Muy Alta",'Mapa final'!$AL$17="Leve"),CONCATENATE("R2C",'Mapa final'!$S$17),"")</f>
        <v/>
      </c>
      <c r="N12" s="33" t="str">
        <f ca="1">IF(AND('Mapa final'!$AJ$19="Muy Alta",'Mapa final'!$AL$19="Leve"),CONCATENATE("R2C",'Mapa final'!$S$19),"")</f>
        <v/>
      </c>
      <c r="O12" s="33" t="str">
        <f>IF(AND('Mapa final'!$AJ$20="Muy Alta",'Mapa final'!$AL$20="Leve"),CONCATENATE("R2C",'Mapa final'!$S$20),"")</f>
        <v/>
      </c>
      <c r="P12" s="34" t="str">
        <f ca="1">IF(AND('Mapa final'!$AJ$21="Muy Alta",'Mapa final'!$AL$21="Leve"),CONCATENATE("R2C",'Mapa final'!$S$21),"")</f>
        <v/>
      </c>
      <c r="Q12" s="33" t="str">
        <f ca="1">IF(AND('Mapa final'!$AJ$15="Muy Alta",'Mapa final'!$AL$15="Menor"),CONCATENATE("R2C",'Mapa final'!$S$15),"")</f>
        <v/>
      </c>
      <c r="R12" s="33" t="str">
        <f>IF(AND('Mapa final'!$AJ$16="Muy Alta",'Mapa final'!$AL$16="Menore"),CONCATENATE("R2C",'Mapa final'!$S$16),"")</f>
        <v/>
      </c>
      <c r="S12" s="33" t="str">
        <f ca="1">IF(AND('Mapa final'!$AJ$17="Muy Alta",'Mapa final'!$AL$17="Menor"),CONCATENATE("R2C",'Mapa final'!$S$17),"")</f>
        <v/>
      </c>
      <c r="T12" s="33" t="str">
        <f ca="1">IF(AND('Mapa final'!$AJ$19="Muy Alta",'Mapa final'!$AL$19="Menor"),CONCATENATE("R2C",'Mapa final'!$S$19),"")</f>
        <v/>
      </c>
      <c r="U12" s="33" t="str">
        <f>IF(AND('Mapa final'!$AJ$20="Muy Alta",'Mapa final'!$AL$20="Menor"),CONCATENATE("R2C",'Mapa final'!$S$20),"")</f>
        <v/>
      </c>
      <c r="V12" s="34" t="str">
        <f ca="1">IF(AND('Mapa final'!$AJ$21="Muy Alta",'Mapa final'!$AL$21="Menor"),CONCATENATE("R2C",'Mapa final'!$S$21),"")</f>
        <v/>
      </c>
      <c r="W12" s="32" t="str">
        <f ca="1">IF(AND('Mapa final'!$AJ$15="Muy Alta",'Mapa final'!$AL$15="Moderado"),CONCATENATE("R2C",'Mapa final'!$S$15),"")</f>
        <v/>
      </c>
      <c r="X12" s="33" t="str">
        <f>IF(AND('Mapa final'!$AJ$16="Muy Alta",'Mapa final'!$AL$16="Moderado"),CONCATENATE("R2C",'Mapa final'!$S$16),"")</f>
        <v/>
      </c>
      <c r="Y12" s="33"/>
      <c r="Z12" s="33" t="str">
        <f ca="1">IF(AND('Mapa final'!$AJ$19="Muy Alta",'Mapa final'!$AL$19="Moderado"),CONCATENATE("R2C",'Mapa final'!$S$19),"")</f>
        <v/>
      </c>
      <c r="AA12" s="33" t="str">
        <f>IF(AND('Mapa final'!$AJ$20="Muy Alta",'Mapa final'!$AL$20="Moderado"),CONCATENATE("R2C",'Mapa final'!$S$20),"")</f>
        <v/>
      </c>
      <c r="AB12" s="34" t="str">
        <f ca="1">IF(AND('Mapa final'!$AJ$21="Muy Alta",'Mapa final'!$AL$21="Moderado"),CONCATENATE("R2C",'Mapa final'!$S$21),"")</f>
        <v/>
      </c>
      <c r="AC12" s="32" t="str">
        <f ca="1">IF(AND('Mapa final'!$AJ$15="Muy Alta",'Mapa final'!$AL$15="Mayor"),CONCATENATE("R2C",'Mapa final'!$S$15),"")</f>
        <v/>
      </c>
      <c r="AD12" s="33" t="str">
        <f>IF(AND('Mapa final'!$AJ$16="Muy Alta",'Mapa final'!$AL$16="Mayor"),CONCATENATE("R2C",'Mapa final'!$S$16),"")</f>
        <v/>
      </c>
      <c r="AE12" s="33" t="str">
        <f ca="1">IF(AND('Mapa final'!$AJ$17="Muy Alta",'Mapa final'!$AL$17="Mayor"),CONCATENATE("R2C",'Mapa final'!$S$17),"")</f>
        <v/>
      </c>
      <c r="AF12" s="33" t="str">
        <f ca="1">IF(AND('Mapa final'!$AJ$19="Muy Alta",'Mapa final'!$AL$19="Mayor"),CONCATENATE("R2C",'Mapa final'!$S$19),"")</f>
        <v/>
      </c>
      <c r="AG12" s="33" t="str">
        <f>IF(AND('Mapa final'!$AJ$20="Muy Alta",'Mapa final'!$AL$20="Mayor"),CONCATENATE("R2C",'Mapa final'!$S$20),"")</f>
        <v/>
      </c>
      <c r="AH12" s="34" t="str">
        <f ca="1">IF(AND('Mapa final'!$AJ$21="Muy Alta",'Mapa final'!$AL$21="Mayor"),CONCATENATE("R2C",'Mapa final'!$S$21),"")</f>
        <v/>
      </c>
      <c r="AI12" s="35" t="str">
        <f ca="1">IF(AND('Mapa final'!$AJ$15="Muy Alta",'Mapa final'!$AL$15="Catastrófico"),CONCATENATE("R2C",'Mapa final'!$S$15),"")</f>
        <v/>
      </c>
      <c r="AJ12" s="36" t="str">
        <f>IF(AND('Mapa final'!$AJ$16="Muy Alta",'Mapa final'!$AL$16="Catastrófico"),CONCATENATE("R2C",'Mapa final'!$S$16),"")</f>
        <v/>
      </c>
      <c r="AK12" s="36" t="str">
        <f ca="1">IF(AND('Mapa final'!$AJ$17="Muy Alta",'Mapa final'!$AL$17="Catastrófico"),CONCATENATE("R2C",'Mapa final'!$S$17),"")</f>
        <v/>
      </c>
      <c r="AL12" s="36" t="str">
        <f ca="1">IF(AND('Mapa final'!$AJ$19="Muy Alta",'Mapa final'!$AL$19="Catastrófico"),CONCATENATE("R2C",'Mapa final'!$S$19),"")</f>
        <v/>
      </c>
      <c r="AM12" s="36" t="str">
        <f>IF(AND('Mapa final'!$AJ$20="Muy Alta",'Mapa final'!$AL$20="Catastrófico"),CONCATENATE("R2C",'Mapa final'!$S$20),"")</f>
        <v/>
      </c>
      <c r="AN12" s="37" t="str">
        <f ca="1">IF(AND('Mapa final'!$AJ$21="Muy Alta",'Mapa final'!$AL$21="Catastrófico"),CONCATENATE("R2C",'Mapa final'!$S$21),"")</f>
        <v/>
      </c>
      <c r="AO12" s="69"/>
      <c r="AP12" s="505" t="s">
        <v>77</v>
      </c>
      <c r="AQ12" s="506"/>
      <c r="AR12" s="506"/>
      <c r="AS12" s="506"/>
      <c r="AT12" s="506"/>
      <c r="AU12" s="507"/>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97"/>
      <c r="D13" s="397"/>
      <c r="E13" s="398"/>
      <c r="F13" s="502"/>
      <c r="G13" s="501"/>
      <c r="H13" s="501"/>
      <c r="I13" s="501"/>
      <c r="J13" s="517"/>
      <c r="K13" s="38" t="str">
        <f>IF(AND('Mapa final'!$AJ$22="Muy Alta",'Mapa final'!$AL$22="Leve"),CONCATENATE("R2C",'Mapa final'!$S$22),"")</f>
        <v/>
      </c>
      <c r="L13" s="178" t="str">
        <f>IF(AND('Mapa final'!$AJ$23="Muy Alta",'Mapa final'!$AL$23="Leve"),CONCATENATE("R2C",'Mapa final'!$S$23),"")</f>
        <v/>
      </c>
      <c r="M13" s="178" t="str">
        <f>IF(AND('Mapa final'!$AJ$24="Muy Alta",'Mapa final'!$AL$24="Leve"),CONCATENATE("R2C",'Mapa final'!$S$24),"")</f>
        <v/>
      </c>
      <c r="N13" s="178" t="str">
        <f>IF(AND('Mapa final'!$AJ$25="Muy Alta",'Mapa final'!$AL$25="Leve"),CONCATENATE("R2C",'Mapa final'!$S$25),"")</f>
        <v/>
      </c>
      <c r="O13" s="178" t="str">
        <f>IF(AND('Mapa final'!$AJ$26="Muy Alta",'Mapa final'!$AL$26="Leve"),CONCATENATE("R2C",'Mapa final'!$S$26),"")</f>
        <v/>
      </c>
      <c r="P13" s="40" t="str">
        <f>IF(AND('Mapa final'!$AJ$27="Muy Alta",'Mapa final'!$AL$27="Leve"),CONCATENATE("R2C",'Mapa final'!$S$27),"")</f>
        <v/>
      </c>
      <c r="Q13" s="178" t="str">
        <f>IF(AND('Mapa final'!$AJ$22="Muy Alta",'Mapa final'!$AL$22="Menor"),CONCATENATE("R2C",'Mapa final'!$S$22),"")</f>
        <v/>
      </c>
      <c r="R13" s="39" t="str">
        <f>IF(AND('Mapa final'!$AJ$23="Muy Alta",'Mapa final'!$AL$23="Menor"),CONCATENATE("R2C",'Mapa final'!$S$23),"")</f>
        <v/>
      </c>
      <c r="S13" s="39" t="str">
        <f>IF(AND('Mapa final'!$AJ$24="Muy Alta",'Mapa final'!$AL$24="Menor"),CONCATENATE("R2C",'Mapa final'!$S$24),"")</f>
        <v/>
      </c>
      <c r="T13" s="39" t="str">
        <f>IF(AND('Mapa final'!$AJ$25="Muy Alta",'Mapa final'!$AL$25="Menor"),CONCATENATE("R2C",'Mapa final'!$S$25),"")</f>
        <v/>
      </c>
      <c r="U13" s="39" t="str">
        <f>IF(AND('Mapa final'!$AJ$26="Muy Alta",'Mapa final'!$AL$26="Menor"),CONCATENATE("R2C",'Mapa final'!$S$26),"")</f>
        <v/>
      </c>
      <c r="V13" s="40" t="str">
        <f>IF(AND('Mapa final'!$AJ$27="Muy Alta",'Mapa final'!$AL$27="Menor"),CONCATENATE("R2C",'Mapa final'!$S$27),"")</f>
        <v/>
      </c>
      <c r="W13" s="38" t="str">
        <f>IF(AND('Mapa final'!$AJ$22="Muy Alta",'Mapa final'!$AL$22="Moderado"),CONCATENATE("R2C",'Mapa final'!$S$22),"")</f>
        <v/>
      </c>
      <c r="X13" s="39" t="str">
        <f>IF(AND('Mapa final'!$AJ$23="Muy Alta",'Mapa final'!$AL$23="Moderado"),CONCATENATE("R2C",'Mapa final'!$S$23),"")</f>
        <v/>
      </c>
      <c r="Y13" s="39" t="str">
        <f>IF(AND('Mapa final'!$AJ$24="Muy Alta",'Mapa final'!$AL$24="Moderado"),CONCATENATE("R2C",'Mapa final'!$S$24),"")</f>
        <v/>
      </c>
      <c r="Z13" s="39" t="str">
        <f>IF(AND('Mapa final'!$AJ$25="Muy Alta",'Mapa final'!$AL$25="Moderado"),CONCATENATE("R2C",'Mapa final'!$S$25),"")</f>
        <v/>
      </c>
      <c r="AA13" s="39" t="str">
        <f>IF(AND('Mapa final'!$AJ$26="Muy Alta",'Mapa final'!$AL$26="Moderado"),CONCATENATE("R2C",'Mapa final'!$S$26),"")</f>
        <v/>
      </c>
      <c r="AB13" s="40" t="str">
        <f>IF(AND('Mapa final'!$AJ$27="Muy Alta",'Mapa final'!$AL$27="Moderado"),CONCATENATE("R2C",'Mapa final'!$S$27),"")</f>
        <v/>
      </c>
      <c r="AC13" s="38" t="str">
        <f>IF(AND('Mapa final'!$AJ$22="Muy Alta",'Mapa final'!$AL$22="Mayor"),CONCATENATE("R2C",'Mapa final'!$S$22),"")</f>
        <v/>
      </c>
      <c r="AD13" s="39" t="str">
        <f>IF(AND('Mapa final'!$AJ$23="Muy Alta",'Mapa final'!$AL$23="Mayor"),CONCATENATE("R2C",'Mapa final'!$S$23),"")</f>
        <v/>
      </c>
      <c r="AE13" s="39" t="str">
        <f>IF(AND('Mapa final'!$AJ$24="Muy Alta",'Mapa final'!$AL$24="Mayor"),CONCATENATE("R2C",'Mapa final'!$S$24),"")</f>
        <v/>
      </c>
      <c r="AF13" s="39" t="str">
        <f>IF(AND('Mapa final'!$AJ$25="Muy Alta",'Mapa final'!$AL$25="Mayor"),CONCATENATE("R2C",'Mapa final'!$S$25),"")</f>
        <v/>
      </c>
      <c r="AG13" s="39" t="str">
        <f>IF(AND('Mapa final'!$AJ$26="Muy Alta",'Mapa final'!$AL$26="Mayor"),CONCATENATE("R2C",'Mapa final'!$S$26),"")</f>
        <v/>
      </c>
      <c r="AH13" s="40" t="str">
        <f>IF(AND('Mapa final'!$AJ$27="Muy Alta",'Mapa final'!$AL$27="Mayor"),CONCATENATE("R2C",'Mapa final'!$S$27),"")</f>
        <v/>
      </c>
      <c r="AI13" s="41" t="str">
        <f>IF(AND('Mapa final'!$AJ$22="Muy Alta",'Mapa final'!$AL$22="Catastrófico"),CONCATENATE("R2C",'Mapa final'!$S$22),"")</f>
        <v/>
      </c>
      <c r="AJ13" s="42" t="str">
        <f>IF(AND('Mapa final'!$AJ$23="Muy Alta",'Mapa final'!$AL$23="Catastrófico"),CONCATENATE("R2C",'Mapa final'!$S$23),"")</f>
        <v/>
      </c>
      <c r="AK13" s="42" t="str">
        <f>IF(AND('Mapa final'!$AJ$24="Muy Alta",'Mapa final'!$AL$24="Catastrófico"),CONCATENATE("R2C",'Mapa final'!$S$24),"")</f>
        <v/>
      </c>
      <c r="AL13" s="42" t="str">
        <f>IF(AND('Mapa final'!$AJ$25="Muy Alta",'Mapa final'!$AL$25="Catastrófico"),CONCATENATE("R2C",'Mapa final'!$S$25),"")</f>
        <v/>
      </c>
      <c r="AM13" s="42" t="str">
        <f>IF(AND('Mapa final'!$AJ$26="Muy Alta",'Mapa final'!$AL$26="Catastrófico"),CONCATENATE("R2C",'Mapa final'!$S$26),"")</f>
        <v/>
      </c>
      <c r="AN13" s="43" t="str">
        <f>IF(AND('Mapa final'!$AJ$27="Muy Alta",'Mapa final'!$AL$27="Catastrófico"),CONCATENATE("R2C",'Mapa final'!$S$27),"")</f>
        <v/>
      </c>
      <c r="AO13" s="69"/>
      <c r="AP13" s="508"/>
      <c r="AQ13" s="509"/>
      <c r="AR13" s="509"/>
      <c r="AS13" s="509"/>
      <c r="AT13" s="509"/>
      <c r="AU13" s="510"/>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97"/>
      <c r="D14" s="397"/>
      <c r="E14" s="398"/>
      <c r="F14" s="502"/>
      <c r="G14" s="501"/>
      <c r="H14" s="501"/>
      <c r="I14" s="501"/>
      <c r="J14" s="517"/>
      <c r="K14" s="38" t="str">
        <f>IF(AND('Mapa final'!$AJ$28="Muy Alta",'Mapa final'!$AL$28="Leve"),CONCATENATE("R2C",'Mapa final'!$S$28),"")</f>
        <v/>
      </c>
      <c r="L14" s="178" t="str">
        <f>IF(AND('Mapa final'!$AJ$29="Muy Alta",'Mapa final'!$AL$29="Leve"),CONCATENATE("R2C",'Mapa final'!$S$29),"")</f>
        <v/>
      </c>
      <c r="M14" s="178" t="str">
        <f>IF(AND('Mapa final'!$AJ$30="Muy Alta",'Mapa final'!$AL$30="Leve"),CONCATENATE("R2C",'Mapa final'!$S$30),"")</f>
        <v/>
      </c>
      <c r="N14" s="178" t="str">
        <f>IF(AND('Mapa final'!$AJ$31="Muy Alta",'Mapa final'!$AL$31="Leve"),CONCATENATE("R2C",'Mapa final'!$S$31),"")</f>
        <v/>
      </c>
      <c r="O14" s="178" t="str">
        <f>IF(AND('Mapa final'!$AJ$32="Muy Alta",'Mapa final'!$AL$32="Leve"),CONCATENATE("R2C",'Mapa final'!$S$32),"")</f>
        <v/>
      </c>
      <c r="P14" s="40" t="str">
        <f>IF(AND('Mapa final'!$AJ$33="Muy Alta",'Mapa final'!$AL$33="Leve"),CONCATENATE("R2C",'Mapa final'!$S$33),"")</f>
        <v/>
      </c>
      <c r="Q14" s="178" t="str">
        <f>IF(AND('Mapa final'!$AJ$28="Muy Alta",'Mapa final'!$AL$28="Menor"),CONCATENATE("R2C",'Mapa final'!$S$28),"")</f>
        <v/>
      </c>
      <c r="R14" s="39" t="str">
        <f>IF(AND('Mapa final'!$AJ$29="Muy Alta",'Mapa final'!$AL$29="Menor"),CONCATENATE("R2C",'Mapa final'!$S$29),"")</f>
        <v/>
      </c>
      <c r="S14" s="39" t="str">
        <f>IF(AND('Mapa final'!$AJ$30="Muy Alta",'Mapa final'!$AL$30="Menor"),CONCATENATE("R2C",'Mapa final'!$S$30),"")</f>
        <v/>
      </c>
      <c r="T14" s="39" t="str">
        <f>IF(AND('Mapa final'!$AJ$31="Muy Alta",'Mapa final'!$AL$31="Menor"),CONCATENATE("R2C",'Mapa final'!$S$31),"")</f>
        <v/>
      </c>
      <c r="U14" s="39" t="str">
        <f>IF(AND('Mapa final'!$AJ$32="Muy Alta",'Mapa final'!$AL$32="Menor"),CONCATENATE("R2C",'Mapa final'!$S$32),"")</f>
        <v/>
      </c>
      <c r="V14" s="40" t="str">
        <f>IF(AND('Mapa final'!$AJ$33="Muy Alta",'Mapa final'!$AL$33="Menor"),CONCATENATE("R2C",'Mapa final'!$S$33),"")</f>
        <v/>
      </c>
      <c r="W14" s="38" t="str">
        <f>IF(AND('Mapa final'!$AJ$28="Muy Alta",'Mapa final'!$AL$28="Moderado"),CONCATENATE("R2C",'Mapa final'!$S$28),"")</f>
        <v/>
      </c>
      <c r="X14" s="39" t="str">
        <f>IF(AND('Mapa final'!$AJ$29="Muy Alta",'Mapa final'!$AL$29="Moderado"),CONCATENATE("R2C",'Mapa final'!$S$29),"")</f>
        <v/>
      </c>
      <c r="Y14" s="39" t="str">
        <f>IF(AND('Mapa final'!$AJ$30="Muy Alta",'Mapa final'!$AL$30="Moderado"),CONCATENATE("R2C",'Mapa final'!$S$30),"")</f>
        <v/>
      </c>
      <c r="Z14" s="39" t="str">
        <f>IF(AND('Mapa final'!$AJ$31="Muy Alta",'Mapa final'!$AL$31="Moderado"),CONCATENATE("R2C",'Mapa final'!$S$31),"")</f>
        <v/>
      </c>
      <c r="AA14" s="39" t="str">
        <f>IF(AND('Mapa final'!$AJ$32="Muy Alta",'Mapa final'!$AL$32="Moderado"),CONCATENATE("R2C",'Mapa final'!$S$32),"")</f>
        <v/>
      </c>
      <c r="AB14" s="40" t="str">
        <f>IF(AND('Mapa final'!$AJ$33="Muy Alta",'Mapa final'!$AL$33="Moderado"),CONCATENATE("R2C",'Mapa final'!$S$33),"")</f>
        <v/>
      </c>
      <c r="AC14" s="38" t="str">
        <f>IF(AND('Mapa final'!$AJ$28="Muy Alta",'Mapa final'!$AL$28="Mayor"),CONCATENATE("R2C",'Mapa final'!$S$28),"")</f>
        <v/>
      </c>
      <c r="AD14" s="39" t="str">
        <f>IF(AND('Mapa final'!$AJ$29="Muy Alta",'Mapa final'!$AL$29="Mayor"),CONCATENATE("R2C",'Mapa final'!$S$29),"")</f>
        <v/>
      </c>
      <c r="AE14" s="39" t="str">
        <f>IF(AND('Mapa final'!$AJ$30="Muy Alta",'Mapa final'!$AL$30="Mayor"),CONCATENATE("R2C",'Mapa final'!$S$30),"")</f>
        <v/>
      </c>
      <c r="AF14" s="39" t="str">
        <f>IF(AND('Mapa final'!$AJ$31="Muy Alta",'Mapa final'!$AL$31="Mayor"),CONCATENATE("R2C",'Mapa final'!$S$31),"")</f>
        <v/>
      </c>
      <c r="AG14" s="39" t="str">
        <f>IF(AND('Mapa final'!$AJ$32="Muy Alta",'Mapa final'!$AL$32="Mayor"),CONCATENATE("R2C",'Mapa final'!$S$32),"")</f>
        <v/>
      </c>
      <c r="AH14" s="40" t="str">
        <f>IF(AND('Mapa final'!$AJ$33="Muy Alta",'Mapa final'!$AL$33="Mayor"),CONCATENATE("R2C",'Mapa final'!$S$33),"")</f>
        <v/>
      </c>
      <c r="AI14" s="41" t="str">
        <f>IF(AND('Mapa final'!$AJ$28="Muy Alta",'Mapa final'!$AL$28="Catastrófico"),CONCATENATE("R2C",'Mapa final'!$S$28),"")</f>
        <v/>
      </c>
      <c r="AJ14" s="42" t="str">
        <f>IF(AND('Mapa final'!$AJ$29="Muy Alta",'Mapa final'!$AL$29="Catastrófico"),CONCATENATE("R2C",'Mapa final'!$S$29),"")</f>
        <v/>
      </c>
      <c r="AK14" s="42" t="str">
        <f>IF(AND('Mapa final'!$AJ$30="Muy Alta",'Mapa final'!$AL$30="Catastrófico"),CONCATENATE("R2C",'Mapa final'!$S$30),"")</f>
        <v/>
      </c>
      <c r="AL14" s="42" t="str">
        <f>IF(AND('Mapa final'!$AJ$31="Muy Alta",'Mapa final'!$AL$31="Catastrófico"),CONCATENATE("R2C",'Mapa final'!$S$31),"")</f>
        <v/>
      </c>
      <c r="AM14" s="42" t="str">
        <f>IF(AND('Mapa final'!$AJ$32="Muy Alta",'Mapa final'!$AL$32="Catastrófico"),CONCATENATE("R2C",'Mapa final'!$S$32),"")</f>
        <v/>
      </c>
      <c r="AN14" s="43" t="str">
        <f>IF(AND('Mapa final'!$AJ$33="Muy Alta",'Mapa final'!$AL$33="Catastrófico"),CONCATENATE("R2C",'Mapa final'!$S$33),"")</f>
        <v/>
      </c>
      <c r="AO14" s="69"/>
      <c r="AP14" s="508"/>
      <c r="AQ14" s="509"/>
      <c r="AR14" s="509"/>
      <c r="AS14" s="509"/>
      <c r="AT14" s="509"/>
      <c r="AU14" s="510"/>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97"/>
      <c r="D15" s="397"/>
      <c r="E15" s="398"/>
      <c r="F15" s="502"/>
      <c r="G15" s="501"/>
      <c r="H15" s="501"/>
      <c r="I15" s="501"/>
      <c r="J15" s="517"/>
      <c r="K15" s="38" t="str">
        <f>IF(AND('Mapa final'!$AJ$34="Muy Alta",'Mapa final'!$AL$34="Leve"),CONCATENATE("R2C",'Mapa final'!$S$34),"")</f>
        <v/>
      </c>
      <c r="L15" s="178" t="str">
        <f>IF(AND('Mapa final'!$AJ$35="Muy Alta",'Mapa final'!$AL$35="Leve"),CONCATENATE("R2C",'Mapa final'!$S$35),"")</f>
        <v/>
      </c>
      <c r="M15" s="178" t="str">
        <f>IF(AND('Mapa final'!$AJ$36="Muy Alta",'Mapa final'!$AL$36="Leve"),CONCATENATE("R2C",'Mapa final'!$S$36),"")</f>
        <v/>
      </c>
      <c r="N15" s="178" t="str">
        <f>IF(AND('Mapa final'!$AJ$37="Muy Alta",'Mapa final'!$AL$37="Leve"),CONCATENATE("R2C",'Mapa final'!$S$37),"")</f>
        <v/>
      </c>
      <c r="O15" s="178" t="str">
        <f>IF(AND('Mapa final'!$AJ$38="Muy Alta",'Mapa final'!$AL$38="Leve"),CONCATENATE("R2C",'Mapa final'!$S$38),"")</f>
        <v/>
      </c>
      <c r="P15" s="40" t="str">
        <f>IF(AND('Mapa final'!$AJ$39="Muy Alta",'Mapa final'!$AL$39="Leve"),CONCATENATE("R2C",'Mapa final'!$S$39),"")</f>
        <v/>
      </c>
      <c r="Q15" s="178" t="str">
        <f>IF(AND('Mapa final'!$AJ$34="Muy Alta",'Mapa final'!$AL$34="Menor"),CONCATENATE("R2C",'Mapa final'!$S$34),"")</f>
        <v/>
      </c>
      <c r="R15" s="39" t="str">
        <f>IF(AND('Mapa final'!$AJ$35="Muy Alta",'Mapa final'!$AL$35="Menor"),CONCATENATE("R2C",'Mapa final'!$S$35),"")</f>
        <v/>
      </c>
      <c r="S15" s="39" t="str">
        <f>IF(AND('Mapa final'!$AJ$36="Muy Alta",'Mapa final'!$AL$36="Menor"),CONCATENATE("R2C",'Mapa final'!$S$36),"")</f>
        <v/>
      </c>
      <c r="T15" s="39" t="str">
        <f>IF(AND('Mapa final'!$AJ$37="Muy Alta",'Mapa final'!$AL$37="Menor"),CONCATENATE("R2C",'Mapa final'!$S$37),"")</f>
        <v/>
      </c>
      <c r="U15" s="39" t="str">
        <f>IF(AND('Mapa final'!$AJ$38="Muy Alta",'Mapa final'!$AL$38="LMenor"),CONCATENATE("R2C",'Mapa final'!$S$38),"")</f>
        <v/>
      </c>
      <c r="V15" s="40" t="str">
        <f>IF(AND('Mapa final'!$AJ$39="Muy Alta",'Mapa final'!$AL$39="Menor"),CONCATENATE("R2C",'Mapa final'!$S$39),"")</f>
        <v/>
      </c>
      <c r="W15" s="38" t="str">
        <f>IF(AND('Mapa final'!$AJ$34="Muy Alta",'Mapa final'!$AL$34="Moderado"),CONCATENATE("R2C",'Mapa final'!$S$34),"")</f>
        <v/>
      </c>
      <c r="X15" s="39" t="str">
        <f>IF(AND('Mapa final'!$AJ$35="Muy Alta",'Mapa final'!$AL$35="Moderado"),CONCATENATE("R2C",'Mapa final'!$S$35),"")</f>
        <v/>
      </c>
      <c r="Y15" s="39" t="str">
        <f>IF(AND('Mapa final'!$AJ$36="Muy Alta",'Mapa final'!$AL$36="Moderado"),CONCATENATE("R2C",'Mapa final'!$S$36),"")</f>
        <v/>
      </c>
      <c r="Z15" s="39" t="str">
        <f>IF(AND('Mapa final'!$AJ$37="Muy Alta",'Mapa final'!$AL$37="Moderado"),CONCATENATE("R2C",'Mapa final'!$S$37),"")</f>
        <v/>
      </c>
      <c r="AA15" s="39" t="str">
        <f>IF(AND('Mapa final'!$AJ$38="Muy Alta",'Mapa final'!$AL$38="Moderado"),CONCATENATE("R2C",'Mapa final'!$S$38),"")</f>
        <v/>
      </c>
      <c r="AB15" s="40" t="str">
        <f>IF(AND('Mapa final'!$AJ$39="Muy Alta",'Mapa final'!$AL$39="Moderado"),CONCATENATE("R2C",'Mapa final'!$S$39),"")</f>
        <v/>
      </c>
      <c r="AC15" s="38" t="str">
        <f>IF(AND('Mapa final'!$AJ$34="Muy Alta",'Mapa final'!$AL$34="Mayor"),CONCATENATE("R2C",'Mapa final'!$S$34),"")</f>
        <v/>
      </c>
      <c r="AD15" s="39" t="str">
        <f>IF(AND('Mapa final'!$AJ$35="Muy Alta",'Mapa final'!$AL$35="Mayor"),CONCATENATE("R2C",'Mapa final'!$S$35),"")</f>
        <v/>
      </c>
      <c r="AE15" s="39" t="str">
        <f>IF(AND('Mapa final'!$AJ$36="Muy Alta",'Mapa final'!$AL$36="Mayor"),CONCATENATE("R2C",'Mapa final'!$S$36),"")</f>
        <v/>
      </c>
      <c r="AF15" s="39" t="str">
        <f>IF(AND('Mapa final'!$AJ$37="Muy Alta",'Mapa final'!$AL$37="Mayor"),CONCATENATE("R2C",'Mapa final'!$S$37),"")</f>
        <v/>
      </c>
      <c r="AG15" s="39" t="str">
        <f>IF(AND('Mapa final'!$AJ$38="Muy Alta",'Mapa final'!$AL$38="Mayor"),CONCATENATE("R2C",'Mapa final'!$S$38),"")</f>
        <v/>
      </c>
      <c r="AH15" s="40" t="str">
        <f>IF(AND('Mapa final'!$AJ$39="Muy Alta",'Mapa final'!$AL$39="Mayor"),CONCATENATE("R2C",'Mapa final'!$S$39),"")</f>
        <v/>
      </c>
      <c r="AI15" s="41" t="str">
        <f>IF(AND('Mapa final'!$AJ$34="Muy Alta",'Mapa final'!$AL$34="Catastrófico"),CONCATENATE("R2C",'Mapa final'!$S$34),"")</f>
        <v/>
      </c>
      <c r="AJ15" s="42" t="str">
        <f>IF(AND('Mapa final'!$AJ$35="Muy Alta",'Mapa final'!$AL$35="Catastrófico"),CONCATENATE("R2C",'Mapa final'!$S$35),"")</f>
        <v/>
      </c>
      <c r="AK15" s="42" t="str">
        <f>IF(AND('Mapa final'!$AJ$36="Muy Alta",'Mapa final'!$AL$36="Catastrófico"),CONCATENATE("R2C",'Mapa final'!$S$36),"")</f>
        <v/>
      </c>
      <c r="AL15" s="42" t="str">
        <f>IF(AND('Mapa final'!$AJ$37="Muy Alta",'Mapa final'!$AL$37="Catastrófico"),CONCATENATE("R2C",'Mapa final'!$S$37),"")</f>
        <v/>
      </c>
      <c r="AM15" s="42" t="str">
        <f>IF(AND('Mapa final'!$AJ$38="Muy Alta",'Mapa final'!$AL$38="LCatastrófico"),CONCATENATE("R2C",'Mapa final'!$S$38),"")</f>
        <v/>
      </c>
      <c r="AN15" s="43" t="str">
        <f>IF(AND('Mapa final'!$AJ$39="Muy Alta",'Mapa final'!$AL$39="Catastrófico"),CONCATENATE("R2C",'Mapa final'!$S$39),"")</f>
        <v/>
      </c>
      <c r="AO15" s="69"/>
      <c r="AP15" s="508"/>
      <c r="AQ15" s="509"/>
      <c r="AR15" s="509"/>
      <c r="AS15" s="509"/>
      <c r="AT15" s="509"/>
      <c r="AU15" s="510"/>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97"/>
      <c r="D16" s="397"/>
      <c r="E16" s="398"/>
      <c r="F16" s="502"/>
      <c r="G16" s="501"/>
      <c r="H16" s="501"/>
      <c r="I16" s="501"/>
      <c r="J16" s="517"/>
      <c r="K16" s="38" t="str">
        <f>IF(AND('Mapa final'!$AJ$40="Muy Alta",'Mapa final'!$AL$40="Leve"),CONCATENATE("R2C",'Mapa final'!$S$40),"")</f>
        <v/>
      </c>
      <c r="L16" s="178" t="str">
        <f>IF(AND('Mapa final'!$AJ$41="Muy Alta",'Mapa final'!$AL$41="Leve"),CONCATENATE("R2C",'Mapa final'!$S$41),"")</f>
        <v/>
      </c>
      <c r="M16" s="178" t="str">
        <f>IF(AND('Mapa final'!$AJ$42="Muy Alta",'Mapa final'!$AL$42="Leve"),CONCATENATE("R2C",'Mapa final'!$S$42),"")</f>
        <v/>
      </c>
      <c r="N16" s="178" t="str">
        <f>IF(AND('Mapa final'!$AJ$43="Muy Alta",'Mapa final'!$AL$43="Leve"),CONCATENATE("R2C",'Mapa final'!$S$43),"")</f>
        <v/>
      </c>
      <c r="O16" s="178" t="str">
        <f>IF(AND('Mapa final'!$AJ$44="Muy Alta",'Mapa final'!$AL$44="Leve"),CONCATENATE("R2C",'Mapa final'!$S$44),"")</f>
        <v/>
      </c>
      <c r="P16" s="40" t="str">
        <f>IF(AND('Mapa final'!$AJ$45="Muy Alta",'Mapa final'!$AL$45="Leve"),CONCATENATE("R2C",'Mapa final'!$S$45),"")</f>
        <v/>
      </c>
      <c r="Q16" s="178" t="str">
        <f>IF(AND('Mapa final'!$AJ$40="Muy Alta",'Mapa final'!$AL$40="Menor"),CONCATENATE("R2C",'Mapa final'!$S$40),"")</f>
        <v/>
      </c>
      <c r="R16" s="39" t="str">
        <f>IF(AND('Mapa final'!$AJ$41="Muy Alta",'Mapa final'!$AL$41="Menor"),CONCATENATE("R2C",'Mapa final'!$S$41),"")</f>
        <v/>
      </c>
      <c r="S16" s="39" t="str">
        <f>IF(AND('Mapa final'!$AJ$42="Muy Alta",'Mapa final'!$AL$42="Menor"),CONCATENATE("R2C",'Mapa final'!$S$42),"")</f>
        <v/>
      </c>
      <c r="T16" s="39" t="str">
        <f>IF(AND('Mapa final'!$AJ$43="Muy Alta",'Mapa final'!$AL$43="Menor"),CONCATENATE("R2C",'Mapa final'!$S$43),"")</f>
        <v/>
      </c>
      <c r="U16" s="39" t="str">
        <f>IF(AND('Mapa final'!$AJ$44="Muy Alta",'Mapa final'!$AL$44="Menor"),CONCATENATE("R2C",'Mapa final'!$S$44),"")</f>
        <v/>
      </c>
      <c r="V16" s="40" t="str">
        <f>IF(AND('Mapa final'!$AJ$45="Muy Alta",'Mapa final'!$AL$45="Menor"),CONCATENATE("R2C",'Mapa final'!$S$45),"")</f>
        <v/>
      </c>
      <c r="W16" s="38" t="str">
        <f>IF(AND('Mapa final'!$AJ$40="Muy Alta",'Mapa final'!$AL$40="Moderado"),CONCATENATE("R2C",'Mapa final'!$S$40),"")</f>
        <v/>
      </c>
      <c r="X16" s="39" t="str">
        <f>IF(AND('Mapa final'!$AJ$41="Muy Alta",'Mapa final'!$AL$41="Moderado"),CONCATENATE("R2C",'Mapa final'!$S$41),"")</f>
        <v/>
      </c>
      <c r="Y16" s="39" t="str">
        <f>IF(AND('Mapa final'!$AJ$42="Muy Alta",'Mapa final'!$AL$42="Moderado"),CONCATENATE("R2C",'Mapa final'!$S$42),"")</f>
        <v/>
      </c>
      <c r="Z16" s="39" t="str">
        <f>IF(AND('Mapa final'!$AJ$43="Muy Alta",'Mapa final'!$AL$43="Moderado"),CONCATENATE("R2C",'Mapa final'!$S$43),"")</f>
        <v/>
      </c>
      <c r="AA16" s="39" t="str">
        <f>IF(AND('Mapa final'!$AJ$44="Muy Alta",'Mapa final'!$AL$44="Moderado"),CONCATENATE("R2C",'Mapa final'!$S$44),"")</f>
        <v/>
      </c>
      <c r="AB16" s="40" t="str">
        <f>IF(AND('Mapa final'!$AJ$45="Muy Alta",'Mapa final'!$AL$45="Moderado"),CONCATENATE("R2C",'Mapa final'!$S$45),"")</f>
        <v/>
      </c>
      <c r="AC16" s="38" t="str">
        <f>IF(AND('Mapa final'!$AJ$40="Muy Alta",'Mapa final'!$AL$40="Mayor"),CONCATENATE("R2C",'Mapa final'!$S$40),"")</f>
        <v/>
      </c>
      <c r="AD16" s="39" t="str">
        <f>IF(AND('Mapa final'!$AJ$41="Muy Alta",'Mapa final'!$AL$41="Mayor"),CONCATENATE("R2C",'Mapa final'!$S$41),"")</f>
        <v/>
      </c>
      <c r="AE16" s="39" t="str">
        <f>IF(AND('Mapa final'!$AJ$42="Muy Alta",'Mapa final'!$AL$42="Mayor"),CONCATENATE("R2C",'Mapa final'!$S$42),"")</f>
        <v/>
      </c>
      <c r="AF16" s="39" t="str">
        <f>IF(AND('Mapa final'!$AJ$43="Muy Alta",'Mapa final'!$AL$43="Mayor"),CONCATENATE("R2C",'Mapa final'!$S$43),"")</f>
        <v/>
      </c>
      <c r="AG16" s="39" t="str">
        <f>IF(AND('Mapa final'!$AJ$44="Muy Alta",'Mapa final'!$AL$44="Mayor"),CONCATENATE("R2C",'Mapa final'!$S$44),"")</f>
        <v/>
      </c>
      <c r="AH16" s="40" t="str">
        <f>IF(AND('Mapa final'!$AJ$45="Muy Alta",'Mapa final'!$AL$45="Mayor"),CONCATENATE("R2C",'Mapa final'!$S$45),"")</f>
        <v/>
      </c>
      <c r="AI16" s="41" t="str">
        <f>IF(AND('Mapa final'!$AJ$40="Muy Alta",'Mapa final'!$AL$40="Catastrófico"),CONCATENATE("R2C",'Mapa final'!$S$40),"")</f>
        <v/>
      </c>
      <c r="AJ16" s="42" t="str">
        <f>IF(AND('Mapa final'!$AJ$41="Muy Alta",'Mapa final'!$AL$41="Catastrófico"),CONCATENATE("R2C",'Mapa final'!$S$41),"")</f>
        <v/>
      </c>
      <c r="AK16" s="42" t="str">
        <f>IF(AND('Mapa final'!$AJ$42="Muy Alta",'Mapa final'!$AL$42="Catastrófico"),CONCATENATE("R2C",'Mapa final'!$S$42),"")</f>
        <v/>
      </c>
      <c r="AL16" s="42" t="str">
        <f>IF(AND('Mapa final'!$AJ$43="Muy Alta",'Mapa final'!$AL$43="Catastrófico"),CONCATENATE("R2C",'Mapa final'!$S$43),"")</f>
        <v/>
      </c>
      <c r="AM16" s="42" t="str">
        <f>IF(AND('Mapa final'!$AJ$44="Muy Alta",'Mapa final'!$AL$44="Catastrófico"),CONCATENATE("R2C",'Mapa final'!$S$44),"")</f>
        <v/>
      </c>
      <c r="AN16" s="43" t="str">
        <f>IF(AND('Mapa final'!$AJ$45="Muy Alta",'Mapa final'!$AL$45="Catastrófico"),CONCATENATE("R2C",'Mapa final'!$S$45),"")</f>
        <v/>
      </c>
      <c r="AO16" s="69"/>
      <c r="AP16" s="508"/>
      <c r="AQ16" s="509"/>
      <c r="AR16" s="509"/>
      <c r="AS16" s="509"/>
      <c r="AT16" s="509"/>
      <c r="AU16" s="510"/>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97"/>
      <c r="D17" s="397"/>
      <c r="E17" s="398"/>
      <c r="F17" s="502"/>
      <c r="G17" s="501"/>
      <c r="H17" s="501"/>
      <c r="I17" s="501"/>
      <c r="J17" s="517"/>
      <c r="K17" s="38" t="str">
        <f>IF(AND('Mapa final'!$AJ$46="Muy Alta",'Mapa final'!$AL$46="Leve"),CONCATENATE("R2C",'Mapa final'!$S$46),"")</f>
        <v/>
      </c>
      <c r="L17" s="178" t="str">
        <f>IF(AND('Mapa final'!$AJ$47="Muy Alta",'Mapa final'!$AL$47="Leve"),CONCATENATE("R2C",'Mapa final'!$S$47),"")</f>
        <v/>
      </c>
      <c r="M17" s="178" t="str">
        <f>IF(AND('Mapa final'!$AJ$48="Muy Alta",'Mapa final'!$AL$48="Leve"),CONCATENATE("R2C",'Mapa final'!$S$48),"")</f>
        <v/>
      </c>
      <c r="N17" s="178" t="str">
        <f>IF(AND('Mapa final'!$AJ$49="Muy Alta",'Mapa final'!$AL$49="Leve"),CONCATENATE("R2C",'Mapa final'!$S$49),"")</f>
        <v/>
      </c>
      <c r="O17" s="178" t="str">
        <f>IF(AND('Mapa final'!$AJ$50="Muy Alta",'Mapa final'!$AL$50="Leve"),CONCATENATE("R2C",'Mapa final'!$S$50),"")</f>
        <v/>
      </c>
      <c r="P17" s="40" t="str">
        <f>IF(AND('Mapa final'!$AJ$61="Muy Alta",'Mapa final'!$AL$51="Leve"),CONCATENATE("R2C",'Mapa final'!$S$51),"")</f>
        <v/>
      </c>
      <c r="Q17" s="178" t="str">
        <f>IF(AND('Mapa final'!$AJ$46="Muy Alta",'Mapa final'!$AL$46="Menor"),CONCATENATE("R2C",'Mapa final'!$S$46),"")</f>
        <v/>
      </c>
      <c r="R17" s="39" t="str">
        <f>IF(AND('Mapa final'!$AJ$47="Muy Alta",'Mapa final'!$AL$47="Menor"),CONCATENATE("R2C",'Mapa final'!$S$47),"")</f>
        <v/>
      </c>
      <c r="S17" s="39" t="str">
        <f>IF(AND('Mapa final'!$AJ$48="Muy Alta",'Mapa final'!$AL$48="Menor"),CONCATENATE("R2C",'Mapa final'!$S$48),"")</f>
        <v/>
      </c>
      <c r="T17" s="39" t="str">
        <f>IF(AND('Mapa final'!$AJ$49="Muy Alta",'Mapa final'!$AL$49="Menor"),CONCATENATE("R2C",'Mapa final'!$S$49),"")</f>
        <v/>
      </c>
      <c r="U17" s="39" t="str">
        <f>IF(AND('Mapa final'!$AJ$50="Muy Alta",'Mapa final'!$AL$50="Menor"),CONCATENATE("R2C",'Mapa final'!$S$50),"")</f>
        <v/>
      </c>
      <c r="V17" s="40" t="str">
        <f>IF(AND('Mapa final'!$AJ$61="Muy Alta",'Mapa final'!$AL$51="Menor"),CONCATENATE("R2C",'Mapa final'!$S$51),"")</f>
        <v/>
      </c>
      <c r="W17" s="38" t="str">
        <f>IF(AND('Mapa final'!$AJ$46="Muy Alta",'Mapa final'!$AL$46="Moderado"),CONCATENATE("R2C",'Mapa final'!$S$46),"")</f>
        <v/>
      </c>
      <c r="X17" s="39" t="str">
        <f>IF(AND('Mapa final'!$AJ$47="Muy Alta",'Mapa final'!$AL$47="Moderado"),CONCATENATE("R2C",'Mapa final'!$S$47),"")</f>
        <v/>
      </c>
      <c r="Y17" s="39" t="str">
        <f>IF(AND('Mapa final'!$AJ$48="Muy Alta",'Mapa final'!$AL$48="Moderado"),CONCATENATE("R2C",'Mapa final'!$S$48),"")</f>
        <v/>
      </c>
      <c r="Z17" s="39" t="str">
        <f>IF(AND('Mapa final'!$AJ$49="Muy Alta",'Mapa final'!$AL$49="Moderado"),CONCATENATE("R2C",'Mapa final'!$S$49),"")</f>
        <v/>
      </c>
      <c r="AA17" s="39" t="str">
        <f>IF(AND('Mapa final'!$AJ$50="Muy Alta",'Mapa final'!$AL$50="Moderado"),CONCATENATE("R2C",'Mapa final'!$S$50),"")</f>
        <v/>
      </c>
      <c r="AB17" s="40" t="str">
        <f>IF(AND('Mapa final'!$AJ$61="Muy Alta",'Mapa final'!$AL$51="Moderado"),CONCATENATE("R2C",'Mapa final'!$S$51),"")</f>
        <v/>
      </c>
      <c r="AC17" s="38" t="str">
        <f>IF(AND('Mapa final'!$AJ$46="Muy Alta",'Mapa final'!$AL$46="Mayor"),CONCATENATE("R2C",'Mapa final'!$S$46),"")</f>
        <v/>
      </c>
      <c r="AD17" s="39" t="str">
        <f>IF(AND('Mapa final'!$AJ$47="Muy Alta",'Mapa final'!$AL$47="Mayor"),CONCATENATE("R2C",'Mapa final'!$S$47),"")</f>
        <v/>
      </c>
      <c r="AE17" s="39" t="str">
        <f>IF(AND('Mapa final'!$AJ$48="Muy Alta",'Mapa final'!$AL$48="Mayor"),CONCATENATE("R2C",'Mapa final'!$S$48),"")</f>
        <v/>
      </c>
      <c r="AF17" s="39" t="str">
        <f>IF(AND('Mapa final'!$AJ$49="Muy Alta",'Mapa final'!$AL$49="Mayor"),CONCATENATE("R2C",'Mapa final'!$S$49),"")</f>
        <v/>
      </c>
      <c r="AG17" s="39" t="str">
        <f>IF(AND('Mapa final'!$AJ$50="Muy Alta",'Mapa final'!$AL$50="Mayor"),CONCATENATE("R2C",'Mapa final'!$S$50),"")</f>
        <v/>
      </c>
      <c r="AH17" s="40" t="str">
        <f>IF(AND('Mapa final'!$AJ$61="Muy Alta",'Mapa final'!$AL$51="Mayor"),CONCATENATE("R2C",'Mapa final'!$S$51),"")</f>
        <v/>
      </c>
      <c r="AI17" s="41" t="str">
        <f>IF(AND('Mapa final'!$AJ$46="Muy Alta",'Mapa final'!$AL$46="Catastrófico"),CONCATENATE("R2C",'Mapa final'!$S$46),"")</f>
        <v/>
      </c>
      <c r="AJ17" s="42" t="str">
        <f>IF(AND('Mapa final'!$AJ$47="Muy Alta",'Mapa final'!$AL$47="Catastrófico"),CONCATENATE("R2C",'Mapa final'!$S$47),"")</f>
        <v/>
      </c>
      <c r="AK17" s="42" t="str">
        <f>IF(AND('Mapa final'!$AJ$48="Muy Alta",'Mapa final'!$AL$48="Catastrófico"),CONCATENATE("R2C",'Mapa final'!$S$48),"")</f>
        <v/>
      </c>
      <c r="AL17" s="42" t="str">
        <f>IF(AND('Mapa final'!$AJ$49="Muy Alta",'Mapa final'!$AL$49="Catastrófico"),CONCATENATE("R2C",'Mapa final'!$S$49),"")</f>
        <v/>
      </c>
      <c r="AM17" s="42" t="str">
        <f>IF(AND('Mapa final'!$AJ$50="Muy Alta",'Mapa final'!$AL$50="Catastrófico"),CONCATENATE("R2C",'Mapa final'!$S$50),"")</f>
        <v/>
      </c>
      <c r="AN17" s="43" t="str">
        <f>IF(AND('Mapa final'!$AJ$61="Muy Alta",'Mapa final'!$AL$51="Catastrófico"),CONCATENATE("R2C",'Mapa final'!$S$51),"")</f>
        <v/>
      </c>
      <c r="AO17" s="69"/>
      <c r="AP17" s="508"/>
      <c r="AQ17" s="509"/>
      <c r="AR17" s="509"/>
      <c r="AS17" s="509"/>
      <c r="AT17" s="509"/>
      <c r="AU17" s="510"/>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97"/>
      <c r="D18" s="397"/>
      <c r="E18" s="398"/>
      <c r="F18" s="502"/>
      <c r="G18" s="501"/>
      <c r="H18" s="501"/>
      <c r="I18" s="501"/>
      <c r="J18" s="517"/>
      <c r="K18" s="38" t="str">
        <f>IF(AND('Mapa final'!$AJ$52="Muy Alta",'Mapa final'!$AL$52="Leve"),CONCATENATE("R2C",'Mapa final'!$S$52),"")</f>
        <v/>
      </c>
      <c r="L18" s="178" t="str">
        <f>IF(AND('Mapa final'!$AJ$53="Muy Alta",'Mapa final'!$AL$53="Leve"),CONCATENATE("R2C",'Mapa final'!$S$53),"")</f>
        <v/>
      </c>
      <c r="M18" s="178" t="str">
        <f>IF(AND('Mapa final'!$AJ$54="Muy Alta",'Mapa final'!$AL$54="Leve"),CONCATENATE("R2C",'Mapa final'!$S$54),"")</f>
        <v/>
      </c>
      <c r="N18" s="178" t="str">
        <f>IF(AND('Mapa final'!$AJ$55="Muy Alta",'Mapa final'!$AL$55="Leve"),CONCATENATE("R2C",'Mapa final'!$S$55),"")</f>
        <v/>
      </c>
      <c r="O18" s="178" t="str">
        <f>IF(AND('Mapa final'!$AJ$56="Muy Alta",'Mapa final'!$AL$56="Leve"),CONCATENATE("R2C",'Mapa final'!$S$56),"")</f>
        <v/>
      </c>
      <c r="P18" s="40" t="str">
        <f>IF(AND('Mapa final'!$AJ$57="Muy Alta",'Mapa final'!$AL$57="Leve"),CONCATENATE("R2C",'Mapa final'!$S$57),"")</f>
        <v/>
      </c>
      <c r="Q18" s="178" t="str">
        <f>IF(AND('Mapa final'!$AJ$52="Muy Alta",'Mapa final'!$AL$52="Menor"),CONCATENATE("R2C",'Mapa final'!$S$52),"")</f>
        <v/>
      </c>
      <c r="R18" s="39" t="str">
        <f>IF(AND('Mapa final'!$AJ$53="Muy Alta",'Mapa final'!$AL$53="Menor"),CONCATENATE("R2C",'Mapa final'!$S$53),"")</f>
        <v/>
      </c>
      <c r="S18" s="39" t="str">
        <f>IF(AND('Mapa final'!$AJ$54="Muy Alta",'Mapa final'!$AL$54="Menor"),CONCATENATE("R2C",'Mapa final'!$S$54),"")</f>
        <v/>
      </c>
      <c r="T18" s="39" t="str">
        <f>IF(AND('Mapa final'!$AJ$55="Muy Alta",'Mapa final'!$AL$55="Menor"),CONCATENATE("R2C",'Mapa final'!$S$55),"")</f>
        <v/>
      </c>
      <c r="U18" s="39" t="str">
        <f>IF(AND('Mapa final'!$AJ$56="Muy Alta",'Mapa final'!$AL$56="Menor"),CONCATENATE("R2C",'Mapa final'!$S$56),"")</f>
        <v/>
      </c>
      <c r="V18" s="40" t="str">
        <f>IF(AND('Mapa final'!$AJ$57="Muy Alta",'Mapa final'!$AL$57="Menor"),CONCATENATE("R2C",'Mapa final'!$S$57),"")</f>
        <v/>
      </c>
      <c r="W18" s="38" t="str">
        <f>IF(AND('Mapa final'!$AJ$52="Muy Alta",'Mapa final'!$AL$52="Moderado"),CONCATENATE("R2C",'Mapa final'!$S$52),"")</f>
        <v/>
      </c>
      <c r="X18" s="39" t="str">
        <f>IF(AND('Mapa final'!$AJ$53="Muy Alta",'Mapa final'!$AL$53="Moderado"),CONCATENATE("R2C",'Mapa final'!$S$53),"")</f>
        <v/>
      </c>
      <c r="Y18" s="39" t="str">
        <f>IF(AND('Mapa final'!$AJ$54="Muy Alta",'Mapa final'!$AL$54="Moderado"),CONCATENATE("R2C",'Mapa final'!$S$54),"")</f>
        <v/>
      </c>
      <c r="Z18" s="39" t="str">
        <f>IF(AND('Mapa final'!$AJ$55="Muy Alta",'Mapa final'!$AL$55="Moderado"),CONCATENATE("R2C",'Mapa final'!$S$55),"")</f>
        <v/>
      </c>
      <c r="AA18" s="39" t="str">
        <f>IF(AND('Mapa final'!$AJ$56="Muy Alta",'Mapa final'!$AL$56="Moderado"),CONCATENATE("R2C",'Mapa final'!$S$56),"")</f>
        <v/>
      </c>
      <c r="AB18" s="40" t="str">
        <f>IF(AND('Mapa final'!$AJ$57="Muy Alta",'Mapa final'!$AL$57="Moderado"),CONCATENATE("R2C",'Mapa final'!$S$57),"")</f>
        <v/>
      </c>
      <c r="AC18" s="38" t="str">
        <f>IF(AND('Mapa final'!$AJ$52="Muy Alta",'Mapa final'!$AL$52="Mayor"),CONCATENATE("R2C",'Mapa final'!$S$52),"")</f>
        <v/>
      </c>
      <c r="AD18" s="39" t="str">
        <f>IF(AND('Mapa final'!$AJ$53="Muy Alta",'Mapa final'!$AL$53="Mayor"),CONCATENATE("R2C",'Mapa final'!$S$53),"")</f>
        <v/>
      </c>
      <c r="AE18" s="39" t="str">
        <f>IF(AND('Mapa final'!$AJ$54="Muy Alta",'Mapa final'!$AL$54="Mayor"),CONCATENATE("R2C",'Mapa final'!$S$54),"")</f>
        <v/>
      </c>
      <c r="AF18" s="39" t="str">
        <f>IF(AND('Mapa final'!$AJ$55="Muy Alta",'Mapa final'!$AL$55="Mayor"),CONCATENATE("R2C",'Mapa final'!$S$55),"")</f>
        <v/>
      </c>
      <c r="AG18" s="39" t="str">
        <f>IF(AND('Mapa final'!$AJ$56="Muy Alta",'Mapa final'!$AL$56="Mayor"),CONCATENATE("R2C",'Mapa final'!$S$56),"")</f>
        <v/>
      </c>
      <c r="AH18" s="40" t="str">
        <f>IF(AND('Mapa final'!$AJ$57="Muy Alta",'Mapa final'!$AL$57="Mayor"),CONCATENATE("R2C",'Mapa final'!$S$57),"")</f>
        <v/>
      </c>
      <c r="AI18" s="41" t="str">
        <f>IF(AND('Mapa final'!$AJ$52="Muy Alta",'Mapa final'!$AL$52="Catastrófico"),CONCATENATE("R2C",'Mapa final'!$S$52),"")</f>
        <v/>
      </c>
      <c r="AJ18" s="42" t="str">
        <f>IF(AND('Mapa final'!$AJ$53="Muy Alta",'Mapa final'!$AL$53="Catastrófico"),CONCATENATE("R2C",'Mapa final'!$S$53),"")</f>
        <v/>
      </c>
      <c r="AK18" s="42" t="str">
        <f>IF(AND('Mapa final'!$AJ$54="Muy Alta",'Mapa final'!$AL$54="Catastrófico"),CONCATENATE("R2C",'Mapa final'!$S$54),"")</f>
        <v/>
      </c>
      <c r="AL18" s="42" t="str">
        <f>IF(AND('Mapa final'!$AJ$55="Muy Alta",'Mapa final'!$AL$55="Catastrófico"),CONCATENATE("R2C",'Mapa final'!$S$55),"")</f>
        <v/>
      </c>
      <c r="AM18" s="42" t="str">
        <f>IF(AND('Mapa final'!$AJ$56="Muy Alta",'Mapa final'!$AL$56="Catastrófico"),CONCATENATE("R2C",'Mapa final'!$S$56),"")</f>
        <v/>
      </c>
      <c r="AN18" s="43" t="str">
        <f>IF(AND('Mapa final'!$AJ$57="Muy Alta",'Mapa final'!$AL$57="Catastrófico"),CONCATENATE("R2C",'Mapa final'!$S$57),"")</f>
        <v/>
      </c>
      <c r="AO18" s="69"/>
      <c r="AP18" s="508"/>
      <c r="AQ18" s="509"/>
      <c r="AR18" s="509"/>
      <c r="AS18" s="509"/>
      <c r="AT18" s="509"/>
      <c r="AU18" s="510"/>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97"/>
      <c r="D19" s="397"/>
      <c r="E19" s="398"/>
      <c r="F19" s="502"/>
      <c r="G19" s="501"/>
      <c r="H19" s="501"/>
      <c r="I19" s="501"/>
      <c r="J19" s="517"/>
      <c r="K19" s="38" t="str">
        <f>IF(AND('Mapa final'!$AJ$58="Muy Alta",'Mapa final'!$AL$58="Leve"),CONCATENATE("R2C",'Mapa final'!$S$58),"")</f>
        <v/>
      </c>
      <c r="L19" s="178" t="str">
        <f>IF(AND('Mapa final'!$AJ$59="Muy Alta",'Mapa final'!$AL$59="Leve"),CONCATENATE("R2C",'Mapa final'!$S$59),"")</f>
        <v/>
      </c>
      <c r="M19" s="178" t="str">
        <f>IF(AND('Mapa final'!$AJ$60="Muy Alta",'Mapa final'!$AL$60="Leve"),CONCATENATE("R2C",'Mapa final'!$S$60),"")</f>
        <v/>
      </c>
      <c r="N19" s="178" t="str">
        <f>IF(AND('Mapa final'!$AJ$61="Muy Alta",'Mapa final'!$AL$61="Leve"),CONCATENATE("R2C",'Mapa final'!$S$61),"")</f>
        <v/>
      </c>
      <c r="O19" s="178" t="str">
        <f>IF(AND('Mapa final'!$AJ$62="Muy Alta",'Mapa final'!$AL$62="Leve"),CONCATENATE("R2C",'Mapa final'!$S$62),"")</f>
        <v/>
      </c>
      <c r="P19" s="40" t="str">
        <f>IF(AND('Mapa final'!$AJ$63="Muy Alta",'Mapa final'!$AL$63="Leve"),CONCATENATE("R2C",'Mapa final'!$S$63),"")</f>
        <v/>
      </c>
      <c r="Q19" s="178" t="str">
        <f>IF(AND('Mapa final'!$AJ$58="Muy Alta",'Mapa final'!$AL$58="Menor"),CONCATENATE("R2C",'Mapa final'!$S$58),"")</f>
        <v/>
      </c>
      <c r="R19" s="39" t="str">
        <f>IF(AND('Mapa final'!$AJ$59="Muy Alta",'Mapa final'!$AL$59="Menor"),CONCATENATE("R2C",'Mapa final'!$S$59),"")</f>
        <v/>
      </c>
      <c r="S19" s="39" t="str">
        <f>IF(AND('Mapa final'!$AJ$60="Muy Alta",'Mapa final'!$AL$60="Menor"),CONCATENATE("R2C",'Mapa final'!$S$60),"")</f>
        <v/>
      </c>
      <c r="T19" s="39" t="str">
        <f>IF(AND('Mapa final'!$AJ$61="Muy Alta",'Mapa final'!$AL$61="Menor"),CONCATENATE("R2C",'Mapa final'!$S$61),"")</f>
        <v/>
      </c>
      <c r="U19" s="39" t="str">
        <f>IF(AND('Mapa final'!$AJ$62="Muy Alta",'Mapa final'!$AL$62="Menor"),CONCATENATE("R2C",'Mapa final'!$S$62),"")</f>
        <v/>
      </c>
      <c r="V19" s="40" t="str">
        <f>IF(AND('Mapa final'!$AJ$63="Muy Alta",'Mapa final'!$AL$63="Menor"),CONCATENATE("R2C",'Mapa final'!$S$63),"")</f>
        <v/>
      </c>
      <c r="W19" s="38" t="str">
        <f>IF(AND('Mapa final'!$AJ$58="Muy Alta",'Mapa final'!$AL$58="Moderado"),CONCATENATE("R2C",'Mapa final'!$S$58),"")</f>
        <v/>
      </c>
      <c r="X19" s="39" t="str">
        <f>IF(AND('Mapa final'!$AJ$59="Muy Alta",'Mapa final'!$AL$59="Moderado"),CONCATENATE("R2C",'Mapa final'!$S$59),"")</f>
        <v/>
      </c>
      <c r="Y19" s="39" t="str">
        <f>IF(AND('Mapa final'!$AJ$60="Muy Alta",'Mapa final'!$AL$60="Moderado"),CONCATENATE("R2C",'Mapa final'!$S$60),"")</f>
        <v/>
      </c>
      <c r="Z19" s="39" t="str">
        <f>IF(AND('Mapa final'!$AJ$61="Muy Alta",'Mapa final'!$AL$61="Moderado"),CONCATENATE("R2C",'Mapa final'!$S$61),"")</f>
        <v/>
      </c>
      <c r="AA19" s="39" t="str">
        <f>IF(AND('Mapa final'!$AJ$62="Muy Alta",'Mapa final'!$AL$62="Moderado"),CONCATENATE("R2C",'Mapa final'!$S$62),"")</f>
        <v/>
      </c>
      <c r="AB19" s="40" t="str">
        <f>IF(AND('Mapa final'!$AJ$63="Muy Alta",'Mapa final'!$AL$63="Moderado"),CONCATENATE("R2C",'Mapa final'!$S$63),"")</f>
        <v/>
      </c>
      <c r="AC19" s="38" t="str">
        <f>IF(AND('Mapa final'!$AJ$58="Muy Alta",'Mapa final'!$AL$58="Mayor"),CONCATENATE("R2C",'Mapa final'!$S$58),"")</f>
        <v/>
      </c>
      <c r="AD19" s="39" t="str">
        <f>IF(AND('Mapa final'!$AJ$59="Muy Alta",'Mapa final'!$AL$59="Mayor"),CONCATENATE("R2C",'Mapa final'!$S$59),"")</f>
        <v/>
      </c>
      <c r="AE19" s="39" t="str">
        <f>IF(AND('Mapa final'!$AJ$60="Muy Alta",'Mapa final'!$AL$60="Mayor"),CONCATENATE("R2C",'Mapa final'!$S$60),"")</f>
        <v/>
      </c>
      <c r="AF19" s="39" t="str">
        <f>IF(AND('Mapa final'!$AJ$61="Muy Alta",'Mapa final'!$AL$61="Mayor"),CONCATENATE("R2C",'Mapa final'!$S$61),"")</f>
        <v/>
      </c>
      <c r="AG19" s="39" t="str">
        <f>IF(AND('Mapa final'!$AJ$62="Muy Alta",'Mapa final'!$AL$62="Mayor"),CONCATENATE("R2C",'Mapa final'!$S$62),"")</f>
        <v/>
      </c>
      <c r="AH19" s="40" t="str">
        <f>IF(AND('Mapa final'!$AJ$63="Muy Alta",'Mapa final'!$AL$63="Mayor"),CONCATENATE("R2C",'Mapa final'!$S$63),"")</f>
        <v/>
      </c>
      <c r="AI19" s="41" t="str">
        <f>IF(AND('Mapa final'!$AJ$58="Muy Alta",'Mapa final'!$AL$58="Catastrófico"),CONCATENATE("R2C",'Mapa final'!$S$58),"")</f>
        <v/>
      </c>
      <c r="AJ19" s="42" t="str">
        <f>IF(AND('Mapa final'!$AJ$59="Muy Alta",'Mapa final'!$AL$59="Catastrófico"),CONCATENATE("R2C",'Mapa final'!$S$59),"")</f>
        <v/>
      </c>
      <c r="AK19" s="42" t="str">
        <f>IF(AND('Mapa final'!$AJ$60="Muy Alta",'Mapa final'!$AL$60="Catastrófico"),CONCATENATE("R2C",'Mapa final'!$S$60),"")</f>
        <v/>
      </c>
      <c r="AL19" s="42" t="str">
        <f>IF(AND('Mapa final'!$AJ$61="Muy Alta",'Mapa final'!$AL$61="Catastrófico"),CONCATENATE("R2C",'Mapa final'!$S$61),"")</f>
        <v/>
      </c>
      <c r="AM19" s="42" t="str">
        <f>IF(AND('Mapa final'!$AJ$62="Muy Alta",'Mapa final'!$AL$62="Catastrófico"),CONCATENATE("R2C",'Mapa final'!$S$62),"")</f>
        <v/>
      </c>
      <c r="AN19" s="43" t="str">
        <f>IF(AND('Mapa final'!$AJ$63="Muy Alta",'Mapa final'!$AL$63="Catastrófico"),CONCATENATE("R2C",'Mapa final'!$S$63),"")</f>
        <v/>
      </c>
      <c r="AO19" s="69"/>
      <c r="AP19" s="508"/>
      <c r="AQ19" s="509"/>
      <c r="AR19" s="509"/>
      <c r="AS19" s="509"/>
      <c r="AT19" s="509"/>
      <c r="AU19" s="510"/>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97"/>
      <c r="D20" s="397"/>
      <c r="E20" s="398"/>
      <c r="F20" s="502"/>
      <c r="G20" s="501"/>
      <c r="H20" s="501"/>
      <c r="I20" s="501"/>
      <c r="J20" s="517"/>
      <c r="K20" s="38" t="str">
        <f>IF(AND('Mapa final'!$AJ$64="Muy Alta",'Mapa final'!$AL$64="Leve"),CONCATENATE("R2C",'Mapa final'!$S$64),"")</f>
        <v/>
      </c>
      <c r="L20" s="178" t="str">
        <f>IF(AND('Mapa final'!$AJ$65="Muy Alta",'Mapa final'!$AL$65="Leve"),CONCATENATE("R2C",'Mapa final'!$S$65),"")</f>
        <v/>
      </c>
      <c r="M20" s="178" t="str">
        <f>IF(AND('Mapa final'!$AJ$66="Muy Alta",'Mapa final'!$AL$66="Leve"),CONCATENATE("R2C",'Mapa final'!$S$66),"")</f>
        <v/>
      </c>
      <c r="N20" s="178" t="str">
        <f>IF(AND('Mapa final'!$AJ$67="Muy Alta",'Mapa final'!$AL$67="Leve"),CONCATENATE("R2C",'Mapa final'!$S$67),"")</f>
        <v/>
      </c>
      <c r="O20" s="178" t="str">
        <f>IF(AND('Mapa final'!$AJ$68="Muy Alta",'Mapa final'!$AL$68="Leve"),CONCATENATE("R2C",'Mapa final'!$S$68),"")</f>
        <v/>
      </c>
      <c r="P20" s="40" t="str">
        <f>IF(AND('Mapa final'!$AJ$69="Muy Alta",'Mapa final'!$AL$69="Leve"),CONCATENATE("R2C",'Mapa final'!$S$69),"")</f>
        <v/>
      </c>
      <c r="Q20" s="178" t="str">
        <f>IF(AND('Mapa final'!$AJ$64="Muy Alta",'Mapa final'!$AL$64="Menor"),CONCATENATE("R2C",'Mapa final'!$S$64),"")</f>
        <v/>
      </c>
      <c r="R20" s="39" t="str">
        <f>IF(AND('Mapa final'!$AJ$65="Muy Alta",'Mapa final'!$AL$65="Menor"),CONCATENATE("R2C",'Mapa final'!$S$65),"")</f>
        <v/>
      </c>
      <c r="S20" s="39" t="str">
        <f>IF(AND('Mapa final'!$AJ$66="Muy Alta",'Mapa final'!$AL$66="Menor"),CONCATENATE("R2C",'Mapa final'!$S$66),"")</f>
        <v/>
      </c>
      <c r="T20" s="39" t="str">
        <f>IF(AND('Mapa final'!$AJ$67="Muy Alta",'Mapa final'!$AL$67="Menor"),CONCATENATE("R2C",'Mapa final'!$S$67),"")</f>
        <v/>
      </c>
      <c r="U20" s="39" t="str">
        <f>IF(AND('Mapa final'!$AJ$68="Muy Alta",'Mapa final'!$AL$68="Menor"),CONCATENATE("R2C",'Mapa final'!$S$68),"")</f>
        <v/>
      </c>
      <c r="V20" s="40" t="str">
        <f>IF(AND('Mapa final'!$AJ$69="Muy Alta",'Mapa final'!$AL$69="Menor"),CONCATENATE("R2C",'Mapa final'!$S$69),"")</f>
        <v/>
      </c>
      <c r="W20" s="38" t="str">
        <f>IF(AND('Mapa final'!$AJ$64="Muy Alta",'Mapa final'!$AL$64="Moderado"),CONCATENATE("R2C",'Mapa final'!$S$64),"")</f>
        <v/>
      </c>
      <c r="X20" s="39" t="str">
        <f>IF(AND('Mapa final'!$AJ$65="Muy Alta",'Mapa final'!$AL$65="Moderado"),CONCATENATE("R2C",'Mapa final'!$S$65),"")</f>
        <v/>
      </c>
      <c r="Y20" s="39" t="str">
        <f>IF(AND('Mapa final'!$AJ$66="Muy Alta",'Mapa final'!$AL$66="Moderado"),CONCATENATE("R2C",'Mapa final'!$S$66),"")</f>
        <v/>
      </c>
      <c r="Z20" s="39" t="str">
        <f>IF(AND('Mapa final'!$AJ$67="Muy Alta",'Mapa final'!$AL$67="Moderado"),CONCATENATE("R2C",'Mapa final'!$S$67),"")</f>
        <v/>
      </c>
      <c r="AA20" s="39" t="str">
        <f>IF(AND('Mapa final'!$AJ$68="Muy Alta",'Mapa final'!$AL$68="Moderado"),CONCATENATE("R2C",'Mapa final'!$S$68),"")</f>
        <v/>
      </c>
      <c r="AB20" s="40" t="str">
        <f>IF(AND('Mapa final'!$AJ$69="Muy Alta",'Mapa final'!$AL$69="Moderado"),CONCATENATE("R2C",'Mapa final'!$S$69),"")</f>
        <v/>
      </c>
      <c r="AC20" s="38" t="str">
        <f>IF(AND('Mapa final'!$AJ$64="Muy Alta",'Mapa final'!$AL$64="Mayor"),CONCATENATE("R2C",'Mapa final'!$S$64),"")</f>
        <v/>
      </c>
      <c r="AD20" s="39" t="str">
        <f>IF(AND('Mapa final'!$AJ$65="Muy Alta",'Mapa final'!$AL$65="Mayor"),CONCATENATE("R2C",'Mapa final'!$S$65),"")</f>
        <v/>
      </c>
      <c r="AE20" s="39" t="str">
        <f>IF(AND('Mapa final'!$AJ$66="Muy Alta",'Mapa final'!$AL$66="Mayor"),CONCATENATE("R2C",'Mapa final'!$S$66),"")</f>
        <v/>
      </c>
      <c r="AF20" s="39" t="str">
        <f>IF(AND('Mapa final'!$AJ$67="Muy Alta",'Mapa final'!$AL$67="Mayor"),CONCATENATE("R2C",'Mapa final'!$S$67),"")</f>
        <v/>
      </c>
      <c r="AG20" s="39" t="str">
        <f>IF(AND('Mapa final'!$AJ$68="Muy Alta",'Mapa final'!$AL$68="Mayor"),CONCATENATE("R2C",'Mapa final'!$S$68),"")</f>
        <v/>
      </c>
      <c r="AH20" s="40" t="str">
        <f>IF(AND('Mapa final'!$AJ$69="Muy Alta",'Mapa final'!$AL$69="Mayor"),CONCATENATE("R2C",'Mapa final'!$S$69),"")</f>
        <v/>
      </c>
      <c r="AI20" s="41" t="str">
        <f>IF(AND('Mapa final'!$AJ$64="Muy Alta",'Mapa final'!$AL$64="Catastrófico"),CONCATENATE("R2C",'Mapa final'!$S$64),"")</f>
        <v/>
      </c>
      <c r="AJ20" s="42" t="str">
        <f>IF(AND('Mapa final'!$AJ$65="Muy Alta",'Mapa final'!$AL$65="Catastrófico"),CONCATENATE("R2C",'Mapa final'!$S$65),"")</f>
        <v/>
      </c>
      <c r="AK20" s="42" t="str">
        <f>IF(AND('Mapa final'!$AJ$66="Muy Alta",'Mapa final'!$AL$66="Catastrófico"),CONCATENATE("R2C",'Mapa final'!$S$66),"")</f>
        <v/>
      </c>
      <c r="AL20" s="42" t="str">
        <f>IF(AND('Mapa final'!$AJ$67="Muy Alta",'Mapa final'!$AL$67="Catastrófico"),CONCATENATE("R2C",'Mapa final'!$S$67),"")</f>
        <v/>
      </c>
      <c r="AM20" s="42" t="str">
        <f>IF(AND('Mapa final'!$AJ$68="Muy Alta",'Mapa final'!$AL$68="Catastrófico"),CONCATENATE("R2C",'Mapa final'!$S$68),"")</f>
        <v/>
      </c>
      <c r="AN20" s="43" t="str">
        <f>IF(AND('Mapa final'!$AJ$69="Muy Alta",'Mapa final'!$AL$69="Catastrófico"),CONCATENATE("R2C",'Mapa final'!$S$69),"")</f>
        <v/>
      </c>
      <c r="AO20" s="69"/>
      <c r="AP20" s="508"/>
      <c r="AQ20" s="509"/>
      <c r="AR20" s="509"/>
      <c r="AS20" s="509"/>
      <c r="AT20" s="509"/>
      <c r="AU20" s="510"/>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97"/>
      <c r="D21" s="397"/>
      <c r="E21" s="398"/>
      <c r="F21" s="503"/>
      <c r="G21" s="504"/>
      <c r="H21" s="504"/>
      <c r="I21" s="504"/>
      <c r="J21" s="504"/>
      <c r="K21" s="44" t="str">
        <f>IF(AND('Mapa final'!$AJ$70="Muy Alta",'Mapa final'!$AL$70="Leve"),CONCATENATE("R2C",'Mapa final'!$S$70),"")</f>
        <v/>
      </c>
      <c r="L21" s="45" t="str">
        <f>IF(AND('Mapa final'!$AJ$71="Muy Alta",'Mapa final'!$AL$71="Leve"),CONCATENATE("R2C",'Mapa final'!$S$71),"")</f>
        <v/>
      </c>
      <c r="M21" s="45" t="str">
        <f>IF(AND('Mapa final'!$AJ$72="Muy Alta",'Mapa final'!$AL$72="Leve"),CONCATENATE("R2C",'Mapa final'!$S$72),"")</f>
        <v/>
      </c>
      <c r="N21" s="45" t="str">
        <f>IF(AND('Mapa final'!$AJ$73="Muy Alta",'Mapa final'!$AL$73="Leve"),CONCATENATE("R2C",'Mapa final'!$S$73),"")</f>
        <v/>
      </c>
      <c r="O21" s="45" t="str">
        <f>IF(AND('Mapa final'!$AJ$75="Muy Alta",'Mapa final'!$AL$75="Leve"),CONCATENATE("R2C",'Mapa final'!$S$75),"")</f>
        <v/>
      </c>
      <c r="P21" s="46" t="str">
        <f>IF(AND('Mapa final'!$AJ$76="Muy Alta",'Mapa final'!$AL$76="Leve"),CONCATENATE("R2C",'Mapa final'!$S$76),"")</f>
        <v/>
      </c>
      <c r="Q21" s="178" t="str">
        <f>IF(AND('Mapa final'!$AJ$70="Muy Alta",'Mapa final'!$AL$70="Menor"),CONCATENATE("R2C",'Mapa final'!$S$70),"")</f>
        <v/>
      </c>
      <c r="R21" s="39" t="str">
        <f>IF(AND('Mapa final'!$AJ$71="Muy Alta",'Mapa final'!$AL$71="Menor"),CONCATENATE("R2C",'Mapa final'!$S$71),"")</f>
        <v/>
      </c>
      <c r="S21" s="39" t="str">
        <f>IF(AND('Mapa final'!$AJ$72="Muy Alta",'Mapa final'!$AL$72="Menor"),CONCATENATE("R2C",'Mapa final'!$S$72),"")</f>
        <v/>
      </c>
      <c r="T21" s="39" t="str">
        <f>IF(AND('Mapa final'!$AJ$73="Muy Alta",'Mapa final'!$AL$73="Menor"),CONCATENATE("R2C",'Mapa final'!$S$73),"")</f>
        <v/>
      </c>
      <c r="U21" s="39" t="str">
        <f>IF(AND('Mapa final'!$AJ$75="Muy Alta",'Mapa final'!$AL$75="Menor"),CONCATENATE("R2C",'Mapa final'!$S$75),"")</f>
        <v/>
      </c>
      <c r="V21" s="40" t="str">
        <f>IF(AND('Mapa final'!$AJ$76="Muy Alta",'Mapa final'!$AL$76="Menor"),CONCATENATE("R2C",'Mapa final'!$S$76),"")</f>
        <v/>
      </c>
      <c r="W21" s="44" t="str">
        <f>IF(AND('Mapa final'!$AJ$70="Muy Alta",'Mapa final'!$AL$70="Moderado"),CONCATENATE("R2C",'Mapa final'!$S$70),"")</f>
        <v/>
      </c>
      <c r="X21" s="45" t="str">
        <f>IF(AND('Mapa final'!$AJ$71="Muy Alta",'Mapa final'!$AL$71="Moderado"),CONCATENATE("R2C",'Mapa final'!$S$71),"")</f>
        <v/>
      </c>
      <c r="Y21" s="45" t="str">
        <f>IF(AND('Mapa final'!$AJ$72="Muy Alta",'Mapa final'!$AL$72="Moderado"),CONCATENATE("R2C",'Mapa final'!$S$72),"")</f>
        <v/>
      </c>
      <c r="Z21" s="45" t="str">
        <f>IF(AND('Mapa final'!$AJ$73="Muy Alta",'Mapa final'!$AL$73="Moderado"),CONCATENATE("R2C",'Mapa final'!$S$73),"")</f>
        <v/>
      </c>
      <c r="AA21" s="45" t="str">
        <f>IF(AND('Mapa final'!$AJ$75="Muy Alta",'Mapa final'!$AL$75="Moderado"),CONCATENATE("R2C",'Mapa final'!$S$75),"")</f>
        <v/>
      </c>
      <c r="AB21" s="46" t="str">
        <f>IF(AND('Mapa final'!$AJ$76="Muy Alta",'Mapa final'!$AL$76="Moderado"),CONCATENATE("R2C",'Mapa final'!$S$76),"")</f>
        <v/>
      </c>
      <c r="AC21" s="38" t="str">
        <f>IF(AND('Mapa final'!$AJ$70="Muy Alta",'Mapa final'!$AL$70="Mayor"),CONCATENATE("R2C",'Mapa final'!$S$70),"")</f>
        <v/>
      </c>
      <c r="AD21" s="39" t="str">
        <f>IF(AND('Mapa final'!$AJ$71="Muy Alta",'Mapa final'!$AL$71="Mayor"),CONCATENATE("R2C",'Mapa final'!$S$71),"")</f>
        <v/>
      </c>
      <c r="AE21" s="39" t="str">
        <f>IF(AND('Mapa final'!$AJ$72="Muy Alta",'Mapa final'!$AL$72="Mayor"),CONCATENATE("R2C",'Mapa final'!$S$72),"")</f>
        <v/>
      </c>
      <c r="AF21" s="39" t="str">
        <f>IF(AND('Mapa final'!$AJ$73="Muy Alta",'Mapa final'!$AL$73="Mayor"),CONCATENATE("R2C",'Mapa final'!$S$73),"")</f>
        <v/>
      </c>
      <c r="AG21" s="39" t="str">
        <f>IF(AND('Mapa final'!$AJ$75="Muy Alta",'Mapa final'!$AL$75="Mayor"),CONCATENATE("R2C",'Mapa final'!$S$75),"")</f>
        <v/>
      </c>
      <c r="AH21" s="40" t="str">
        <f>IF(AND('Mapa final'!$AJ$76="Muy Alta",'Mapa final'!$AL$76="Mayor"),CONCATENATE("R2C",'Mapa final'!$S$76),"")</f>
        <v/>
      </c>
      <c r="AI21" s="47" t="str">
        <f>IF(AND('Mapa final'!$AJ$70="Muy Alta",'Mapa final'!$AL$70="Catastrófico"),CONCATENATE("R2C",'Mapa final'!$S$70),"")</f>
        <v/>
      </c>
      <c r="AJ21" s="48" t="str">
        <f>IF(AND('Mapa final'!$AJ$71="Muy Alta",'Mapa final'!$AL$71="Catastrófico"),CONCATENATE("R2C",'Mapa final'!$S$71),"")</f>
        <v/>
      </c>
      <c r="AK21" s="48" t="str">
        <f>IF(AND('Mapa final'!$AJ$72="Muy Alta",'Mapa final'!$AL$72="Catastrófico"),CONCATENATE("R2C",'Mapa final'!$S$72),"")</f>
        <v/>
      </c>
      <c r="AL21" s="48" t="str">
        <f>IF(AND('Mapa final'!$AJ$73="Muy Alta",'Mapa final'!$AL$73="Catastrófico"),CONCATENATE("R2C",'Mapa final'!$S$73),"")</f>
        <v/>
      </c>
      <c r="AM21" s="48" t="str">
        <f>IF(AND('Mapa final'!$AJ$75="Muy Alta",'Mapa final'!$AL$75="Catastrófico"),CONCATENATE("R2C",'Mapa final'!$S$75),"")</f>
        <v/>
      </c>
      <c r="AN21" s="49" t="str">
        <f>IF(AND('Mapa final'!$AJ$76="Muy Alta",'Mapa final'!$AL$76="Catastrófico"),CONCATENATE("R2C",'Mapa final'!$S$76),"")</f>
        <v/>
      </c>
      <c r="AO21" s="69"/>
      <c r="AP21" s="511"/>
      <c r="AQ21" s="512"/>
      <c r="AR21" s="512"/>
      <c r="AS21" s="512"/>
      <c r="AT21" s="512"/>
      <c r="AU21" s="513"/>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97"/>
      <c r="D22" s="397"/>
      <c r="E22" s="398"/>
      <c r="F22" s="498" t="s">
        <v>113</v>
      </c>
      <c r="G22" s="499"/>
      <c r="H22" s="499"/>
      <c r="I22" s="499"/>
      <c r="J22" s="499"/>
      <c r="K22" s="53" t="str">
        <f ca="1">IF(AND('Mapa final'!$AJ$15="Alta",'Mapa final'!$AL$15="Leve"),CONCATENATE("R2C",'Mapa final'!$S$15),"")</f>
        <v/>
      </c>
      <c r="L22" s="179" t="str">
        <f>IF(AND('Mapa final'!$AJ$16="Alta",'Mapa final'!$AL$16="Leve"),CONCATENATE("R2C",'Mapa final'!$S$16),"")</f>
        <v/>
      </c>
      <c r="M22" s="179" t="str">
        <f ca="1">IF(AND('Mapa final'!$AJ$17="Alta",'Mapa final'!$AL$17="Leve"),CONCATENATE("R2C",'Mapa final'!$S$17),"")</f>
        <v/>
      </c>
      <c r="N22" s="179" t="str">
        <f ca="1">IF(AND('Mapa final'!$AJ$19="Alta",'Mapa final'!$AL$19="Leve"),CONCATENATE("R2C",'Mapa final'!$S$19),"")</f>
        <v/>
      </c>
      <c r="O22" s="179" t="str">
        <f>IF(AND('Mapa final'!$AJ$20="Alta",'Mapa final'!$AL$20="Leve"),CONCATENATE("R2C",'Mapa final'!$S$20),"")</f>
        <v/>
      </c>
      <c r="P22" s="55" t="str">
        <f ca="1">IF(AND('Mapa final'!$AJ$21="Alta",'Mapa final'!$AL$21="Leve"),CONCATENATE("R2C",'Mapa final'!$S$21),"")</f>
        <v/>
      </c>
      <c r="Q22" s="50" t="str">
        <f ca="1">IF(AND('Mapa final'!$AJ$15="Alta",'Mapa final'!$AL$15="Menor"),CONCATENATE("R2C",'Mapa final'!$S$15),"")</f>
        <v/>
      </c>
      <c r="R22" s="51" t="str">
        <f>IF(AND('Mapa final'!$AJ$16="Alta",'Mapa final'!$AL$16="Menore"),CONCATENATE("R2C",'Mapa final'!$S$16),"")</f>
        <v/>
      </c>
      <c r="S22" s="51" t="str">
        <f ca="1">IF(AND('Mapa final'!$AJ$17="Alta",'Mapa final'!$AL$17="Menor"),CONCATENATE("R2C",'Mapa final'!$S$17),"")</f>
        <v/>
      </c>
      <c r="T22" s="51" t="str">
        <f ca="1">IF(AND('Mapa final'!$AJ$19="Alta",'Mapa final'!$AL$19="Menor"),CONCATENATE("R2C",'Mapa final'!$S$19),"")</f>
        <v/>
      </c>
      <c r="U22" s="51" t="str">
        <f>IF(AND('Mapa final'!$AJ$20="Alta",'Mapa final'!$AL$20="Menor"),CONCATENATE("R2C",'Mapa final'!$S$20),"")</f>
        <v/>
      </c>
      <c r="V22" s="52" t="str">
        <f ca="1">IF(AND('Mapa final'!$AJ$21="Alta",'Mapa final'!$AL$21="Menor"),CONCATENATE("R2C",'Mapa final'!$S$21),"")</f>
        <v/>
      </c>
      <c r="W22" s="32" t="str">
        <f ca="1">IF(AND('Mapa final'!$AJ$15="Alta",'Mapa final'!$AL$15="Moderado"),CONCATENATE("R2C",'Mapa final'!$S$15),"")</f>
        <v/>
      </c>
      <c r="X22" s="33" t="str">
        <f>IF(AND('Mapa final'!$AJ$16="Alta",'Mapa final'!$AL$16="Moderado"),CONCATENATE("R2C",'Mapa final'!$S$16),"")</f>
        <v/>
      </c>
      <c r="Y22" s="33"/>
      <c r="Z22" s="33" t="str">
        <f ca="1">IF(AND('Mapa final'!$AJ$19="Alta",'Mapa final'!$AL$19="Moderado"),CONCATENATE("R2C",'Mapa final'!$S$19),"")</f>
        <v/>
      </c>
      <c r="AA22" s="33" t="str">
        <f>IF(AND('Mapa final'!$AJ$20="Alta",'Mapa final'!$AL$20="Moderado"),CONCATENATE("R2C",'Mapa final'!$S$20),"")</f>
        <v/>
      </c>
      <c r="AB22" s="34" t="str">
        <f ca="1">IF(AND('Mapa final'!$AJ$21="Alta",'Mapa final'!$AL$21="Moderado"),CONCATENATE("R2C",'Mapa final'!$S$21),"")</f>
        <v/>
      </c>
      <c r="AC22" s="32" t="str">
        <f ca="1">IF(AND('Mapa final'!$AJ$15="Alta",'Mapa final'!$AL$15="Mayor"),CONCATENATE("R2C",'Mapa final'!$S$15),"")</f>
        <v/>
      </c>
      <c r="AD22" s="33" t="str">
        <f>IF(AND('Mapa final'!$AJ$16="Alta",'Mapa final'!$AL$16="Mayor"),CONCATENATE("R2C",'Mapa final'!$S$16),"")</f>
        <v/>
      </c>
      <c r="AE22" s="33" t="str">
        <f ca="1">IF(AND('Mapa final'!$AJ$17="Alta",'Mapa final'!$AL$17="Mayor"),CONCATENATE("R2C",'Mapa final'!$S$17),"")</f>
        <v/>
      </c>
      <c r="AF22" s="33" t="str">
        <f ca="1">IF(AND('Mapa final'!$AJ$19="Alta",'Mapa final'!$AL$19="Mayor"),CONCATENATE("R2C",'Mapa final'!$S$19),"")</f>
        <v/>
      </c>
      <c r="AG22" s="33" t="str">
        <f>IF(AND('Mapa final'!$AJ$20="Alta",'Mapa final'!$AL$20="Mayor"),CONCATENATE("R2C",'Mapa final'!$S$20),"")</f>
        <v/>
      </c>
      <c r="AH22" s="34" t="str">
        <f ca="1">IF(AND('Mapa final'!$AJ$21="Alta",'Mapa final'!$AL$21="Mayor"),CONCATENATE("R2C",'Mapa final'!$S$21),"")</f>
        <v/>
      </c>
      <c r="AI22" s="35" t="str">
        <f ca="1">IF(AND('Mapa final'!$AJ$15="Alta",'Mapa final'!$AL$15="Catastrófico"),CONCATENATE("R2C",'Mapa final'!$S$15),"")</f>
        <v/>
      </c>
      <c r="AJ22" s="36" t="str">
        <f>IF(AND('Mapa final'!$AJ$16="Alta",'Mapa final'!$AL$16="Catastrófico"),CONCATENATE("R2C",'Mapa final'!$S$16),"")</f>
        <v/>
      </c>
      <c r="AK22" s="36" t="str">
        <f ca="1">IF(AND('Mapa final'!$AJ$17="Alta",'Mapa final'!$AL$17="Catastrófico"),CONCATENATE("R2C",'Mapa final'!$S$17),"")</f>
        <v/>
      </c>
      <c r="AL22" s="36" t="str">
        <f ca="1">IF(AND('Mapa final'!$AJ$19="Alta",'Mapa final'!$AL$19="Catastrófico"),CONCATENATE("R2C",'Mapa final'!$S$19),"")</f>
        <v/>
      </c>
      <c r="AM22" s="36" t="str">
        <f>IF(AND('Mapa final'!$AJ$20="Alta",'Mapa final'!$AL$20="Catastrófico"),CONCATENATE("R2C",'Mapa final'!$S$20),"")</f>
        <v/>
      </c>
      <c r="AN22" s="37" t="str">
        <f ca="1">IF(AND('Mapa final'!$AJ$21="Alta",'Mapa final'!$AL$21="Catastrófico"),CONCATENATE("R2C",'Mapa final'!$S$21),"")</f>
        <v/>
      </c>
      <c r="AO22" s="69"/>
      <c r="AP22" s="489" t="s">
        <v>78</v>
      </c>
      <c r="AQ22" s="490"/>
      <c r="AR22" s="490"/>
      <c r="AS22" s="490"/>
      <c r="AT22" s="490"/>
      <c r="AU22" s="491"/>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97"/>
      <c r="D23" s="397"/>
      <c r="E23" s="398"/>
      <c r="F23" s="500"/>
      <c r="G23" s="501"/>
      <c r="H23" s="501"/>
      <c r="I23" s="501"/>
      <c r="J23" s="501"/>
      <c r="K23" s="53" t="str">
        <f>IF(AND('Mapa final'!$AJ$22="Alta",'Mapa final'!$AL$22="Leve"),CONCATENATE("R2C",'Mapa final'!$S$22),"")</f>
        <v/>
      </c>
      <c r="L23" s="54" t="str">
        <f>IF(AND('Mapa final'!$AJ$23="Alta",'Mapa final'!$AL$23="Leve"),CONCATENATE("R2C",'Mapa final'!$S$23),"")</f>
        <v/>
      </c>
      <c r="M23" s="54" t="str">
        <f>IF(AND('Mapa final'!$AJ$24="Alta",'Mapa final'!$AL$24="Leve"),CONCATENATE("R2C",'Mapa final'!$S$24),"")</f>
        <v/>
      </c>
      <c r="N23" s="54" t="str">
        <f>IF(AND('Mapa final'!$AJ$25="Alta",'Mapa final'!$AL$25="Leve"),CONCATENATE("R2C",'Mapa final'!$S$25),"")</f>
        <v/>
      </c>
      <c r="O23" s="54" t="str">
        <f>IF(AND('Mapa final'!$AJ$26="Alta",'Mapa final'!$AL$26="Leve"),CONCATENATE("R2C",'Mapa final'!$S$26),"")</f>
        <v/>
      </c>
      <c r="P23" s="55" t="str">
        <f>IF(AND('Mapa final'!$AJ$27="Alta",'Mapa final'!$AL$27="Leve"),CONCATENATE("R2C",'Mapa final'!$S$27),"")</f>
        <v/>
      </c>
      <c r="Q23" s="53" t="str">
        <f>IF(AND('Mapa final'!$AJ$22="Alta",'Mapa final'!$AL$22="Menor"),CONCATENATE("R2C",'Mapa final'!$S$22),"")</f>
        <v/>
      </c>
      <c r="R23" s="54" t="str">
        <f>IF(AND('Mapa final'!$AJ$23="Alta",'Mapa final'!$AL$23="Menor"),CONCATENATE("R2C",'Mapa final'!$S$23),"")</f>
        <v/>
      </c>
      <c r="S23" s="54" t="str">
        <f>IF(AND('Mapa final'!$AJ$24="Alta",'Mapa final'!$AL$24="Menor"),CONCATENATE("R2C",'Mapa final'!$S$24),"")</f>
        <v/>
      </c>
      <c r="T23" s="54" t="str">
        <f>IF(AND('Mapa final'!$AJ$25="Alta",'Mapa final'!$AL$25="Menor"),CONCATENATE("R2C",'Mapa final'!$S$25),"")</f>
        <v/>
      </c>
      <c r="U23" s="54" t="str">
        <f>IF(AND('Mapa final'!$AJ$26="Alta",'Mapa final'!$AL$26="Menor"),CONCATENATE("R2C",'Mapa final'!$S$26),"")</f>
        <v/>
      </c>
      <c r="V23" s="55" t="str">
        <f>IF(AND('Mapa final'!$AJ$27="Alta",'Mapa final'!$AL$27="Menor"),CONCATENATE("R2C",'Mapa final'!$S$27),"")</f>
        <v/>
      </c>
      <c r="W23" s="38" t="str">
        <f>IF(AND('Mapa final'!$AJ$22="Alta",'Mapa final'!$AL$22="Moderado"),CONCATENATE("R2C",'Mapa final'!$S$22),"")</f>
        <v/>
      </c>
      <c r="X23" s="39" t="str">
        <f>IF(AND('Mapa final'!$AJ$23="Alta",'Mapa final'!$AL$23="Moderado"),CONCATENATE("R2C",'Mapa final'!$S$23),"")</f>
        <v/>
      </c>
      <c r="Y23" s="39" t="str">
        <f>IF(AND('Mapa final'!$AJ$24="Alta",'Mapa final'!$AL$24="Moderado"),CONCATENATE("R2C",'Mapa final'!$S$24),"")</f>
        <v/>
      </c>
      <c r="Z23" s="39" t="str">
        <f>IF(AND('Mapa final'!$AJ$25="Alta",'Mapa final'!$AL$25="Moderado"),CONCATENATE("R2C",'Mapa final'!$S$25),"")</f>
        <v/>
      </c>
      <c r="AA23" s="39" t="str">
        <f>IF(AND('Mapa final'!$AJ$26="Alta",'Mapa final'!$AL$26="Moderado"),CONCATENATE("R2C",'Mapa final'!$S$26),"")</f>
        <v/>
      </c>
      <c r="AB23" s="40" t="str">
        <f>IF(AND('Mapa final'!$AJ$27="Alta",'Mapa final'!$AL$27="Moderado"),CONCATENATE("R2C",'Mapa final'!$S$27),"")</f>
        <v/>
      </c>
      <c r="AC23" s="38" t="str">
        <f>IF(AND('Mapa final'!$AJ$22="Alta",'Mapa final'!$AL$22="Mayor"),CONCATENATE("R2C",'Mapa final'!$S$22),"")</f>
        <v/>
      </c>
      <c r="AD23" s="39" t="str">
        <f>IF(AND('Mapa final'!$AJ$23="Alta",'Mapa final'!$AL$23="Mayor"),CONCATENATE("R2C",'Mapa final'!$S$23),"")</f>
        <v/>
      </c>
      <c r="AE23" s="39" t="str">
        <f>IF(AND('Mapa final'!$AJ$24="Alta",'Mapa final'!$AL$24="Mayor"),CONCATENATE("R2C",'Mapa final'!$S$24),"")</f>
        <v/>
      </c>
      <c r="AF23" s="39" t="str">
        <f>IF(AND('Mapa final'!$AJ$25="Alta",'Mapa final'!$AL$25="Mayor"),CONCATENATE("R2C",'Mapa final'!$S$25),"")</f>
        <v/>
      </c>
      <c r="AG23" s="39" t="str">
        <f>IF(AND('Mapa final'!$AJ$26="Alta",'Mapa final'!$AL$26="Mayor"),CONCATENATE("R2C",'Mapa final'!$S$26),"")</f>
        <v/>
      </c>
      <c r="AH23" s="40" t="str">
        <f>IF(AND('Mapa final'!$AJ$27="Alta",'Mapa final'!$AL$27="Mayor"),CONCATENATE("R2C",'Mapa final'!$S$27),"")</f>
        <v/>
      </c>
      <c r="AI23" s="41" t="str">
        <f>IF(AND('Mapa final'!$AJ$22="Alta",'Mapa final'!$AL$22="Catastrófico"),CONCATENATE("R2C",'Mapa final'!$S$22),"")</f>
        <v/>
      </c>
      <c r="AJ23" s="42" t="str">
        <f>IF(AND('Mapa final'!$AJ$23="Alta",'Mapa final'!$AL$23="Catastrófico"),CONCATENATE("R2C",'Mapa final'!$S$23),"")</f>
        <v/>
      </c>
      <c r="AK23" s="42" t="str">
        <f>IF(AND('Mapa final'!$AJ$24="Alta",'Mapa final'!$AL$24="Catastrófico"),CONCATENATE("R2C",'Mapa final'!$S$24),"")</f>
        <v/>
      </c>
      <c r="AL23" s="42" t="str">
        <f>IF(AND('Mapa final'!$AJ$25="Alta",'Mapa final'!$AL$25="Catastrófico"),CONCATENATE("R2C",'Mapa final'!$S$25),"")</f>
        <v/>
      </c>
      <c r="AM23" s="42" t="str">
        <f>IF(AND('Mapa final'!$AJ$26="Alta",'Mapa final'!$AL$26="Catastrófico"),CONCATENATE("R2C",'Mapa final'!$S$26),"")</f>
        <v/>
      </c>
      <c r="AN23" s="43" t="str">
        <f>IF(AND('Mapa final'!$AJ$27="Alta",'Mapa final'!$AL$27="Catastrófico"),CONCATENATE("R2C",'Mapa final'!$S$27),"")</f>
        <v/>
      </c>
      <c r="AO23" s="69"/>
      <c r="AP23" s="492"/>
      <c r="AQ23" s="493"/>
      <c r="AR23" s="493"/>
      <c r="AS23" s="493"/>
      <c r="AT23" s="493"/>
      <c r="AU23" s="494"/>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97"/>
      <c r="D24" s="397"/>
      <c r="E24" s="398"/>
      <c r="F24" s="502"/>
      <c r="G24" s="501"/>
      <c r="H24" s="501"/>
      <c r="I24" s="501"/>
      <c r="J24" s="501"/>
      <c r="K24" s="53" t="str">
        <f>IF(AND('Mapa final'!$AJ$28="Alta",'Mapa final'!$AL$28="Leve"),CONCATENATE("R2C",'Mapa final'!$S$28),"")</f>
        <v/>
      </c>
      <c r="L24" s="54" t="str">
        <f>IF(AND('Mapa final'!$AJ$29="Alta",'Mapa final'!$AL$29="Leve"),CONCATENATE("R2C",'Mapa final'!$S$29),"")</f>
        <v/>
      </c>
      <c r="M24" s="54" t="str">
        <f>IF(AND('Mapa final'!$AJ$30="Alta",'Mapa final'!$AL$30="Leve"),CONCATENATE("R2C",'Mapa final'!$S$30),"")</f>
        <v/>
      </c>
      <c r="N24" s="54" t="str">
        <f>IF(AND('Mapa final'!$AJ$31="Alta",'Mapa final'!$AL$31="Leve"),CONCATENATE("R2C",'Mapa final'!$S$31),"")</f>
        <v/>
      </c>
      <c r="O24" s="54" t="str">
        <f>IF(AND('Mapa final'!$AJ$32="Alta",'Mapa final'!$AL$32="Leve"),CONCATENATE("R2C",'Mapa final'!$S$32),"")</f>
        <v/>
      </c>
      <c r="P24" s="55" t="str">
        <f>IF(AND('Mapa final'!$AJ$33="Alta",'Mapa final'!$AL$33="Leve"),CONCATENATE("R2C",'Mapa final'!$S$33),"")</f>
        <v/>
      </c>
      <c r="Q24" s="53" t="str">
        <f>IF(AND('Mapa final'!$AJ$28="Alta",'Mapa final'!$AL$28="Menor"),CONCATENATE("R2C",'Mapa final'!$S$28),"")</f>
        <v/>
      </c>
      <c r="R24" s="54" t="str">
        <f>IF(AND('Mapa final'!$AJ$29="Alta",'Mapa final'!$AL$29="Menor"),CONCATENATE("R2C",'Mapa final'!$S$29),"")</f>
        <v/>
      </c>
      <c r="S24" s="54" t="str">
        <f>IF(AND('Mapa final'!$AJ$30="Alta",'Mapa final'!$AL$30="Menor"),CONCATENATE("R2C",'Mapa final'!$S$30),"")</f>
        <v/>
      </c>
      <c r="T24" s="54" t="str">
        <f>IF(AND('Mapa final'!$AJ$31="Alta",'Mapa final'!$AL$31="Menor"),CONCATENATE("R2C",'Mapa final'!$S$31),"")</f>
        <v/>
      </c>
      <c r="U24" s="54" t="str">
        <f>IF(AND('Mapa final'!$AJ$32="Alta",'Mapa final'!$AL$32="Menor"),CONCATENATE("R2C",'Mapa final'!$S$32),"")</f>
        <v/>
      </c>
      <c r="V24" s="55" t="str">
        <f>IF(AND('Mapa final'!$AJ$33="Alta",'Mapa final'!$AL$33="Menor"),CONCATENATE("R2C",'Mapa final'!$S$33),"")</f>
        <v/>
      </c>
      <c r="W24" s="38" t="str">
        <f>IF(AND('Mapa final'!$AJ$28="Alta",'Mapa final'!$AL$28="Moderado"),CONCATENATE("R2C",'Mapa final'!$S$28),"")</f>
        <v/>
      </c>
      <c r="X24" s="39" t="str">
        <f>IF(AND('Mapa final'!$AJ$29="Alta",'Mapa final'!$AL$29="Moderado"),CONCATENATE("R2C",'Mapa final'!$S$29),"")</f>
        <v/>
      </c>
      <c r="Y24" s="39" t="str">
        <f>IF(AND('Mapa final'!$AJ$30="Alta",'Mapa final'!$AL$30="Moderado"),CONCATENATE("R2C",'Mapa final'!$S$30),"")</f>
        <v/>
      </c>
      <c r="Z24" s="39" t="str">
        <f>IF(AND('Mapa final'!$AJ$31="Alta",'Mapa final'!$AL$31="Moderado"),CONCATENATE("R2C",'Mapa final'!$S$31),"")</f>
        <v/>
      </c>
      <c r="AA24" s="39" t="str">
        <f>IF(AND('Mapa final'!$AJ$32="Alta",'Mapa final'!$AL$32="Moderado"),CONCATENATE("R2C",'Mapa final'!$S$32),"")</f>
        <v/>
      </c>
      <c r="AB24" s="40" t="str">
        <f>IF(AND('Mapa final'!$AJ$33="Alta",'Mapa final'!$AL$33="Moderado"),CONCATENATE("R2C",'Mapa final'!$S$33),"")</f>
        <v/>
      </c>
      <c r="AC24" s="38" t="str">
        <f>IF(AND('Mapa final'!$AJ$28="Alta",'Mapa final'!$AL$28="Mayor"),CONCATENATE("R2C",'Mapa final'!$S$28),"")</f>
        <v/>
      </c>
      <c r="AD24" s="39" t="str">
        <f>IF(AND('Mapa final'!$AJ$29="Alta",'Mapa final'!$AL$29="Mayor"),CONCATENATE("R2C",'Mapa final'!$S$29),"")</f>
        <v/>
      </c>
      <c r="AE24" s="39" t="str">
        <f>IF(AND('Mapa final'!$AJ$30="Alta",'Mapa final'!$AL$30="Mayor"),CONCATENATE("R2C",'Mapa final'!$S$30),"")</f>
        <v/>
      </c>
      <c r="AF24" s="39" t="str">
        <f>IF(AND('Mapa final'!$AJ$31="Alta",'Mapa final'!$AL$31="Mayor"),CONCATENATE("R2C",'Mapa final'!$S$31),"")</f>
        <v/>
      </c>
      <c r="AG24" s="39" t="str">
        <f>IF(AND('Mapa final'!$AJ$32="Alta",'Mapa final'!$AL$32="Mayor"),CONCATENATE("R2C",'Mapa final'!$S$32),"")</f>
        <v/>
      </c>
      <c r="AH24" s="40" t="str">
        <f>IF(AND('Mapa final'!$AJ$33="Alta",'Mapa final'!$AL$33="Mayor"),CONCATENATE("R2C",'Mapa final'!$S$33),"")</f>
        <v/>
      </c>
      <c r="AI24" s="41" t="str">
        <f>IF(AND('Mapa final'!$AJ$28="Alta",'Mapa final'!$AL$28="Catastrófico"),CONCATENATE("R2C",'Mapa final'!$S$28),"")</f>
        <v/>
      </c>
      <c r="AJ24" s="42" t="str">
        <f>IF(AND('Mapa final'!$AJ$29="Alta",'Mapa final'!$AL$29="Catastrófico"),CONCATENATE("R2C",'Mapa final'!$S$29),"")</f>
        <v/>
      </c>
      <c r="AK24" s="42" t="str">
        <f>IF(AND('Mapa final'!$AJ$30="Alta",'Mapa final'!$AL$30="Catastrófico"),CONCATENATE("R2C",'Mapa final'!$S$30),"")</f>
        <v/>
      </c>
      <c r="AL24" s="42" t="str">
        <f>IF(AND('Mapa final'!$AJ$31="Alta",'Mapa final'!$AL$31="Catastrófico"),CONCATENATE("R2C",'Mapa final'!$S$31),"")</f>
        <v/>
      </c>
      <c r="AM24" s="42" t="str">
        <f>IF(AND('Mapa final'!$AJ$32="Alta",'Mapa final'!$AL$32="Catastrófico"),CONCATENATE("R2C",'Mapa final'!$S$32),"")</f>
        <v/>
      </c>
      <c r="AN24" s="43" t="str">
        <f>IF(AND('Mapa final'!$AJ$33="Alta",'Mapa final'!$AL$33="Catastrófico"),CONCATENATE("R2C",'Mapa final'!$S$33),"")</f>
        <v/>
      </c>
      <c r="AO24" s="69"/>
      <c r="AP24" s="492"/>
      <c r="AQ24" s="493"/>
      <c r="AR24" s="493"/>
      <c r="AS24" s="493"/>
      <c r="AT24" s="493"/>
      <c r="AU24" s="494"/>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97"/>
      <c r="D25" s="397"/>
      <c r="E25" s="398"/>
      <c r="F25" s="502"/>
      <c r="G25" s="501"/>
      <c r="H25" s="501"/>
      <c r="I25" s="501"/>
      <c r="J25" s="501"/>
      <c r="K25" s="53" t="str">
        <f>IF(AND('Mapa final'!$AJ$34="Alta",'Mapa final'!$AL$34="Leve"),CONCATENATE("R2C",'Mapa final'!$S$34),"")</f>
        <v/>
      </c>
      <c r="L25" s="54" t="str">
        <f>IF(AND('Mapa final'!$AJ$35="Alta",'Mapa final'!$AL$35="Leve"),CONCATENATE("R2C",'Mapa final'!$S$35),"")</f>
        <v/>
      </c>
      <c r="M25" s="54" t="str">
        <f>IF(AND('Mapa final'!$AJ$36="Alta",'Mapa final'!$AL$36="Leve"),CONCATENATE("R2C",'Mapa final'!$S$36),"")</f>
        <v/>
      </c>
      <c r="N25" s="54" t="str">
        <f>IF(AND('Mapa final'!$AJ$37="Alta",'Mapa final'!$AL$37="Leve"),CONCATENATE("R2C",'Mapa final'!$S$37),"")</f>
        <v/>
      </c>
      <c r="O25" s="54" t="str">
        <f>IF(AND('Mapa final'!$AJ$38="Alta",'Mapa final'!$AL$38="Leve"),CONCATENATE("R2C",'Mapa final'!$S$38),"")</f>
        <v/>
      </c>
      <c r="P25" s="55" t="str">
        <f>IF(AND('Mapa final'!$AJ$39="Alta",'Mapa final'!$AL$39="Leve"),CONCATENATE("R2C",'Mapa final'!$S$39),"")</f>
        <v/>
      </c>
      <c r="Q25" s="53" t="str">
        <f>IF(AND('Mapa final'!$AJ$34="Alta",'Mapa final'!$AL$34="Menor"),CONCATENATE("R2C",'Mapa final'!$S$34),"")</f>
        <v/>
      </c>
      <c r="R25" s="54" t="str">
        <f>IF(AND('Mapa final'!$AJ$35="Alta",'Mapa final'!$AL$35="Menor"),CONCATENATE("R2C",'Mapa final'!$S$35),"")</f>
        <v/>
      </c>
      <c r="S25" s="54" t="str">
        <f>IF(AND('Mapa final'!$AJ$36="Alta",'Mapa final'!$AL$36="Menor"),CONCATENATE("R2C",'Mapa final'!$S$36),"")</f>
        <v/>
      </c>
      <c r="T25" s="54" t="str">
        <f>IF(AND('Mapa final'!$AJ$37="Alta",'Mapa final'!$AL$37="Menor"),CONCATENATE("R2C",'Mapa final'!$S$37),"")</f>
        <v/>
      </c>
      <c r="U25" s="54" t="str">
        <f>IF(AND('Mapa final'!$AJ$38="Alta",'Mapa final'!$AL$38="LMenor"),CONCATENATE("R2C",'Mapa final'!$S$38),"")</f>
        <v/>
      </c>
      <c r="V25" s="55" t="str">
        <f>IF(AND('Mapa final'!$AJ$39="Alta",'Mapa final'!$AL$39="Menor"),CONCATENATE("R2C",'Mapa final'!$S$39),"")</f>
        <v/>
      </c>
      <c r="W25" s="38" t="str">
        <f>IF(AND('Mapa final'!$AJ$34="Alta",'Mapa final'!$AL$34="Moderado"),CONCATENATE("R2C",'Mapa final'!$S$34),"")</f>
        <v/>
      </c>
      <c r="X25" s="39" t="str">
        <f>IF(AND('Mapa final'!$AJ$35="Alta",'Mapa final'!$AL$35="Moderado"),CONCATENATE("R2C",'Mapa final'!$S$35),"")</f>
        <v/>
      </c>
      <c r="Y25" s="39" t="str">
        <f>IF(AND('Mapa final'!$AJ$36="Alta",'Mapa final'!$AL$36="Moderado"),CONCATENATE("R2C",'Mapa final'!$S$36),"")</f>
        <v/>
      </c>
      <c r="Z25" s="39" t="str">
        <f>IF(AND('Mapa final'!$AJ$37="Alta",'Mapa final'!$AL$37="Moderado"),CONCATENATE("R2C",'Mapa final'!$S$37),"")</f>
        <v/>
      </c>
      <c r="AA25" s="39" t="str">
        <f>IF(AND('Mapa final'!$AJ$38="Alta",'Mapa final'!$AL$38="Moderado"),CONCATENATE("R2C",'Mapa final'!$S$38),"")</f>
        <v/>
      </c>
      <c r="AB25" s="40" t="str">
        <f>IF(AND('Mapa final'!$AJ$39="Alta",'Mapa final'!$AL$39="Moderado"),CONCATENATE("R2C",'Mapa final'!$S$39),"")</f>
        <v/>
      </c>
      <c r="AC25" s="38" t="str">
        <f>IF(AND('Mapa final'!$AJ$34="Alta",'Mapa final'!$AL$34="Mayor"),CONCATENATE("R2C",'Mapa final'!$S$34),"")</f>
        <v/>
      </c>
      <c r="AD25" s="39" t="str">
        <f>IF(AND('Mapa final'!$AJ$35="Alta",'Mapa final'!$AL$35="Mayor"),CONCATENATE("R2C",'Mapa final'!$S$35),"")</f>
        <v/>
      </c>
      <c r="AE25" s="39" t="str">
        <f>IF(AND('Mapa final'!$AJ$36="Alta",'Mapa final'!$AL$36="Mayor"),CONCATENATE("R2C",'Mapa final'!$S$36),"")</f>
        <v/>
      </c>
      <c r="AF25" s="39" t="str">
        <f>IF(AND('Mapa final'!$AJ$37="Alta",'Mapa final'!$AL$37="Mayor"),CONCATENATE("R2C",'Mapa final'!$S$37),"")</f>
        <v/>
      </c>
      <c r="AG25" s="39" t="str">
        <f>IF(AND('Mapa final'!$AJ$38="Alta",'Mapa final'!$AL$38="Mayor"),CONCATENATE("R2C",'Mapa final'!$S$38),"")</f>
        <v/>
      </c>
      <c r="AH25" s="40" t="str">
        <f>IF(AND('Mapa final'!$AJ$39="Alta",'Mapa final'!$AL$39="Mayor"),CONCATENATE("R2C",'Mapa final'!$S$39),"")</f>
        <v/>
      </c>
      <c r="AI25" s="41" t="str">
        <f>IF(AND('Mapa final'!$AJ$34="Alta",'Mapa final'!$AL$34="Catastrófico"),CONCATENATE("R2C",'Mapa final'!$S$34),"")</f>
        <v/>
      </c>
      <c r="AJ25" s="42" t="str">
        <f>IF(AND('Mapa final'!$AJ$35="Alta",'Mapa final'!$AL$35="Catastrófico"),CONCATENATE("R2C",'Mapa final'!$S$35),"")</f>
        <v/>
      </c>
      <c r="AK25" s="42" t="str">
        <f>IF(AND('Mapa final'!$AJ$36="Alta",'Mapa final'!$AL$36="Catastrófico"),CONCATENATE("R2C",'Mapa final'!$S$36),"")</f>
        <v/>
      </c>
      <c r="AL25" s="42" t="str">
        <f>IF(AND('Mapa final'!$AJ$37="Alta",'Mapa final'!$AL$37="Catastrófico"),CONCATENATE("R2C",'Mapa final'!$S$37),"")</f>
        <v/>
      </c>
      <c r="AM25" s="42" t="str">
        <f>IF(AND('Mapa final'!$AJ$38="Alta",'Mapa final'!$AL$38="LCatastrófico"),CONCATENATE("R2C",'Mapa final'!$S$38),"")</f>
        <v/>
      </c>
      <c r="AN25" s="43" t="str">
        <f>IF(AND('Mapa final'!$AJ$39="Alta",'Mapa final'!$AL$39="Catastrófico"),CONCATENATE("R2C",'Mapa final'!$S$39),"")</f>
        <v/>
      </c>
      <c r="AO25" s="69"/>
      <c r="AP25" s="492"/>
      <c r="AQ25" s="493"/>
      <c r="AR25" s="493"/>
      <c r="AS25" s="493"/>
      <c r="AT25" s="493"/>
      <c r="AU25" s="494"/>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97"/>
      <c r="D26" s="397"/>
      <c r="E26" s="398"/>
      <c r="F26" s="502"/>
      <c r="G26" s="501"/>
      <c r="H26" s="501"/>
      <c r="I26" s="501"/>
      <c r="J26" s="501"/>
      <c r="K26" s="53" t="str">
        <f>IF(AND('Mapa final'!$AJ$40="Alta",'Mapa final'!$AL$40="Leve"),CONCATENATE("R2C",'Mapa final'!$S$40),"")</f>
        <v/>
      </c>
      <c r="L26" s="54" t="str">
        <f>IF(AND('Mapa final'!$AJ$41="Alta",'Mapa final'!$AL$41="Leve"),CONCATENATE("R2C",'Mapa final'!$S$41),"")</f>
        <v/>
      </c>
      <c r="M26" s="54" t="str">
        <f>IF(AND('Mapa final'!$AJ$42="Alta",'Mapa final'!$AL$42="Leve"),CONCATENATE("R2C",'Mapa final'!$S$42),"")</f>
        <v/>
      </c>
      <c r="N26" s="54" t="str">
        <f>IF(AND('Mapa final'!$AJ$43="Alta",'Mapa final'!$AL$43="Leve"),CONCATENATE("R2C",'Mapa final'!$S$43),"")</f>
        <v/>
      </c>
      <c r="O26" s="54" t="str">
        <f>IF(AND('Mapa final'!$AJ$44="Alta",'Mapa final'!$AL$44="Leve"),CONCATENATE("R2C",'Mapa final'!$S$44),"")</f>
        <v/>
      </c>
      <c r="P26" s="55" t="str">
        <f>IF(AND('Mapa final'!$AJ$45="Alta",'Mapa final'!$AL$45="Leve"),CONCATENATE("R2C",'Mapa final'!$S$45),"")</f>
        <v/>
      </c>
      <c r="Q26" s="53" t="str">
        <f>IF(AND('Mapa final'!$AJ$40="Alta",'Mapa final'!$AL$40="Menor"),CONCATENATE("R2C",'Mapa final'!$S$40),"")</f>
        <v/>
      </c>
      <c r="R26" s="54" t="str">
        <f>IF(AND('Mapa final'!$AJ$41="Alta",'Mapa final'!$AL$41="Menor"),CONCATENATE("R2C",'Mapa final'!$S$41),"")</f>
        <v/>
      </c>
      <c r="S26" s="54" t="str">
        <f>IF(AND('Mapa final'!$AJ$42="Alta",'Mapa final'!$AL$42="Menor"),CONCATENATE("R2C",'Mapa final'!$S$42),"")</f>
        <v/>
      </c>
      <c r="T26" s="54" t="str">
        <f>IF(AND('Mapa final'!$AJ$43="Alta",'Mapa final'!$AL$43="Menor"),CONCATENATE("R2C",'Mapa final'!$S$43),"")</f>
        <v/>
      </c>
      <c r="U26" s="54" t="str">
        <f>IF(AND('Mapa final'!$AJ$44="Alta",'Mapa final'!$AL$44="Menor"),CONCATENATE("R2C",'Mapa final'!$S$44),"")</f>
        <v/>
      </c>
      <c r="V26" s="55" t="str">
        <f>IF(AND('Mapa final'!$AJ$45="Alta",'Mapa final'!$AL$45="Menor"),CONCATENATE("R2C",'Mapa final'!$S$45),"")</f>
        <v/>
      </c>
      <c r="W26" s="38" t="str">
        <f>IF(AND('Mapa final'!$AJ$40="Alta",'Mapa final'!$AL$40="Moderado"),CONCATENATE("R2C",'Mapa final'!$S$40),"")</f>
        <v/>
      </c>
      <c r="X26" s="39" t="str">
        <f>IF(AND('Mapa final'!$AJ$41="Alta",'Mapa final'!$AL$41="Moderado"),CONCATENATE("R2C",'Mapa final'!$S$41),"")</f>
        <v/>
      </c>
      <c r="Y26" s="39" t="str">
        <f>IF(AND('Mapa final'!$AJ$42="Alta",'Mapa final'!$AL$42="Moderado"),CONCATENATE("R2C",'Mapa final'!$S$42),"")</f>
        <v/>
      </c>
      <c r="Z26" s="39" t="str">
        <f>IF(AND('Mapa final'!$AJ$43="Alta",'Mapa final'!$AL$43="Moderado"),CONCATENATE("R2C",'Mapa final'!$S$43),"")</f>
        <v/>
      </c>
      <c r="AA26" s="39" t="str">
        <f>IF(AND('Mapa final'!$AJ$44="Alta",'Mapa final'!$AL$44="Moderado"),CONCATENATE("R2C",'Mapa final'!$S$44),"")</f>
        <v/>
      </c>
      <c r="AB26" s="40" t="str">
        <f>IF(AND('Mapa final'!$AJ$45="Alta",'Mapa final'!$AL$45="Moderado"),CONCATENATE("R2C",'Mapa final'!$S$45),"")</f>
        <v/>
      </c>
      <c r="AC26" s="38" t="str">
        <f>IF(AND('Mapa final'!$AJ$40="Alta",'Mapa final'!$AL$40="Mayor"),CONCATENATE("R2C",'Mapa final'!$S$40),"")</f>
        <v/>
      </c>
      <c r="AD26" s="39" t="str">
        <f>IF(AND('Mapa final'!$AJ$41="Alta",'Mapa final'!$AL$41="Mayor"),CONCATENATE("R2C",'Mapa final'!$S$41),"")</f>
        <v/>
      </c>
      <c r="AE26" s="39" t="str">
        <f>IF(AND('Mapa final'!$AJ$42="Alta",'Mapa final'!$AL$42="Mayor"),CONCATENATE("R2C",'Mapa final'!$S$42),"")</f>
        <v/>
      </c>
      <c r="AF26" s="39" t="str">
        <f>IF(AND('Mapa final'!$AJ$43="Alta",'Mapa final'!$AL$43="Mayor"),CONCATENATE("R2C",'Mapa final'!$S$43),"")</f>
        <v/>
      </c>
      <c r="AG26" s="39" t="str">
        <f>IF(AND('Mapa final'!$AJ$44="Alta",'Mapa final'!$AL$44="Mayor"),CONCATENATE("R2C",'Mapa final'!$S$44),"")</f>
        <v/>
      </c>
      <c r="AH26" s="40" t="str">
        <f>IF(AND('Mapa final'!$AJ$45="Alta",'Mapa final'!$AL$45="Mayor"),CONCATENATE("R2C",'Mapa final'!$S$45),"")</f>
        <v/>
      </c>
      <c r="AI26" s="41" t="str">
        <f>IF(AND('Mapa final'!$AJ$40="Alta",'Mapa final'!$AL$40="Catastrófico"),CONCATENATE("R2C",'Mapa final'!$S$40),"")</f>
        <v/>
      </c>
      <c r="AJ26" s="42" t="str">
        <f>IF(AND('Mapa final'!$AJ$41="Alta",'Mapa final'!$AL$41="Catastrófico"),CONCATENATE("R2C",'Mapa final'!$S$41),"")</f>
        <v/>
      </c>
      <c r="AK26" s="42" t="str">
        <f>IF(AND('Mapa final'!$AJ$42="Alta",'Mapa final'!$AL$42="Catastrófico"),CONCATENATE("R2C",'Mapa final'!$S$42),"")</f>
        <v/>
      </c>
      <c r="AL26" s="42" t="str">
        <f>IF(AND('Mapa final'!$AJ$43="Alta",'Mapa final'!$AL$43="Catastrófico"),CONCATENATE("R2C",'Mapa final'!$S$43),"")</f>
        <v/>
      </c>
      <c r="AM26" s="42" t="str">
        <f>IF(AND('Mapa final'!$AJ$44="Alta",'Mapa final'!$AL$44="Catastrófico"),CONCATENATE("R2C",'Mapa final'!$S$44),"")</f>
        <v/>
      </c>
      <c r="AN26" s="43" t="str">
        <f>IF(AND('Mapa final'!$AJ$45="Alta",'Mapa final'!$AL$45="Catastrófico"),CONCATENATE("R2C",'Mapa final'!$S$45),"")</f>
        <v/>
      </c>
      <c r="AO26" s="69"/>
      <c r="AP26" s="492"/>
      <c r="AQ26" s="493"/>
      <c r="AR26" s="493"/>
      <c r="AS26" s="493"/>
      <c r="AT26" s="493"/>
      <c r="AU26" s="494"/>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97"/>
      <c r="D27" s="397"/>
      <c r="E27" s="398"/>
      <c r="F27" s="502"/>
      <c r="G27" s="501"/>
      <c r="H27" s="501"/>
      <c r="I27" s="501"/>
      <c r="J27" s="501"/>
      <c r="K27" s="53" t="str">
        <f>IF(AND('Mapa final'!$AJ$46="Alta",'Mapa final'!$AL$46="Leve"),CONCATENATE("R2C",'Mapa final'!$S$46),"")</f>
        <v/>
      </c>
      <c r="L27" s="54" t="str">
        <f>IF(AND('Mapa final'!$AJ$47="Alta",'Mapa final'!$AL$47="Leve"),CONCATENATE("R2C",'Mapa final'!$S$47),"")</f>
        <v/>
      </c>
      <c r="M27" s="54" t="str">
        <f>IF(AND('Mapa final'!$AJ$48="Alta",'Mapa final'!$AL$48="Leve"),CONCATENATE("R2C",'Mapa final'!$S$48),"")</f>
        <v/>
      </c>
      <c r="N27" s="54" t="str">
        <f>IF(AND('Mapa final'!$AJ$49="Alta",'Mapa final'!$AL$49="Leve"),CONCATENATE("R2C",'Mapa final'!$S$49),"")</f>
        <v/>
      </c>
      <c r="O27" s="54" t="str">
        <f>IF(AND('Mapa final'!$AJ$50="Alta",'Mapa final'!$AL$50="Leve"),CONCATENATE("R2C",'Mapa final'!$S$50),"")</f>
        <v/>
      </c>
      <c r="P27" s="55" t="str">
        <f>IF(AND('Mapa final'!$AJ$61="Alta",'Mapa final'!$AL$51="Leve"),CONCATENATE("R2C",'Mapa final'!$S$51),"")</f>
        <v/>
      </c>
      <c r="Q27" s="53" t="str">
        <f>IF(AND('Mapa final'!$AJ$46="Alta",'Mapa final'!$AL$46="Menor"),CONCATENATE("R2C",'Mapa final'!$S$46),"")</f>
        <v/>
      </c>
      <c r="R27" s="54" t="str">
        <f>IF(AND('Mapa final'!$AJ$47="Alta",'Mapa final'!$AL$47="Menor"),CONCATENATE("R2C",'Mapa final'!$S$47),"")</f>
        <v/>
      </c>
      <c r="S27" s="54" t="str">
        <f>IF(AND('Mapa final'!$AJ$48="Alta",'Mapa final'!$AL$48="Menor"),CONCATENATE("R2C",'Mapa final'!$S$48),"")</f>
        <v/>
      </c>
      <c r="T27" s="54" t="str">
        <f>IF(AND('Mapa final'!$AJ$49="Alta",'Mapa final'!$AL$49="Menor"),CONCATENATE("R2C",'Mapa final'!$S$49),"")</f>
        <v/>
      </c>
      <c r="U27" s="54" t="str">
        <f>IF(AND('Mapa final'!$AJ$50="Alta",'Mapa final'!$AL$50="Menor"),CONCATENATE("R2C",'Mapa final'!$S$50),"")</f>
        <v/>
      </c>
      <c r="V27" s="55" t="str">
        <f>IF(AND('Mapa final'!$AJ$61="Alta",'Mapa final'!$AL$51="Menor"),CONCATENATE("R2C",'Mapa final'!$S$51),"")</f>
        <v/>
      </c>
      <c r="W27" s="38" t="str">
        <f>IF(AND('Mapa final'!$AJ$46="Alta",'Mapa final'!$AL$46="Moderado"),CONCATENATE("R2C",'Mapa final'!$S$46),"")</f>
        <v/>
      </c>
      <c r="X27" s="39" t="str">
        <f>IF(AND('Mapa final'!$AJ$47="Alta",'Mapa final'!$AL$47="Moderado"),CONCATENATE("R2C",'Mapa final'!$S$47),"")</f>
        <v/>
      </c>
      <c r="Y27" s="39" t="str">
        <f>IF(AND('Mapa final'!$AJ$48="Alta",'Mapa final'!$AL$48="Moderado"),CONCATENATE("R2C",'Mapa final'!$S$48),"")</f>
        <v/>
      </c>
      <c r="Z27" s="39" t="str">
        <f>IF(AND('Mapa final'!$AJ$49="Alta",'Mapa final'!$AL$49="Moderado"),CONCATENATE("R2C",'Mapa final'!$S$49),"")</f>
        <v/>
      </c>
      <c r="AA27" s="39" t="str">
        <f>IF(AND('Mapa final'!$AJ$50="Alta",'Mapa final'!$AL$50="Moderado"),CONCATENATE("R2C",'Mapa final'!$S$50),"")</f>
        <v/>
      </c>
      <c r="AB27" s="40" t="str">
        <f>IF(AND('Mapa final'!$AJ$61="Alta",'Mapa final'!$AL$51="Moderado"),CONCATENATE("R2C",'Mapa final'!$S$51),"")</f>
        <v/>
      </c>
      <c r="AC27" s="38" t="str">
        <f>IF(AND('Mapa final'!$AJ$46="Alta",'Mapa final'!$AL$46="Mayor"),CONCATENATE("R2C",'Mapa final'!$S$46),"")</f>
        <v/>
      </c>
      <c r="AD27" s="39" t="str">
        <f>IF(AND('Mapa final'!$AJ$47="Alta",'Mapa final'!$AL$47="Mayor"),CONCATENATE("R2C",'Mapa final'!$S$47),"")</f>
        <v/>
      </c>
      <c r="AE27" s="39" t="str">
        <f>IF(AND('Mapa final'!$AJ$48="Alta",'Mapa final'!$AL$48="Mayor"),CONCATENATE("R2C",'Mapa final'!$S$48),"")</f>
        <v/>
      </c>
      <c r="AF27" s="39" t="str">
        <f>IF(AND('Mapa final'!$AJ$49="Alta",'Mapa final'!$AL$49="Mayor"),CONCATENATE("R2C",'Mapa final'!$S$49),"")</f>
        <v/>
      </c>
      <c r="AG27" s="39" t="str">
        <f>IF(AND('Mapa final'!$AJ$50="Alta",'Mapa final'!$AL$50="Mayor"),CONCATENATE("R2C",'Mapa final'!$S$50),"")</f>
        <v/>
      </c>
      <c r="AH27" s="40" t="str">
        <f>IF(AND('Mapa final'!$AJ$61="Alta",'Mapa final'!$AL$51="Mayor"),CONCATENATE("R2C",'Mapa final'!$S$51),"")</f>
        <v/>
      </c>
      <c r="AI27" s="41" t="str">
        <f>IF(AND('Mapa final'!$AJ$46="Alta",'Mapa final'!$AL$46="Catastrófico"),CONCATENATE("R2C",'Mapa final'!$S$46),"")</f>
        <v/>
      </c>
      <c r="AJ27" s="42" t="str">
        <f>IF(AND('Mapa final'!$AJ$47="Alta",'Mapa final'!$AL$47="Catastrófico"),CONCATENATE("R2C",'Mapa final'!$S$47),"")</f>
        <v/>
      </c>
      <c r="AK27" s="42" t="str">
        <f>IF(AND('Mapa final'!$AJ$48="Alta",'Mapa final'!$AL$48="Catastrófico"),CONCATENATE("R2C",'Mapa final'!$S$48),"")</f>
        <v/>
      </c>
      <c r="AL27" s="42" t="str">
        <f>IF(AND('Mapa final'!$AJ$49="Alta",'Mapa final'!$AL$49="Catastrófico"),CONCATENATE("R2C",'Mapa final'!$S$49),"")</f>
        <v/>
      </c>
      <c r="AM27" s="42" t="str">
        <f>IF(AND('Mapa final'!$AJ$50="Alta",'Mapa final'!$AL$50="Catastrófico"),CONCATENATE("R2C",'Mapa final'!$S$50),"")</f>
        <v/>
      </c>
      <c r="AN27" s="43" t="str">
        <f>IF(AND('Mapa final'!$AJ$61="Alta",'Mapa final'!$AL$51="Catastrófico"),CONCATENATE("R2C",'Mapa final'!$S$51),"")</f>
        <v/>
      </c>
      <c r="AO27" s="69"/>
      <c r="AP27" s="492"/>
      <c r="AQ27" s="493"/>
      <c r="AR27" s="493"/>
      <c r="AS27" s="493"/>
      <c r="AT27" s="493"/>
      <c r="AU27" s="494"/>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97"/>
      <c r="D28" s="397"/>
      <c r="E28" s="398"/>
      <c r="F28" s="502"/>
      <c r="G28" s="501"/>
      <c r="H28" s="501"/>
      <c r="I28" s="501"/>
      <c r="J28" s="501"/>
      <c r="K28" s="53" t="str">
        <f>IF(AND('Mapa final'!$AJ$52="Alta",'Mapa final'!$AL$52="Leve"),CONCATENATE("R2C",'Mapa final'!$S$52),"")</f>
        <v/>
      </c>
      <c r="L28" s="54" t="str">
        <f>IF(AND('Mapa final'!$AJ$53="Alta",'Mapa final'!$AL$53="Leve"),CONCATENATE("R2C",'Mapa final'!$S$53),"")</f>
        <v/>
      </c>
      <c r="M28" s="54" t="str">
        <f>IF(AND('Mapa final'!$AJ$54="Alta",'Mapa final'!$AL$54="Leve"),CONCATENATE("R2C",'Mapa final'!$S$54),"")</f>
        <v/>
      </c>
      <c r="N28" s="54" t="str">
        <f>IF(AND('Mapa final'!$AJ$55="Alta",'Mapa final'!$AL$55="Leve"),CONCATENATE("R2C",'Mapa final'!$S$55),"")</f>
        <v/>
      </c>
      <c r="O28" s="54" t="str">
        <f>IF(AND('Mapa final'!$AJ$56="Alta",'Mapa final'!$AL$56="Leve"),CONCATENATE("R2C",'Mapa final'!$S$56),"")</f>
        <v/>
      </c>
      <c r="P28" s="55" t="str">
        <f>IF(AND('Mapa final'!$AJ$57="Alta",'Mapa final'!$AL$57="Leve"),CONCATENATE("R2C",'Mapa final'!$S$57),"")</f>
        <v/>
      </c>
      <c r="Q28" s="53" t="str">
        <f>IF(AND('Mapa final'!$AJ$52="Alta",'Mapa final'!$AL$52="Menor"),CONCATENATE("R2C",'Mapa final'!$S$52),"")</f>
        <v/>
      </c>
      <c r="R28" s="54" t="str">
        <f>IF(AND('Mapa final'!$AJ$53="Alta",'Mapa final'!$AL$53="Menor"),CONCATENATE("R2C",'Mapa final'!$S$53),"")</f>
        <v/>
      </c>
      <c r="S28" s="54" t="str">
        <f>IF(AND('Mapa final'!$AJ$54="Alta",'Mapa final'!$AL$54="Menor"),CONCATENATE("R2C",'Mapa final'!$S$54),"")</f>
        <v/>
      </c>
      <c r="T28" s="54" t="str">
        <f>IF(AND('Mapa final'!$AJ$55="Alta",'Mapa final'!$AL$55="Menor"),CONCATENATE("R2C",'Mapa final'!$S$55),"")</f>
        <v/>
      </c>
      <c r="U28" s="54" t="str">
        <f>IF(AND('Mapa final'!$AJ$56="Alta",'Mapa final'!$AL$56="Menor"),CONCATENATE("R2C",'Mapa final'!$S$56),"")</f>
        <v/>
      </c>
      <c r="V28" s="55" t="str">
        <f>IF(AND('Mapa final'!$AJ$57="Alta",'Mapa final'!$AL$57="Menor"),CONCATENATE("R2C",'Mapa final'!$S$57),"")</f>
        <v/>
      </c>
      <c r="W28" s="38" t="str">
        <f>IF(AND('Mapa final'!$AJ$52="Alta",'Mapa final'!$AL$52="Moderado"),CONCATENATE("R2C",'Mapa final'!$S$52),"")</f>
        <v/>
      </c>
      <c r="X28" s="39" t="str">
        <f>IF(AND('Mapa final'!$AJ$53="Alta",'Mapa final'!$AL$53="Moderado"),CONCATENATE("R2C",'Mapa final'!$S$53),"")</f>
        <v/>
      </c>
      <c r="Y28" s="39" t="str">
        <f>IF(AND('Mapa final'!$AJ$54="Alta",'Mapa final'!$AL$54="Moderado"),CONCATENATE("R2C",'Mapa final'!$S$54),"")</f>
        <v/>
      </c>
      <c r="Z28" s="39" t="str">
        <f>IF(AND('Mapa final'!$AJ$55="Alta",'Mapa final'!$AL$55="Moderado"),CONCATENATE("R2C",'Mapa final'!$S$55),"")</f>
        <v/>
      </c>
      <c r="AA28" s="39" t="str">
        <f>IF(AND('Mapa final'!$AJ$56="Alta",'Mapa final'!$AL$56="Moderado"),CONCATENATE("R2C",'Mapa final'!$S$56),"")</f>
        <v/>
      </c>
      <c r="AB28" s="40" t="str">
        <f>IF(AND('Mapa final'!$AJ$57="Alta",'Mapa final'!$AL$57="Moderado"),CONCATENATE("R2C",'Mapa final'!$S$57),"")</f>
        <v/>
      </c>
      <c r="AC28" s="38" t="str">
        <f>IF(AND('Mapa final'!$AJ$52="Alta",'Mapa final'!$AL$52="Mayor"),CONCATENATE("R2C",'Mapa final'!$S$52),"")</f>
        <v/>
      </c>
      <c r="AD28" s="39" t="str">
        <f>IF(AND('Mapa final'!$AJ$53="Alta",'Mapa final'!$AL$53="Mayor"),CONCATENATE("R2C",'Mapa final'!$S$53),"")</f>
        <v/>
      </c>
      <c r="AE28" s="39" t="str">
        <f>IF(AND('Mapa final'!$AJ$54="Alta",'Mapa final'!$AL$54="Mayor"),CONCATENATE("R2C",'Mapa final'!$S$54),"")</f>
        <v/>
      </c>
      <c r="AF28" s="39" t="str">
        <f>IF(AND('Mapa final'!$AJ$55="Alta",'Mapa final'!$AL$55="Mayor"),CONCATENATE("R2C",'Mapa final'!$S$55),"")</f>
        <v/>
      </c>
      <c r="AG28" s="39" t="str">
        <f>IF(AND('Mapa final'!$AJ$56="Alta",'Mapa final'!$AL$56="Mayor"),CONCATENATE("R2C",'Mapa final'!$S$56),"")</f>
        <v/>
      </c>
      <c r="AH28" s="40" t="str">
        <f>IF(AND('Mapa final'!$AJ$57="Alta",'Mapa final'!$AL$57="Mayor"),CONCATENATE("R2C",'Mapa final'!$S$57),"")</f>
        <v/>
      </c>
      <c r="AI28" s="41" t="str">
        <f>IF(AND('Mapa final'!$AJ$52="Alta",'Mapa final'!$AL$52="Catastrófico"),CONCATENATE("R2C",'Mapa final'!$S$52),"")</f>
        <v/>
      </c>
      <c r="AJ28" s="42" t="str">
        <f>IF(AND('Mapa final'!$AJ$53="Alta",'Mapa final'!$AL$53="Catastrófico"),CONCATENATE("R2C",'Mapa final'!$S$53),"")</f>
        <v/>
      </c>
      <c r="AK28" s="42" t="str">
        <f>IF(AND('Mapa final'!$AJ$54="Alta",'Mapa final'!$AL$54="Catastrófico"),CONCATENATE("R2C",'Mapa final'!$S$54),"")</f>
        <v/>
      </c>
      <c r="AL28" s="42" t="str">
        <f>IF(AND('Mapa final'!$AJ$55="Alta",'Mapa final'!$AL$55="Catastrófico"),CONCATENATE("R2C",'Mapa final'!$S$55),"")</f>
        <v/>
      </c>
      <c r="AM28" s="42" t="str">
        <f>IF(AND('Mapa final'!$AJ$56="Alta",'Mapa final'!$AL$56="Catastrófico"),CONCATENATE("R2C",'Mapa final'!$S$56),"")</f>
        <v/>
      </c>
      <c r="AN28" s="43" t="str">
        <f>IF(AND('Mapa final'!$AJ$57="Alta",'Mapa final'!$AL$57="Catastrófico"),CONCATENATE("R2C",'Mapa final'!$S$57),"")</f>
        <v/>
      </c>
      <c r="AO28" s="69"/>
      <c r="AP28" s="492"/>
      <c r="AQ28" s="493"/>
      <c r="AR28" s="493"/>
      <c r="AS28" s="493"/>
      <c r="AT28" s="493"/>
      <c r="AU28" s="494"/>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97"/>
      <c r="D29" s="397"/>
      <c r="E29" s="398"/>
      <c r="F29" s="502"/>
      <c r="G29" s="501"/>
      <c r="H29" s="501"/>
      <c r="I29" s="501"/>
      <c r="J29" s="501"/>
      <c r="K29" s="53" t="str">
        <f>IF(AND('Mapa final'!$AJ$58="Alta",'Mapa final'!$AL$58="Leve"),CONCATENATE("R2C",'Mapa final'!$S$58),"")</f>
        <v/>
      </c>
      <c r="L29" s="54" t="str">
        <f>IF(AND('Mapa final'!$AJ$59="Alta",'Mapa final'!$AL$59="Leve"),CONCATENATE("R2C",'Mapa final'!$S$59),"")</f>
        <v/>
      </c>
      <c r="M29" s="54" t="str">
        <f>IF(AND('Mapa final'!$AJ$60="Alta",'Mapa final'!$AL$60="Leve"),CONCATENATE("R2C",'Mapa final'!$S$60),"")</f>
        <v/>
      </c>
      <c r="N29" s="54" t="str">
        <f>IF(AND('Mapa final'!$AJ$61="Alta",'Mapa final'!$AL$61="Leve"),CONCATENATE("R2C",'Mapa final'!$S$61),"")</f>
        <v/>
      </c>
      <c r="O29" s="54" t="str">
        <f>IF(AND('Mapa final'!$AJ$62="Alta",'Mapa final'!$AL$62="Leve"),CONCATENATE("R2C",'Mapa final'!$S$62),"")</f>
        <v/>
      </c>
      <c r="P29" s="55" t="str">
        <f>IF(AND('Mapa final'!$AJ$63="Alta",'Mapa final'!$AL$63="Leve"),CONCATENATE("R2C",'Mapa final'!$S$63),"")</f>
        <v/>
      </c>
      <c r="Q29" s="53" t="str">
        <f>IF(AND('Mapa final'!$AJ$58="Alta",'Mapa final'!$AL$58="Menor"),CONCATENATE("R2C",'Mapa final'!$S$58),"")</f>
        <v/>
      </c>
      <c r="R29" s="54" t="str">
        <f>IF(AND('Mapa final'!$AJ$59="Alta",'Mapa final'!$AL$59="Menor"),CONCATENATE("R2C",'Mapa final'!$S$59),"")</f>
        <v/>
      </c>
      <c r="S29" s="54" t="str">
        <f>IF(AND('Mapa final'!$AJ$60="Alta",'Mapa final'!$AL$60="Menor"),CONCATENATE("R2C",'Mapa final'!$S$60),"")</f>
        <v/>
      </c>
      <c r="T29" s="54" t="str">
        <f>IF(AND('Mapa final'!$AJ$61="Alta",'Mapa final'!$AL$61="Menor"),CONCATENATE("R2C",'Mapa final'!$S$61),"")</f>
        <v/>
      </c>
      <c r="U29" s="54" t="str">
        <f>IF(AND('Mapa final'!$AJ$62="Alta",'Mapa final'!$AL$62="Menor"),CONCATENATE("R2C",'Mapa final'!$S$62),"")</f>
        <v/>
      </c>
      <c r="V29" s="55" t="str">
        <f>IF(AND('Mapa final'!$AJ$63="Alta",'Mapa final'!$AL$63="Menor"),CONCATENATE("R2C",'Mapa final'!$S$63),"")</f>
        <v/>
      </c>
      <c r="W29" s="38" t="str">
        <f>IF(AND('Mapa final'!$AJ$58="Alta",'Mapa final'!$AL$58="Moderado"),CONCATENATE("R2C",'Mapa final'!$S$58),"")</f>
        <v/>
      </c>
      <c r="X29" s="39" t="str">
        <f>IF(AND('Mapa final'!$AJ$59="Alta",'Mapa final'!$AL$59="Moderado"),CONCATENATE("R2C",'Mapa final'!$S$59),"")</f>
        <v/>
      </c>
      <c r="Y29" s="39" t="str">
        <f>IF(AND('Mapa final'!$AJ$60="Alta",'Mapa final'!$AL$60="Moderado"),CONCATENATE("R2C",'Mapa final'!$S$60),"")</f>
        <v/>
      </c>
      <c r="Z29" s="39" t="str">
        <f>IF(AND('Mapa final'!$AJ$61="Alta",'Mapa final'!$AL$61="Moderado"),CONCATENATE("R2C",'Mapa final'!$S$61),"")</f>
        <v/>
      </c>
      <c r="AA29" s="39" t="str">
        <f>IF(AND('Mapa final'!$AJ$62="Alta",'Mapa final'!$AL$62="Moderado"),CONCATENATE("R2C",'Mapa final'!$S$62),"")</f>
        <v/>
      </c>
      <c r="AB29" s="40" t="str">
        <f>IF(AND('Mapa final'!$AJ$63="Alta",'Mapa final'!$AL$63="Moderado"),CONCATENATE("R2C",'Mapa final'!$S$63),"")</f>
        <v/>
      </c>
      <c r="AC29" s="38" t="str">
        <f>IF(AND('Mapa final'!$AJ$58="Alta",'Mapa final'!$AL$58="Mayor"),CONCATENATE("R2C",'Mapa final'!$S$58),"")</f>
        <v/>
      </c>
      <c r="AD29" s="39" t="str">
        <f>IF(AND('Mapa final'!$AJ$59="Alta",'Mapa final'!$AL$59="Mayor"),CONCATENATE("R2C",'Mapa final'!$S$59),"")</f>
        <v/>
      </c>
      <c r="AE29" s="39" t="str">
        <f>IF(AND('Mapa final'!$AJ$60="Alta",'Mapa final'!$AL$60="Mayor"),CONCATENATE("R2C",'Mapa final'!$S$60),"")</f>
        <v/>
      </c>
      <c r="AF29" s="39" t="str">
        <f>IF(AND('Mapa final'!$AJ$61="Alta",'Mapa final'!$AL$61="Mayor"),CONCATENATE("R2C",'Mapa final'!$S$61),"")</f>
        <v/>
      </c>
      <c r="AG29" s="39" t="str">
        <f>IF(AND('Mapa final'!$AJ$62="Alta",'Mapa final'!$AL$62="Mayor"),CONCATENATE("R2C",'Mapa final'!$S$62),"")</f>
        <v/>
      </c>
      <c r="AH29" s="40" t="str">
        <f>IF(AND('Mapa final'!$AJ$63="Alta",'Mapa final'!$AL$63="Mayor"),CONCATENATE("R2C",'Mapa final'!$S$63),"")</f>
        <v/>
      </c>
      <c r="AI29" s="41" t="str">
        <f>IF(AND('Mapa final'!$AJ$58="Alta",'Mapa final'!$AL$58="Catastrófico"),CONCATENATE("R2C",'Mapa final'!$S$58),"")</f>
        <v/>
      </c>
      <c r="AJ29" s="42" t="str">
        <f>IF(AND('Mapa final'!$AJ$59="Alta",'Mapa final'!$AL$59="Catastrófico"),CONCATENATE("R2C",'Mapa final'!$S$59),"")</f>
        <v/>
      </c>
      <c r="AK29" s="42" t="str">
        <f>IF(AND('Mapa final'!$AJ$60="Alta",'Mapa final'!$AL$60="Catastrófico"),CONCATENATE("R2C",'Mapa final'!$S$60),"")</f>
        <v/>
      </c>
      <c r="AL29" s="42" t="str">
        <f>IF(AND('Mapa final'!$AJ$61="Alta",'Mapa final'!$AL$61="Catastrófico"),CONCATENATE("R2C",'Mapa final'!$S$61),"")</f>
        <v/>
      </c>
      <c r="AM29" s="42" t="str">
        <f>IF(AND('Mapa final'!$AJ$62="Alta",'Mapa final'!$AL$62="Catastrófico"),CONCATENATE("R2C",'Mapa final'!$S$62),"")</f>
        <v/>
      </c>
      <c r="AN29" s="43" t="str">
        <f>IF(AND('Mapa final'!$AJ$63="Alta",'Mapa final'!$AL$63="Catastrófico"),CONCATENATE("R2C",'Mapa final'!$S$63),"")</f>
        <v/>
      </c>
      <c r="AO29" s="69"/>
      <c r="AP29" s="492"/>
      <c r="AQ29" s="493"/>
      <c r="AR29" s="493"/>
      <c r="AS29" s="493"/>
      <c r="AT29" s="493"/>
      <c r="AU29" s="494"/>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97"/>
      <c r="D30" s="397"/>
      <c r="E30" s="398"/>
      <c r="F30" s="502"/>
      <c r="G30" s="501"/>
      <c r="H30" s="501"/>
      <c r="I30" s="501"/>
      <c r="J30" s="501"/>
      <c r="K30" s="53" t="str">
        <f>IF(AND('Mapa final'!$AJ$64="Alta",'Mapa final'!$AL$64="Leve"),CONCATENATE("R2C",'Mapa final'!$S$64),"")</f>
        <v/>
      </c>
      <c r="L30" s="54" t="str">
        <f>IF(AND('Mapa final'!$AJ$65="Alta",'Mapa final'!$AL$65="Leve"),CONCATENATE("R2C",'Mapa final'!$S$65),"")</f>
        <v/>
      </c>
      <c r="M30" s="54" t="str">
        <f>IF(AND('Mapa final'!$AJ$66="Alta",'Mapa final'!$AL$66="Leve"),CONCATENATE("R2C",'Mapa final'!$S$66),"")</f>
        <v/>
      </c>
      <c r="N30" s="54" t="str">
        <f>IF(AND('Mapa final'!$AJ$67="Alta",'Mapa final'!$AL$67="Leve"),CONCATENATE("R2C",'Mapa final'!$S$67),"")</f>
        <v/>
      </c>
      <c r="O30" s="54" t="str">
        <f>IF(AND('Mapa final'!$AJ$68="Alta",'Mapa final'!$AL$68="Leve"),CONCATENATE("R2C",'Mapa final'!$S$68),"")</f>
        <v/>
      </c>
      <c r="P30" s="55" t="str">
        <f>IF(AND('Mapa final'!$AJ$69="Alta",'Mapa final'!$AL$69="Leve"),CONCATENATE("R2C",'Mapa final'!$S$69),"")</f>
        <v/>
      </c>
      <c r="Q30" s="53" t="str">
        <f>IF(AND('Mapa final'!$AJ$64="Alta",'Mapa final'!$AL$64="Menor"),CONCATENATE("R2C",'Mapa final'!$S$64),"")</f>
        <v/>
      </c>
      <c r="R30" s="54" t="str">
        <f>IF(AND('Mapa final'!$AJ$65="Alta",'Mapa final'!$AL$65="Menor"),CONCATENATE("R2C",'Mapa final'!$S$65),"")</f>
        <v/>
      </c>
      <c r="S30" s="54" t="str">
        <f>IF(AND('Mapa final'!$AJ$66="Alta",'Mapa final'!$AL$66="Menor"),CONCATENATE("R2C",'Mapa final'!$S$66),"")</f>
        <v/>
      </c>
      <c r="T30" s="54" t="str">
        <f>IF(AND('Mapa final'!$AJ$67="Alta",'Mapa final'!$AL$67="Menor"),CONCATENATE("R2C",'Mapa final'!$S$67),"")</f>
        <v/>
      </c>
      <c r="U30" s="54" t="str">
        <f>IF(AND('Mapa final'!$AJ$68="Alta",'Mapa final'!$AL$68="Menor"),CONCATENATE("R2C",'Mapa final'!$S$68),"")</f>
        <v/>
      </c>
      <c r="V30" s="55" t="str">
        <f>IF(AND('Mapa final'!$AJ$69="Alta",'Mapa final'!$AL$69="Menor"),CONCATENATE("R2C",'Mapa final'!$S$69),"")</f>
        <v/>
      </c>
      <c r="W30" s="38" t="str">
        <f>IF(AND('Mapa final'!$AJ$64="Alta",'Mapa final'!$AL$64="Moderado"),CONCATENATE("R2C",'Mapa final'!$S$64),"")</f>
        <v/>
      </c>
      <c r="X30" s="39" t="str">
        <f>IF(AND('Mapa final'!$AJ$65="Alta",'Mapa final'!$AL$65="Moderado"),CONCATENATE("R2C",'Mapa final'!$S$65),"")</f>
        <v/>
      </c>
      <c r="Y30" s="39" t="str">
        <f>IF(AND('Mapa final'!$AJ$66="Alta",'Mapa final'!$AL$66="Moderado"),CONCATENATE("R2C",'Mapa final'!$S$66),"")</f>
        <v/>
      </c>
      <c r="Z30" s="39" t="str">
        <f>IF(AND('Mapa final'!$AJ$67="Alta",'Mapa final'!$AL$67="Moderado"),CONCATENATE("R2C",'Mapa final'!$S$67),"")</f>
        <v/>
      </c>
      <c r="AA30" s="39" t="str">
        <f>IF(AND('Mapa final'!$AJ$68="Alta",'Mapa final'!$AL$68="Moderado"),CONCATENATE("R2C",'Mapa final'!$S$68),"")</f>
        <v/>
      </c>
      <c r="AB30" s="40" t="str">
        <f>IF(AND('Mapa final'!$AJ$69="Alta",'Mapa final'!$AL$69="Moderado"),CONCATENATE("R2C",'Mapa final'!$S$69),"")</f>
        <v/>
      </c>
      <c r="AC30" s="38" t="str">
        <f>IF(AND('Mapa final'!$AJ$64="Alta",'Mapa final'!$AL$64="Mayor"),CONCATENATE("R2C",'Mapa final'!$S$64),"")</f>
        <v/>
      </c>
      <c r="AD30" s="39" t="str">
        <f>IF(AND('Mapa final'!$AJ$65="Alta",'Mapa final'!$AL$65="Mayor"),CONCATENATE("R2C",'Mapa final'!$S$65),"")</f>
        <v/>
      </c>
      <c r="AE30" s="39" t="str">
        <f>IF(AND('Mapa final'!$AJ$66="Alta",'Mapa final'!$AL$66="Mayor"),CONCATENATE("R2C",'Mapa final'!$S$66),"")</f>
        <v/>
      </c>
      <c r="AF30" s="39" t="str">
        <f>IF(AND('Mapa final'!$AJ$67="Alta",'Mapa final'!$AL$67="Mayor"),CONCATENATE("R2C",'Mapa final'!$S$67),"")</f>
        <v/>
      </c>
      <c r="AG30" s="39" t="str">
        <f>IF(AND('Mapa final'!$AJ$68="Alta",'Mapa final'!$AL$68="Mayor"),CONCATENATE("R2C",'Mapa final'!$S$68),"")</f>
        <v/>
      </c>
      <c r="AH30" s="40" t="str">
        <f>IF(AND('Mapa final'!$AJ$69="Alta",'Mapa final'!$AL$69="Mayor"),CONCATENATE("R2C",'Mapa final'!$S$69),"")</f>
        <v/>
      </c>
      <c r="AI30" s="41" t="str">
        <f>IF(AND('Mapa final'!$AJ$64="Alta",'Mapa final'!$AL$64="Catastrófico"),CONCATENATE("R2C",'Mapa final'!$S$64),"")</f>
        <v/>
      </c>
      <c r="AJ30" s="42" t="str">
        <f>IF(AND('Mapa final'!$AJ$65="Alta",'Mapa final'!$AL$65="Catastrófico"),CONCATENATE("R2C",'Mapa final'!$S$65),"")</f>
        <v/>
      </c>
      <c r="AK30" s="42" t="str">
        <f>IF(AND('Mapa final'!$AJ$66="Alta",'Mapa final'!$AL$66="Catastrófico"),CONCATENATE("R2C",'Mapa final'!$S$66),"")</f>
        <v/>
      </c>
      <c r="AL30" s="42" t="str">
        <f>IF(AND('Mapa final'!$AJ$67="Alta",'Mapa final'!$AL$67="Catastrófico"),CONCATENATE("R2C",'Mapa final'!$S$67),"")</f>
        <v/>
      </c>
      <c r="AM30" s="42" t="str">
        <f>IF(AND('Mapa final'!$AJ$68="Alta",'Mapa final'!$AL$68="Catastrófico"),CONCATENATE("R2C",'Mapa final'!$S$68),"")</f>
        <v/>
      </c>
      <c r="AN30" s="43" t="str">
        <f>IF(AND('Mapa final'!$AJ$69="Alta",'Mapa final'!$AL$69="Catastrófico"),CONCATENATE("R2C",'Mapa final'!$S$69),"")</f>
        <v/>
      </c>
      <c r="AO30" s="69"/>
      <c r="AP30" s="492"/>
      <c r="AQ30" s="493"/>
      <c r="AR30" s="493"/>
      <c r="AS30" s="493"/>
      <c r="AT30" s="493"/>
      <c r="AU30" s="494"/>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97"/>
      <c r="D31" s="397"/>
      <c r="E31" s="398"/>
      <c r="F31" s="503"/>
      <c r="G31" s="504"/>
      <c r="H31" s="504"/>
      <c r="I31" s="504"/>
      <c r="J31" s="504"/>
      <c r="K31" s="56" t="str">
        <f>IF(AND('Mapa final'!$AJ$70="Alta",'Mapa final'!$AL$70="Leve"),CONCATENATE("R2C",'Mapa final'!$S$70),"")</f>
        <v/>
      </c>
      <c r="L31" s="57" t="str">
        <f>IF(AND('Mapa final'!$AJ$71="Alta",'Mapa final'!$AL$71="Leve"),CONCATENATE("R2C",'Mapa final'!$S$71),"")</f>
        <v/>
      </c>
      <c r="M31" s="57" t="str">
        <f>IF(AND('Mapa final'!$AJ$72="Alta",'Mapa final'!$AL$72="Leve"),CONCATENATE("R2C",'Mapa final'!$S$72),"")</f>
        <v/>
      </c>
      <c r="N31" s="57" t="str">
        <f>IF(AND('Mapa final'!$AJ$73="Alta",'Mapa final'!$AL$73="Leve"),CONCATENATE("R2C",'Mapa final'!$S$73),"")</f>
        <v/>
      </c>
      <c r="O31" s="57" t="str">
        <f>IF(AND('Mapa final'!$AJ$75="Alta",'Mapa final'!$AL$75="Leve"),CONCATENATE("R2C",'Mapa final'!$S$75),"")</f>
        <v/>
      </c>
      <c r="P31" s="58" t="str">
        <f>IF(AND('Mapa final'!$AJ$76="Alta",'Mapa final'!$AL$76="Leve"),CONCATENATE("R2C",'Mapa final'!$S$76),"")</f>
        <v/>
      </c>
      <c r="Q31" s="56" t="str">
        <f>IF(AND('Mapa final'!$AJ$70="Alta",'Mapa final'!$AL$70="Menor"),CONCATENATE("R2C",'Mapa final'!$S$70),"")</f>
        <v/>
      </c>
      <c r="R31" s="57" t="str">
        <f>IF(AND('Mapa final'!$AJ$71="Alta",'Mapa final'!$AL$71="Menor"),CONCATENATE("R2C",'Mapa final'!$S$71),"")</f>
        <v/>
      </c>
      <c r="S31" s="57" t="str">
        <f>IF(AND('Mapa final'!$AJ$72="Alta",'Mapa final'!$AL$72="Menor"),CONCATENATE("R2C",'Mapa final'!$S$72),"")</f>
        <v/>
      </c>
      <c r="T31" s="57" t="str">
        <f>IF(AND('Mapa final'!$AJ$73="Alta",'Mapa final'!$AL$73="Menor"),CONCATENATE("R2C",'Mapa final'!$S$73),"")</f>
        <v/>
      </c>
      <c r="U31" s="57" t="str">
        <f>IF(AND('Mapa final'!$AJ$75="Alta",'Mapa final'!$AL$75="Menor"),CONCATENATE("R2C",'Mapa final'!$S$75),"")</f>
        <v/>
      </c>
      <c r="V31" s="58" t="str">
        <f>IF(AND('Mapa final'!$AJ$76="Alta",'Mapa final'!$AL$76="Menor"),CONCATENATE("R2C",'Mapa final'!$S$76),"")</f>
        <v/>
      </c>
      <c r="W31" s="44" t="str">
        <f>IF(AND('Mapa final'!$AJ$70="Alta",'Mapa final'!$AL$70="Moderado"),CONCATENATE("R2C",'Mapa final'!$S$70),"")</f>
        <v/>
      </c>
      <c r="X31" s="45" t="str">
        <f>IF(AND('Mapa final'!$AJ$71="Alta",'Mapa final'!$AL$71="Moderado"),CONCATENATE("R2C",'Mapa final'!$S$71),"")</f>
        <v/>
      </c>
      <c r="Y31" s="45" t="str">
        <f>IF(AND('Mapa final'!$AJ$72="Alta",'Mapa final'!$AL$72="Moderado"),CONCATENATE("R2C",'Mapa final'!$S$72),"")</f>
        <v/>
      </c>
      <c r="Z31" s="45" t="str">
        <f>IF(AND('Mapa final'!$AJ$73="Alta",'Mapa final'!$AL$73="Moderado"),CONCATENATE("R2C",'Mapa final'!$S$73),"")</f>
        <v/>
      </c>
      <c r="AA31" s="45" t="str">
        <f>IF(AND('Mapa final'!$AJ$75="Alta",'Mapa final'!$AL$75="Moderado"),CONCATENATE("R2C",'Mapa final'!$S$75),"")</f>
        <v/>
      </c>
      <c r="AB31" s="46" t="str">
        <f>IF(AND('Mapa final'!$AJ$76="Alta",'Mapa final'!$AL$76="Moderado"),CONCATENATE("R2C",'Mapa final'!$S$76),"")</f>
        <v/>
      </c>
      <c r="AC31" s="44" t="str">
        <f>IF(AND('Mapa final'!$AJ$70="Alta",'Mapa final'!$AL$70="Mayor"),CONCATENATE("R2C",'Mapa final'!$S$70),"")</f>
        <v/>
      </c>
      <c r="AD31" s="45" t="str">
        <f>IF(AND('Mapa final'!$AJ$71="Alta",'Mapa final'!$AL$71="Mayor"),CONCATENATE("R2C",'Mapa final'!$S$71),"")</f>
        <v/>
      </c>
      <c r="AE31" s="45" t="str">
        <f>IF(AND('Mapa final'!$AJ$72="Alta",'Mapa final'!$AL$72="Mayor"),CONCATENATE("R2C",'Mapa final'!$S$72),"")</f>
        <v/>
      </c>
      <c r="AF31" s="45" t="str">
        <f>IF(AND('Mapa final'!$AJ$73="Alta",'Mapa final'!$AL$73="Mayor"),CONCATENATE("R2C",'Mapa final'!$S$73),"")</f>
        <v/>
      </c>
      <c r="AG31" s="45" t="str">
        <f>IF(AND('Mapa final'!$AJ$75="Alta",'Mapa final'!$AL$75="Mayor"),CONCATENATE("R2C",'Mapa final'!$S$75),"")</f>
        <v/>
      </c>
      <c r="AH31" s="46" t="str">
        <f>IF(AND('Mapa final'!$AJ$76="Alta",'Mapa final'!$AL$76="Mayor"),CONCATENATE("R2C",'Mapa final'!$S$76),"")</f>
        <v/>
      </c>
      <c r="AI31" s="47" t="str">
        <f>IF(AND('Mapa final'!$AJ$70="Alta",'Mapa final'!$AL$70="Catastrófico"),CONCATENATE("R2C",'Mapa final'!$S$70),"")</f>
        <v/>
      </c>
      <c r="AJ31" s="48" t="str">
        <f>IF(AND('Mapa final'!$AJ$71="Alta",'Mapa final'!$AL$71="Catastrófico"),CONCATENATE("R2C",'Mapa final'!$S$71),"")</f>
        <v/>
      </c>
      <c r="AK31" s="48" t="str">
        <f>IF(AND('Mapa final'!$AJ$72="Alta",'Mapa final'!$AL$72="Catastrófico"),CONCATENATE("R2C",'Mapa final'!$S$72),"")</f>
        <v/>
      </c>
      <c r="AL31" s="48" t="str">
        <f>IF(AND('Mapa final'!$AJ$73="Alta",'Mapa final'!$AL$73="Catastrófico"),CONCATENATE("R2C",'Mapa final'!$S$73),"")</f>
        <v/>
      </c>
      <c r="AM31" s="48" t="str">
        <f>IF(AND('Mapa final'!$AJ$75="Alta",'Mapa final'!$AL$75="Catastrófico"),CONCATENATE("R2C",'Mapa final'!$S$75),"")</f>
        <v/>
      </c>
      <c r="AN31" s="49" t="str">
        <f>IF(AND('Mapa final'!$AJ$76="Muy Alta",'Mapa final'!$AL$76="Catastrófico"),CONCATENATE("R2C",'Mapa final'!$S$76),"")</f>
        <v/>
      </c>
      <c r="AO31" s="69"/>
      <c r="AP31" s="495"/>
      <c r="AQ31" s="496"/>
      <c r="AR31" s="496"/>
      <c r="AS31" s="496"/>
      <c r="AT31" s="496"/>
      <c r="AU31" s="497"/>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97"/>
      <c r="D32" s="397"/>
      <c r="E32" s="398"/>
      <c r="F32" s="498" t="s">
        <v>115</v>
      </c>
      <c r="G32" s="499"/>
      <c r="H32" s="499"/>
      <c r="I32" s="499"/>
      <c r="J32" s="518"/>
      <c r="K32" s="50" t="str">
        <f ca="1">IF(AND('Mapa final'!$AJ$15="Media",'Mapa final'!$AL$15="Leve"),CONCATENATE("R2C",'Mapa final'!$S$15),"")</f>
        <v/>
      </c>
      <c r="L32" s="51" t="str">
        <f>IF(AND('Mapa final'!$AJ$16="Media",'Mapa final'!$AL$16="Leve"),CONCATENATE("R2C",'Mapa final'!$S$16),"")</f>
        <v/>
      </c>
      <c r="M32" s="51" t="str">
        <f ca="1">IF(AND('Mapa final'!$AJ$17="Media",'Mapa final'!$AL$17="Leve"),CONCATENATE("R2C",'Mapa final'!$S$17),"")</f>
        <v/>
      </c>
      <c r="N32" s="51" t="str">
        <f ca="1">IF(AND('Mapa final'!$AJ$19="Media",'Mapa final'!$AL$19="Leve"),CONCATENATE("R2C",'Mapa final'!$S$19),"")</f>
        <v/>
      </c>
      <c r="O32" s="51" t="str">
        <f>IF(AND('Mapa final'!$AJ$20="Media",'Mapa final'!$AL$20="Leve"),CONCATENATE("R2C",'Mapa final'!$S$20),"")</f>
        <v/>
      </c>
      <c r="P32" s="52" t="str">
        <f ca="1">IF(AND('Mapa final'!$AJ$21="Media",'Mapa final'!$AL$21="Leve"),CONCATENATE("R2C",'Mapa final'!$S$21),"")</f>
        <v/>
      </c>
      <c r="Q32" s="50" t="str">
        <f ca="1">IF(AND('Mapa final'!$AJ$15="Media",'Mapa final'!$AL$15="Menor"),CONCATENATE("R2C",'Mapa final'!$S$15),"")</f>
        <v/>
      </c>
      <c r="R32" s="51" t="str">
        <f>IF(AND('Mapa final'!$AJ$16="Media",'Mapa final'!$AL$16="Menore"),CONCATENATE("R2C",'Mapa final'!$S$16),"")</f>
        <v/>
      </c>
      <c r="S32" s="51" t="str">
        <f ca="1">IF(AND('Mapa final'!$AJ$17="Media",'Mapa final'!$AL$17="Menor"),CONCATENATE("R2C",'Mapa final'!$S$17),"")</f>
        <v/>
      </c>
      <c r="T32" s="51" t="str">
        <f ca="1">IF(AND('Mapa final'!$AJ$19="Media",'Mapa final'!$AL$19="Menor"),CONCATENATE("R2C",'Mapa final'!$S$19),"")</f>
        <v/>
      </c>
      <c r="U32" s="51" t="str">
        <f>IF(AND('Mapa final'!$AJ$20="Media",'Mapa final'!$AL$20="Menor"),CONCATENATE("R2C",'Mapa final'!$S$20),"")</f>
        <v/>
      </c>
      <c r="V32" s="52" t="str">
        <f ca="1">IF(AND('Mapa final'!$AJ$21="Media",'Mapa final'!$AL$21="Menor"),CONCATENATE("R2C",'Mapa final'!$S$21),"")</f>
        <v/>
      </c>
      <c r="W32" s="50" t="str">
        <f ca="1">IF(AND('Mapa final'!$AJ$15="Media",'Mapa final'!$AL$15="Moderado"),CONCATENATE("R2C",'Mapa final'!$S$15),"")</f>
        <v/>
      </c>
      <c r="X32" s="51" t="str">
        <f>IF(AND('Mapa final'!$AJ$16="Media",'Mapa final'!$AL$16="Moderado"),CONCATENATE("R2C",'Mapa final'!$S$16),"")</f>
        <v/>
      </c>
      <c r="Y32" s="51"/>
      <c r="Z32" s="51" t="str">
        <f ca="1">IF(AND('Mapa final'!$AJ$19="Media",'Mapa final'!$AL$19="Moderado"),CONCATENATE("R2C",'Mapa final'!$S$19),"")</f>
        <v/>
      </c>
      <c r="AA32" s="51" t="str">
        <f>IF(AND('Mapa final'!$AJ$20="Media",'Mapa final'!$AL$20="Moderado"),CONCATENATE("R2C",'Mapa final'!$S$20),"")</f>
        <v/>
      </c>
      <c r="AB32" s="52" t="str">
        <f ca="1">IF(AND('Mapa final'!$AJ$21="Media",'Mapa final'!$AL$21="Moderado"),CONCATENATE("R2C",'Mapa final'!$S$21),"")</f>
        <v/>
      </c>
      <c r="AC32" s="32" t="str">
        <f ca="1">IF(AND('Mapa final'!$AJ$15="Media",'Mapa final'!$AL$15="Mayor"),CONCATENATE("R2C",'Mapa final'!$S$15),"")</f>
        <v/>
      </c>
      <c r="AD32" s="33" t="str">
        <f>IF(AND('Mapa final'!$AJ$16="Media",'Mapa final'!$AL$16="Mayor"),CONCATENATE("R2C",'Mapa final'!$S$16),"")</f>
        <v/>
      </c>
      <c r="AE32" s="33" t="str">
        <f ca="1">IF(AND('Mapa final'!$AJ$17="Media",'Mapa final'!$AL$17="Mayor"),CONCATENATE("R2C",'Mapa final'!$S$17),"")</f>
        <v/>
      </c>
      <c r="AF32" s="33" t="str">
        <f ca="1">IF(AND('Mapa final'!$AJ$19="Media",'Mapa final'!$AL$19="Mayor"),CONCATENATE("R2C",'Mapa final'!$S$19),"")</f>
        <v/>
      </c>
      <c r="AG32" s="33" t="str">
        <f>IF(AND('Mapa final'!$AJ$20="Media",'Mapa final'!$AL$20="Mayor"),CONCATENATE("R2C",'Mapa final'!$S$20),"")</f>
        <v/>
      </c>
      <c r="AH32" s="34" t="str">
        <f ca="1">IF(AND('Mapa final'!$AJ$21="Media",'Mapa final'!$AL$21="Mayor"),CONCATENATE("R2C",'Mapa final'!$S$21),"")</f>
        <v/>
      </c>
      <c r="AI32" s="35" t="str">
        <f ca="1">IF(AND('Mapa final'!$AJ$15="Media",'Mapa final'!$AL$15="Catastrófico"),CONCATENATE("R2C",'Mapa final'!$S$15),"")</f>
        <v/>
      </c>
      <c r="AJ32" s="36" t="str">
        <f>IF(AND('Mapa final'!$AJ$16="Media",'Mapa final'!$AL$16="Catastrófico"),CONCATENATE("R2C",'Mapa final'!$S$16),"")</f>
        <v/>
      </c>
      <c r="AK32" s="36" t="str">
        <f ca="1">IF(AND('Mapa final'!$AJ$17="Media",'Mapa final'!$AL$17="Catastrófico"),CONCATENATE("R2C",'Mapa final'!$S$17),"")</f>
        <v/>
      </c>
      <c r="AL32" s="36" t="str">
        <f ca="1">IF(AND('Mapa final'!$AJ$19="Media",'Mapa final'!$AL$19="Catastrófico"),CONCATENATE("R2C",'Mapa final'!$S$19),"")</f>
        <v/>
      </c>
      <c r="AM32" s="36" t="str">
        <f>IF(AND('Mapa final'!$AJ$20="Media",'Mapa final'!$AL$20="Catastrófico"),CONCATENATE("R2C",'Mapa final'!$S$20),"")</f>
        <v/>
      </c>
      <c r="AN32" s="37" t="str">
        <f ca="1">IF(AND('Mapa final'!$AJ$21="Media",'Mapa final'!$AL$21="Catastrófico"),CONCATENATE("R2C",'Mapa final'!$S$21),"")</f>
        <v/>
      </c>
      <c r="AO32" s="69"/>
      <c r="AP32" s="530" t="s">
        <v>79</v>
      </c>
      <c r="AQ32" s="531"/>
      <c r="AR32" s="531"/>
      <c r="AS32" s="531"/>
      <c r="AT32" s="531"/>
      <c r="AU32" s="532"/>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97"/>
      <c r="D33" s="397"/>
      <c r="E33" s="398"/>
      <c r="F33" s="500"/>
      <c r="G33" s="501"/>
      <c r="H33" s="501"/>
      <c r="I33" s="501"/>
      <c r="J33" s="519"/>
      <c r="K33" s="53" t="str">
        <f>IF(AND('Mapa final'!$AJ$22="Media",'Mapa final'!$AL$22="Leve"),CONCATENATE("R2C",'Mapa final'!$S$22),"")</f>
        <v/>
      </c>
      <c r="L33" s="54" t="str">
        <f>IF(AND('Mapa final'!$AJ$23="Media",'Mapa final'!$AL$23="Leve"),CONCATENATE("R2C",'Mapa final'!$S$23),"")</f>
        <v/>
      </c>
      <c r="M33" s="54" t="str">
        <f>IF(AND('Mapa final'!$AJ$24="Media",'Mapa final'!$AL$24="Leve"),CONCATENATE("R2C",'Mapa final'!$S$24),"")</f>
        <v/>
      </c>
      <c r="N33" s="54" t="str">
        <f>IF(AND('Mapa final'!$AJ$25="Media",'Mapa final'!$AL$25="Leve"),CONCATENATE("R2C",'Mapa final'!$S$25),"")</f>
        <v/>
      </c>
      <c r="O33" s="54" t="str">
        <f>IF(AND('Mapa final'!$AJ$26="Media",'Mapa final'!$AL$26="Leve"),CONCATENATE("R2C",'Mapa final'!$S$26),"")</f>
        <v/>
      </c>
      <c r="P33" s="55" t="str">
        <f>IF(AND('Mapa final'!$AJ$27="Media",'Mapa final'!$AL$27="Leve"),CONCATENATE("R2C",'Mapa final'!$S$27),"")</f>
        <v/>
      </c>
      <c r="Q33" s="53" t="str">
        <f>IF(AND('Mapa final'!$AJ$22="Media",'Mapa final'!$AL$22="Menor"),CONCATENATE("R2C",'Mapa final'!$S$22),"")</f>
        <v/>
      </c>
      <c r="R33" s="54" t="str">
        <f>IF(AND('Mapa final'!$AJ$23="Media",'Mapa final'!$AL$23="Menor"),CONCATENATE("R2C",'Mapa final'!$S$23),"")</f>
        <v/>
      </c>
      <c r="S33" s="54" t="str">
        <f>IF(AND('Mapa final'!$AJ$24="Media",'Mapa final'!$AL$24="Menor"),CONCATENATE("R2C",'Mapa final'!$S$24),"")</f>
        <v/>
      </c>
      <c r="T33" s="54" t="str">
        <f>IF(AND('Mapa final'!$AJ$25="Media",'Mapa final'!$AL$25="Menor"),CONCATENATE("R2C",'Mapa final'!$S$25),"")</f>
        <v/>
      </c>
      <c r="U33" s="54" t="str">
        <f>IF(AND('Mapa final'!$AJ$26="Media",'Mapa final'!$AL$26="Menor"),CONCATENATE("R2C",'Mapa final'!$S$26),"")</f>
        <v/>
      </c>
      <c r="V33" s="55" t="str">
        <f>IF(AND('Mapa final'!$AJ$27="Media",'Mapa final'!$AL$27="Menor"),CONCATENATE("R2C",'Mapa final'!$S$27),"")</f>
        <v/>
      </c>
      <c r="W33" s="53" t="str">
        <f>IF(AND('Mapa final'!$AJ$22="Media",'Mapa final'!$AL$22="Moderado"),CONCATENATE("R2C",'Mapa final'!$S$22),"")</f>
        <v/>
      </c>
      <c r="X33" s="54" t="str">
        <f>IF(AND('Mapa final'!$AJ$23="Media",'Mapa final'!$AL$23="Moderado"),CONCATENATE("R2C",'Mapa final'!$S$23),"")</f>
        <v/>
      </c>
      <c r="Y33" s="54" t="str">
        <f>IF(AND('Mapa final'!$AJ$24="Media",'Mapa final'!$AL$24="Moderado"),CONCATENATE("R2C",'Mapa final'!$S$24),"")</f>
        <v/>
      </c>
      <c r="Z33" s="54" t="str">
        <f>IF(AND('Mapa final'!$AJ$25="Media",'Mapa final'!$AL$25="Moderado"),CONCATENATE("R2C",'Mapa final'!$S$25),"")</f>
        <v/>
      </c>
      <c r="AA33" s="54" t="str">
        <f>IF(AND('Mapa final'!$AJ$26="Media",'Mapa final'!$AL$26="Moderado"),CONCATENATE("R2C",'Mapa final'!$S$26),"")</f>
        <v/>
      </c>
      <c r="AB33" s="55" t="str">
        <f>IF(AND('Mapa final'!$AJ$27="Media",'Mapa final'!$AL$27="Moderado"),CONCATENATE("R2C",'Mapa final'!$S$27),"")</f>
        <v/>
      </c>
      <c r="AC33" s="38" t="str">
        <f>IF(AND('Mapa final'!$AJ$22="Media",'Mapa final'!$AL$22="Mayor"),CONCATENATE("R2C",'Mapa final'!$S$22),"")</f>
        <v/>
      </c>
      <c r="AD33" s="39" t="str">
        <f>IF(AND('Mapa final'!$AJ$23="Muy Alta",'Mapa final'!$AL$23="Mayor"),CONCATENATE("R2C",'Mapa final'!$S$23),"")</f>
        <v/>
      </c>
      <c r="AE33" s="39" t="str">
        <f>IF(AND('Mapa final'!$AJ$24="Media",'Mapa final'!$AL$24="Mayor"),CONCATENATE("R2C",'Mapa final'!$S$24),"")</f>
        <v/>
      </c>
      <c r="AF33" s="39" t="str">
        <f>IF(AND('Mapa final'!$AJ$25="Media",'Mapa final'!$AL$25="Mayor"),CONCATENATE("R2C",'Mapa final'!$S$25),"")</f>
        <v/>
      </c>
      <c r="AG33" s="39" t="str">
        <f>IF(AND('Mapa final'!$AJ$26="Media",'Mapa final'!$AL$26="Mayor"),CONCATENATE("R2C",'Mapa final'!$S$26),"")</f>
        <v/>
      </c>
      <c r="AH33" s="40" t="str">
        <f>IF(AND('Mapa final'!$AJ$27="Media",'Mapa final'!$AL$27="Mayor"),CONCATENATE("R2C",'Mapa final'!$S$27),"")</f>
        <v/>
      </c>
      <c r="AI33" s="41" t="str">
        <f>IF(AND('Mapa final'!$AJ$22="Media",'Mapa final'!$AL$22="Catastrófico"),CONCATENATE("R2C",'Mapa final'!$S$22),"")</f>
        <v/>
      </c>
      <c r="AJ33" s="42" t="str">
        <f>IF(AND('Mapa final'!$AJ$23="Media",'Mapa final'!$AL$23="Catastrófico"),CONCATENATE("R2C",'Mapa final'!$S$23),"")</f>
        <v/>
      </c>
      <c r="AK33" s="42" t="str">
        <f>IF(AND('Mapa final'!$AJ$24="Media",'Mapa final'!$AL$24="Catastrófico"),CONCATENATE("R2C",'Mapa final'!$S$24),"")</f>
        <v/>
      </c>
      <c r="AL33" s="42" t="str">
        <f>IF(AND('Mapa final'!$AJ$25="Media",'Mapa final'!$AL$25="Catastrófico"),CONCATENATE("R2C",'Mapa final'!$S$25),"")</f>
        <v/>
      </c>
      <c r="AM33" s="42" t="str">
        <f>IF(AND('Mapa final'!$AJ$26="Media",'Mapa final'!$AL$26="Catastrófico"),CONCATENATE("R2C",'Mapa final'!$S$26),"")</f>
        <v/>
      </c>
      <c r="AN33" s="43" t="str">
        <f>IF(AND('Mapa final'!$AJ$27="Media",'Mapa final'!$AL$27="Catastrófico"),CONCATENATE("R2C",'Mapa final'!$S$27),"")</f>
        <v/>
      </c>
      <c r="AO33" s="69"/>
      <c r="AP33" s="533"/>
      <c r="AQ33" s="534"/>
      <c r="AR33" s="534"/>
      <c r="AS33" s="534"/>
      <c r="AT33" s="534"/>
      <c r="AU33" s="535"/>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97"/>
      <c r="D34" s="397"/>
      <c r="E34" s="398"/>
      <c r="F34" s="502"/>
      <c r="G34" s="501"/>
      <c r="H34" s="501"/>
      <c r="I34" s="501"/>
      <c r="J34" s="519"/>
      <c r="K34" s="53" t="str">
        <f>IF(AND('Mapa final'!$AJ$28="Media",'Mapa final'!$AL$28="Leve"),CONCATENATE("R2C",'Mapa final'!$S$28),"")</f>
        <v/>
      </c>
      <c r="L34" s="54" t="str">
        <f>IF(AND('Mapa final'!$AJ$29="Media",'Mapa final'!$AL$29="Leve"),CONCATENATE("R2C",'Mapa final'!$S$29),"")</f>
        <v/>
      </c>
      <c r="M34" s="54" t="str">
        <f>IF(AND('Mapa final'!$AJ$30="Media",'Mapa final'!$AL$30="Leve"),CONCATENATE("R2C",'Mapa final'!$S$30),"")</f>
        <v/>
      </c>
      <c r="N34" s="54" t="str">
        <f>IF(AND('Mapa final'!$AJ$31="Media",'Mapa final'!$AL$31="Leve"),CONCATENATE("R2C",'Mapa final'!$S$31),"")</f>
        <v/>
      </c>
      <c r="O34" s="54" t="str">
        <f>IF(AND('Mapa final'!$AJ$32="Media",'Mapa final'!$AL$32="Leve"),CONCATENATE("R2C",'Mapa final'!$S$32),"")</f>
        <v/>
      </c>
      <c r="P34" s="55" t="str">
        <f>IF(AND('Mapa final'!$AJ$33="Media",'Mapa final'!$AL$33="Leve"),CONCATENATE("R2C",'Mapa final'!$S$33),"")</f>
        <v/>
      </c>
      <c r="Q34" s="53" t="str">
        <f>IF(AND('Mapa final'!$AJ$28="Media",'Mapa final'!$AL$28="Menor"),CONCATENATE("R2C",'Mapa final'!$S$28),"")</f>
        <v/>
      </c>
      <c r="R34" s="54" t="str">
        <f>IF(AND('Mapa final'!$AJ$29="Media",'Mapa final'!$AL$29="Menor"),CONCATENATE("R2C",'Mapa final'!$S$29),"")</f>
        <v/>
      </c>
      <c r="S34" s="54" t="str">
        <f>IF(AND('Mapa final'!$AJ$30="Media",'Mapa final'!$AL$30="Menor"),CONCATENATE("R2C",'Mapa final'!$S$30),"")</f>
        <v/>
      </c>
      <c r="T34" s="54" t="str">
        <f>IF(AND('Mapa final'!$AJ$31="Media",'Mapa final'!$AL$31="Menor"),CONCATENATE("R2C",'Mapa final'!$S$31),"")</f>
        <v/>
      </c>
      <c r="U34" s="54" t="str">
        <f>IF(AND('Mapa final'!$AJ$32="Media",'Mapa final'!$AL$32="Menor"),CONCATENATE("R2C",'Mapa final'!$S$32),"")</f>
        <v/>
      </c>
      <c r="V34" s="55" t="str">
        <f>IF(AND('Mapa final'!$AJ$33="Media",'Mapa final'!$AL$33="Menor"),CONCATENATE("R2C",'Mapa final'!$S$33),"")</f>
        <v/>
      </c>
      <c r="W34" s="53" t="str">
        <f>IF(AND('Mapa final'!$AJ$28="Media",'Mapa final'!$AL$28="Moderado"),CONCATENATE("R2C",'Mapa final'!$S$28),"")</f>
        <v/>
      </c>
      <c r="X34" s="54" t="str">
        <f>IF(AND('Mapa final'!$AJ$29="Media",'Mapa final'!$AL$29="Moderado"),CONCATENATE("R2C",'Mapa final'!$S$29),"")</f>
        <v/>
      </c>
      <c r="Y34" s="54" t="str">
        <f>IF(AND('Mapa final'!$AJ$30="Media",'Mapa final'!$AL$30="Moderado"),CONCATENATE("R2C",'Mapa final'!$S$30),"")</f>
        <v/>
      </c>
      <c r="Z34" s="54" t="str">
        <f>IF(AND('Mapa final'!$AJ$31="Media",'Mapa final'!$AL$31="Moderado"),CONCATENATE("R2C",'Mapa final'!$S$31),"")</f>
        <v/>
      </c>
      <c r="AA34" s="54" t="str">
        <f>IF(AND('Mapa final'!$AJ$32="Media",'Mapa final'!$AL$32="Moderado"),CONCATENATE("R2C",'Mapa final'!$S$32),"")</f>
        <v/>
      </c>
      <c r="AB34" s="55" t="str">
        <f>IF(AND('Mapa final'!$AJ$33="Media",'Mapa final'!$AL$33="Moderado"),CONCATENATE("R2C",'Mapa final'!$S$33),"")</f>
        <v/>
      </c>
      <c r="AC34" s="38" t="str">
        <f>IF(AND('Mapa final'!$AJ$28="Media",'Mapa final'!$AL$28="Mayor"),CONCATENATE("R2C",'Mapa final'!$S$28),"")</f>
        <v/>
      </c>
      <c r="AD34" s="39" t="str">
        <f>IF(AND('Mapa final'!$AJ$29="Media",'Mapa final'!$AL$29="Mayor"),CONCATENATE("R2C",'Mapa final'!$S$29),"")</f>
        <v/>
      </c>
      <c r="AE34" s="39" t="str">
        <f>IF(AND('Mapa final'!$AJ$30="Media",'Mapa final'!$AL$30="Mayor"),CONCATENATE("R2C",'Mapa final'!$S$30),"")</f>
        <v/>
      </c>
      <c r="AF34" s="39" t="str">
        <f>IF(AND('Mapa final'!$AJ$31="Media",'Mapa final'!$AL$31="Mayor"),CONCATENATE("R2C",'Mapa final'!$S$31),"")</f>
        <v/>
      </c>
      <c r="AG34" s="39" t="str">
        <f>IF(AND('Mapa final'!$AJ$32="Media",'Mapa final'!$AL$32="Mayor"),CONCATENATE("R2C",'Mapa final'!$S$32),"")</f>
        <v/>
      </c>
      <c r="AH34" s="40" t="str">
        <f>IF(AND('Mapa final'!$AJ$33="Media",'Mapa final'!$AL$33="Mayor"),CONCATENATE("R2C",'Mapa final'!$S$33),"")</f>
        <v/>
      </c>
      <c r="AI34" s="41" t="str">
        <f>IF(AND('Mapa final'!$AJ$28="Media",'Mapa final'!$AL$28="Catastrófico"),CONCATENATE("R2C",'Mapa final'!$S$28),"")</f>
        <v/>
      </c>
      <c r="AJ34" s="42" t="str">
        <f>IF(AND('Mapa final'!$AJ$29="Media",'Mapa final'!$AL$29="Catastrófico"),CONCATENATE("R2C",'Mapa final'!$S$29),"")</f>
        <v/>
      </c>
      <c r="AK34" s="42" t="str">
        <f>IF(AND('Mapa final'!$AJ$30="Media",'Mapa final'!$AL$30="Catastrófico"),CONCATENATE("R2C",'Mapa final'!$S$30),"")</f>
        <v/>
      </c>
      <c r="AL34" s="42" t="str">
        <f>IF(AND('Mapa final'!$AJ$31="Media",'Mapa final'!$AL$31="Catastrófico"),CONCATENATE("R2C",'Mapa final'!$S$31),"")</f>
        <v/>
      </c>
      <c r="AM34" s="42" t="str">
        <f>IF(AND('Mapa final'!$AJ$32="Media",'Mapa final'!$AL$32="Catastrófico"),CONCATENATE("R2C",'Mapa final'!$S$32),"")</f>
        <v/>
      </c>
      <c r="AN34" s="43" t="str">
        <f>IF(AND('Mapa final'!$AJ$33="Media",'Mapa final'!$AL$33="Catastrófico"),CONCATENATE("R2C",'Mapa final'!$S$33),"")</f>
        <v/>
      </c>
      <c r="AO34" s="69"/>
      <c r="AP34" s="533"/>
      <c r="AQ34" s="534"/>
      <c r="AR34" s="534"/>
      <c r="AS34" s="534"/>
      <c r="AT34" s="534"/>
      <c r="AU34" s="535"/>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97"/>
      <c r="D35" s="397"/>
      <c r="E35" s="398"/>
      <c r="F35" s="502"/>
      <c r="G35" s="501"/>
      <c r="H35" s="501"/>
      <c r="I35" s="501"/>
      <c r="J35" s="519"/>
      <c r="K35" s="53" t="str">
        <f>IF(AND('Mapa final'!$AJ$34="Media",'Mapa final'!$AL$34="Leve"),CONCATENATE("R2C",'Mapa final'!$S$34),"")</f>
        <v/>
      </c>
      <c r="L35" s="54" t="str">
        <f>IF(AND('Mapa final'!$AJ$35="Media",'Mapa final'!$AL$35="Leve"),CONCATENATE("R2C",'Mapa final'!$S$35),"")</f>
        <v/>
      </c>
      <c r="M35" s="54" t="str">
        <f>IF(AND('Mapa final'!$AJ$36="Media",'Mapa final'!$AL$36="Leve"),CONCATENATE("R2C",'Mapa final'!$S$36),"")</f>
        <v/>
      </c>
      <c r="N35" s="54" t="str">
        <f>IF(AND('Mapa final'!$AJ$37="Media",'Mapa final'!$AL$37="Leve"),CONCATENATE("R2C",'Mapa final'!$S$37),"")</f>
        <v/>
      </c>
      <c r="O35" s="54" t="str">
        <f>IF(AND('Mapa final'!$AJ$38="Media",'Mapa final'!$AL$38="Leve"),CONCATENATE("R2C",'Mapa final'!$S$38),"")</f>
        <v/>
      </c>
      <c r="P35" s="55" t="str">
        <f>IF(AND('Mapa final'!$AJ$39="Media",'Mapa final'!$AL$39="Leve"),CONCATENATE("R2C",'Mapa final'!$S$39),"")</f>
        <v/>
      </c>
      <c r="Q35" s="53" t="str">
        <f>IF(AND('Mapa final'!$AJ$34="Media",'Mapa final'!$AL$34="Menor"),CONCATENATE("R2C",'Mapa final'!$S$34),"")</f>
        <v/>
      </c>
      <c r="R35" s="54" t="str">
        <f>IF(AND('Mapa final'!$AJ$35="Media",'Mapa final'!$AL$35="Menor"),CONCATENATE("R2C",'Mapa final'!$S$35),"")</f>
        <v/>
      </c>
      <c r="S35" s="54" t="str">
        <f>IF(AND('Mapa final'!$AJ$36="Media",'Mapa final'!$AL$36="Menor"),CONCATENATE("R2C",'Mapa final'!$S$36),"")</f>
        <v/>
      </c>
      <c r="T35" s="54" t="str">
        <f>IF(AND('Mapa final'!$AJ$37="Media",'Mapa final'!$AL$37="Menor"),CONCATENATE("R2C",'Mapa final'!$S$37),"")</f>
        <v/>
      </c>
      <c r="U35" s="54" t="str">
        <f>IF(AND('Mapa final'!$AJ$38="Media",'Mapa final'!$AL$38="LMenor"),CONCATENATE("R2C",'Mapa final'!$S$38),"")</f>
        <v/>
      </c>
      <c r="V35" s="55" t="str">
        <f>IF(AND('Mapa final'!$AJ$39="Media",'Mapa final'!$AL$39="Menor"),CONCATENATE("R2C",'Mapa final'!$S$39),"")</f>
        <v/>
      </c>
      <c r="W35" s="53" t="str">
        <f>IF(AND('Mapa final'!$AJ$34="Media",'Mapa final'!$AL$34="Moderado"),CONCATENATE("R2C",'Mapa final'!$S$34),"")</f>
        <v/>
      </c>
      <c r="X35" s="54" t="str">
        <f>IF(AND('Mapa final'!$AJ$35="Media",'Mapa final'!$AL$35="Moderado"),CONCATENATE("R2C",'Mapa final'!$S$35),"")</f>
        <v/>
      </c>
      <c r="Y35" s="54" t="str">
        <f>IF(AND('Mapa final'!$AJ$36="Media",'Mapa final'!$AL$36="Moderado"),CONCATENATE("R2C",'Mapa final'!$S$36),"")</f>
        <v/>
      </c>
      <c r="Z35" s="54" t="str">
        <f>IF(AND('Mapa final'!$AJ$37="Media",'Mapa final'!$AL$37="Moderado"),CONCATENATE("R2C",'Mapa final'!$S$37),"")</f>
        <v/>
      </c>
      <c r="AA35" s="54" t="str">
        <f>IF(AND('Mapa final'!$AJ$38="Media",'Mapa final'!$AL$38="Moderado"),CONCATENATE("R2C",'Mapa final'!$S$38),"")</f>
        <v/>
      </c>
      <c r="AB35" s="55" t="str">
        <f>IF(AND('Mapa final'!$AJ$39="Media",'Mapa final'!$AL$39="Moderado"),CONCATENATE("R2C",'Mapa final'!$S$39),"")</f>
        <v/>
      </c>
      <c r="AC35" s="38" t="str">
        <f>IF(AND('Mapa final'!$AJ$34="Media",'Mapa final'!$AL$34="Mayor"),CONCATENATE("R2C",'Mapa final'!$S$34),"")</f>
        <v/>
      </c>
      <c r="AD35" s="39" t="str">
        <f>IF(AND('Mapa final'!$AJ$35="Media",'Mapa final'!$AL$35="Mayor"),CONCATENATE("R2C",'Mapa final'!$S$35),"")</f>
        <v/>
      </c>
      <c r="AE35" s="39" t="str">
        <f>IF(AND('Mapa final'!$AJ$36="Media",'Mapa final'!$AL$36="Mayor"),CONCATENATE("R2C",'Mapa final'!$S$36),"")</f>
        <v/>
      </c>
      <c r="AF35" s="39" t="str">
        <f>IF(AND('Mapa final'!$AJ$37="Media",'Mapa final'!$AL$37="Mayor"),CONCATENATE("R2C",'Mapa final'!$S$37),"")</f>
        <v/>
      </c>
      <c r="AG35" s="39" t="str">
        <f>IF(AND('Mapa final'!$AJ$38="Media",'Mapa final'!$AL$38="Mayor"),CONCATENATE("R2C",'Mapa final'!$S$38),"")</f>
        <v/>
      </c>
      <c r="AH35" s="40" t="str">
        <f>IF(AND('Mapa final'!$AJ$39="Media",'Mapa final'!$AL$39="Mayor"),CONCATENATE("R2C",'Mapa final'!$S$39),"")</f>
        <v/>
      </c>
      <c r="AI35" s="41" t="str">
        <f>IF(AND('Mapa final'!$AJ$34="Media",'Mapa final'!$AL$34="Catastrófico"),CONCATENATE("R2C",'Mapa final'!$S$34),"")</f>
        <v/>
      </c>
      <c r="AJ35" s="42" t="str">
        <f>IF(AND('Mapa final'!$AJ$35="Media",'Mapa final'!$AL$35="Catastrófico"),CONCATENATE("R2C",'Mapa final'!$S$35),"")</f>
        <v/>
      </c>
      <c r="AK35" s="42" t="str">
        <f>IF(AND('Mapa final'!$AJ$36="Media",'Mapa final'!$AL$36="Catastrófico"),CONCATENATE("R2C",'Mapa final'!$S$36),"")</f>
        <v/>
      </c>
      <c r="AL35" s="42" t="str">
        <f>IF(AND('Mapa final'!$AJ$37="Media",'Mapa final'!$AL$37="Catastrófico"),CONCATENATE("R2C",'Mapa final'!$S$37),"")</f>
        <v/>
      </c>
      <c r="AM35" s="42" t="str">
        <f>IF(AND('Mapa final'!$AJ$38="Media",'Mapa final'!$AL$38="LCatastrófico"),CONCATENATE("R2C",'Mapa final'!$S$38),"")</f>
        <v/>
      </c>
      <c r="AN35" s="43" t="str">
        <f>IF(AND('Mapa final'!$AJ$39="Media",'Mapa final'!$AL$39="Catastrófico"),CONCATENATE("R2C",'Mapa final'!$S$39),"")</f>
        <v/>
      </c>
      <c r="AO35" s="69"/>
      <c r="AP35" s="533"/>
      <c r="AQ35" s="534"/>
      <c r="AR35" s="534"/>
      <c r="AS35" s="534"/>
      <c r="AT35" s="534"/>
      <c r="AU35" s="535"/>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97"/>
      <c r="D36" s="397"/>
      <c r="E36" s="398"/>
      <c r="F36" s="502"/>
      <c r="G36" s="501"/>
      <c r="H36" s="501"/>
      <c r="I36" s="501"/>
      <c r="J36" s="519"/>
      <c r="K36" s="53" t="str">
        <f>IF(AND('Mapa final'!$AJ$40="Media",'Mapa final'!$AL$40="Leve"),CONCATENATE("R2C",'Mapa final'!$S$40),"")</f>
        <v/>
      </c>
      <c r="L36" s="54" t="str">
        <f>IF(AND('Mapa final'!$AJ$41="Media",'Mapa final'!$AL$41="Leve"),CONCATENATE("R2C",'Mapa final'!$S$41),"")</f>
        <v/>
      </c>
      <c r="M36" s="54" t="str">
        <f>IF(AND('Mapa final'!$AJ$42="Media",'Mapa final'!$AL$42="Leve"),CONCATENATE("R2C",'Mapa final'!$S$42),"")</f>
        <v/>
      </c>
      <c r="N36" s="54" t="str">
        <f>IF(AND('Mapa final'!$AJ$43="Media",'Mapa final'!$AL$43="Leve"),CONCATENATE("R2C",'Mapa final'!$S$43),"")</f>
        <v/>
      </c>
      <c r="O36" s="54" t="str">
        <f>IF(AND('Mapa final'!$AJ$44="Media",'Mapa final'!$AL$44="Leve"),CONCATENATE("R2C",'Mapa final'!$S$44),"")</f>
        <v/>
      </c>
      <c r="P36" s="55" t="str">
        <f>IF(AND('Mapa final'!$AJ$45="Media",'Mapa final'!$AL$45="Leve"),CONCATENATE("R2C",'Mapa final'!$S$45),"")</f>
        <v/>
      </c>
      <c r="Q36" s="53" t="str">
        <f>IF(AND('Mapa final'!$AJ$40="Media",'Mapa final'!$AL$40="Menor"),CONCATENATE("R2C",'Mapa final'!$S$40),"")</f>
        <v/>
      </c>
      <c r="R36" s="54" t="str">
        <f>IF(AND('Mapa final'!$AJ$41="Media",'Mapa final'!$AL$41="Menor"),CONCATENATE("R2C",'Mapa final'!$S$41),"")</f>
        <v/>
      </c>
      <c r="S36" s="54" t="str">
        <f>IF(AND('Mapa final'!$AJ$42="Media",'Mapa final'!$AL$42="Menor"),CONCATENATE("R2C",'Mapa final'!$S$42),"")</f>
        <v/>
      </c>
      <c r="T36" s="54" t="str">
        <f>IF(AND('Mapa final'!$AJ$43="Media",'Mapa final'!$AL$43="Menor"),CONCATENATE("R2C",'Mapa final'!$S$43),"")</f>
        <v/>
      </c>
      <c r="U36" s="54" t="str">
        <f>IF(AND('Mapa final'!$AJ$44="Media",'Mapa final'!$AL$44="Menor"),CONCATENATE("R2C",'Mapa final'!$S$44),"")</f>
        <v/>
      </c>
      <c r="V36" s="55" t="str">
        <f>IF(AND('Mapa final'!$AJ$45="Media",'Mapa final'!$AL$45="Menor"),CONCATENATE("R2C",'Mapa final'!$S$45),"")</f>
        <v/>
      </c>
      <c r="W36" s="53" t="str">
        <f>IF(AND('Mapa final'!$AJ$40="Media",'Mapa final'!$AL$40="Moderado"),CONCATENATE("R2C",'Mapa final'!$S$40),"")</f>
        <v/>
      </c>
      <c r="X36" s="54" t="str">
        <f>IF(AND('Mapa final'!$AJ$41="Media",'Mapa final'!$AL$41="Moderado"),CONCATENATE("R2C",'Mapa final'!$S$41),"")</f>
        <v/>
      </c>
      <c r="Y36" s="54" t="str">
        <f>IF(AND('Mapa final'!$AJ$42="Media",'Mapa final'!$AL$42="Moderado"),CONCATENATE("R2C",'Mapa final'!$S$42),"")</f>
        <v/>
      </c>
      <c r="Z36" s="54" t="str">
        <f>IF(AND('Mapa final'!$AJ$43="Media",'Mapa final'!$AL$43="Moderado"),CONCATENATE("R2C",'Mapa final'!$S$43),"")</f>
        <v/>
      </c>
      <c r="AA36" s="54" t="str">
        <f>IF(AND('Mapa final'!$AJ$44="Media",'Mapa final'!$AL$44="Moderado"),CONCATENATE("R2C",'Mapa final'!$S$44),"")</f>
        <v/>
      </c>
      <c r="AB36" s="55" t="str">
        <f>IF(AND('Mapa final'!$AJ$45="Media",'Mapa final'!$AL$45="Moderado"),CONCATENATE("R2C",'Mapa final'!$S$45),"")</f>
        <v/>
      </c>
      <c r="AC36" s="38" t="str">
        <f>IF(AND('Mapa final'!$AJ$40="Media",'Mapa final'!$AL$40="Mayor"),CONCATENATE("R2C",'Mapa final'!$S$40),"")</f>
        <v/>
      </c>
      <c r="AD36" s="39" t="str">
        <f>IF(AND('Mapa final'!$AJ$41="Media",'Mapa final'!$AL$41="Mayor"),CONCATENATE("R2C",'Mapa final'!$S$41),"")</f>
        <v/>
      </c>
      <c r="AE36" s="39" t="str">
        <f>IF(AND('Mapa final'!$AJ$42="Media",'Mapa final'!$AL$42="Mayor"),CONCATENATE("R2C",'Mapa final'!$S$42),"")</f>
        <v/>
      </c>
      <c r="AF36" s="39" t="str">
        <f>IF(AND('Mapa final'!$AJ$43="Media",'Mapa final'!$AL$43="Mayor"),CONCATENATE("R2C",'Mapa final'!$S$43),"")</f>
        <v/>
      </c>
      <c r="AG36" s="39" t="str">
        <f>IF(AND('Mapa final'!$AJ$44="Media",'Mapa final'!$AL$44="Mayor"),CONCATENATE("R2C",'Mapa final'!$S$44),"")</f>
        <v/>
      </c>
      <c r="AH36" s="40" t="str">
        <f>IF(AND('Mapa final'!$AJ$45="Media",'Mapa final'!$AL$45="Mayor"),CONCATENATE("R2C",'Mapa final'!$S$45),"")</f>
        <v/>
      </c>
      <c r="AI36" s="41" t="str">
        <f>IF(AND('Mapa final'!$AJ$40="Media",'Mapa final'!$AL$40="Catastrófico"),CONCATENATE("R2C",'Mapa final'!$S$40),"")</f>
        <v/>
      </c>
      <c r="AJ36" s="42" t="str">
        <f>IF(AND('Mapa final'!$AJ$41="Media",'Mapa final'!$AL$41="Catastrófico"),CONCATENATE("R2C",'Mapa final'!$S$41),"")</f>
        <v/>
      </c>
      <c r="AK36" s="42" t="str">
        <f>IF(AND('Mapa final'!$AJ$42="Media",'Mapa final'!$AL$42="Catastrófico"),CONCATENATE("R2C",'Mapa final'!$S$42),"")</f>
        <v/>
      </c>
      <c r="AL36" s="42" t="str">
        <f>IF(AND('Mapa final'!$AJ$43="Media",'Mapa final'!$AL$43="Catastrófico"),CONCATENATE("R2C",'Mapa final'!$S$43),"")</f>
        <v/>
      </c>
      <c r="AM36" s="42" t="str">
        <f>IF(AND('Mapa final'!$AJ$44="Media",'Mapa final'!$AL$44="Catastrófico"),CONCATENATE("R2C",'Mapa final'!$S$44),"")</f>
        <v/>
      </c>
      <c r="AN36" s="43" t="str">
        <f>IF(AND('Mapa final'!$AJ$45="Media",'Mapa final'!$AL$45="Catastrófico"),CONCATENATE("R2C",'Mapa final'!$S$45),"")</f>
        <v/>
      </c>
      <c r="AO36" s="69"/>
      <c r="AP36" s="533"/>
      <c r="AQ36" s="534"/>
      <c r="AR36" s="534"/>
      <c r="AS36" s="534"/>
      <c r="AT36" s="534"/>
      <c r="AU36" s="535"/>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97"/>
      <c r="D37" s="397"/>
      <c r="E37" s="398"/>
      <c r="F37" s="502"/>
      <c r="G37" s="501"/>
      <c r="H37" s="501"/>
      <c r="I37" s="501"/>
      <c r="J37" s="519"/>
      <c r="K37" s="53" t="str">
        <f>IF(AND('Mapa final'!$AJ$46="Media",'Mapa final'!$AL$46="Leve"),CONCATENATE("R2C",'Mapa final'!$S$46),"")</f>
        <v/>
      </c>
      <c r="L37" s="54" t="str">
        <f>IF(AND('Mapa final'!$AJ$47="Media",'Mapa final'!$AL$47="Leve"),CONCATENATE("R2C",'Mapa final'!$S$47),"")</f>
        <v/>
      </c>
      <c r="M37" s="54" t="str">
        <f>IF(AND('Mapa final'!$AJ$48="Media",'Mapa final'!$AL$48="Leve"),CONCATENATE("R2C",'Mapa final'!$S$48),"")</f>
        <v/>
      </c>
      <c r="N37" s="54" t="str">
        <f>IF(AND('Mapa final'!$AJ$49="Media",'Mapa final'!$AL$49="Leve"),CONCATENATE("R2C",'Mapa final'!$S$49),"")</f>
        <v/>
      </c>
      <c r="O37" s="54" t="str">
        <f>IF(AND('Mapa final'!$AJ$50="Media",'Mapa final'!$AL$50="Leve"),CONCATENATE("R2C",'Mapa final'!$S$50),"")</f>
        <v/>
      </c>
      <c r="P37" s="55" t="str">
        <f>IF(AND('Mapa final'!$AJ$61="Media",'Mapa final'!$AL$51="Leve"),CONCATENATE("R2C",'Mapa final'!$S$51),"")</f>
        <v/>
      </c>
      <c r="Q37" s="53" t="str">
        <f>IF(AND('Mapa final'!$AJ$46="Media",'Mapa final'!$AL$46="Menor"),CONCATENATE("R2C",'Mapa final'!$S$46),"")</f>
        <v/>
      </c>
      <c r="R37" s="54" t="str">
        <f>IF(AND('Mapa final'!$AJ$47="Media",'Mapa final'!$AL$47="Menor"),CONCATENATE("R2C",'Mapa final'!$S$47),"")</f>
        <v/>
      </c>
      <c r="S37" s="54" t="str">
        <f>IF(AND('Mapa final'!$AJ$48="Media",'Mapa final'!$AL$48="Menor"),CONCATENATE("R2C",'Mapa final'!$S$48),"")</f>
        <v/>
      </c>
      <c r="T37" s="54" t="str">
        <f>IF(AND('Mapa final'!$AJ$49="Media",'Mapa final'!$AL$49="Menor"),CONCATENATE("R2C",'Mapa final'!$S$49),"")</f>
        <v/>
      </c>
      <c r="U37" s="54" t="str">
        <f>IF(AND('Mapa final'!$AJ$50="Media",'Mapa final'!$AL$50="Menor"),CONCATENATE("R2C",'Mapa final'!$S$50),"")</f>
        <v/>
      </c>
      <c r="V37" s="55" t="str">
        <f>IF(AND('Mapa final'!$AJ$61="Media",'Mapa final'!$AL$51="Menor"),CONCATENATE("R2C",'Mapa final'!$S$51),"")</f>
        <v/>
      </c>
      <c r="W37" s="53" t="str">
        <f>IF(AND('Mapa final'!$AJ$46="Media",'Mapa final'!$AL$46="Moderado"),CONCATENATE("R2C",'Mapa final'!$S$46),"")</f>
        <v/>
      </c>
      <c r="X37" s="54" t="str">
        <f>IF(AND('Mapa final'!$AJ$47="Media",'Mapa final'!$AL$47="Moderado"),CONCATENATE("R2C",'Mapa final'!$S$47),"")</f>
        <v/>
      </c>
      <c r="Y37" s="54" t="str">
        <f>IF(AND('Mapa final'!$AJ$48="Media",'Mapa final'!$AL$48="Moderado"),CONCATENATE("R2C",'Mapa final'!$S$48),"")</f>
        <v/>
      </c>
      <c r="Z37" s="54" t="str">
        <f>IF(AND('Mapa final'!$AJ$49="Media",'Mapa final'!$AL$49="Moderado"),CONCATENATE("R2C",'Mapa final'!$S$49),"")</f>
        <v/>
      </c>
      <c r="AA37" s="54" t="str">
        <f>IF(AND('Mapa final'!$AJ$50="Media",'Mapa final'!$AL$50="Moderado"),CONCATENATE("R2C",'Mapa final'!$S$50),"")</f>
        <v/>
      </c>
      <c r="AB37" s="55" t="str">
        <f>IF(AND('Mapa final'!$AJ$61="Media",'Mapa final'!$AL$51="Moderado"),CONCATENATE("R2C",'Mapa final'!$S$51),"")</f>
        <v/>
      </c>
      <c r="AC37" s="38" t="str">
        <f>IF(AND('Mapa final'!$AJ$46="Media",'Mapa final'!$AL$46="Mayor"),CONCATENATE("R2C",'Mapa final'!$S$46),"")</f>
        <v/>
      </c>
      <c r="AD37" s="39" t="str">
        <f>IF(AND('Mapa final'!$AJ$47="Media",'Mapa final'!$AL$47="Mayor"),CONCATENATE("R2C",'Mapa final'!$S$47),"")</f>
        <v/>
      </c>
      <c r="AE37" s="39" t="str">
        <f>IF(AND('Mapa final'!$AJ$48="Media",'Mapa final'!$AL$48="Mayor"),CONCATENATE("R2C",'Mapa final'!$S$48),"")</f>
        <v/>
      </c>
      <c r="AF37" s="39" t="str">
        <f>IF(AND('Mapa final'!$AJ$49="Media",'Mapa final'!$AL$49="Mayor"),CONCATENATE("R2C",'Mapa final'!$S$49),"")</f>
        <v/>
      </c>
      <c r="AG37" s="39" t="str">
        <f>IF(AND('Mapa final'!$AJ$50="Media",'Mapa final'!$AL$50="Mayor"),CONCATENATE("R2C",'Mapa final'!$S$50),"")</f>
        <v/>
      </c>
      <c r="AH37" s="40" t="str">
        <f>IF(AND('Mapa final'!$AJ$61="Media",'Mapa final'!$AL$51="Mayor"),CONCATENATE("R2C",'Mapa final'!$S$51),"")</f>
        <v/>
      </c>
      <c r="AI37" s="41" t="str">
        <f>IF(AND('Mapa final'!$AJ$46="Media",'Mapa final'!$AL$46="Catastrófico"),CONCATENATE("R2C",'Mapa final'!$S$46),"")</f>
        <v/>
      </c>
      <c r="AJ37" s="42" t="str">
        <f>IF(AND('Mapa final'!$AJ$47="Media",'Mapa final'!$AL$47="Catastrófico"),CONCATENATE("R2C",'Mapa final'!$S$47),"")</f>
        <v/>
      </c>
      <c r="AK37" s="42" t="str">
        <f>IF(AND('Mapa final'!$AJ$48="Media",'Mapa final'!$AL$48="Catastrófico"),CONCATENATE("R2C",'Mapa final'!$S$48),"")</f>
        <v/>
      </c>
      <c r="AL37" s="42" t="str">
        <f>IF(AND('Mapa final'!$AJ$49="Media",'Mapa final'!$AL$49="Catastrófico"),CONCATENATE("R2C",'Mapa final'!$S$49),"")</f>
        <v/>
      </c>
      <c r="AM37" s="42" t="str">
        <f>IF(AND('Mapa final'!$AJ$50="Media",'Mapa final'!$AL$50="Catastrófico"),CONCATENATE("R2C",'Mapa final'!$S$50),"")</f>
        <v/>
      </c>
      <c r="AN37" s="43" t="str">
        <f>IF(AND('Mapa final'!$AJ$61="Media",'Mapa final'!$AL$51="Catastrófico"),CONCATENATE("R2C",'Mapa final'!$S$51),"")</f>
        <v/>
      </c>
      <c r="AO37" s="69"/>
      <c r="AP37" s="533"/>
      <c r="AQ37" s="534"/>
      <c r="AR37" s="534"/>
      <c r="AS37" s="534"/>
      <c r="AT37" s="534"/>
      <c r="AU37" s="535"/>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97"/>
      <c r="D38" s="397"/>
      <c r="E38" s="398"/>
      <c r="F38" s="502"/>
      <c r="G38" s="501"/>
      <c r="H38" s="501"/>
      <c r="I38" s="501"/>
      <c r="J38" s="519"/>
      <c r="K38" s="53" t="str">
        <f>IF(AND('Mapa final'!$AJ$52="Media",'Mapa final'!$AL$52="Leve"),CONCATENATE("R2C",'Mapa final'!$S$52),"")</f>
        <v/>
      </c>
      <c r="L38" s="54" t="str">
        <f>IF(AND('Mapa final'!$AJ$53="Media",'Mapa final'!$AL$53="Leve"),CONCATENATE("R2C",'Mapa final'!$S$53),"")</f>
        <v/>
      </c>
      <c r="M38" s="54" t="str">
        <f>IF(AND('Mapa final'!$AJ$54="Media",'Mapa final'!$AL$54="Leve"),CONCATENATE("R2C",'Mapa final'!$S$54),"")</f>
        <v/>
      </c>
      <c r="N38" s="54" t="str">
        <f>IF(AND('Mapa final'!$AJ$55="Media",'Mapa final'!$AL$55="Leve"),CONCATENATE("R2C",'Mapa final'!$S$55),"")</f>
        <v/>
      </c>
      <c r="O38" s="54" t="str">
        <f>IF(AND('Mapa final'!$AJ$56="Media",'Mapa final'!$AL$56="Leve"),CONCATENATE("R2C",'Mapa final'!$S$56),"")</f>
        <v/>
      </c>
      <c r="P38" s="55" t="str">
        <f>IF(AND('Mapa final'!$AJ$57="Media",'Mapa final'!$AL$57="Leve"),CONCATENATE("R2C",'Mapa final'!$S$57),"")</f>
        <v/>
      </c>
      <c r="Q38" s="53" t="str">
        <f>IF(AND('Mapa final'!$AJ$52="Media",'Mapa final'!$AL$52="Menor"),CONCATENATE("R2C",'Mapa final'!$S$52),"")</f>
        <v/>
      </c>
      <c r="R38" s="54" t="str">
        <f>IF(AND('Mapa final'!$AJ$53="Media",'Mapa final'!$AL$53="Menor"),CONCATENATE("R2C",'Mapa final'!$S$53),"")</f>
        <v/>
      </c>
      <c r="S38" s="54" t="str">
        <f>IF(AND('Mapa final'!$AJ$54="Media",'Mapa final'!$AL$54="Menor"),CONCATENATE("R2C",'Mapa final'!$S$54),"")</f>
        <v/>
      </c>
      <c r="T38" s="54" t="str">
        <f>IF(AND('Mapa final'!$AJ$55="Media",'Mapa final'!$AL$55="Menor"),CONCATENATE("R2C",'Mapa final'!$S$55),"")</f>
        <v/>
      </c>
      <c r="U38" s="54" t="str">
        <f>IF(AND('Mapa final'!$AJ$56="Media",'Mapa final'!$AL$56="Menor"),CONCATENATE("R2C",'Mapa final'!$S$56),"")</f>
        <v/>
      </c>
      <c r="V38" s="55" t="str">
        <f>IF(AND('Mapa final'!$AJ$57="Media",'Mapa final'!$AL$57="Menor"),CONCATENATE("R2C",'Mapa final'!$S$57),"")</f>
        <v/>
      </c>
      <c r="W38" s="53" t="str">
        <f>IF(AND('Mapa final'!$AJ$52="Media",'Mapa final'!$AL$52="Moderado"),CONCATENATE("R2C",'Mapa final'!$S$52),"")</f>
        <v/>
      </c>
      <c r="X38" s="54" t="str">
        <f>IF(AND('Mapa final'!$AJ$53="Media",'Mapa final'!$AL$53="Moderado"),CONCATENATE("R2C",'Mapa final'!$S$53),"")</f>
        <v/>
      </c>
      <c r="Y38" s="54" t="str">
        <f>IF(AND('Mapa final'!$AJ$54="Media",'Mapa final'!$AL$54="Moderado"),CONCATENATE("R2C",'Mapa final'!$S$54),"")</f>
        <v/>
      </c>
      <c r="Z38" s="54" t="str">
        <f>IF(AND('Mapa final'!$AJ$55="Media",'Mapa final'!$AL$55="Moderado"),CONCATENATE("R2C",'Mapa final'!$S$55),"")</f>
        <v/>
      </c>
      <c r="AA38" s="54" t="str">
        <f>IF(AND('Mapa final'!$AJ$56="Media",'Mapa final'!$AL$56="Moderado"),CONCATENATE("R2C",'Mapa final'!$S$56),"")</f>
        <v/>
      </c>
      <c r="AB38" s="55" t="str">
        <f>IF(AND('Mapa final'!$AJ$57="Media",'Mapa final'!$AL$57="Moderado"),CONCATENATE("R2C",'Mapa final'!$S$57),"")</f>
        <v/>
      </c>
      <c r="AC38" s="38" t="str">
        <f>IF(AND('Mapa final'!$AJ$52="Media",'Mapa final'!$AL$52="Mayor"),CONCATENATE("R2C",'Mapa final'!$S$52),"")</f>
        <v/>
      </c>
      <c r="AD38" s="39" t="str">
        <f>IF(AND('Mapa final'!$AJ$53="Media",'Mapa final'!$AL$53="Mayor"),CONCATENATE("R2C",'Mapa final'!$S$53),"")</f>
        <v/>
      </c>
      <c r="AE38" s="39" t="str">
        <f>IF(AND('Mapa final'!$AJ$54="Media",'Mapa final'!$AL$54="Mayor"),CONCATENATE("R2C",'Mapa final'!$S$54),"")</f>
        <v/>
      </c>
      <c r="AF38" s="39" t="str">
        <f>IF(AND('Mapa final'!$AJ$55="Media",'Mapa final'!$AL$55="Mayor"),CONCATENATE("R2C",'Mapa final'!$S$55),"")</f>
        <v/>
      </c>
      <c r="AG38" s="39" t="str">
        <f>IF(AND('Mapa final'!$AJ$56="Media",'Mapa final'!$AL$56="Mayor"),CONCATENATE("R2C",'Mapa final'!$S$56),"")</f>
        <v/>
      </c>
      <c r="AH38" s="40" t="str">
        <f>IF(AND('Mapa final'!$AJ$57="Media",'Mapa final'!$AL$57="Mayor"),CONCATENATE("R2C",'Mapa final'!$S$57),"")</f>
        <v/>
      </c>
      <c r="AI38" s="41" t="str">
        <f>IF(AND('Mapa final'!$AJ$52="Media",'Mapa final'!$AL$52="Catastrófico"),CONCATENATE("R2C",'Mapa final'!$S$52),"")</f>
        <v/>
      </c>
      <c r="AJ38" s="42" t="str">
        <f>IF(AND('Mapa final'!$AJ$53="Media",'Mapa final'!$AL$53="Catastrófico"),CONCATENATE("R2C",'Mapa final'!$S$53),"")</f>
        <v/>
      </c>
      <c r="AK38" s="42" t="str">
        <f>IF(AND('Mapa final'!$AJ$54="Media",'Mapa final'!$AL$54="Catastrófico"),CONCATENATE("R2C",'Mapa final'!$S$54),"")</f>
        <v/>
      </c>
      <c r="AL38" s="42" t="str">
        <f>IF(AND('Mapa final'!$AJ$55="Media",'Mapa final'!$AL$55="Catastrófico"),CONCATENATE("R2C",'Mapa final'!$S$55),"")</f>
        <v/>
      </c>
      <c r="AM38" s="42" t="str">
        <f>IF(AND('Mapa final'!$AJ$56="Media",'Mapa final'!$AL$56="Catastrófico"),CONCATENATE("R2C",'Mapa final'!$S$56),"")</f>
        <v/>
      </c>
      <c r="AN38" s="43" t="str">
        <f>IF(AND('Mapa final'!$AJ$57="Media",'Mapa final'!$AL$57="Catastrófico"),CONCATENATE("R2C",'Mapa final'!$S$57),"")</f>
        <v/>
      </c>
      <c r="AO38" s="69"/>
      <c r="AP38" s="533"/>
      <c r="AQ38" s="534"/>
      <c r="AR38" s="534"/>
      <c r="AS38" s="534"/>
      <c r="AT38" s="534"/>
      <c r="AU38" s="535"/>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97"/>
      <c r="D39" s="397"/>
      <c r="E39" s="398"/>
      <c r="F39" s="502"/>
      <c r="G39" s="501"/>
      <c r="H39" s="501"/>
      <c r="I39" s="501"/>
      <c r="J39" s="519"/>
      <c r="K39" s="53" t="str">
        <f>IF(AND('Mapa final'!$AJ$58="Media",'Mapa final'!$AL$58="Leve"),CONCATENATE("R2C",'Mapa final'!$S$58),"")</f>
        <v/>
      </c>
      <c r="L39" s="54" t="str">
        <f>IF(AND('Mapa final'!$AJ$59="Media",'Mapa final'!$AL$59="Leve"),CONCATENATE("R2C",'Mapa final'!$S$59),"")</f>
        <v/>
      </c>
      <c r="M39" s="54" t="str">
        <f>IF(AND('Mapa final'!$AJ$60="Media",'Mapa final'!$AL$60="Leve"),CONCATENATE("R2C",'Mapa final'!$S$60),"")</f>
        <v/>
      </c>
      <c r="N39" s="54" t="str">
        <f>IF(AND('Mapa final'!$AJ$61="Media",'Mapa final'!$AL$61="Leve"),CONCATENATE("R2C",'Mapa final'!$S$61),"")</f>
        <v/>
      </c>
      <c r="O39" s="54" t="str">
        <f>IF(AND('Mapa final'!$AJ$62="Media",'Mapa final'!$AL$62="Leve"),CONCATENATE("R2C",'Mapa final'!$S$62),"")</f>
        <v/>
      </c>
      <c r="P39" s="55" t="str">
        <f>IF(AND('Mapa final'!$AJ$63="Media",'Mapa final'!$AL$63="Leve"),CONCATENATE("R2C",'Mapa final'!$S$63),"")</f>
        <v/>
      </c>
      <c r="Q39" s="53" t="str">
        <f>IF(AND('Mapa final'!$AJ$58="Media",'Mapa final'!$AL$58="Menor"),CONCATENATE("R2C",'Mapa final'!$S$58),"")</f>
        <v/>
      </c>
      <c r="R39" s="54" t="str">
        <f>IF(AND('Mapa final'!$AJ$59="Media",'Mapa final'!$AL$59="Menor"),CONCATENATE("R2C",'Mapa final'!$S$59),"")</f>
        <v/>
      </c>
      <c r="S39" s="54" t="str">
        <f>IF(AND('Mapa final'!$AJ$60="Media",'Mapa final'!$AL$60="Menor"),CONCATENATE("R2C",'Mapa final'!$S$60),"")</f>
        <v/>
      </c>
      <c r="T39" s="54" t="str">
        <f>IF(AND('Mapa final'!$AJ$61="Media",'Mapa final'!$AL$61="Menor"),CONCATENATE("R2C",'Mapa final'!$S$61),"")</f>
        <v/>
      </c>
      <c r="U39" s="54" t="str">
        <f>IF(AND('Mapa final'!$AJ$62="Media",'Mapa final'!$AL$62="Menor"),CONCATENATE("R2C",'Mapa final'!$S$62),"")</f>
        <v/>
      </c>
      <c r="V39" s="55" t="str">
        <f>IF(AND('Mapa final'!$AJ$63="Media",'Mapa final'!$AL$63="Menor"),CONCATENATE("R2C",'Mapa final'!$S$63),"")</f>
        <v/>
      </c>
      <c r="W39" s="53" t="str">
        <f>IF(AND('Mapa final'!$AJ$58="Media",'Mapa final'!$AL$58="Moderado"),CONCATENATE("R2C",'Mapa final'!$S$58),"")</f>
        <v/>
      </c>
      <c r="X39" s="54" t="str">
        <f>IF(AND('Mapa final'!$AJ$59="Media",'Mapa final'!$AL$59="Moderado"),CONCATENATE("R2C",'Mapa final'!$S$59),"")</f>
        <v/>
      </c>
      <c r="Y39" s="54" t="str">
        <f>IF(AND('Mapa final'!$AJ$60="Media",'Mapa final'!$AL$60="Moderado"),CONCATENATE("R2C",'Mapa final'!$S$60),"")</f>
        <v/>
      </c>
      <c r="Z39" s="54" t="str">
        <f>IF(AND('Mapa final'!$AJ$61="Media",'Mapa final'!$AL$61="Moderado"),CONCATENATE("R2C",'Mapa final'!$S$61),"")</f>
        <v/>
      </c>
      <c r="AA39" s="54" t="str">
        <f>IF(AND('Mapa final'!$AJ$62="Media",'Mapa final'!$AL$62="Moderado"),CONCATENATE("R2C",'Mapa final'!$S$62),"")</f>
        <v/>
      </c>
      <c r="AB39" s="55" t="str">
        <f>IF(AND('Mapa final'!$AJ$63="Media",'Mapa final'!$AL$63="Moderado"),CONCATENATE("R2C",'Mapa final'!$S$63),"")</f>
        <v/>
      </c>
      <c r="AC39" s="38" t="str">
        <f>IF(AND('Mapa final'!$AJ$58="Media",'Mapa final'!$AL$58="Mayor"),CONCATENATE("R2C",'Mapa final'!$S$58),"")</f>
        <v/>
      </c>
      <c r="AD39" s="39" t="str">
        <f>IF(AND('Mapa final'!$AJ$59="Media",'Mapa final'!$AL$59="Mayor"),CONCATENATE("R2C",'Mapa final'!$S$59),"")</f>
        <v/>
      </c>
      <c r="AE39" s="39" t="str">
        <f>IF(AND('Mapa final'!$AJ$60="Media",'Mapa final'!$AL$60="Mayor"),CONCATENATE("R2C",'Mapa final'!$S$60),"")</f>
        <v/>
      </c>
      <c r="AF39" s="39" t="str">
        <f>IF(AND('Mapa final'!$AJ$61="Media",'Mapa final'!$AL$61="Mayor"),CONCATENATE("R2C",'Mapa final'!$S$61),"")</f>
        <v/>
      </c>
      <c r="AG39" s="39" t="str">
        <f>IF(AND('Mapa final'!$AJ$62="Media",'Mapa final'!$AL$62="Mayor"),CONCATENATE("R2C",'Mapa final'!$S$62),"")</f>
        <v/>
      </c>
      <c r="AH39" s="40" t="str">
        <f>IF(AND('Mapa final'!$AJ$63="Media",'Mapa final'!$AL$63="Mayor"),CONCATENATE("R2C",'Mapa final'!$S$63),"")</f>
        <v/>
      </c>
      <c r="AI39" s="41" t="str">
        <f>IF(AND('Mapa final'!$AJ$58="Media",'Mapa final'!$AL$58="Catastrófico"),CONCATENATE("R2C",'Mapa final'!$S$58),"")</f>
        <v/>
      </c>
      <c r="AJ39" s="42" t="str">
        <f>IF(AND('Mapa final'!$AJ$59="Media",'Mapa final'!$AL$59="Catastrófico"),CONCATENATE("R2C",'Mapa final'!$S$59),"")</f>
        <v/>
      </c>
      <c r="AK39" s="42" t="str">
        <f>IF(AND('Mapa final'!$AJ$60="Media",'Mapa final'!$AL$60="Catastrófico"),CONCATENATE("R2C",'Mapa final'!$S$60),"")</f>
        <v/>
      </c>
      <c r="AL39" s="42" t="str">
        <f>IF(AND('Mapa final'!$AJ$61="Media",'Mapa final'!$AL$61="Catastrófico"),CONCATENATE("R2C",'Mapa final'!$S$61),"")</f>
        <v/>
      </c>
      <c r="AM39" s="42" t="str">
        <f>IF(AND('Mapa final'!$AJ$62="Media",'Mapa final'!$AL$62="Catastrófico"),CONCATENATE("R2C",'Mapa final'!$S$62),"")</f>
        <v/>
      </c>
      <c r="AN39" s="43" t="str">
        <f>IF(AND('Mapa final'!$AJ$63="Media",'Mapa final'!$AL$63="Catastrófico"),CONCATENATE("R2C",'Mapa final'!$S$63),"")</f>
        <v/>
      </c>
      <c r="AO39" s="69"/>
      <c r="AP39" s="533"/>
      <c r="AQ39" s="534"/>
      <c r="AR39" s="534"/>
      <c r="AS39" s="534"/>
      <c r="AT39" s="534"/>
      <c r="AU39" s="535"/>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97"/>
      <c r="D40" s="397"/>
      <c r="E40" s="398"/>
      <c r="F40" s="502"/>
      <c r="G40" s="501"/>
      <c r="H40" s="501"/>
      <c r="I40" s="501"/>
      <c r="J40" s="519"/>
      <c r="K40" s="53" t="str">
        <f>IF(AND('Mapa final'!$AJ$64="Media",'Mapa final'!$AL$64="Leve"),CONCATENATE("R2C",'Mapa final'!$S$64),"")</f>
        <v/>
      </c>
      <c r="L40" s="54" t="str">
        <f>IF(AND('Mapa final'!$AJ$65="Media",'Mapa final'!$AL$65="Leve"),CONCATENATE("R2C",'Mapa final'!$S$65),"")</f>
        <v/>
      </c>
      <c r="M40" s="54" t="str">
        <f>IF(AND('Mapa final'!$AJ$66="Media",'Mapa final'!$AL$66="Leve"),CONCATENATE("R2C",'Mapa final'!$S$66),"")</f>
        <v/>
      </c>
      <c r="N40" s="54" t="str">
        <f>IF(AND('Mapa final'!$AJ$67="Media",'Mapa final'!$AL$67="Leve"),CONCATENATE("R2C",'Mapa final'!$S$67),"")</f>
        <v/>
      </c>
      <c r="O40" s="54" t="str">
        <f>IF(AND('Mapa final'!$AJ$68="Media",'Mapa final'!$AL$68="Leve"),CONCATENATE("R2C",'Mapa final'!$S$68),"")</f>
        <v/>
      </c>
      <c r="P40" s="55" t="str">
        <f>IF(AND('Mapa final'!$AJ$69="Media",'Mapa final'!$AL$69="Leve"),CONCATENATE("R2C",'Mapa final'!$S$69),"")</f>
        <v/>
      </c>
      <c r="Q40" s="53" t="str">
        <f>IF(AND('Mapa final'!$AJ$64="Media",'Mapa final'!$AL$64="Menor"),CONCATENATE("R2C",'Mapa final'!$S$64),"")</f>
        <v/>
      </c>
      <c r="R40" s="54" t="str">
        <f>IF(AND('Mapa final'!$AJ$65="Media",'Mapa final'!$AL$65="Menor"),CONCATENATE("R2C",'Mapa final'!$S$65),"")</f>
        <v/>
      </c>
      <c r="S40" s="54" t="str">
        <f>IF(AND('Mapa final'!$AJ$66="Media",'Mapa final'!$AL$66="Menor"),CONCATENATE("R2C",'Mapa final'!$S$66),"")</f>
        <v/>
      </c>
      <c r="T40" s="54" t="str">
        <f>IF(AND('Mapa final'!$AJ$67="Media",'Mapa final'!$AL$67="Menor"),CONCATENATE("R2C",'Mapa final'!$S$67),"")</f>
        <v/>
      </c>
      <c r="U40" s="54" t="str">
        <f>IF(AND('Mapa final'!$AJ$68="Media",'Mapa final'!$AL$68="Menor"),CONCATENATE("R2C",'Mapa final'!$S$68),"")</f>
        <v/>
      </c>
      <c r="V40" s="55" t="str">
        <f>IF(AND('Mapa final'!$AJ$69="Media",'Mapa final'!$AL$69="Menor"),CONCATENATE("R2C",'Mapa final'!$S$69),"")</f>
        <v/>
      </c>
      <c r="W40" s="53" t="str">
        <f>IF(AND('Mapa final'!$AJ$64="Media",'Mapa final'!$AL$64="Moderado"),CONCATENATE("R2C",'Mapa final'!$S$64),"")</f>
        <v/>
      </c>
      <c r="X40" s="54" t="str">
        <f>IF(AND('Mapa final'!$AJ$65="Media",'Mapa final'!$AL$65="Moderado"),CONCATENATE("R2C",'Mapa final'!$S$65),"")</f>
        <v/>
      </c>
      <c r="Y40" s="54" t="str">
        <f>IF(AND('Mapa final'!$AJ$66="Media",'Mapa final'!$AL$66="Moderado"),CONCATENATE("R2C",'Mapa final'!$S$66),"")</f>
        <v/>
      </c>
      <c r="Z40" s="54" t="str">
        <f>IF(AND('Mapa final'!$AJ$67="Media",'Mapa final'!$AL$67="Moderado"),CONCATENATE("R2C",'Mapa final'!$S$67),"")</f>
        <v/>
      </c>
      <c r="AA40" s="54" t="str">
        <f>IF(AND('Mapa final'!$AJ$68="Media",'Mapa final'!$AL$68="Moderado"),CONCATENATE("R2C",'Mapa final'!$S$68),"")</f>
        <v/>
      </c>
      <c r="AB40" s="55" t="str">
        <f>IF(AND('Mapa final'!$AJ$69="Media",'Mapa final'!$AL$69="Moderado"),CONCATENATE("R2C",'Mapa final'!$S$69),"")</f>
        <v/>
      </c>
      <c r="AC40" s="38" t="str">
        <f>IF(AND('Mapa final'!$AJ$64="Media",'Mapa final'!$AL$64="Mayor"),CONCATENATE("R2C",'Mapa final'!$S$64),"")</f>
        <v/>
      </c>
      <c r="AD40" s="39" t="str">
        <f>IF(AND('Mapa final'!$AJ$65="Media",'Mapa final'!$AL$65="Mayor"),CONCATENATE("R2C",'Mapa final'!$S$65),"")</f>
        <v/>
      </c>
      <c r="AE40" s="39" t="str">
        <f>IF(AND('Mapa final'!$AJ$66="Media",'Mapa final'!$AL$66="Mayor"),CONCATENATE("R2C",'Mapa final'!$S$66),"")</f>
        <v/>
      </c>
      <c r="AF40" s="39" t="str">
        <f>IF(AND('Mapa final'!$AJ$67="Media",'Mapa final'!$AL$67="Mayor"),CONCATENATE("R2C",'Mapa final'!$S$67),"")</f>
        <v/>
      </c>
      <c r="AG40" s="39" t="str">
        <f>IF(AND('Mapa final'!$AJ$68="Media",'Mapa final'!$AL$68="Mayor"),CONCATENATE("R2C",'Mapa final'!$S$68),"")</f>
        <v/>
      </c>
      <c r="AH40" s="40" t="str">
        <f>IF(AND('Mapa final'!$AJ$69="Media",'Mapa final'!$AL$69="Mayor"),CONCATENATE("R2C",'Mapa final'!$S$69),"")</f>
        <v/>
      </c>
      <c r="AI40" s="41" t="str">
        <f>IF(AND('Mapa final'!$AJ$64="Media",'Mapa final'!$AL$64="Catastrófico"),CONCATENATE("R2C",'Mapa final'!$S$64),"")</f>
        <v/>
      </c>
      <c r="AJ40" s="42" t="str">
        <f>IF(AND('Mapa final'!$AJ$65="Media",'Mapa final'!$AL$65="Catastrófico"),CONCATENATE("R2C",'Mapa final'!$S$65),"")</f>
        <v/>
      </c>
      <c r="AK40" s="42" t="str">
        <f>IF(AND('Mapa final'!$AJ$66="Media",'Mapa final'!$AL$66="Catastrófico"),CONCATENATE("R2C",'Mapa final'!$S$66),"")</f>
        <v/>
      </c>
      <c r="AL40" s="42" t="str">
        <f>IF(AND('Mapa final'!$AJ$67="Media",'Mapa final'!$AL$67="Catastrófico"),CONCATENATE("R2C",'Mapa final'!$S$67),"")</f>
        <v/>
      </c>
      <c r="AM40" s="42" t="str">
        <f>IF(AND('Mapa final'!$AJ$68="Media",'Mapa final'!$AL$68="Catastrófico"),CONCATENATE("R2C",'Mapa final'!$S$68),"")</f>
        <v/>
      </c>
      <c r="AN40" s="43" t="str">
        <f>IF(AND('Mapa final'!$AJ$69="Media",'Mapa final'!$AL$69="Catastrófico"),CONCATENATE("R2C",'Mapa final'!$S$69),"")</f>
        <v/>
      </c>
      <c r="AO40" s="69"/>
      <c r="AP40" s="533"/>
      <c r="AQ40" s="534"/>
      <c r="AR40" s="534"/>
      <c r="AS40" s="534"/>
      <c r="AT40" s="534"/>
      <c r="AU40" s="535"/>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97"/>
      <c r="D41" s="397"/>
      <c r="E41" s="398"/>
      <c r="F41" s="503"/>
      <c r="G41" s="504"/>
      <c r="H41" s="504"/>
      <c r="I41" s="504"/>
      <c r="J41" s="520"/>
      <c r="K41" s="53" t="str">
        <f>IF(AND('Mapa final'!$AJ$70="Media",'Mapa final'!$AL$70="Leve"),CONCATENATE("R2C",'Mapa final'!$S$70),"")</f>
        <v/>
      </c>
      <c r="L41" s="54" t="str">
        <f>IF(AND('Mapa final'!$AJ$71="Media",'Mapa final'!$AL$71="Leve"),CONCATENATE("R2C",'Mapa final'!$S$71),"")</f>
        <v/>
      </c>
      <c r="M41" s="54" t="str">
        <f>IF(AND('Mapa final'!$AJ$72="Media",'Mapa final'!$AL$72="Leve"),CONCATENATE("R2C",'Mapa final'!$S$72),"")</f>
        <v/>
      </c>
      <c r="N41" s="54" t="str">
        <f>IF(AND('Mapa final'!$AJ$73="Media",'Mapa final'!$AL$73="Leve"),CONCATENATE("R2C",'Mapa final'!$S$73),"")</f>
        <v/>
      </c>
      <c r="O41" s="54" t="str">
        <f>IF(AND('Mapa final'!$AJ$75="Media",'Mapa final'!$AL$75="Leve"),CONCATENATE("R2C",'Mapa final'!$S$75),"")</f>
        <v/>
      </c>
      <c r="P41" s="55" t="str">
        <f>IF(AND('Mapa final'!$AJ$76="Media",'Mapa final'!$AL$76="Leve"),CONCATENATE("R2C",'Mapa final'!$S$76),"")</f>
        <v/>
      </c>
      <c r="Q41" s="53" t="str">
        <f>IF(AND('Mapa final'!$AJ$70="Media",'Mapa final'!$AL$70="Menor"),CONCATENATE("R2C",'Mapa final'!$S$70),"")</f>
        <v/>
      </c>
      <c r="R41" s="54" t="str">
        <f>IF(AND('Mapa final'!$AJ$71="Media",'Mapa final'!$AL$71="Menor"),CONCATENATE("R2C",'Mapa final'!$S$71),"")</f>
        <v/>
      </c>
      <c r="S41" s="54" t="str">
        <f>IF(AND('Mapa final'!$AJ$72="Media",'Mapa final'!$AL$72="Menor"),CONCATENATE("R2C",'Mapa final'!$S$72),"")</f>
        <v/>
      </c>
      <c r="T41" s="54" t="str">
        <f>IF(AND('Mapa final'!$AJ$73="Media",'Mapa final'!$AL$73="Menor"),CONCATENATE("R2C",'Mapa final'!$S$73),"")</f>
        <v/>
      </c>
      <c r="U41" s="54" t="str">
        <f>IF(AND('Mapa final'!$AJ$75="Media",'Mapa final'!$AL$75="Menor"),CONCATENATE("R2C",'Mapa final'!$S$75),"")</f>
        <v/>
      </c>
      <c r="V41" s="55" t="str">
        <f>IF(AND('Mapa final'!$AJ$76="Media",'Mapa final'!$AL$76="Menor"),CONCATENATE("R2C",'Mapa final'!$S$76),"")</f>
        <v/>
      </c>
      <c r="W41" s="53" t="str">
        <f>IF(AND('Mapa final'!$AJ$70="Media",'Mapa final'!$AL$70="Moderado"),CONCATENATE("R2C",'Mapa final'!$S$70),"")</f>
        <v/>
      </c>
      <c r="X41" s="54" t="str">
        <f>IF(AND('Mapa final'!$AJ$71="Media",'Mapa final'!$AL$71="Moderado"),CONCATENATE("R2C",'Mapa final'!$S$71),"")</f>
        <v/>
      </c>
      <c r="Y41" s="54" t="str">
        <f>IF(AND('Mapa final'!$AJ$72="Media",'Mapa final'!$AL$72="Moderado"),CONCATENATE("R2C",'Mapa final'!$S$72),"")</f>
        <v/>
      </c>
      <c r="Z41" s="54" t="str">
        <f>IF(AND('Mapa final'!$AJ$73="Media",'Mapa final'!$AL$73="Moderado"),CONCATENATE("R2C",'Mapa final'!$S$73),"")</f>
        <v/>
      </c>
      <c r="AA41" s="54" t="str">
        <f>IF(AND('Mapa final'!$AJ$75="Media",'Mapa final'!$AL$75="Moderado"),CONCATENATE("R2C",'Mapa final'!$S$75),"")</f>
        <v/>
      </c>
      <c r="AB41" s="55" t="str">
        <f>IF(AND('Mapa final'!$AJ$76="Media",'Mapa final'!$AL$76="Moderado"),CONCATENATE("R2C",'Mapa final'!$S$76),"")</f>
        <v/>
      </c>
      <c r="AC41" s="44" t="str">
        <f>IF(AND('Mapa final'!$AJ$70="Media",'Mapa final'!$AL$70="Mayor"),CONCATENATE("R2C",'Mapa final'!$S$70),"")</f>
        <v/>
      </c>
      <c r="AD41" s="45" t="str">
        <f>IF(AND('Mapa final'!$AJ$71="Media",'Mapa final'!$AL$71="Mayor"),CONCATENATE("R2C",'Mapa final'!$S$71),"")</f>
        <v/>
      </c>
      <c r="AE41" s="45" t="str">
        <f>IF(AND('Mapa final'!$AJ$72="Media",'Mapa final'!$AL$72="Mayor"),CONCATENATE("R2C",'Mapa final'!$S$72),"")</f>
        <v/>
      </c>
      <c r="AF41" s="45" t="str">
        <f>IF(AND('Mapa final'!$AJ$73="Media",'Mapa final'!$AL$73="Mayor"),CONCATENATE("R2C",'Mapa final'!$S$73),"")</f>
        <v/>
      </c>
      <c r="AG41" s="45" t="str">
        <f>IF(AND('Mapa final'!$AJ$75="Media",'Mapa final'!$AL$75="Mayor"),CONCATENATE("R2C",'Mapa final'!$S$75),"")</f>
        <v/>
      </c>
      <c r="AH41" s="46" t="str">
        <f>IF(AND('Mapa final'!$AJ$76="Media",'Mapa final'!$AL$76="Mayor"),CONCATENATE("R2C",'Mapa final'!$S$76),"")</f>
        <v/>
      </c>
      <c r="AI41" s="47" t="str">
        <f>IF(AND('Mapa final'!$AJ$70="Media",'Mapa final'!$AL$70="Catastrófico"),CONCATENATE("R2C",'Mapa final'!$S$70),"")</f>
        <v/>
      </c>
      <c r="AJ41" s="48" t="str">
        <f>IF(AND('Mapa final'!$AJ$71="Media",'Mapa final'!$AL$71="Catastrófico"),CONCATENATE("R2C",'Mapa final'!$S$71),"")</f>
        <v/>
      </c>
      <c r="AK41" s="48" t="str">
        <f>IF(AND('Mapa final'!$AJ$72="Media",'Mapa final'!$AL$72="Catastrófico"),CONCATENATE("R2C",'Mapa final'!$S$72),"")</f>
        <v/>
      </c>
      <c r="AL41" s="48" t="str">
        <f>IF(AND('Mapa final'!$AJ$73="Media",'Mapa final'!$AL$73="Catastrófico"),CONCATENATE("R2C",'Mapa final'!$S$73),"")</f>
        <v/>
      </c>
      <c r="AM41" s="48" t="str">
        <f>IF(AND('Mapa final'!$AJ$75="Media",'Mapa final'!$AL$75="Catastrófico"),CONCATENATE("R2C",'Mapa final'!$S$75),"")</f>
        <v/>
      </c>
      <c r="AN41" s="49" t="str">
        <f>IF(AND('Mapa final'!$AJ$76="Muy Alta",'Mapa final'!$AL$76="Catastrófico"),CONCATENATE("R2C",'Mapa final'!$S$76),"")</f>
        <v/>
      </c>
      <c r="AO41" s="69"/>
      <c r="AP41" s="536"/>
      <c r="AQ41" s="537"/>
      <c r="AR41" s="537"/>
      <c r="AS41" s="537"/>
      <c r="AT41" s="537"/>
      <c r="AU41" s="538"/>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97"/>
      <c r="D42" s="397"/>
      <c r="E42" s="398"/>
      <c r="F42" s="498" t="s">
        <v>112</v>
      </c>
      <c r="G42" s="499"/>
      <c r="H42" s="499"/>
      <c r="I42" s="499"/>
      <c r="J42" s="499"/>
      <c r="K42" s="59" t="str">
        <f ca="1">IF(AND('Mapa final'!$AJ$15="Baja",'Mapa final'!$AL$15="Leve"),CONCATENATE("R2C",'Mapa final'!$S$15),"")</f>
        <v/>
      </c>
      <c r="L42" s="60" t="str">
        <f>IF(AND('Mapa final'!$AJ$16="Baja",'Mapa final'!$AL$16="Leve"),CONCATENATE("R2C",'Mapa final'!$S$16),"")</f>
        <v/>
      </c>
      <c r="M42" s="60" t="str">
        <f ca="1">IF(AND('Mapa final'!$AJ$17="Baja",'Mapa final'!$AL$17="Leve"),CONCATENATE("R2C",'Mapa final'!$S$17),"")</f>
        <v/>
      </c>
      <c r="N42" s="60" t="str">
        <f ca="1">IF(AND('Mapa final'!$AJ$19="Baja",'Mapa final'!$AL$19="Leve"),CONCATENATE("R2C",'Mapa final'!$S$19),"")</f>
        <v/>
      </c>
      <c r="O42" s="60" t="str">
        <f>IF(AND('Mapa final'!$AJ$20="Baja",'Mapa final'!$AL$20="Leve"),CONCATENATE("R2C",'Mapa final'!$S$20),"")</f>
        <v/>
      </c>
      <c r="P42" s="61" t="str">
        <f ca="1">IF(AND('Mapa final'!$AJ$21="Baja",'Mapa final'!$AL$21="Leve"),CONCATENATE("R2C",'Mapa final'!$S$21),"")</f>
        <v/>
      </c>
      <c r="Q42" s="50" t="str">
        <f ca="1">IF(AND('Mapa final'!$AJ$15="Baja",'Mapa final'!$AL$15="Menor"),CONCATENATE("R2C",'Mapa final'!$S$15),"")</f>
        <v/>
      </c>
      <c r="R42" s="51" t="str">
        <f>IF(AND('Mapa final'!$AJ$16="Baja",'Mapa final'!$AL$16="Menore"),CONCATENATE("R2C",'Mapa final'!$S$16),"")</f>
        <v/>
      </c>
      <c r="S42" s="51" t="str">
        <f ca="1">IF(AND('Mapa final'!$AJ$17="Baja",'Mapa final'!$AL$17="Menor"),CONCATENATE("R2C",'Mapa final'!$S$17),"")</f>
        <v/>
      </c>
      <c r="T42" s="51" t="str">
        <f ca="1">IF(AND('Mapa final'!$AJ$19="Baja",'Mapa final'!$AL$19="Menor"),CONCATENATE("R2C",'Mapa final'!$S$19),"")</f>
        <v/>
      </c>
      <c r="U42" s="51" t="str">
        <f>IF(AND('Mapa final'!$AJ$20="Baja",'Mapa final'!$AL$20="Menor"),CONCATENATE("R2C",'Mapa final'!$S$20),"")</f>
        <v/>
      </c>
      <c r="V42" s="52" t="str">
        <f ca="1">IF(AND('Mapa final'!$AJ$21="Baja",'Mapa final'!$AL$21="Menor"),CONCATENATE("R2C",'Mapa final'!$S$21),"")</f>
        <v/>
      </c>
      <c r="W42" s="50" t="str">
        <f ca="1">IF(AND('Mapa final'!$AJ$15="Baja",'Mapa final'!$AL$15="Moderado"),CONCATENATE("R2C",'Mapa final'!$D$15),"")</f>
        <v>R2C1</v>
      </c>
      <c r="X42" s="51" t="str">
        <f>IF(AND('Mapa final'!$AJ$16="Baja",'Mapa final'!$AL$16="Moderado"),CONCATENATE("R2C",'Mapa final'!$S$16),"")</f>
        <v/>
      </c>
      <c r="Y42" s="51" t="str">
        <f ca="1">IF(AND('Mapa final'!$AJ$17="Baja",'Mapa final'!$AL$17="Moderado"),CONCATENATE("R2C",'Mapa final'!$D$17),"")</f>
        <v>R2C2</v>
      </c>
      <c r="Z42" s="51" t="str">
        <f ca="1">IF(AND('Mapa final'!$AJ$19="Baja",'Mapa final'!$AL$19="Moderado"),CONCATENATE("R2C",'Mapa final'!$D$19),"")</f>
        <v>R2C3</v>
      </c>
      <c r="AA42" s="51" t="str">
        <f>IF(AND('Mapa final'!$AJ$20="Baja",'Mapa final'!$AL$20="Moderado"),CONCATENATE("R2C",'Mapa final'!$S$20),"")</f>
        <v/>
      </c>
      <c r="AB42" s="52" t="str">
        <f ca="1">IF(AND('Mapa final'!$AJ$21="Baja",'Mapa final'!$AL$21="Moderado"),CONCATENATE("R2C",'Mapa final'!$D$21),"")</f>
        <v>R2C4</v>
      </c>
      <c r="AC42" s="32" t="str">
        <f ca="1">IF(AND('Mapa final'!$AJ$15="Baja",'Mapa final'!$AL$15="Mayor"),CONCATENATE("R2C",'Mapa final'!$S$15),"")</f>
        <v/>
      </c>
      <c r="AD42" s="33" t="str">
        <f>IF(AND('Mapa final'!$AJ$16="Baja",'Mapa final'!$AL$16="Mayor"),CONCATENATE("R2C",'Mapa final'!$S$16),"")</f>
        <v/>
      </c>
      <c r="AE42" s="33" t="str">
        <f ca="1">IF(AND('Mapa final'!$AJ$17="Baja",'Mapa final'!$AL$17="Mayor"),CONCATENATE("R2C",'Mapa final'!$S$17),"")</f>
        <v/>
      </c>
      <c r="AF42" s="33" t="str">
        <f ca="1">IF(AND('Mapa final'!$AJ$19="Baja",'Mapa final'!$AL$19="Mayor"),CONCATENATE("R2C",'Mapa final'!$S$19),"")</f>
        <v/>
      </c>
      <c r="AG42" s="33" t="str">
        <f>IF(AND('Mapa final'!$AJ$20="Baja",'Mapa final'!$AL$20="Mayor"),CONCATENATE("R2C",'Mapa final'!$S$20),"")</f>
        <v/>
      </c>
      <c r="AH42" s="34" t="str">
        <f ca="1">IF(AND('Mapa final'!$AJ$21="Baja",'Mapa final'!$AL$21="Mayor"),CONCATENATE("R2C",'Mapa final'!$S$21),"")</f>
        <v/>
      </c>
      <c r="AI42" s="35" t="str">
        <f ca="1">IF(AND('Mapa final'!$AJ$15="Baja",'Mapa final'!$AL$15="Catastrófico"),CONCATENATE("R2C",'Mapa final'!$S$15),"")</f>
        <v/>
      </c>
      <c r="AJ42" s="36" t="str">
        <f>IF(AND('Mapa final'!$AJ$16="Baja",'Mapa final'!$AL$16="Catastrófico"),CONCATENATE("R2C",'Mapa final'!$S$16),"")</f>
        <v/>
      </c>
      <c r="AK42" s="36" t="str">
        <f ca="1">IF(AND('Mapa final'!$AJ$17="Baja",'Mapa final'!$AL$17="Catastrófico"),CONCATENATE("R2C",'Mapa final'!$S$17),"")</f>
        <v/>
      </c>
      <c r="AL42" s="36" t="str">
        <f ca="1">IF(AND('Mapa final'!$AJ$19="Baja",'Mapa final'!$AL$19="Catastrófico"),CONCATENATE("R2C",'Mapa final'!$S$19),"")</f>
        <v/>
      </c>
      <c r="AM42" s="36" t="str">
        <f>IF(AND('Mapa final'!$AJ$20="Baja",'Mapa final'!$AL$20="Catastrófico"),CONCATENATE("R2C",'Mapa final'!$S$20),"")</f>
        <v/>
      </c>
      <c r="AN42" s="37" t="str">
        <f ca="1">IF(AND('Mapa final'!$AJ$21="Baja",'Mapa final'!$AL$21="Catastrófico"),CONCATENATE("R2C",'Mapa final'!$S$21),"")</f>
        <v/>
      </c>
      <c r="AO42" s="69"/>
      <c r="AP42" s="521" t="s">
        <v>80</v>
      </c>
      <c r="AQ42" s="522"/>
      <c r="AR42" s="522"/>
      <c r="AS42" s="522"/>
      <c r="AT42" s="522"/>
      <c r="AU42" s="523"/>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97"/>
      <c r="D43" s="397"/>
      <c r="E43" s="398"/>
      <c r="F43" s="500"/>
      <c r="G43" s="501"/>
      <c r="H43" s="501"/>
      <c r="I43" s="501"/>
      <c r="J43" s="501"/>
      <c r="K43" s="62" t="str">
        <f>IF(AND('Mapa final'!$AJ$22="Baja",'Mapa final'!$AL$22="Leve"),CONCATENATE("R2C",'Mapa final'!$S$22),"")</f>
        <v/>
      </c>
      <c r="L43" s="63" t="str">
        <f>IF(AND('Mapa final'!$AJ$23="Baja",'Mapa final'!$AL$23="Leve"),CONCATENATE("R2C",'Mapa final'!$S$23),"")</f>
        <v/>
      </c>
      <c r="M43" s="63" t="str">
        <f>IF(AND('Mapa final'!$AJ$24="Baja",'Mapa final'!$AL$24="Leve"),CONCATENATE("R2C",'Mapa final'!$S$24),"")</f>
        <v/>
      </c>
      <c r="N43" s="63" t="str">
        <f>IF(AND('Mapa final'!$AJ$25="Baja",'Mapa final'!$AL$25="Leve"),CONCATENATE("R2C",'Mapa final'!$S$25),"")</f>
        <v/>
      </c>
      <c r="O43" s="63" t="str">
        <f>IF(AND('Mapa final'!$AJ$26="Baja",'Mapa final'!$AL$26="Leve"),CONCATENATE("R2C",'Mapa final'!$S$26),"")</f>
        <v/>
      </c>
      <c r="P43" s="64" t="str">
        <f>IF(AND('Mapa final'!$AJ$27="Baja",'Mapa final'!$AL$27="Leve"),CONCATENATE("R2C",'Mapa final'!$S$27),"")</f>
        <v/>
      </c>
      <c r="Q43" s="53" t="str">
        <f>IF(AND('Mapa final'!$AJ$22="Baja",'Mapa final'!$AL$22="Menor"),CONCATENATE("R2C",'Mapa final'!$S$22),"")</f>
        <v/>
      </c>
      <c r="R43" s="54" t="str">
        <f>IF(AND('Mapa final'!$AJ$23="Baja",'Mapa final'!$AL$23="Menor"),CONCATENATE("R2C",'Mapa final'!$S$23),"")</f>
        <v/>
      </c>
      <c r="S43" s="54" t="str">
        <f>IF(AND('Mapa final'!$AJ$24="Baja",'Mapa final'!$AL$24="Menor"),CONCATENATE("R2C",'Mapa final'!$S$24),"")</f>
        <v/>
      </c>
      <c r="T43" s="54" t="str">
        <f>IF(AND('Mapa final'!$AJ$25="Baja",'Mapa final'!$AL$25="Menor"),CONCATENATE("R2C",'Mapa final'!$S$25),"")</f>
        <v/>
      </c>
      <c r="U43" s="54" t="str">
        <f>IF(AND('Mapa final'!$AJ$26="Baja",'Mapa final'!$AL$26="Menor"),CONCATENATE("R2C",'Mapa final'!$S$26),"")</f>
        <v/>
      </c>
      <c r="V43" s="55" t="str">
        <f>IF(AND('Mapa final'!$AJ$27="Baja",'Mapa final'!$AL$27="Menor"),CONCATENATE("R2C",'Mapa final'!$S$27),"")</f>
        <v/>
      </c>
      <c r="W43" s="53" t="str">
        <f>IF(AND('Mapa final'!$AJ$22="Baja",'Mapa final'!$AL$22="Moderado"),CONCATENATE("R2C",'Mapa final'!$S$22),"")</f>
        <v/>
      </c>
      <c r="X43" s="54" t="str">
        <f>IF(AND('Mapa final'!$AJ$23="Baja",'Mapa final'!$AL$23="Moderado"),CONCATENATE("R2C",'Mapa final'!$S$23),"")</f>
        <v/>
      </c>
      <c r="Y43" s="54" t="str">
        <f>IF(AND('Mapa final'!$AJ$24="Baja",'Mapa final'!$AL$24="Moderado"),CONCATENATE("R2C",'Mapa final'!$S$24),"")</f>
        <v/>
      </c>
      <c r="Z43" s="54" t="str">
        <f>IF(AND('Mapa final'!$AJ$25="Baja",'Mapa final'!$AL$25="Moderado"),CONCATENATE("R2C",'Mapa final'!$S$25),"")</f>
        <v/>
      </c>
      <c r="AA43" s="54" t="str">
        <f>IF(AND('Mapa final'!$AJ$26="Baja",'Mapa final'!$AL$26="Moderado"),CONCATENATE("R2C",'Mapa final'!$S$26),"")</f>
        <v/>
      </c>
      <c r="AB43" s="55" t="str">
        <f>IF(AND('Mapa final'!$AJ$27="Baja",'Mapa final'!$AL$27="Moderado"),CONCATENATE("R2C",'Mapa final'!$S$27),"")</f>
        <v/>
      </c>
      <c r="AC43" s="38" t="str">
        <f>IF(AND('Mapa final'!$AJ$22="Baja",'Mapa final'!$AL$22="Mayor"),CONCATENATE("R2C",'Mapa final'!$S$22),"")</f>
        <v/>
      </c>
      <c r="AD43" s="39" t="str">
        <f>IF(AND('Mapa final'!$AJ$23="Baja",'Mapa final'!$AL$23="Mayor"),CONCATENATE("R2C",'Mapa final'!$S$23),"")</f>
        <v/>
      </c>
      <c r="AE43" s="39" t="str">
        <f>IF(AND('Mapa final'!$AJ$24="Baja",'Mapa final'!$AL$24="Mayor"),CONCATENATE("R2C",'Mapa final'!$S$24),"")</f>
        <v/>
      </c>
      <c r="AF43" s="39" t="str">
        <f>IF(AND('Mapa final'!$AJ$25="Baja",'Mapa final'!$AL$25="Mayor"),CONCATENATE("R2C",'Mapa final'!$S$25),"")</f>
        <v/>
      </c>
      <c r="AG43" s="39" t="str">
        <f>IF(AND('Mapa final'!$AJ$26="Baja",'Mapa final'!$AL$26="Mayor"),CONCATENATE("R2C",'Mapa final'!$S$26),"")</f>
        <v/>
      </c>
      <c r="AH43" s="40" t="str">
        <f>IF(AND('Mapa final'!$AJ$27="Baja",'Mapa final'!$AL$27="Mayor"),CONCATENATE("R2C",'Mapa final'!$S$27),"")</f>
        <v/>
      </c>
      <c r="AI43" s="41" t="str">
        <f>IF(AND('Mapa final'!$AJ$22="Baja",'Mapa final'!$AL$22="Catastrófico"),CONCATENATE("R2C",'Mapa final'!$S$22),"")</f>
        <v/>
      </c>
      <c r="AJ43" s="42" t="str">
        <f>IF(AND('Mapa final'!$AJ$23="Baja",'Mapa final'!$AL$23="Catastrófico"),CONCATENATE("R2C",'Mapa final'!$S$23),"")</f>
        <v/>
      </c>
      <c r="AK43" s="42" t="str">
        <f>IF(AND('Mapa final'!$AJ$24="Baja",'Mapa final'!$AL$24="Catastrófico"),CONCATENATE("R2C",'Mapa final'!$S$24),"")</f>
        <v/>
      </c>
      <c r="AL43" s="42" t="str">
        <f>IF(AND('Mapa final'!$AJ$25="Baja",'Mapa final'!$AL$25="Catastrófico"),CONCATENATE("R2C",'Mapa final'!$S$25),"")</f>
        <v/>
      </c>
      <c r="AM43" s="42" t="str">
        <f>IF(AND('Mapa final'!$AJ$26="Baja",'Mapa final'!$AL$26="Catastrófico"),CONCATENATE("R2C",'Mapa final'!$S$26),"")</f>
        <v/>
      </c>
      <c r="AN43" s="43" t="str">
        <f>IF(AND('Mapa final'!$AJ$27="Baja",'Mapa final'!$AL$27="Catastrófico"),CONCATENATE("R2C",'Mapa final'!$S$27),"")</f>
        <v/>
      </c>
      <c r="AO43" s="69"/>
      <c r="AP43" s="524"/>
      <c r="AQ43" s="525"/>
      <c r="AR43" s="525"/>
      <c r="AS43" s="525"/>
      <c r="AT43" s="525"/>
      <c r="AU43" s="526"/>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97"/>
      <c r="D44" s="397"/>
      <c r="E44" s="398"/>
      <c r="F44" s="502"/>
      <c r="G44" s="501"/>
      <c r="H44" s="501"/>
      <c r="I44" s="501"/>
      <c r="J44" s="501"/>
      <c r="K44" s="62" t="str">
        <f>IF(AND('Mapa final'!$AJ$28="Baja",'Mapa final'!$AL$28="Leve"),CONCATENATE("R2C",'Mapa final'!$S$28),"")</f>
        <v/>
      </c>
      <c r="L44" s="63" t="str">
        <f>IF(AND('Mapa final'!$AJ$29="Baja",'Mapa final'!$AL$29="Leve"),CONCATENATE("R2C",'Mapa final'!$S$29),"")</f>
        <v/>
      </c>
      <c r="M44" s="63" t="str">
        <f>IF(AND('Mapa final'!$AJ$30="Baja",'Mapa final'!$AL$30="Leve"),CONCATENATE("R2C",'Mapa final'!$S$30),"")</f>
        <v/>
      </c>
      <c r="N44" s="63" t="str">
        <f>IF(AND('Mapa final'!$AJ$31="Baja",'Mapa final'!$AL$31="Leve"),CONCATENATE("R2C",'Mapa final'!$S$31),"")</f>
        <v/>
      </c>
      <c r="O44" s="63" t="str">
        <f>IF(AND('Mapa final'!$AJ$32="Baja",'Mapa final'!$AL$32="Leve"),CONCATENATE("R2C",'Mapa final'!$S$32),"")</f>
        <v/>
      </c>
      <c r="P44" s="64" t="str">
        <f>IF(AND('Mapa final'!$AJ$33="Baja",'Mapa final'!$AL$33="Leve"),CONCATENATE("R2C",'Mapa final'!$S$33),"")</f>
        <v/>
      </c>
      <c r="Q44" s="53" t="str">
        <f>IF(AND('Mapa final'!$AJ$28="Baja",'Mapa final'!$AL$28="Menor"),CONCATENATE("R2C",'Mapa final'!$S$28),"")</f>
        <v/>
      </c>
      <c r="R44" s="54" t="str">
        <f>IF(AND('Mapa final'!$AJ$29="Baja",'Mapa final'!$AL$29="Menor"),CONCATENATE("R2C",'Mapa final'!$S$29),"")</f>
        <v/>
      </c>
      <c r="S44" s="54" t="str">
        <f>IF(AND('Mapa final'!$AJ$30="Baja",'Mapa final'!$AL$30="Menor"),CONCATENATE("R2C",'Mapa final'!$S$30),"")</f>
        <v/>
      </c>
      <c r="T44" s="54" t="str">
        <f>IF(AND('Mapa final'!$AJ$31="Baja",'Mapa final'!$AL$31="Menor"),CONCATENATE("R2C",'Mapa final'!$S$31),"")</f>
        <v/>
      </c>
      <c r="U44" s="54" t="str">
        <f>IF(AND('Mapa final'!$AJ$32="Baja",'Mapa final'!$AL$32="Menor"),CONCATENATE("R2C",'Mapa final'!$S$32),"")</f>
        <v/>
      </c>
      <c r="V44" s="55" t="str">
        <f>IF(AND('Mapa final'!$AJ$33="Baja",'Mapa final'!$AL$33="Menor"),CONCATENATE("R2C",'Mapa final'!$S$33),"")</f>
        <v/>
      </c>
      <c r="W44" s="53" t="str">
        <f>IF(AND('Mapa final'!$AJ$28="Baja",'Mapa final'!$AL$28="Moderado"),CONCATENATE("R2C",'Mapa final'!$S$28),"")</f>
        <v/>
      </c>
      <c r="X44" s="54" t="str">
        <f>IF(AND('Mapa final'!$AJ$29="Baja",'Mapa final'!$AL$29="Moderado"),CONCATENATE("R2C",'Mapa final'!$S$29),"")</f>
        <v/>
      </c>
      <c r="Y44" s="54" t="str">
        <f>IF(AND('Mapa final'!$AJ$30="Baja",'Mapa final'!$AL$30="Moderado"),CONCATENATE("R2C",'Mapa final'!$S$30),"")</f>
        <v/>
      </c>
      <c r="Z44" s="54" t="str">
        <f>IF(AND('Mapa final'!$AJ$31="Baja",'Mapa final'!$AL$31="Moderado"),CONCATENATE("R2C",'Mapa final'!$S$31),"")</f>
        <v/>
      </c>
      <c r="AA44" s="54" t="str">
        <f>IF(AND('Mapa final'!$AJ$32="Baja",'Mapa final'!$AL$32="Moderado"),CONCATENATE("R2C",'Mapa final'!$S$32),"")</f>
        <v/>
      </c>
      <c r="AB44" s="55" t="str">
        <f>IF(AND('Mapa final'!$AJ$33="Baja",'Mapa final'!$AL$33="Moderado"),CONCATENATE("R2C",'Mapa final'!$S$33),"")</f>
        <v/>
      </c>
      <c r="AC44" s="38" t="str">
        <f>IF(AND('Mapa final'!$AJ$28="Baja",'Mapa final'!$AL$28="Mayor"),CONCATENATE("R2C",'Mapa final'!$S$28),"")</f>
        <v/>
      </c>
      <c r="AD44" s="39" t="str">
        <f>IF(AND('Mapa final'!$AJ$29="Baja",'Mapa final'!$AL$29="Mayor"),CONCATENATE("R2C",'Mapa final'!$S$29),"")</f>
        <v/>
      </c>
      <c r="AE44" s="39" t="str">
        <f>IF(AND('Mapa final'!$AJ$30="Baja",'Mapa final'!$AL$30="Mayor"),CONCATENATE("R2C",'Mapa final'!$S$30),"")</f>
        <v/>
      </c>
      <c r="AF44" s="39" t="str">
        <f>IF(AND('Mapa final'!$AJ$31="Baja",'Mapa final'!$AL$31="Mayor"),CONCATENATE("R2C",'Mapa final'!$S$31),"")</f>
        <v/>
      </c>
      <c r="AG44" s="39" t="str">
        <f>IF(AND('Mapa final'!$AJ$32="Baja",'Mapa final'!$AL$32="Mayor"),CONCATENATE("R2C",'Mapa final'!$S$32),"")</f>
        <v/>
      </c>
      <c r="AH44" s="40" t="str">
        <f>IF(AND('Mapa final'!$AJ$33="Baja",'Mapa final'!$AL$33="Mayor"),CONCATENATE("R2C",'Mapa final'!$S$33),"")</f>
        <v/>
      </c>
      <c r="AI44" s="41" t="str">
        <f>IF(AND('Mapa final'!$AJ$28="Baja",'Mapa final'!$AL$28="Catastrófico"),CONCATENATE("R2C",'Mapa final'!$S$28),"")</f>
        <v/>
      </c>
      <c r="AJ44" s="42" t="str">
        <f>IF(AND('Mapa final'!$AJ$29="Baja",'Mapa final'!$AL$29="Catastrófico"),CONCATENATE("R2C",'Mapa final'!$S$29),"")</f>
        <v/>
      </c>
      <c r="AK44" s="42" t="str">
        <f>IF(AND('Mapa final'!$AJ$30="Baja",'Mapa final'!$AL$30="Catastrófico"),CONCATENATE("R2C",'Mapa final'!$S$30),"")</f>
        <v/>
      </c>
      <c r="AL44" s="42" t="str">
        <f>IF(AND('Mapa final'!$AJ$31="Baja",'Mapa final'!$AL$31="Catastrófico"),CONCATENATE("R2C",'Mapa final'!$S$31),"")</f>
        <v/>
      </c>
      <c r="AM44" s="42" t="str">
        <f>IF(AND('Mapa final'!$AJ$32="Baja",'Mapa final'!$AL$32="Catastrófico"),CONCATENATE("R2C",'Mapa final'!$S$32),"")</f>
        <v/>
      </c>
      <c r="AN44" s="43" t="str">
        <f>IF(AND('Mapa final'!$AJ$33="Baja",'Mapa final'!$AL$33="Catastrófico"),CONCATENATE("R2C",'Mapa final'!$S$33),"")</f>
        <v/>
      </c>
      <c r="AO44" s="69"/>
      <c r="AP44" s="524"/>
      <c r="AQ44" s="525"/>
      <c r="AR44" s="525"/>
      <c r="AS44" s="525"/>
      <c r="AT44" s="525"/>
      <c r="AU44" s="526"/>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97"/>
      <c r="D45" s="397"/>
      <c r="E45" s="398"/>
      <c r="F45" s="502"/>
      <c r="G45" s="501"/>
      <c r="H45" s="501"/>
      <c r="I45" s="501"/>
      <c r="J45" s="501"/>
      <c r="K45" s="62" t="str">
        <f>IF(AND('Mapa final'!$AJ$34="Baja",'Mapa final'!$AL$34="Leve"),CONCATENATE("R2C",'Mapa final'!$S$34),"")</f>
        <v/>
      </c>
      <c r="L45" s="63" t="str">
        <f>IF(AND('Mapa final'!$AJ$35="Baja",'Mapa final'!$AL$35="Leve"),CONCATENATE("R2C",'Mapa final'!$S$35),"")</f>
        <v/>
      </c>
      <c r="M45" s="63" t="str">
        <f>IF(AND('Mapa final'!$AJ$36="Baja",'Mapa final'!$AL$36="Leve"),CONCATENATE("R2C",'Mapa final'!$S$36),"")</f>
        <v/>
      </c>
      <c r="N45" s="63" t="str">
        <f>IF(AND('Mapa final'!$AJ$37="Baja",'Mapa final'!$AL$37="Leve"),CONCATENATE("R2C",'Mapa final'!$S$37),"")</f>
        <v/>
      </c>
      <c r="O45" s="63" t="str">
        <f>IF(AND('Mapa final'!$AJ$38="Baja",'Mapa final'!$AL$38="Leve"),CONCATENATE("R2C",'Mapa final'!$S$38),"")</f>
        <v/>
      </c>
      <c r="P45" s="64" t="str">
        <f>IF(AND('Mapa final'!$AJ$39="Baja",'Mapa final'!$AL$39="Leve"),CONCATENATE("R2C",'Mapa final'!$S$39),"")</f>
        <v/>
      </c>
      <c r="Q45" s="53" t="str">
        <f>IF(AND('Mapa final'!$AJ$34="Baja",'Mapa final'!$AL$34="Menor"),CONCATENATE("R2C",'Mapa final'!$S$34),"")</f>
        <v/>
      </c>
      <c r="R45" s="54" t="str">
        <f>IF(AND('Mapa final'!$AJ$35="Baja",'Mapa final'!$AL$35="Menor"),CONCATENATE("R2C",'Mapa final'!$S$35),"")</f>
        <v/>
      </c>
      <c r="S45" s="54" t="str">
        <f>IF(AND('Mapa final'!$AJ$36="Baja",'Mapa final'!$AL$36="Menor"),CONCATENATE("R2C",'Mapa final'!$S$36),"")</f>
        <v/>
      </c>
      <c r="T45" s="54" t="str">
        <f>IF(AND('Mapa final'!$AJ$37="Baja",'Mapa final'!$AL$37="Menor"),CONCATENATE("R2C",'Mapa final'!$S$37),"")</f>
        <v/>
      </c>
      <c r="U45" s="54" t="str">
        <f>IF(AND('Mapa final'!$AJ$38="Baja",'Mapa final'!$AL$38="LMenor"),CONCATENATE("R2C",'Mapa final'!$S$38),"")</f>
        <v/>
      </c>
      <c r="V45" s="55" t="str">
        <f>IF(AND('Mapa final'!$AJ$39="Baja",'Mapa final'!$AL$39="Menor"),CONCATENATE("R2C",'Mapa final'!$S$39),"")</f>
        <v/>
      </c>
      <c r="W45" s="53" t="str">
        <f>IF(AND('Mapa final'!$AJ$34="Baja",'Mapa final'!$AL$34="Moderado"),CONCATENATE("R2C",'Mapa final'!$S$34),"")</f>
        <v/>
      </c>
      <c r="X45" s="54" t="str">
        <f>IF(AND('Mapa final'!$AJ$35="Baja",'Mapa final'!$AL$35="Moderado"),CONCATENATE("R2C",'Mapa final'!$S$35),"")</f>
        <v/>
      </c>
      <c r="Y45" s="54" t="str">
        <f>IF(AND('Mapa final'!$AJ$36="Baja",'Mapa final'!$AL$36="Moderado"),CONCATENATE("R2C",'Mapa final'!$S$36),"")</f>
        <v/>
      </c>
      <c r="Z45" s="54" t="str">
        <f>IF(AND('Mapa final'!$AJ$37="Baja",'Mapa final'!$AL$37="Moderado"),CONCATENATE("R2C",'Mapa final'!$S$37),"")</f>
        <v/>
      </c>
      <c r="AA45" s="54" t="str">
        <f>IF(AND('Mapa final'!$AJ$38="Baja",'Mapa final'!$AL$38="Moderado"),CONCATENATE("R2C",'Mapa final'!$S$38),"")</f>
        <v/>
      </c>
      <c r="AB45" s="55" t="str">
        <f>IF(AND('Mapa final'!$AJ$39="Baja",'Mapa final'!$AL$39="Moderado"),CONCATENATE("R2C",'Mapa final'!$S$39),"")</f>
        <v/>
      </c>
      <c r="AC45" s="38" t="str">
        <f>IF(AND('Mapa final'!$AJ$34="Baja",'Mapa final'!$AL$34="Mayor"),CONCATENATE("R2C",'Mapa final'!$S$34),"")</f>
        <v/>
      </c>
      <c r="AD45" s="39" t="str">
        <f>IF(AND('Mapa final'!$AJ$35="Baja",'Mapa final'!$AL$35="Mayor"),CONCATENATE("R2C",'Mapa final'!$S$35),"")</f>
        <v/>
      </c>
      <c r="AE45" s="39" t="str">
        <f>IF(AND('Mapa final'!$AJ$36="Baja",'Mapa final'!$AL$36="Mayor"),CONCATENATE("R2C",'Mapa final'!$S$36),"")</f>
        <v/>
      </c>
      <c r="AF45" s="39" t="str">
        <f>IF(AND('Mapa final'!$AJ$37="Baja",'Mapa final'!$AL$37="Mayor"),CONCATENATE("R2C",'Mapa final'!$S$37),"")</f>
        <v/>
      </c>
      <c r="AG45" s="39" t="str">
        <f>IF(AND('Mapa final'!$AJ$38="Baja",'Mapa final'!$AL$38="Mayor"),CONCATENATE("R2C",'Mapa final'!$S$38),"")</f>
        <v/>
      </c>
      <c r="AH45" s="40" t="str">
        <f>IF(AND('Mapa final'!$AJ$39="Baja",'Mapa final'!$AL$39="Mayor"),CONCATENATE("R2C",'Mapa final'!$S$39),"")</f>
        <v/>
      </c>
      <c r="AI45" s="41" t="str">
        <f>IF(AND('Mapa final'!$AJ$34="Baja",'Mapa final'!$AL$34="Catastrófico"),CONCATENATE("R2C",'Mapa final'!$S$34),"")</f>
        <v/>
      </c>
      <c r="AJ45" s="42" t="str">
        <f>IF(AND('Mapa final'!$AJ$35="Baja",'Mapa final'!$AL$35="Catastrófico"),CONCATENATE("R2C",'Mapa final'!$S$35),"")</f>
        <v/>
      </c>
      <c r="AK45" s="42" t="str">
        <f>IF(AND('Mapa final'!$AJ$36="Baja",'Mapa final'!$AL$36="Catastrófico"),CONCATENATE("R2C",'Mapa final'!$S$36),"")</f>
        <v/>
      </c>
      <c r="AL45" s="42" t="str">
        <f>IF(AND('Mapa final'!$AJ$37="Baja",'Mapa final'!$AL$37="Catastrófico"),CONCATENATE("R2C",'Mapa final'!$S$37),"")</f>
        <v/>
      </c>
      <c r="AM45" s="42" t="str">
        <f>IF(AND('Mapa final'!$AJ$38="Baja",'Mapa final'!$AL$38="LCatastrófico"),CONCATENATE("R2C",'Mapa final'!$S$38),"")</f>
        <v/>
      </c>
      <c r="AN45" s="43" t="str">
        <f>IF(AND('Mapa final'!$AJ$39="Baja",'Mapa final'!$AL$39="Catastrófico"),CONCATENATE("R2C",'Mapa final'!$S$39),"")</f>
        <v/>
      </c>
      <c r="AO45" s="69"/>
      <c r="AP45" s="524"/>
      <c r="AQ45" s="525"/>
      <c r="AR45" s="525"/>
      <c r="AS45" s="525"/>
      <c r="AT45" s="525"/>
      <c r="AU45" s="526"/>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97"/>
      <c r="D46" s="397"/>
      <c r="E46" s="398"/>
      <c r="F46" s="502"/>
      <c r="G46" s="501"/>
      <c r="H46" s="501"/>
      <c r="I46" s="501"/>
      <c r="J46" s="501"/>
      <c r="K46" s="62" t="str">
        <f>IF(AND('Mapa final'!$AJ$40="Baja",'Mapa final'!$AL$40="Leve"),CONCATENATE("R2C",'Mapa final'!$S$40),"")</f>
        <v/>
      </c>
      <c r="L46" s="63" t="str">
        <f>IF(AND('Mapa final'!$AJ$41="Baja",'Mapa final'!$AL$41="Leve"),CONCATENATE("R2C",'Mapa final'!$S$41),"")</f>
        <v/>
      </c>
      <c r="M46" s="63" t="str">
        <f>IF(AND('Mapa final'!$AJ$42="Baja",'Mapa final'!$AL$42="Leve"),CONCATENATE("R2C",'Mapa final'!$S$42),"")</f>
        <v/>
      </c>
      <c r="N46" s="63" t="str">
        <f>IF(AND('Mapa final'!$AJ$43="Baja",'Mapa final'!$AL$43="Leve"),CONCATENATE("R2C",'Mapa final'!$S$43),"")</f>
        <v/>
      </c>
      <c r="O46" s="63" t="str">
        <f>IF(AND('Mapa final'!$AJ$44="Baja",'Mapa final'!$AL$44="Leve"),CONCATENATE("R2C",'Mapa final'!$S$44),"")</f>
        <v/>
      </c>
      <c r="P46" s="64" t="str">
        <f>IF(AND('Mapa final'!$AJ$45="Baja",'Mapa final'!$AL$45="Leve"),CONCATENATE("R2C",'Mapa final'!$S$45),"")</f>
        <v/>
      </c>
      <c r="Q46" s="53" t="str">
        <f>IF(AND('Mapa final'!$AJ$40="Baja",'Mapa final'!$AL$40="Menor"),CONCATENATE("R2C",'Mapa final'!$S$40),"")</f>
        <v/>
      </c>
      <c r="R46" s="54" t="str">
        <f>IF(AND('Mapa final'!$AJ$41="Baja",'Mapa final'!$AL$41="Menor"),CONCATENATE("R2C",'Mapa final'!$S$41),"")</f>
        <v/>
      </c>
      <c r="S46" s="54" t="str">
        <f>IF(AND('Mapa final'!$AJ$42="Baja",'Mapa final'!$AL$42="Menor"),CONCATENATE("R2C",'Mapa final'!$S$42),"")</f>
        <v/>
      </c>
      <c r="T46" s="54" t="str">
        <f>IF(AND('Mapa final'!$AJ$43="Baja",'Mapa final'!$AL$43="Menor"),CONCATENATE("R2C",'Mapa final'!$S$43),"")</f>
        <v/>
      </c>
      <c r="U46" s="54" t="str">
        <f>IF(AND('Mapa final'!$AJ$44="Baja",'Mapa final'!$AL$44="Menor"),CONCATENATE("R2C",'Mapa final'!$S$44),"")</f>
        <v/>
      </c>
      <c r="V46" s="55" t="str">
        <f>IF(AND('Mapa final'!$AJ$45="Baja",'Mapa final'!$AL$45="Menor"),CONCATENATE("R2C",'Mapa final'!$S$45),"")</f>
        <v/>
      </c>
      <c r="W46" s="53" t="str">
        <f>IF(AND('Mapa final'!$AJ$40="Baja",'Mapa final'!$AL$40="Moderado"),CONCATENATE("R2C",'Mapa final'!$S$40),"")</f>
        <v/>
      </c>
      <c r="X46" s="54" t="str">
        <f>IF(AND('Mapa final'!$AJ$41="Baja",'Mapa final'!$AL$41="Moderado"),CONCATENATE("R2C",'Mapa final'!$S$41),"")</f>
        <v/>
      </c>
      <c r="Y46" s="54" t="str">
        <f>IF(AND('Mapa final'!$AJ$42="Baja",'Mapa final'!$AL$42="Moderado"),CONCATENATE("R2C",'Mapa final'!$S$42),"")</f>
        <v/>
      </c>
      <c r="Z46" s="54" t="str">
        <f>IF(AND('Mapa final'!$AJ$43="Baja",'Mapa final'!$AL$43="Moderado"),CONCATENATE("R2C",'Mapa final'!$S$43),"")</f>
        <v/>
      </c>
      <c r="AA46" s="54" t="str">
        <f>IF(AND('Mapa final'!$AJ$44="Baja",'Mapa final'!$AL$44="Moderado"),CONCATENATE("R2C",'Mapa final'!$S$44),"")</f>
        <v/>
      </c>
      <c r="AB46" s="55" t="str">
        <f>IF(AND('Mapa final'!$AJ$45="Baja",'Mapa final'!$AL$45="Moderado"),CONCATENATE("R2C",'Mapa final'!$S$45),"")</f>
        <v/>
      </c>
      <c r="AC46" s="38" t="str">
        <f>IF(AND('Mapa final'!$AJ$40="Baja",'Mapa final'!$AL$40="Mayor"),CONCATENATE("R2C",'Mapa final'!$S$40),"")</f>
        <v/>
      </c>
      <c r="AD46" s="39" t="str">
        <f>IF(AND('Mapa final'!$AJ$41="Baja",'Mapa final'!$AL$41="Mayor"),CONCATENATE("R2C",'Mapa final'!$S$41),"")</f>
        <v/>
      </c>
      <c r="AE46" s="39" t="str">
        <f>IF(AND('Mapa final'!$AJ$42="Baja",'Mapa final'!$AL$42="Mayor"),CONCATENATE("R2C",'Mapa final'!$S$42),"")</f>
        <v/>
      </c>
      <c r="AF46" s="39" t="str">
        <f>IF(AND('Mapa final'!$AJ$43="Baja",'Mapa final'!$AL$43="Mayor"),CONCATENATE("R2C",'Mapa final'!$S$43),"")</f>
        <v/>
      </c>
      <c r="AG46" s="39" t="str">
        <f>IF(AND('Mapa final'!$AJ$44="Baja",'Mapa final'!$AL$44="Mayor"),CONCATENATE("R2C",'Mapa final'!$S$44),"")</f>
        <v/>
      </c>
      <c r="AH46" s="40" t="str">
        <f>IF(AND('Mapa final'!$AJ$45="Baja",'Mapa final'!$AL$45="Mayor"),CONCATENATE("R2C",'Mapa final'!$S$45),"")</f>
        <v/>
      </c>
      <c r="AI46" s="41" t="str">
        <f>IF(AND('Mapa final'!$AJ$40="Baja",'Mapa final'!$AL$40="Catastrófico"),CONCATENATE("R2C",'Mapa final'!$S$40),"")</f>
        <v/>
      </c>
      <c r="AJ46" s="42" t="str">
        <f>IF(AND('Mapa final'!$AJ$41="Baja",'Mapa final'!$AL$41="Catastrófico"),CONCATENATE("R2C",'Mapa final'!$S$41),"")</f>
        <v/>
      </c>
      <c r="AK46" s="42" t="str">
        <f>IF(AND('Mapa final'!$AJ$42="Baja",'Mapa final'!$AL$42="Catastrófico"),CONCATENATE("R2C",'Mapa final'!$S$42),"")</f>
        <v/>
      </c>
      <c r="AL46" s="42" t="str">
        <f>IF(AND('Mapa final'!$AJ$43="Baja",'Mapa final'!$AL$43="Catastrófico"),CONCATENATE("R2C",'Mapa final'!$S$43),"")</f>
        <v/>
      </c>
      <c r="AM46" s="42" t="str">
        <f>IF(AND('Mapa final'!$AJ$44="Baja",'Mapa final'!$AL$44="Catastrófico"),CONCATENATE("R2C",'Mapa final'!$S$44),"")</f>
        <v/>
      </c>
      <c r="AN46" s="43" t="str">
        <f>IF(AND('Mapa final'!$AJ$45="Baja",'Mapa final'!$AL$45="Catastrófico"),CONCATENATE("R2C",'Mapa final'!$S$45),"")</f>
        <v/>
      </c>
      <c r="AO46" s="69"/>
      <c r="AP46" s="524"/>
      <c r="AQ46" s="525"/>
      <c r="AR46" s="525"/>
      <c r="AS46" s="525"/>
      <c r="AT46" s="525"/>
      <c r="AU46" s="526"/>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97"/>
      <c r="D47" s="397"/>
      <c r="E47" s="398"/>
      <c r="F47" s="502"/>
      <c r="G47" s="501"/>
      <c r="H47" s="501"/>
      <c r="I47" s="501"/>
      <c r="J47" s="501"/>
      <c r="K47" s="62" t="str">
        <f>IF(AND('Mapa final'!$AJ$46="Baja",'Mapa final'!$AL$46="Leve"),CONCATENATE("R2C",'Mapa final'!$S$46),"")</f>
        <v/>
      </c>
      <c r="L47" s="63" t="str">
        <f>IF(AND('Mapa final'!$AJ$47="Baja",'Mapa final'!$AL$47="Leve"),CONCATENATE("R2C",'Mapa final'!$S$47),"")</f>
        <v/>
      </c>
      <c r="M47" s="63" t="str">
        <f>IF(AND('Mapa final'!$AJ$48="Baja",'Mapa final'!$AL$48="Leve"),CONCATENATE("R2C",'Mapa final'!$S$48),"")</f>
        <v/>
      </c>
      <c r="N47" s="63" t="str">
        <f>IF(AND('Mapa final'!$AJ$49="Baja",'Mapa final'!$AL$49="Leve"),CONCATENATE("R2C",'Mapa final'!$S$49),"")</f>
        <v/>
      </c>
      <c r="O47" s="63" t="str">
        <f>IF(AND('Mapa final'!$AJ$50="Baja",'Mapa final'!$AL$50="Leve"),CONCATENATE("R2C",'Mapa final'!$S$50),"")</f>
        <v/>
      </c>
      <c r="P47" s="64" t="str">
        <f>IF(AND('Mapa final'!$AJ$61="Baja",'Mapa final'!$AL$51="Leve"),CONCATENATE("R2C",'Mapa final'!$S$51),"")</f>
        <v/>
      </c>
      <c r="Q47" s="53" t="str">
        <f>IF(AND('Mapa final'!$AJ$46="Baja",'Mapa final'!$AL$46="Menor"),CONCATENATE("R2C",'Mapa final'!$S$46),"")</f>
        <v/>
      </c>
      <c r="R47" s="54" t="str">
        <f>IF(AND('Mapa final'!$AJ$47="Baja",'Mapa final'!$AL$47="Menor"),CONCATENATE("R2C",'Mapa final'!$S$47),"")</f>
        <v/>
      </c>
      <c r="S47" s="54" t="str">
        <f>IF(AND('Mapa final'!$AJ$48="Baja",'Mapa final'!$AL$48="Menor"),CONCATENATE("R2C",'Mapa final'!$S$48),"")</f>
        <v/>
      </c>
      <c r="T47" s="54" t="str">
        <f>IF(AND('Mapa final'!$AJ$49="Baja",'Mapa final'!$AL$49="Menor"),CONCATENATE("R2C",'Mapa final'!$S$49),"")</f>
        <v/>
      </c>
      <c r="U47" s="54" t="str">
        <f>IF(AND('Mapa final'!$AJ$50="Baja",'Mapa final'!$AL$50="Menor"),CONCATENATE("R2C",'Mapa final'!$S$50),"")</f>
        <v/>
      </c>
      <c r="V47" s="55" t="str">
        <f>IF(AND('Mapa final'!$AJ$61="Baja",'Mapa final'!$AL$51="Menor"),CONCATENATE("R2C",'Mapa final'!$S$51),"")</f>
        <v/>
      </c>
      <c r="W47" s="53" t="str">
        <f>IF(AND('Mapa final'!$AJ$46="Baja",'Mapa final'!$AL$46="Moderado"),CONCATENATE("R2C",'Mapa final'!$S$46),"")</f>
        <v/>
      </c>
      <c r="X47" s="54" t="str">
        <f>IF(AND('Mapa final'!$AJ$47="Baja",'Mapa final'!$AL$47="Moderado"),CONCATENATE("R2C",'Mapa final'!$S$47),"")</f>
        <v/>
      </c>
      <c r="Y47" s="54" t="str">
        <f>IF(AND('Mapa final'!$AJ$48="Baja",'Mapa final'!$AL$48="Moderado"),CONCATENATE("R2C",'Mapa final'!$S$48),"")</f>
        <v/>
      </c>
      <c r="Z47" s="54" t="str">
        <f>IF(AND('Mapa final'!$AJ$49="Baja",'Mapa final'!$AL$49="Moderado"),CONCATENATE("R2C",'Mapa final'!$S$49),"")</f>
        <v/>
      </c>
      <c r="AA47" s="54" t="str">
        <f>IF(AND('Mapa final'!$AJ$50="Baja",'Mapa final'!$AL$50="Moderado"),CONCATENATE("R2C",'Mapa final'!$S$50),"")</f>
        <v/>
      </c>
      <c r="AB47" s="55" t="str">
        <f>IF(AND('Mapa final'!$AJ$61="Baja",'Mapa final'!$AL$51="Moderado"),CONCATENATE("R2C",'Mapa final'!$S$51),"")</f>
        <v/>
      </c>
      <c r="AC47" s="38" t="str">
        <f>IF(AND('Mapa final'!$AJ$46="Baja",'Mapa final'!$AL$46="Mayor"),CONCATENATE("R2C",'Mapa final'!$S$46),"")</f>
        <v/>
      </c>
      <c r="AD47" s="39" t="str">
        <f>IF(AND('Mapa final'!$AJ$47="Baja",'Mapa final'!$AL$47="Mayor"),CONCATENATE("R2C",'Mapa final'!$S$47),"")</f>
        <v/>
      </c>
      <c r="AE47" s="39" t="str">
        <f>IF(AND('Mapa final'!$AJ$48="Baja",'Mapa final'!$AL$48="Mayor"),CONCATENATE("R2C",'Mapa final'!$S$48),"")</f>
        <v/>
      </c>
      <c r="AF47" s="39" t="str">
        <f>IF(AND('Mapa final'!$AJ$49="Baja",'Mapa final'!$AL$49="Mayor"),CONCATENATE("R2C",'Mapa final'!$S$49),"")</f>
        <v/>
      </c>
      <c r="AG47" s="39" t="str">
        <f>IF(AND('Mapa final'!$AJ$50="Baja",'Mapa final'!$AL$50="Mayor"),CONCATENATE("R2C",'Mapa final'!$S$50),"")</f>
        <v/>
      </c>
      <c r="AH47" s="40" t="str">
        <f>IF(AND('Mapa final'!$AJ$61="Baja",'Mapa final'!$AL$51="Mayor"),CONCATENATE("R2C",'Mapa final'!$S$51),"")</f>
        <v/>
      </c>
      <c r="AI47" s="41" t="str">
        <f>IF(AND('Mapa final'!$AJ$46="Baja",'Mapa final'!$AL$46="Catastrófico"),CONCATENATE("R2C",'Mapa final'!$S$46),"")</f>
        <v/>
      </c>
      <c r="AJ47" s="42" t="str">
        <f>IF(AND('Mapa final'!$AJ$47="Baja",'Mapa final'!$AL$47="Catastrófico"),CONCATENATE("R2C",'Mapa final'!$S$47),"")</f>
        <v/>
      </c>
      <c r="AK47" s="42" t="str">
        <f>IF(AND('Mapa final'!$AJ$48="Baja",'Mapa final'!$AL$48="Catastrófico"),CONCATENATE("R2C",'Mapa final'!$S$48),"")</f>
        <v/>
      </c>
      <c r="AL47" s="42" t="str">
        <f>IF(AND('Mapa final'!$AJ$49="Baja",'Mapa final'!$AL$49="Catastrófico"),CONCATENATE("R2C",'Mapa final'!$S$49),"")</f>
        <v/>
      </c>
      <c r="AM47" s="42" t="str">
        <f>IF(AND('Mapa final'!$AJ$50="Baja",'Mapa final'!$AL$50="Catastrófico"),CONCATENATE("R2C",'Mapa final'!$S$50),"")</f>
        <v/>
      </c>
      <c r="AN47" s="43" t="str">
        <f>IF(AND('Mapa final'!$AJ$61="Baja",'Mapa final'!$AL$51="Catastrófico"),CONCATENATE("R2C",'Mapa final'!$S$51),"")</f>
        <v/>
      </c>
      <c r="AO47" s="69"/>
      <c r="AP47" s="524"/>
      <c r="AQ47" s="525"/>
      <c r="AR47" s="525"/>
      <c r="AS47" s="525"/>
      <c r="AT47" s="525"/>
      <c r="AU47" s="526"/>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97"/>
      <c r="D48" s="397"/>
      <c r="E48" s="398"/>
      <c r="F48" s="502"/>
      <c r="G48" s="501"/>
      <c r="H48" s="501"/>
      <c r="I48" s="501"/>
      <c r="J48" s="501"/>
      <c r="K48" s="62" t="str">
        <f>IF(AND('Mapa final'!$AJ$52="Baja",'Mapa final'!$AL$52="Leve"),CONCATENATE("R2C",'Mapa final'!$S$52),"")</f>
        <v/>
      </c>
      <c r="L48" s="63" t="str">
        <f>IF(AND('Mapa final'!$AJ$53="Baja",'Mapa final'!$AL$53="Leve"),CONCATENATE("R2C",'Mapa final'!$S$53),"")</f>
        <v/>
      </c>
      <c r="M48" s="63" t="str">
        <f>IF(AND('Mapa final'!$AJ$54="Baja",'Mapa final'!$AL$54="Leve"),CONCATENATE("R2C",'Mapa final'!$S$54),"")</f>
        <v/>
      </c>
      <c r="N48" s="63" t="str">
        <f>IF(AND('Mapa final'!$AJ$55="Baja",'Mapa final'!$AL$55="Leve"),CONCATENATE("R2C",'Mapa final'!$S$55),"")</f>
        <v/>
      </c>
      <c r="O48" s="63" t="str">
        <f>IF(AND('Mapa final'!$AJ$56="Baja",'Mapa final'!$AL$56="Leve"),CONCATENATE("R2C",'Mapa final'!$S$56),"")</f>
        <v/>
      </c>
      <c r="P48" s="64" t="str">
        <f>IF(AND('Mapa final'!$AJ$57="Baja",'Mapa final'!$AL$57="Leve"),CONCATENATE("R2C",'Mapa final'!$S$57),"")</f>
        <v/>
      </c>
      <c r="Q48" s="53" t="str">
        <f>IF(AND('Mapa final'!$AJ$52="Baja",'Mapa final'!$AL$52="Menor"),CONCATENATE("R2C",'Mapa final'!$S$52),"")</f>
        <v/>
      </c>
      <c r="R48" s="54" t="str">
        <f>IF(AND('Mapa final'!$AJ$53="Baja",'Mapa final'!$AL$53="Menor"),CONCATENATE("R2C",'Mapa final'!$S$53),"")</f>
        <v/>
      </c>
      <c r="S48" s="54" t="str">
        <f>IF(AND('Mapa final'!$AJ$54="Baja",'Mapa final'!$AL$54="Menor"),CONCATENATE("R2C",'Mapa final'!$S$54),"")</f>
        <v/>
      </c>
      <c r="T48" s="54" t="str">
        <f>IF(AND('Mapa final'!$AJ$55="Baja",'Mapa final'!$AL$55="Menor"),CONCATENATE("R2C",'Mapa final'!$S$55),"")</f>
        <v/>
      </c>
      <c r="U48" s="54" t="str">
        <f>IF(AND('Mapa final'!$AJ$56="Baja",'Mapa final'!$AL$56="Menor"),CONCATENATE("R2C",'Mapa final'!$S$56),"")</f>
        <v/>
      </c>
      <c r="V48" s="55" t="str">
        <f>IF(AND('Mapa final'!$AJ$57="Baja",'Mapa final'!$AL$57="Menor"),CONCATENATE("R2C",'Mapa final'!$S$57),"")</f>
        <v/>
      </c>
      <c r="W48" s="53" t="str">
        <f>IF(AND('Mapa final'!$AJ$52="Baja",'Mapa final'!$AL$52="Moderado"),CONCATENATE("R2C",'Mapa final'!$S$52),"")</f>
        <v/>
      </c>
      <c r="X48" s="54" t="str">
        <f>IF(AND('Mapa final'!$AJ$53="Baja",'Mapa final'!$AL$53="Moderado"),CONCATENATE("R2C",'Mapa final'!$S$53),"")</f>
        <v/>
      </c>
      <c r="Y48" s="54" t="str">
        <f>IF(AND('Mapa final'!$AJ$54="Baja",'Mapa final'!$AL$54="Moderado"),CONCATENATE("R2C",'Mapa final'!$S$54),"")</f>
        <v/>
      </c>
      <c r="Z48" s="54" t="str">
        <f>IF(AND('Mapa final'!$AJ$55="Baja",'Mapa final'!$AL$55="Moderado"),CONCATENATE("R2C",'Mapa final'!$S$55),"")</f>
        <v/>
      </c>
      <c r="AA48" s="54" t="str">
        <f>IF(AND('Mapa final'!$AJ$56="Baja",'Mapa final'!$AL$56="Moderado"),CONCATENATE("R2C",'Mapa final'!$S$56),"")</f>
        <v/>
      </c>
      <c r="AB48" s="55" t="str">
        <f>IF(AND('Mapa final'!$AJ$57="Baja",'Mapa final'!$AL$57="Moderado"),CONCATENATE("R2C",'Mapa final'!$S$57),"")</f>
        <v/>
      </c>
      <c r="AC48" s="38" t="str">
        <f>IF(AND('Mapa final'!$AJ$52="Baja",'Mapa final'!$AL$52="Mayor"),CONCATENATE("R2C",'Mapa final'!$S$52),"")</f>
        <v/>
      </c>
      <c r="AD48" s="39" t="str">
        <f>IF(AND('Mapa final'!$AJ$53="Baja",'Mapa final'!$AL$53="Mayor"),CONCATENATE("R2C",'Mapa final'!$S$53),"")</f>
        <v/>
      </c>
      <c r="AE48" s="39" t="str">
        <f>IF(AND('Mapa final'!$AJ$54="Baja",'Mapa final'!$AL$54="Mayor"),CONCATENATE("R2C",'Mapa final'!$S$54),"")</f>
        <v/>
      </c>
      <c r="AF48" s="39" t="str">
        <f>IF(AND('Mapa final'!$AJ$55="Baja",'Mapa final'!$AL$55="Mayor"),CONCATENATE("R2C",'Mapa final'!$S$55),"")</f>
        <v/>
      </c>
      <c r="AG48" s="39" t="str">
        <f>IF(AND('Mapa final'!$AJ$56="Baja",'Mapa final'!$AL$56="Mayor"),CONCATENATE("R2C",'Mapa final'!$S$56),"")</f>
        <v/>
      </c>
      <c r="AH48" s="40" t="str">
        <f>IF(AND('Mapa final'!$AJ$57="Baja",'Mapa final'!$AL$57="Mayor"),CONCATENATE("R2C",'Mapa final'!$S$57),"")</f>
        <v/>
      </c>
      <c r="AI48" s="41" t="str">
        <f>IF(AND('Mapa final'!$AJ$52="Baja",'Mapa final'!$AL$52="Catastrófico"),CONCATENATE("R2C",'Mapa final'!$S$52),"")</f>
        <v/>
      </c>
      <c r="AJ48" s="42" t="str">
        <f>IF(AND('Mapa final'!$AJ$53="Baja",'Mapa final'!$AL$53="Catastrófico"),CONCATENATE("R2C",'Mapa final'!$S$53),"")</f>
        <v/>
      </c>
      <c r="AK48" s="42" t="str">
        <f>IF(AND('Mapa final'!$AJ$54="Baja",'Mapa final'!$AL$54="Catastrófico"),CONCATENATE("R2C",'Mapa final'!$S$54),"")</f>
        <v/>
      </c>
      <c r="AL48" s="42" t="str">
        <f>IF(AND('Mapa final'!$AJ$55="Baja",'Mapa final'!$AL$55="Catastrófico"),CONCATENATE("R2C",'Mapa final'!$S$55),"")</f>
        <v/>
      </c>
      <c r="AM48" s="42" t="str">
        <f>IF(AND('Mapa final'!$AJ$56="Baja",'Mapa final'!$AL$56="Catastrófico"),CONCATENATE("R2C",'Mapa final'!$S$56),"")</f>
        <v/>
      </c>
      <c r="AN48" s="43" t="str">
        <f>IF(AND('Mapa final'!$AJ$57="Baja",'Mapa final'!$AL$57="Catastrófico"),CONCATENATE("R2C",'Mapa final'!$S$57),"")</f>
        <v/>
      </c>
      <c r="AO48" s="69"/>
      <c r="AP48" s="524"/>
      <c r="AQ48" s="525"/>
      <c r="AR48" s="525"/>
      <c r="AS48" s="525"/>
      <c r="AT48" s="525"/>
      <c r="AU48" s="526"/>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97"/>
      <c r="D49" s="397"/>
      <c r="E49" s="398"/>
      <c r="F49" s="502"/>
      <c r="G49" s="501"/>
      <c r="H49" s="501"/>
      <c r="I49" s="501"/>
      <c r="J49" s="501"/>
      <c r="K49" s="62" t="str">
        <f>IF(AND('Mapa final'!$AJ$58="Baja",'Mapa final'!$AL$58="Leve"),CONCATENATE("R2C",'Mapa final'!$S$58),"")</f>
        <v/>
      </c>
      <c r="L49" s="63" t="str">
        <f>IF(AND('Mapa final'!$AJ$59="Baja",'Mapa final'!$AL$59="Leve"),CONCATENATE("R2C",'Mapa final'!$S$59),"")</f>
        <v/>
      </c>
      <c r="M49" s="63" t="str">
        <f>IF(AND('Mapa final'!$AJ$60="Baja",'Mapa final'!$AL$60="Leve"),CONCATENATE("R2C",'Mapa final'!$S$60),"")</f>
        <v/>
      </c>
      <c r="N49" s="63" t="str">
        <f>IF(AND('Mapa final'!$AJ$61="Baja",'Mapa final'!$AL$61="Leve"),CONCATENATE("R2C",'Mapa final'!$S$61),"")</f>
        <v/>
      </c>
      <c r="O49" s="63" t="str">
        <f>IF(AND('Mapa final'!$AJ$62="Baja",'Mapa final'!$AL$62="Leve"),CONCATENATE("R2C",'Mapa final'!$S$62),"")</f>
        <v/>
      </c>
      <c r="P49" s="64" t="str">
        <f>IF(AND('Mapa final'!$AJ$63="Baja",'Mapa final'!$AL$63="Leve"),CONCATENATE("R2C",'Mapa final'!$S$63),"")</f>
        <v/>
      </c>
      <c r="Q49" s="53" t="str">
        <f>IF(AND('Mapa final'!$AJ$58="Baja",'Mapa final'!$AL$58="Menor"),CONCATENATE("R2C",'Mapa final'!$S$58),"")</f>
        <v/>
      </c>
      <c r="R49" s="54" t="str">
        <f>IF(AND('Mapa final'!$AJ$59="Baja",'Mapa final'!$AL$59="Menor"),CONCATENATE("R2C",'Mapa final'!$S$59),"")</f>
        <v/>
      </c>
      <c r="S49" s="54" t="str">
        <f>IF(AND('Mapa final'!$AJ$60="Baja",'Mapa final'!$AL$60="Menor"),CONCATENATE("R2C",'Mapa final'!$S$60),"")</f>
        <v/>
      </c>
      <c r="T49" s="54" t="str">
        <f>IF(AND('Mapa final'!$AJ$61="Baja",'Mapa final'!$AL$61="Menor"),CONCATENATE("R2C",'Mapa final'!$S$61),"")</f>
        <v/>
      </c>
      <c r="U49" s="54" t="str">
        <f>IF(AND('Mapa final'!$AJ$62="Baja",'Mapa final'!$AL$62="Menor"),CONCATENATE("R2C",'Mapa final'!$S$62),"")</f>
        <v/>
      </c>
      <c r="V49" s="55" t="str">
        <f>IF(AND('Mapa final'!$AJ$63="Baja",'Mapa final'!$AL$63="Menor"),CONCATENATE("R2C",'Mapa final'!$S$63),"")</f>
        <v/>
      </c>
      <c r="W49" s="53" t="str">
        <f>IF(AND('Mapa final'!$AJ$58="Baja",'Mapa final'!$AL$58="Moderado"),CONCATENATE("R2C",'Mapa final'!$S$58),"")</f>
        <v/>
      </c>
      <c r="X49" s="54" t="str">
        <f>IF(AND('Mapa final'!$AJ$59="Baja",'Mapa final'!$AL$59="Moderado"),CONCATENATE("R2C",'Mapa final'!$S$59),"")</f>
        <v/>
      </c>
      <c r="Y49" s="54" t="str">
        <f>IF(AND('Mapa final'!$AJ$60="Baja",'Mapa final'!$AL$60="Moderado"),CONCATENATE("R2C",'Mapa final'!$S$60),"")</f>
        <v/>
      </c>
      <c r="Z49" s="54" t="str">
        <f>IF(AND('Mapa final'!$AJ$61="Baja",'Mapa final'!$AL$61="Moderado"),CONCATENATE("R2C",'Mapa final'!$S$61),"")</f>
        <v/>
      </c>
      <c r="AA49" s="54" t="str">
        <f>IF(AND('Mapa final'!$AJ$62="Baja",'Mapa final'!$AL$62="Moderado"),CONCATENATE("R2C",'Mapa final'!$S$62),"")</f>
        <v/>
      </c>
      <c r="AB49" s="55" t="str">
        <f>IF(AND('Mapa final'!$AJ$63="Baja",'Mapa final'!$AL$63="Moderado"),CONCATENATE("R2C",'Mapa final'!$S$63),"")</f>
        <v/>
      </c>
      <c r="AC49" s="38" t="str">
        <f>IF(AND('Mapa final'!$AJ$58="Baja",'Mapa final'!$AL$58="Mayor"),CONCATENATE("R2C",'Mapa final'!$S$58),"")</f>
        <v/>
      </c>
      <c r="AD49" s="39" t="str">
        <f>IF(AND('Mapa final'!$AJ$59="Baja",'Mapa final'!$AL$59="Mayor"),CONCATENATE("R2C",'Mapa final'!$S$59),"")</f>
        <v/>
      </c>
      <c r="AE49" s="39" t="str">
        <f>IF(AND('Mapa final'!$AJ$60="Baja",'Mapa final'!$AL$60="Mayor"),CONCATENATE("R2C",'Mapa final'!$S$60),"")</f>
        <v/>
      </c>
      <c r="AF49" s="39" t="str">
        <f>IF(AND('Mapa final'!$AJ$61="Baja",'Mapa final'!$AL$61="Mayor"),CONCATENATE("R2C",'Mapa final'!$S$61),"")</f>
        <v/>
      </c>
      <c r="AG49" s="39" t="str">
        <f>IF(AND('Mapa final'!$AJ$62="Baja",'Mapa final'!$AL$62="Mayor"),CONCATENATE("R2C",'Mapa final'!$S$62),"")</f>
        <v/>
      </c>
      <c r="AH49" s="40" t="str">
        <f>IF(AND('Mapa final'!$AJ$63="Baja",'Mapa final'!$AL$63="Mayor"),CONCATENATE("R2C",'Mapa final'!$S$63),"")</f>
        <v/>
      </c>
      <c r="AI49" s="41" t="str">
        <f>IF(AND('Mapa final'!$AJ$58="Baja",'Mapa final'!$AL$58="Catastrófico"),CONCATENATE("R2C",'Mapa final'!$S$58),"")</f>
        <v/>
      </c>
      <c r="AJ49" s="42" t="str">
        <f>IF(AND('Mapa final'!$AJ$59="Baja",'Mapa final'!$AL$59="Catastrófico"),CONCATENATE("R2C",'Mapa final'!$S$59),"")</f>
        <v/>
      </c>
      <c r="AK49" s="42" t="str">
        <f>IF(AND('Mapa final'!$AJ$60="Baja",'Mapa final'!$AL$60="Catastrófico"),CONCATENATE("R2C",'Mapa final'!$S$60),"")</f>
        <v/>
      </c>
      <c r="AL49" s="42" t="str">
        <f>IF(AND('Mapa final'!$AJ$61="Baja",'Mapa final'!$AL$61="Catastrófico"),CONCATENATE("R2C",'Mapa final'!$S$61),"")</f>
        <v/>
      </c>
      <c r="AM49" s="42" t="str">
        <f>IF(AND('Mapa final'!$AJ$62="Baja",'Mapa final'!$AL$62="Catastrófico"),CONCATENATE("R2C",'Mapa final'!$S$62),"")</f>
        <v/>
      </c>
      <c r="AN49" s="43" t="str">
        <f>IF(AND('Mapa final'!$AJ$63="Baja",'Mapa final'!$AL$63="Catastrófico"),CONCATENATE("R2C",'Mapa final'!$S$63),"")</f>
        <v/>
      </c>
      <c r="AO49" s="69"/>
      <c r="AP49" s="524"/>
      <c r="AQ49" s="525"/>
      <c r="AR49" s="525"/>
      <c r="AS49" s="525"/>
      <c r="AT49" s="525"/>
      <c r="AU49" s="526"/>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97"/>
      <c r="D50" s="397"/>
      <c r="E50" s="398"/>
      <c r="F50" s="502"/>
      <c r="G50" s="501"/>
      <c r="H50" s="501"/>
      <c r="I50" s="501"/>
      <c r="J50" s="501"/>
      <c r="K50" s="62" t="str">
        <f>IF(AND('Mapa final'!$AJ$64="Baja",'Mapa final'!$AL$64="Leve"),CONCATENATE("R2C",'Mapa final'!$S$64),"")</f>
        <v/>
      </c>
      <c r="L50" s="63" t="str">
        <f>IF(AND('Mapa final'!$AJ$65="Baja",'Mapa final'!$AL$65="Leve"),CONCATENATE("R2C",'Mapa final'!$S$65),"")</f>
        <v/>
      </c>
      <c r="M50" s="63" t="str">
        <f>IF(AND('Mapa final'!$AJ$66="Baja",'Mapa final'!$AL$66="Leve"),CONCATENATE("R2C",'Mapa final'!$S$66),"")</f>
        <v/>
      </c>
      <c r="N50" s="63" t="str">
        <f>IF(AND('Mapa final'!$AJ$67="Baja",'Mapa final'!$AL$67="Leve"),CONCATENATE("R2C",'Mapa final'!$S$67),"")</f>
        <v/>
      </c>
      <c r="O50" s="63" t="str">
        <f>IF(AND('Mapa final'!$AJ$68="Baja",'Mapa final'!$AL$68="Leve"),CONCATENATE("R2C",'Mapa final'!$S$68),"")</f>
        <v/>
      </c>
      <c r="P50" s="64" t="str">
        <f>IF(AND('Mapa final'!$AJ$69="Baja",'Mapa final'!$AL$69="Leve"),CONCATENATE("R2C",'Mapa final'!$S$69),"")</f>
        <v/>
      </c>
      <c r="Q50" s="53" t="str">
        <f>IF(AND('Mapa final'!$AJ$64="Baja",'Mapa final'!$AL$64="Menor"),CONCATENATE("R2C",'Mapa final'!$S$64),"")</f>
        <v/>
      </c>
      <c r="R50" s="54" t="str">
        <f>IF(AND('Mapa final'!$AJ$65="Baja",'Mapa final'!$AL$65="Menor"),CONCATENATE("R2C",'Mapa final'!$S$65),"")</f>
        <v/>
      </c>
      <c r="S50" s="54" t="str">
        <f>IF(AND('Mapa final'!$AJ$66="Baja",'Mapa final'!$AL$66="Menor"),CONCATENATE("R2C",'Mapa final'!$S$66),"")</f>
        <v/>
      </c>
      <c r="T50" s="54" t="str">
        <f>IF(AND('Mapa final'!$AJ$67="Baja",'Mapa final'!$AL$67="Menor"),CONCATENATE("R2C",'Mapa final'!$S$67),"")</f>
        <v/>
      </c>
      <c r="U50" s="54" t="str">
        <f>IF(AND('Mapa final'!$AJ$68="Baja",'Mapa final'!$AL$68="Menor"),CONCATENATE("R2C",'Mapa final'!$S$68),"")</f>
        <v/>
      </c>
      <c r="V50" s="55" t="str">
        <f>IF(AND('Mapa final'!$AJ$69="Baja",'Mapa final'!$AL$69="Menor"),CONCATENATE("R2C",'Mapa final'!$S$69),"")</f>
        <v/>
      </c>
      <c r="W50" s="53" t="str">
        <f>IF(AND('Mapa final'!$AJ$64="Baja",'Mapa final'!$AL$64="Moderado"),CONCATENATE("R2C",'Mapa final'!$S$64),"")</f>
        <v/>
      </c>
      <c r="X50" s="54" t="str">
        <f>IF(AND('Mapa final'!$AJ$65="Baja",'Mapa final'!$AL$65="Moderado"),CONCATENATE("R2C",'Mapa final'!$S$65),"")</f>
        <v/>
      </c>
      <c r="Y50" s="54" t="str">
        <f>IF(AND('Mapa final'!$AJ$66="Baja",'Mapa final'!$AL$66="Moderado"),CONCATENATE("R2C",'Mapa final'!$S$66),"")</f>
        <v/>
      </c>
      <c r="Z50" s="54" t="str">
        <f>IF(AND('Mapa final'!$AJ$67="Baja",'Mapa final'!$AL$67="Moderado"),CONCATENATE("R2C",'Mapa final'!$S$67),"")</f>
        <v/>
      </c>
      <c r="AA50" s="54" t="str">
        <f>IF(AND('Mapa final'!$AJ$68="Baja",'Mapa final'!$AL$68="Moderado"),CONCATENATE("R2C",'Mapa final'!$S$68),"")</f>
        <v/>
      </c>
      <c r="AB50" s="55" t="str">
        <f>IF(AND('Mapa final'!$AJ$69="Baja",'Mapa final'!$AL$69="Moderado"),CONCATENATE("R2C",'Mapa final'!$S$69),"")</f>
        <v/>
      </c>
      <c r="AC50" s="38" t="str">
        <f>IF(AND('Mapa final'!$AJ$64="Baja",'Mapa final'!$AL$64="Mayor"),CONCATENATE("R2C",'Mapa final'!$S$64),"")</f>
        <v/>
      </c>
      <c r="AD50" s="39" t="str">
        <f>IF(AND('Mapa final'!$AJ$65="Baja",'Mapa final'!$AL$65="Mayor"),CONCATENATE("R2C",'Mapa final'!$S$65),"")</f>
        <v/>
      </c>
      <c r="AE50" s="39" t="str">
        <f>IF(AND('Mapa final'!$AJ$66="Baja",'Mapa final'!$AL$66="Mayor"),CONCATENATE("R2C",'Mapa final'!$S$66),"")</f>
        <v/>
      </c>
      <c r="AF50" s="39" t="str">
        <f>IF(AND('Mapa final'!$AJ$67="Baja",'Mapa final'!$AL$67="Mayor"),CONCATENATE("R2C",'Mapa final'!$S$67),"")</f>
        <v/>
      </c>
      <c r="AG50" s="39" t="str">
        <f>IF(AND('Mapa final'!$AJ$68="Baja",'Mapa final'!$AL$68="Mayor"),CONCATENATE("R2C",'Mapa final'!$S$68),"")</f>
        <v/>
      </c>
      <c r="AH50" s="40" t="str">
        <f>IF(AND('Mapa final'!$AJ$69="Baja",'Mapa final'!$AL$69="Mayor"),CONCATENATE("R2C",'Mapa final'!$S$69),"")</f>
        <v/>
      </c>
      <c r="AI50" s="41" t="str">
        <f>IF(AND('Mapa final'!$AJ$64="Baja",'Mapa final'!$AL$64="Catastrófico"),CONCATENATE("R2C",'Mapa final'!$S$64),"")</f>
        <v/>
      </c>
      <c r="AJ50" s="42" t="str">
        <f>IF(AND('Mapa final'!$AJ$65="Baja",'Mapa final'!$AL$65="Catastrófico"),CONCATENATE("R2C",'Mapa final'!$S$65),"")</f>
        <v/>
      </c>
      <c r="AK50" s="42" t="str">
        <f>IF(AND('Mapa final'!$AJ$66="Baja",'Mapa final'!$AL$66="Catastrófico"),CONCATENATE("R2C",'Mapa final'!$S$66),"")</f>
        <v/>
      </c>
      <c r="AL50" s="42" t="str">
        <f>IF(AND('Mapa final'!$AJ$67="Baja",'Mapa final'!$AL$67="Catastrófico"),CONCATENATE("R2C",'Mapa final'!$S$67),"")</f>
        <v/>
      </c>
      <c r="AM50" s="42" t="str">
        <f>IF(AND('Mapa final'!$AJ$68="Baja",'Mapa final'!$AL$68="Catastrófico"),CONCATENATE("R2C",'Mapa final'!$S$68),"")</f>
        <v/>
      </c>
      <c r="AN50" s="43" t="str">
        <f>IF(AND('Mapa final'!$AJ$69="Baja",'Mapa final'!$AL$69="Catastrófico"),CONCATENATE("R2C",'Mapa final'!$S$69),"")</f>
        <v/>
      </c>
      <c r="AO50" s="69"/>
      <c r="AP50" s="524"/>
      <c r="AQ50" s="525"/>
      <c r="AR50" s="525"/>
      <c r="AS50" s="525"/>
      <c r="AT50" s="525"/>
      <c r="AU50" s="526"/>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97"/>
      <c r="D51" s="397"/>
      <c r="E51" s="398"/>
      <c r="F51" s="503"/>
      <c r="G51" s="504"/>
      <c r="H51" s="504"/>
      <c r="I51" s="504"/>
      <c r="J51" s="504"/>
      <c r="K51" s="65" t="str">
        <f>IF(AND('Mapa final'!$AJ$70="Baja",'Mapa final'!$AL$70="Leve"),CONCATENATE("R2C",'Mapa final'!$S$70),"")</f>
        <v/>
      </c>
      <c r="L51" s="66" t="str">
        <f>IF(AND('Mapa final'!$AJ$71="Baja",'Mapa final'!$AL$71="Leve"),CONCATENATE("R2C",'Mapa final'!$S$71),"")</f>
        <v/>
      </c>
      <c r="M51" s="66" t="str">
        <f>IF(AND('Mapa final'!$AJ$72="Baja",'Mapa final'!$AL$72="Leve"),CONCATENATE("R2C",'Mapa final'!$S$72),"")</f>
        <v/>
      </c>
      <c r="N51" s="66" t="str">
        <f>IF(AND('Mapa final'!$AJ$73="Baja",'Mapa final'!$AL$73="Leve"),CONCATENATE("R2C",'Mapa final'!$S$73),"")</f>
        <v/>
      </c>
      <c r="O51" s="66" t="str">
        <f>IF(AND('Mapa final'!$AJ$75="Baja",'Mapa final'!$AL$75="Leve"),CONCATENATE("R2C",'Mapa final'!$S$75),"")</f>
        <v/>
      </c>
      <c r="P51" s="67" t="str">
        <f>IF(AND('Mapa final'!$AJ$76="Baja",'Mapa final'!$AL$76="Leve"),CONCATENATE("R2C",'Mapa final'!$S$76),"")</f>
        <v/>
      </c>
      <c r="Q51" s="53" t="str">
        <f>IF(AND('Mapa final'!$AJ$70="Baja",'Mapa final'!$AL$70="Menor"),CONCATENATE("R2C",'Mapa final'!$S$70),"")</f>
        <v/>
      </c>
      <c r="R51" s="54" t="str">
        <f>IF(AND('Mapa final'!$AJ$71="Baja",'Mapa final'!$AL$71="Menor"),CONCATENATE("R2C",'Mapa final'!$S$71),"")</f>
        <v/>
      </c>
      <c r="S51" s="54" t="str">
        <f>IF(AND('Mapa final'!$AJ$72="Baja",'Mapa final'!$AL$72="Menor"),CONCATENATE("R2C",'Mapa final'!$S$72),"")</f>
        <v/>
      </c>
      <c r="T51" s="54" t="str">
        <f>IF(AND('Mapa final'!$AJ$73="Baja",'Mapa final'!$AL$73="Menor"),CONCATENATE("R2C",'Mapa final'!$S$73),"")</f>
        <v/>
      </c>
      <c r="U51" s="54" t="str">
        <f>IF(AND('Mapa final'!$AJ$75="Baja",'Mapa final'!$AL$75="Menor"),CONCATENATE("R2C",'Mapa final'!$S$75),"")</f>
        <v/>
      </c>
      <c r="V51" s="55" t="str">
        <f>IF(AND('Mapa final'!$AJ$76="Baja",'Mapa final'!$AL$76="Menor"),CONCATENATE("R2C",'Mapa final'!$S$76),"")</f>
        <v/>
      </c>
      <c r="W51" s="56" t="str">
        <f>IF(AND('Mapa final'!$AJ$70="Baja",'Mapa final'!$AL$70="Moderado"),CONCATENATE("R2C",'Mapa final'!$S$70),"")</f>
        <v/>
      </c>
      <c r="X51" s="57" t="str">
        <f>IF(AND('Mapa final'!$AJ$71="Baja",'Mapa final'!$AL$71="Moderado"),CONCATENATE("R2C",'Mapa final'!$S$71),"")</f>
        <v/>
      </c>
      <c r="Y51" s="57" t="str">
        <f>IF(AND('Mapa final'!$AJ$72="Baja",'Mapa final'!$AL$72="Moderado"),CONCATENATE("R2C",'Mapa final'!$S$72),"")</f>
        <v/>
      </c>
      <c r="Z51" s="57" t="str">
        <f>IF(AND('Mapa final'!$AJ$73="Baja",'Mapa final'!$AL$73="Moderado"),CONCATENATE("R2C",'Mapa final'!$S$73),"")</f>
        <v/>
      </c>
      <c r="AA51" s="57" t="str">
        <f>IF(AND('Mapa final'!$AJ$75="Baja",'Mapa final'!$AL$75="Moderado"),CONCATENATE("R2C",'Mapa final'!$S$75),"")</f>
        <v/>
      </c>
      <c r="AB51" s="58" t="str">
        <f>IF(AND('Mapa final'!$AJ$76="Baja",'Mapa final'!$AL$76="Moderado"),CONCATENATE("R2C",'Mapa final'!$S$76),"")</f>
        <v/>
      </c>
      <c r="AC51" s="44" t="str">
        <f>IF(AND('Mapa final'!$AJ$70="Baja",'Mapa final'!$AL$70="Mayor"),CONCATENATE("R2C",'Mapa final'!$S$70),"")</f>
        <v/>
      </c>
      <c r="AD51" s="45" t="str">
        <f>IF(AND('Mapa final'!$AJ$71="Baja",'Mapa final'!$AL$71="Mayor"),CONCATENATE("R2C",'Mapa final'!$S$71),"")</f>
        <v/>
      </c>
      <c r="AE51" s="45" t="str">
        <f>IF(AND('Mapa final'!$AJ$72="Baja",'Mapa final'!$AL$72="Mayor"),CONCATENATE("R2C",'Mapa final'!$S$72),"")</f>
        <v/>
      </c>
      <c r="AF51" s="45" t="str">
        <f>IF(AND('Mapa final'!$AJ$73="Baja",'Mapa final'!$AL$73="Mayor"),CONCATENATE("R2C",'Mapa final'!$S$73),"")</f>
        <v/>
      </c>
      <c r="AG51" s="45" t="str">
        <f>IF(AND('Mapa final'!$AJ$75="Baja",'Mapa final'!$AL$75="Mayor"),CONCATENATE("R2C",'Mapa final'!$S$75),"")</f>
        <v/>
      </c>
      <c r="AH51" s="46" t="str">
        <f>IF(AND('Mapa final'!$AJ$76="Baja",'Mapa final'!$AL$76="Mayor"),CONCATENATE("R2C",'Mapa final'!$S$76),"")</f>
        <v/>
      </c>
      <c r="AI51" s="47" t="str">
        <f>IF(AND('Mapa final'!$AJ$70="Baja",'Mapa final'!$AL$70="Catastrófico"),CONCATENATE("R2C",'Mapa final'!$S$70),"")</f>
        <v/>
      </c>
      <c r="AJ51" s="48" t="str">
        <f>IF(AND('Mapa final'!$AJ$71="Baja",'Mapa final'!$AL$71="Catastrófico"),CONCATENATE("R2C",'Mapa final'!$S$71),"")</f>
        <v/>
      </c>
      <c r="AK51" s="48" t="str">
        <f>IF(AND('Mapa final'!$AJ$72="Baja",'Mapa final'!$AL$72="Catastrófico"),CONCATENATE("R2C",'Mapa final'!$S$72),"")</f>
        <v/>
      </c>
      <c r="AL51" s="48" t="str">
        <f>IF(AND('Mapa final'!$AJ$73="Baja",'Mapa final'!$AL$73="Catastrófico"),CONCATENATE("R2C",'Mapa final'!$S$73),"")</f>
        <v/>
      </c>
      <c r="AM51" s="48" t="str">
        <f>IF(AND('Mapa final'!$AJ$75="Baja",'Mapa final'!$AL$75="Catastrófico"),CONCATENATE("R2C",'Mapa final'!$S$75),"")</f>
        <v/>
      </c>
      <c r="AN51" s="49" t="str">
        <f>IF(AND('Mapa final'!$AJ$76="Baja",'Mapa final'!$AL$76="Catastrófico"),CONCATENATE("R2C",'Mapa final'!$S$76),"")</f>
        <v/>
      </c>
      <c r="AO51" s="69"/>
      <c r="AP51" s="527"/>
      <c r="AQ51" s="528"/>
      <c r="AR51" s="528"/>
      <c r="AS51" s="528"/>
      <c r="AT51" s="528"/>
      <c r="AU51" s="529"/>
    </row>
    <row r="52" spans="2:81" ht="41.25" customHeight="1" x14ac:dyDescent="0.35">
      <c r="B52" s="69"/>
      <c r="C52" s="397"/>
      <c r="D52" s="397"/>
      <c r="E52" s="398"/>
      <c r="F52" s="498" t="s">
        <v>111</v>
      </c>
      <c r="G52" s="499"/>
      <c r="H52" s="499"/>
      <c r="I52" s="499"/>
      <c r="J52" s="518"/>
      <c r="K52" s="59" t="str">
        <f ca="1">IF(AND('Mapa final'!$AJ$15="Muy Baja",'Mapa final'!$AL$15="Leve"),CONCATENATE("R2C",'Mapa final'!$S$15),"")</f>
        <v/>
      </c>
      <c r="L52" s="60" t="str">
        <f>IF(AND('Mapa final'!$AJ$16="Muy Baja",'Mapa final'!$AL$16="Leve"),CONCATENATE("R2C",'Mapa final'!$S$16),"")</f>
        <v/>
      </c>
      <c r="M52" s="60" t="str">
        <f ca="1">IF(AND('Mapa final'!$AJ$17="Muy Baja",'Mapa final'!$AL$17="Leve"),CONCATENATE("R2C",'Mapa final'!$S$17),"")</f>
        <v/>
      </c>
      <c r="N52" s="60" t="str">
        <f ca="1">IF(AND('Mapa final'!$AJ$19="Muy Baja",'Mapa final'!$AL$19="Leve"),CONCATENATE("R2C",'Mapa final'!$S$19),"")</f>
        <v/>
      </c>
      <c r="O52" s="60" t="str">
        <f>IF(AND('Mapa final'!$AJ$20="Muy Baja",'Mapa final'!$AL$20="Leve"),CONCATENATE("R2C",'Mapa final'!$S$20),"")</f>
        <v/>
      </c>
      <c r="P52" s="61" t="str">
        <f ca="1">IF(AND('Mapa final'!$AJ$21="Muy Baja",'Mapa final'!$AL$21="Leve"),CONCATENATE("R2C",'Mapa final'!$S$21),"")</f>
        <v/>
      </c>
      <c r="Q52" s="59" t="str">
        <f ca="1">IF(AND('Mapa final'!$AJ$15="Muy Baja",'Mapa final'!$AL$15="Menor"),CONCATENATE("R2C",'Mapa final'!$S$15),"")</f>
        <v/>
      </c>
      <c r="R52" s="60" t="str">
        <f>IF(AND('Mapa final'!$AJ$16="Muy Baja",'Mapa final'!$AL$16="Menore"),CONCATENATE("R2C",'Mapa final'!$S$16),"")</f>
        <v/>
      </c>
      <c r="S52" s="60" t="str">
        <f ca="1">IF(AND('Mapa final'!$AJ$17="Muy Baja",'Mapa final'!$AL$17="Menor"),CONCATENATE("R2C",'Mapa final'!$S$17),"")</f>
        <v/>
      </c>
      <c r="T52" s="60" t="str">
        <f ca="1">IF(AND('Mapa final'!$AJ$19="Muy Baja",'Mapa final'!$AL$19="Menor"),CONCATENATE("R2C",'Mapa final'!$S$19),"")</f>
        <v/>
      </c>
      <c r="U52" s="60" t="str">
        <f>IF(AND('Mapa final'!$AJ$20="Muy Baja",'Mapa final'!$AL$20="Menor"),CONCATENATE("R2C",'Mapa final'!$S$20),"")</f>
        <v/>
      </c>
      <c r="V52" s="61" t="str">
        <f ca="1">IF(AND('Mapa final'!$AJ$21="Muy Baja",'Mapa final'!$AL$21="Menor"),CONCATENATE("R2C",'Mapa final'!$S$21),"")</f>
        <v/>
      </c>
      <c r="W52" s="50" t="str">
        <f ca="1">IF(AND('Mapa final'!$AJ$15="Muy Baja",'Mapa final'!$AL$15="Moderado"),CONCATENATE("R2C",'Mapa final'!$S$15),"")</f>
        <v/>
      </c>
      <c r="X52" s="68" t="str">
        <f>IF(AND('Mapa final'!$AJ$16="Muy Baja",'Mapa final'!$AL$16="Moderado"),CONCATENATE("R2C",'Mapa final'!$S$16),"")</f>
        <v/>
      </c>
      <c r="Y52" s="51"/>
      <c r="Z52" s="51" t="str">
        <f ca="1">IF(AND('Mapa final'!$AJ$19="Muy Baja",'Mapa final'!$AL$19="Moderado"),CONCATENATE("R2C",'Mapa final'!$S$19),"")</f>
        <v/>
      </c>
      <c r="AA52" s="51" t="str">
        <f>IF(AND('Mapa final'!$AJ$20="Muy Baja",'Mapa final'!$AL$20="Moderado"),CONCATENATE("R2C",'Mapa final'!$S$20),"")</f>
        <v/>
      </c>
      <c r="AB52" s="52" t="str">
        <f ca="1">IF(AND('Mapa final'!$AJ$21="Muy Baja",'Mapa final'!$AL$21="Moderado"),CONCATENATE("R2C",'Mapa final'!$S$21),"")</f>
        <v/>
      </c>
      <c r="AC52" s="32" t="str">
        <f ca="1">IF(AND('Mapa final'!$AJ$15="Muy Baja",'Mapa final'!$AL$15="Mayor"),CONCATENATE("R2C",'Mapa final'!$S$15),"")</f>
        <v/>
      </c>
      <c r="AD52" s="33" t="str">
        <f>IF(AND('Mapa final'!$AJ$16="Muy Baja",'Mapa final'!$AL$16="Mayor"),CONCATENATE("R2C",'Mapa final'!$S$16),"")</f>
        <v/>
      </c>
      <c r="AE52" s="33" t="str">
        <f ca="1">IF(AND('Mapa final'!$AJ$17="Muy Baja",'Mapa final'!$AL$17="Mayor"),CONCATENATE("R2C",'Mapa final'!$S$17),"")</f>
        <v/>
      </c>
      <c r="AF52" s="33" t="str">
        <f ca="1">IF(AND('Mapa final'!$AJ$19="Muy Baja",'Mapa final'!$AL$19="Mayor"),CONCATENATE("R2C",'Mapa final'!$S$19),"")</f>
        <v/>
      </c>
      <c r="AG52" s="33" t="str">
        <f>IF(AND('Mapa final'!$AJ$20="Muy Baja",'Mapa final'!$AL$20="Mayor"),CONCATENATE("R2C",'Mapa final'!$S$20),"")</f>
        <v/>
      </c>
      <c r="AH52" s="34" t="str">
        <f ca="1">IF(AND('Mapa final'!$AJ$21="Muy Baja",'Mapa final'!$AL$21="Mayor"),CONCATENATE("R2C",'Mapa final'!$S$21),"")</f>
        <v/>
      </c>
      <c r="AI52" s="35" t="str">
        <f ca="1">IF(AND('Mapa final'!$AJ$15="Muy Baja",'Mapa final'!$AL$15="Catastrófico"),CONCATENATE("R2C",'Mapa final'!$S$15),"")</f>
        <v/>
      </c>
      <c r="AJ52" s="36" t="str">
        <f>IF(AND('Mapa final'!$AJ$16="Muy Baja",'Mapa final'!$AL$16="Catastrófico"),CONCATENATE("R2C",'Mapa final'!$S$16),"")</f>
        <v/>
      </c>
      <c r="AK52" s="36" t="str">
        <f ca="1">IF(AND('Mapa final'!$AJ$17="Muy Baja",'Mapa final'!$AL$17="Catastrófico"),CONCATENATE("R2C",'Mapa final'!$S$17),"")</f>
        <v/>
      </c>
      <c r="AL52" s="36" t="str">
        <f ca="1">IF(AND('Mapa final'!$AJ$19="Muy Baja",'Mapa final'!$AL$19="Catastrófico"),CONCATENATE("R2C",'Mapa final'!$S$19),"")</f>
        <v/>
      </c>
      <c r="AM52" s="36" t="str">
        <f>IF(AND('Mapa final'!$AJ$20="Muy Baja",'Mapa final'!$AL$20="Catastrófico"),CONCATENATE("R2C",'Mapa final'!$S$20),"")</f>
        <v/>
      </c>
      <c r="AN52" s="37" t="str">
        <f ca="1">IF(AND('Mapa final'!$AJ$21="Muy Baja",'Mapa final'!$AL$21="Catastrófico"),CONCATENATE("R2C",'Mapa final'!$S$21),"")</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97"/>
      <c r="D53" s="397"/>
      <c r="E53" s="398"/>
      <c r="F53" s="500"/>
      <c r="G53" s="501"/>
      <c r="H53" s="501"/>
      <c r="I53" s="501"/>
      <c r="J53" s="519"/>
      <c r="K53" s="62" t="str">
        <f>IF(AND('Mapa final'!$AJ$22="Muy Baja",'Mapa final'!$AL$22="Leve"),CONCATENATE("R2C",'Mapa final'!$S$22),"")</f>
        <v/>
      </c>
      <c r="L53" s="63" t="str">
        <f>IF(AND('Mapa final'!$AJ$23="Muy Baja",'Mapa final'!$AL$23="Leve"),CONCATENATE("R2C",'Mapa final'!$S$23),"")</f>
        <v/>
      </c>
      <c r="M53" s="63" t="str">
        <f>IF(AND('Mapa final'!$AJ$24="Muy Baja",'Mapa final'!$AL$24="Leve"),CONCATENATE("R2C",'Mapa final'!$S$24),"")</f>
        <v/>
      </c>
      <c r="N53" s="63" t="str">
        <f>IF(AND('Mapa final'!$AJ$25="Muy Baja",'Mapa final'!$AL$25="Leve"),CONCATENATE("R2C",'Mapa final'!$S$25),"")</f>
        <v/>
      </c>
      <c r="O53" s="63" t="str">
        <f>IF(AND('Mapa final'!$AJ$26="Muy Baja",'Mapa final'!$AL$26="Leve"),CONCATENATE("R2C",'Mapa final'!$S$26),"")</f>
        <v/>
      </c>
      <c r="P53" s="64" t="str">
        <f>IF(AND('Mapa final'!$AJ$27="Muy Baja",'Mapa final'!$AL$27="Leve"),CONCATENATE("R2C",'Mapa final'!$S$27),"")</f>
        <v/>
      </c>
      <c r="Q53" s="62" t="str">
        <f>IF(AND('Mapa final'!$AJ$22="Muy Baja",'Mapa final'!$AL$22="Menor"),CONCATENATE("R2C",'Mapa final'!$S$22),"")</f>
        <v/>
      </c>
      <c r="R53" s="63" t="str">
        <f>IF(AND('Mapa final'!$AJ$23="Muy Baja",'Mapa final'!$AL$23="Menor"),CONCATENATE("R2C",'Mapa final'!$S$23),"")</f>
        <v/>
      </c>
      <c r="S53" s="63" t="str">
        <f>IF(AND('Mapa final'!$AJ$24="Muy Baja",'Mapa final'!$AL$24="Menor"),CONCATENATE("R2C",'Mapa final'!$S$24),"")</f>
        <v/>
      </c>
      <c r="T53" s="63" t="str">
        <f>IF(AND('Mapa final'!$AJ$25="Muy Baja",'Mapa final'!$AL$25="Menor"),CONCATENATE("R2C",'Mapa final'!$S$25),"")</f>
        <v/>
      </c>
      <c r="U53" s="63" t="str">
        <f>IF(AND('Mapa final'!$AJ$26="Muy Baja",'Mapa final'!$AL$26="Menor"),CONCATENATE("R2C",'Mapa final'!$S$26),"")</f>
        <v/>
      </c>
      <c r="V53" s="64" t="str">
        <f>IF(AND('Mapa final'!$AJ$27="Muy Baja",'Mapa final'!$AL$27="Menor"),CONCATENATE("R2C",'Mapa final'!$S$27),"")</f>
        <v/>
      </c>
      <c r="W53" s="53" t="str">
        <f>IF(AND('Mapa final'!$AJ$22="Muy Baja",'Mapa final'!$AL$22="Moderado"),CONCATENATE("R2C",'Mapa final'!$S$22),"")</f>
        <v/>
      </c>
      <c r="X53" s="54" t="str">
        <f>IF(AND('Mapa final'!$AJ$23="Muy Baja",'Mapa final'!$AL$23="Moderado"),CONCATENATE("R2C",'Mapa final'!$S$23),"")</f>
        <v/>
      </c>
      <c r="Y53" s="54" t="str">
        <f>IF(AND('Mapa final'!$AJ$24="Muy Baja",'Mapa final'!$AL$24="Moderado"),CONCATENATE("R2C",'Mapa final'!$S$24),"")</f>
        <v/>
      </c>
      <c r="Z53" s="54" t="str">
        <f>IF(AND('Mapa final'!$AJ$25="Muy Baja",'Mapa final'!$AL$25="Moderado"),CONCATENATE("R2C",'Mapa final'!$S$25),"")</f>
        <v/>
      </c>
      <c r="AA53" s="54" t="str">
        <f>IF(AND('Mapa final'!$AJ$26="Muy Baja",'Mapa final'!$AL$26="Moderado"),CONCATENATE("R2C",'Mapa final'!$S$26),"")</f>
        <v/>
      </c>
      <c r="AB53" s="55" t="str">
        <f>IF(AND('Mapa final'!$AJ$27="Muy Baja",'Mapa final'!$AL$27="Moderado"),CONCATENATE("R2C",'Mapa final'!$S$27),"")</f>
        <v/>
      </c>
      <c r="AC53" s="38" t="str">
        <f>IF(AND('Mapa final'!$AJ$22="Muy Baja",'Mapa final'!$AL$22="Mayor"),CONCATENATE("R2C",'Mapa final'!$S$22),"")</f>
        <v/>
      </c>
      <c r="AD53" s="39" t="str">
        <f>IF(AND('Mapa final'!$AJ$23="Muy Baja",'Mapa final'!$AL$23="Mayor"),CONCATENATE("R2C",'Mapa final'!$S$23),"")</f>
        <v/>
      </c>
      <c r="AE53" s="39" t="str">
        <f>IF(AND('Mapa final'!$AJ$24="Muy Baja",'Mapa final'!$AL$24="Mayor"),CONCATENATE("R2C",'Mapa final'!$S$24),"")</f>
        <v/>
      </c>
      <c r="AF53" s="39" t="str">
        <f>IF(AND('Mapa final'!$AJ$25="Muy Baja",'Mapa final'!$AL$25="Mayor"),CONCATENATE("R2C",'Mapa final'!$S$25),"")</f>
        <v/>
      </c>
      <c r="AG53" s="39" t="str">
        <f>IF(AND('Mapa final'!$AJ$26="Muy Baja",'Mapa final'!$AL$26="Mayor"),CONCATENATE("R2C",'Mapa final'!$S$26),"")</f>
        <v/>
      </c>
      <c r="AH53" s="40" t="str">
        <f>IF(AND('Mapa final'!$AJ$27="Muy Baja",'Mapa final'!$AL$27="Mayor"),CONCATENATE("R2C",'Mapa final'!$S$27),"")</f>
        <v/>
      </c>
      <c r="AI53" s="41" t="str">
        <f>IF(AND('Mapa final'!$AJ$22="Muy Baja",'Mapa final'!$AL$22="Catastrófico"),CONCATENATE("R2C",'Mapa final'!$S$22),"")</f>
        <v/>
      </c>
      <c r="AJ53" s="42" t="str">
        <f>IF(AND('Mapa final'!$AJ$23="Muy Baja",'Mapa final'!$AL$23="Catastrófico"),CONCATENATE("R2C",'Mapa final'!$S$23),"")</f>
        <v/>
      </c>
      <c r="AK53" s="42" t="str">
        <f>IF(AND('Mapa final'!$AJ$24="Muy Baja",'Mapa final'!$AL$24="Catastrófico"),CONCATENATE("R2C",'Mapa final'!$S$24),"")</f>
        <v/>
      </c>
      <c r="AL53" s="42" t="str">
        <f>IF(AND('Mapa final'!$AJ$25="Muy Baja",'Mapa final'!$AL$25="Catastrófico"),CONCATENATE("R2C",'Mapa final'!$S$25),"")</f>
        <v/>
      </c>
      <c r="AM53" s="42" t="str">
        <f>IF(AND('Mapa final'!$AJ$26="Muy Baja",'Mapa final'!$AL$26="Catastrófico"),CONCATENATE("R2C",'Mapa final'!$S$26),"")</f>
        <v/>
      </c>
      <c r="AN53" s="43" t="str">
        <f>IF(AND('Mapa final'!$AJ$27="Muy Baja",'Mapa final'!$AL$27="Catastrófico"),CONCATENATE("R2C",'Mapa final'!$S$27),"")</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97"/>
      <c r="D54" s="397"/>
      <c r="E54" s="398"/>
      <c r="F54" s="500"/>
      <c r="G54" s="501"/>
      <c r="H54" s="501"/>
      <c r="I54" s="501"/>
      <c r="J54" s="519"/>
      <c r="K54" s="62" t="str">
        <f>IF(AND('Mapa final'!$AJ$28="Muy Baja",'Mapa final'!$AL$28="Leve"),CONCATENATE("R2C",'Mapa final'!$S$28),"")</f>
        <v/>
      </c>
      <c r="L54" s="63" t="str">
        <f>IF(AND('Mapa final'!$AJ$29="Muy Baja",'Mapa final'!$AL$29="Leve"),CONCATENATE("R2C",'Mapa final'!$S$29),"")</f>
        <v/>
      </c>
      <c r="M54" s="63" t="str">
        <f>IF(AND('Mapa final'!$AJ$30="Muy Baja",'Mapa final'!$AL$30="Leve"),CONCATENATE("R2C",'Mapa final'!$S$30),"")</f>
        <v/>
      </c>
      <c r="N54" s="63" t="str">
        <f>IF(AND('Mapa final'!$AJ$31="Muy Baja",'Mapa final'!$AL$31="Leve"),CONCATENATE("R2C",'Mapa final'!$S$31),"")</f>
        <v/>
      </c>
      <c r="O54" s="63" t="str">
        <f>IF(AND('Mapa final'!$AJ$32="Muy Baja",'Mapa final'!$AL$32="Leve"),CONCATENATE("R2C",'Mapa final'!$S$32),"")</f>
        <v/>
      </c>
      <c r="P54" s="64" t="str">
        <f>IF(AND('Mapa final'!$AJ$33="Muy Baja",'Mapa final'!$AL$33="Leve"),CONCATENATE("R2C",'Mapa final'!$S$33),"")</f>
        <v/>
      </c>
      <c r="Q54" s="62" t="str">
        <f>IF(AND('Mapa final'!$AJ$28="Muy Baja",'Mapa final'!$AL$28="Menor"),CONCATENATE("R2C",'Mapa final'!$S$28),"")</f>
        <v/>
      </c>
      <c r="R54" s="63" t="str">
        <f>IF(AND('Mapa final'!$AJ$29="Muy Baja",'Mapa final'!$AL$29="Menor"),CONCATENATE("R2C",'Mapa final'!$S$29),"")</f>
        <v/>
      </c>
      <c r="S54" s="63" t="str">
        <f>IF(AND('Mapa final'!$AJ$30="Muy Baja",'Mapa final'!$AL$30="Menor"),CONCATENATE("R2C",'Mapa final'!$S$30),"")</f>
        <v/>
      </c>
      <c r="T54" s="63" t="str">
        <f>IF(AND('Mapa final'!$AJ$31="Muy Baja",'Mapa final'!$AL$31="Menor"),CONCATENATE("R2C",'Mapa final'!$S$31),"")</f>
        <v/>
      </c>
      <c r="U54" s="63" t="str">
        <f>IF(AND('Mapa final'!$AJ$32="Muy Baja",'Mapa final'!$AL$32="Menor"),CONCATENATE("R2C",'Mapa final'!$S$32),"")</f>
        <v/>
      </c>
      <c r="V54" s="64" t="str">
        <f>IF(AND('Mapa final'!$AJ$33="Muy Baja",'Mapa final'!$AL$33="Menor"),CONCATENATE("R2C",'Mapa final'!$S$33),"")</f>
        <v/>
      </c>
      <c r="W54" s="53" t="str">
        <f>IF(AND('Mapa final'!$AJ$28="Muy Baja",'Mapa final'!$AL$28="Moderado"),CONCATENATE("R2C",'Mapa final'!$S$28),"")</f>
        <v/>
      </c>
      <c r="X54" s="54" t="str">
        <f>IF(AND('Mapa final'!$AJ$29="Muy Baja",'Mapa final'!$AL$29="Moderado"),CONCATENATE("R2C",'Mapa final'!$S$29),"")</f>
        <v/>
      </c>
      <c r="Y54" s="54" t="str">
        <f>IF(AND('Mapa final'!$AJ$30="Muy Baja",'Mapa final'!$AL$30="Moderado"),CONCATENATE("R2C",'Mapa final'!$S$30),"")</f>
        <v/>
      </c>
      <c r="Z54" s="54" t="str">
        <f>IF(AND('Mapa final'!$AJ$31="Muy Baja",'Mapa final'!$AL$31="Moderado"),CONCATENATE("R2C",'Mapa final'!$S$31),"")</f>
        <v/>
      </c>
      <c r="AA54" s="54" t="str">
        <f>IF(AND('Mapa final'!$AJ$32="Muy Baja",'Mapa final'!$AL$32="Moderado"),CONCATENATE("R2C",'Mapa final'!$S$32),"")</f>
        <v/>
      </c>
      <c r="AB54" s="55" t="str">
        <f>IF(AND('Mapa final'!$AJ$33="Muy Baja",'Mapa final'!$AL$33="Moderado"),CONCATENATE("R2C",'Mapa final'!$S$33),"")</f>
        <v/>
      </c>
      <c r="AC54" s="38" t="str">
        <f>IF(AND('Mapa final'!$AJ$28="Muy Baja",'Mapa final'!$AL$28="Mayor"),CONCATENATE("R2C",'Mapa final'!$S$28),"")</f>
        <v/>
      </c>
      <c r="AD54" s="39" t="str">
        <f>IF(AND('Mapa final'!$AJ$29="Muy Baja",'Mapa final'!$AL$29="Mayor"),CONCATENATE("R2C",'Mapa final'!$S$29),"")</f>
        <v/>
      </c>
      <c r="AE54" s="39" t="str">
        <f>IF(AND('Mapa final'!$AJ$30="Muy Baja",'Mapa final'!$AL$30="Mayor"),CONCATENATE("R2C",'Mapa final'!$S$30),"")</f>
        <v/>
      </c>
      <c r="AF54" s="39" t="str">
        <f>IF(AND('Mapa final'!$AJ$31="Muy Baja",'Mapa final'!$AL$31="Mayor"),CONCATENATE("R2C",'Mapa final'!$S$31),"")</f>
        <v/>
      </c>
      <c r="AG54" s="39" t="str">
        <f>IF(AND('Mapa final'!$AJ$32="Muy Baja",'Mapa final'!$AL$32="Mayor"),CONCATENATE("R2C",'Mapa final'!$S$32),"")</f>
        <v/>
      </c>
      <c r="AH54" s="40" t="str">
        <f>IF(AND('Mapa final'!$AJ$33="Muy Baja",'Mapa final'!$AL$33="Mayor"),CONCATENATE("R2C",'Mapa final'!$S$33),"")</f>
        <v/>
      </c>
      <c r="AI54" s="41" t="str">
        <f>IF(AND('Mapa final'!$AJ$28="Muy Baja",'Mapa final'!$AL$28="Catastrófico"),CONCATENATE("R2C",'Mapa final'!$S$28),"")</f>
        <v/>
      </c>
      <c r="AJ54" s="42" t="str">
        <f>IF(AND('Mapa final'!$AJ$29="Muy Baja",'Mapa final'!$AL$29="Catastrófico"),CONCATENATE("R2C",'Mapa final'!$S$29),"")</f>
        <v/>
      </c>
      <c r="AK54" s="42" t="str">
        <f>IF(AND('Mapa final'!$AJ$30="Muy Baja",'Mapa final'!$AL$30="Catastrófico"),CONCATENATE("R2C",'Mapa final'!$S$30),"")</f>
        <v/>
      </c>
      <c r="AL54" s="42" t="str">
        <f>IF(AND('Mapa final'!$AJ$31="Muy Baja",'Mapa final'!$AL$31="Catastrófico"),CONCATENATE("R2C",'Mapa final'!$S$31),"")</f>
        <v/>
      </c>
      <c r="AM54" s="42" t="str">
        <f>IF(AND('Mapa final'!$AJ$32="Muy Baja",'Mapa final'!$AL$32="Catastrófico"),CONCATENATE("R2C",'Mapa final'!$S$32),"")</f>
        <v/>
      </c>
      <c r="AN54" s="43" t="str">
        <f>IF(AND('Mapa final'!$AJ$33="Muy Baja",'Mapa final'!$AL$33="Catastrófico"),CONCATENATE("R2C",'Mapa final'!$S$33),"")</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97"/>
      <c r="D55" s="397"/>
      <c r="E55" s="398"/>
      <c r="F55" s="502"/>
      <c r="G55" s="501"/>
      <c r="H55" s="501"/>
      <c r="I55" s="501"/>
      <c r="J55" s="519"/>
      <c r="K55" s="62" t="str">
        <f>IF(AND('Mapa final'!$AJ$34="Muy Baja",'Mapa final'!$AL$34="Leve"),CONCATENATE("R2C",'Mapa final'!$S$34),"")</f>
        <v/>
      </c>
      <c r="L55" s="63" t="str">
        <f>IF(AND('Mapa final'!$AJ$35="Muy Baja",'Mapa final'!$AL$35="Leve"),CONCATENATE("R2C",'Mapa final'!$S$35),"")</f>
        <v/>
      </c>
      <c r="M55" s="63" t="str">
        <f>IF(AND('Mapa final'!$AJ$36="Muy Baja",'Mapa final'!$AL$36="Leve"),CONCATENATE("R2C",'Mapa final'!$S$36),"")</f>
        <v/>
      </c>
      <c r="N55" s="63" t="str">
        <f>IF(AND('Mapa final'!$AJ$37="Muy Baja",'Mapa final'!$AL$37="Leve"),CONCATENATE("R2C",'Mapa final'!$S$37),"")</f>
        <v/>
      </c>
      <c r="O55" s="63" t="str">
        <f>IF(AND('Mapa final'!$AJ$38="Muy Baja",'Mapa final'!$AL$38="Leve"),CONCATENATE("R2C",'Mapa final'!$S$38),"")</f>
        <v/>
      </c>
      <c r="P55" s="64" t="str">
        <f>IF(AND('Mapa final'!$AJ$39="Muy Baja",'Mapa final'!$AL$39="Leve"),CONCATENATE("R2C",'Mapa final'!$S$39),"")</f>
        <v/>
      </c>
      <c r="Q55" s="62" t="str">
        <f>IF(AND('Mapa final'!$AJ$34="Muy Baja",'Mapa final'!$AL$34="Menor"),CONCATENATE("R2C",'Mapa final'!$S$34),"")</f>
        <v/>
      </c>
      <c r="R55" s="63" t="str">
        <f>IF(AND('Mapa final'!$AJ$35="Muy Baja",'Mapa final'!$AL$35="Menor"),CONCATENATE("R2C",'Mapa final'!$S$35),"")</f>
        <v/>
      </c>
      <c r="S55" s="63" t="str">
        <f>IF(AND('Mapa final'!$AJ$36="Muy Baja",'Mapa final'!$AL$36="Menor"),CONCATENATE("R2C",'Mapa final'!$S$36),"")</f>
        <v/>
      </c>
      <c r="T55" s="63" t="str">
        <f>IF(AND('Mapa final'!$AJ$37="Muy Baja",'Mapa final'!$AL$37="Menor"),CONCATENATE("R2C",'Mapa final'!$S$37),"")</f>
        <v/>
      </c>
      <c r="U55" s="63" t="str">
        <f>IF(AND('Mapa final'!$AJ$38="Muy Baja",'Mapa final'!$AL$38="LMenor"),CONCATENATE("R2C",'Mapa final'!$S$38),"")</f>
        <v/>
      </c>
      <c r="V55" s="64" t="str">
        <f>IF(AND('Mapa final'!$AJ$39="Muy Baja",'Mapa final'!$AL$39="Menor"),CONCATENATE("R2C",'Mapa final'!$S$39),"")</f>
        <v/>
      </c>
      <c r="W55" s="53" t="str">
        <f>IF(AND('Mapa final'!$AJ$34="Muy Baja",'Mapa final'!$AL$34="Moderado"),CONCATENATE("R2C",'Mapa final'!$S$34),"")</f>
        <v/>
      </c>
      <c r="X55" s="54" t="str">
        <f>IF(AND('Mapa final'!$AJ$35="Muy Baja",'Mapa final'!$AL$35="Moderado"),CONCATENATE("R2C",'Mapa final'!$S$35),"")</f>
        <v/>
      </c>
      <c r="Y55" s="54" t="str">
        <f>IF(AND('Mapa final'!$AJ$36="Muy Baja",'Mapa final'!$AL$36="Moderado"),CONCATENATE("R2C",'Mapa final'!$S$36),"")</f>
        <v/>
      </c>
      <c r="Z55" s="54" t="str">
        <f>IF(AND('Mapa final'!$AJ$37="Muy Baja",'Mapa final'!$AL$37="Moderado"),CONCATENATE("R2C",'Mapa final'!$S$37),"")</f>
        <v/>
      </c>
      <c r="AA55" s="54" t="str">
        <f>IF(AND('Mapa final'!$AJ$38="Muy Baja",'Mapa final'!$AL$38="Moderado"),CONCATENATE("R2C",'Mapa final'!$S$38),"")</f>
        <v/>
      </c>
      <c r="AB55" s="55" t="str">
        <f>IF(AND('Mapa final'!$AJ$39="Muy Baja",'Mapa final'!$AL$39="Moderado"),CONCATENATE("R2C",'Mapa final'!$S$39),"")</f>
        <v/>
      </c>
      <c r="AC55" s="38" t="str">
        <f>IF(AND('Mapa final'!$AJ$34="Muy Baja",'Mapa final'!$AL$34="Mayor"),CONCATENATE("R2C",'Mapa final'!$S$34),"")</f>
        <v/>
      </c>
      <c r="AD55" s="39" t="str">
        <f>IF(AND('Mapa final'!$AJ$35="Muy Baja",'Mapa final'!$AL$35="Mayor"),CONCATENATE("R2C",'Mapa final'!$S$35),"")</f>
        <v/>
      </c>
      <c r="AE55" s="39" t="str">
        <f>IF(AND('Mapa final'!$AJ$36="Muy Baja",'Mapa final'!$AL$36="Mayor"),CONCATENATE("R2C",'Mapa final'!$S$36),"")</f>
        <v/>
      </c>
      <c r="AF55" s="39" t="str">
        <f>IF(AND('Mapa final'!$AJ$37="Muy Baja",'Mapa final'!$AL$37="Mayor"),CONCATENATE("R2C",'Mapa final'!$S$37),"")</f>
        <v/>
      </c>
      <c r="AG55" s="39" t="str">
        <f>IF(AND('Mapa final'!$AJ$38="Muy Baja",'Mapa final'!$AL$38="Mayor"),CONCATENATE("R2C",'Mapa final'!$S$38),"")</f>
        <v/>
      </c>
      <c r="AH55" s="40" t="str">
        <f>IF(AND('Mapa final'!$AJ$39="Muy Baja",'Mapa final'!$AL$39="Mayor"),CONCATENATE("R2C",'Mapa final'!$S$39),"")</f>
        <v/>
      </c>
      <c r="AI55" s="41" t="str">
        <f>IF(AND('Mapa final'!$AJ$34="Muy Baja",'Mapa final'!$AL$34="Catastrófico"),CONCATENATE("R2C",'Mapa final'!$S$34),"")</f>
        <v/>
      </c>
      <c r="AJ55" s="42" t="str">
        <f>IF(AND('Mapa final'!$AJ$35="Muy Baja",'Mapa final'!$AL$35="Catastrófico"),CONCATENATE("R2C",'Mapa final'!$S$35),"")</f>
        <v/>
      </c>
      <c r="AK55" s="42" t="str">
        <f>IF(AND('Mapa final'!$AJ$36="Muy Baja",'Mapa final'!$AL$36="Catastrófico"),CONCATENATE("R2C",'Mapa final'!$S$36),"")</f>
        <v/>
      </c>
      <c r="AL55" s="42" t="str">
        <f>IF(AND('Mapa final'!$AJ$37="Muy Baja",'Mapa final'!$AL$37="Catastrófico"),CONCATENATE("R2C",'Mapa final'!$S$37),"")</f>
        <v/>
      </c>
      <c r="AM55" s="42" t="str">
        <f>IF(AND('Mapa final'!$AJ$38="Muy Baja",'Mapa final'!$AL$38="LCatastrófico"),CONCATENATE("R2C",'Mapa final'!$S$38),"")</f>
        <v/>
      </c>
      <c r="AN55" s="43" t="str">
        <f>IF(AND('Mapa final'!$AJ$39="Muy Baja",'Mapa final'!$AL$39="Catastrófico"),CONCATENATE("R2C",'Mapa final'!$S$39),"")</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97"/>
      <c r="D56" s="397"/>
      <c r="E56" s="398"/>
      <c r="F56" s="502"/>
      <c r="G56" s="501"/>
      <c r="H56" s="501"/>
      <c r="I56" s="501"/>
      <c r="J56" s="519"/>
      <c r="K56" s="62" t="str">
        <f>IF(AND('Mapa final'!$AJ$40="Muy Baja",'Mapa final'!$AL$40="Leve"),CONCATENATE("R2C",'Mapa final'!$S$40),"")</f>
        <v/>
      </c>
      <c r="L56" s="63" t="str">
        <f>IF(AND('Mapa final'!$AJ$41="Muy Baja",'Mapa final'!$AL$41="Leve"),CONCATENATE("R2C",'Mapa final'!$S$41),"")</f>
        <v/>
      </c>
      <c r="M56" s="63" t="str">
        <f>IF(AND('Mapa final'!$AJ$42="Muy Baja",'Mapa final'!$AL$42="Leve"),CONCATENATE("R2C",'Mapa final'!$S$42),"")</f>
        <v/>
      </c>
      <c r="N56" s="63" t="str">
        <f>IF(AND('Mapa final'!$AJ$43="Muy Baja",'Mapa final'!$AL$43="Leve"),CONCATENATE("R2C",'Mapa final'!$S$43),"")</f>
        <v/>
      </c>
      <c r="O56" s="63" t="str">
        <f>IF(AND('Mapa final'!$AJ$44="Muy Baja",'Mapa final'!$AL$44="Leve"),CONCATENATE("R2C",'Mapa final'!$S$44),"")</f>
        <v/>
      </c>
      <c r="P56" s="64" t="str">
        <f>IF(AND('Mapa final'!$AJ$45="Muy Baja",'Mapa final'!$AL$45="Leve"),CONCATENATE("R2C",'Mapa final'!$S$45),"")</f>
        <v/>
      </c>
      <c r="Q56" s="62" t="str">
        <f>IF(AND('Mapa final'!$AJ$40="Muy Baja",'Mapa final'!$AL$40="Menor"),CONCATENATE("R2C",'Mapa final'!$S$40),"")</f>
        <v/>
      </c>
      <c r="R56" s="63" t="str">
        <f>IF(AND('Mapa final'!$AJ$41="Muy Baja",'Mapa final'!$AL$41="Menor"),CONCATENATE("R2C",'Mapa final'!$S$41),"")</f>
        <v/>
      </c>
      <c r="S56" s="63" t="str">
        <f>IF(AND('Mapa final'!$AJ$42="Muy Baja",'Mapa final'!$AL$42="Menor"),CONCATENATE("R2C",'Mapa final'!$S$42),"")</f>
        <v/>
      </c>
      <c r="T56" s="63" t="str">
        <f>IF(AND('Mapa final'!$AJ$43="Muy Baja",'Mapa final'!$AL$43="Menor"),CONCATENATE("R2C",'Mapa final'!$S$43),"")</f>
        <v/>
      </c>
      <c r="U56" s="63" t="str">
        <f>IF(AND('Mapa final'!$AJ$44="Muy Baja",'Mapa final'!$AL$44="Menor"),CONCATENATE("R2C",'Mapa final'!$S$44),"")</f>
        <v/>
      </c>
      <c r="V56" s="64" t="str">
        <f>IF(AND('Mapa final'!$AJ$45="Muy Baja",'Mapa final'!$AL$45="Menor"),CONCATENATE("R2C",'Mapa final'!$S$45),"")</f>
        <v/>
      </c>
      <c r="W56" s="53" t="str">
        <f>IF(AND('Mapa final'!$AJ$40="Muy Baja",'Mapa final'!$AL$40="Moderado"),CONCATENATE("R2C",'Mapa final'!$S$40),"")</f>
        <v/>
      </c>
      <c r="X56" s="54" t="str">
        <f>IF(AND('Mapa final'!$AJ$41="Muy Baja",'Mapa final'!$AL$41="Moderado"),CONCATENATE("R2C",'Mapa final'!$S$41),"")</f>
        <v/>
      </c>
      <c r="Y56" s="54" t="str">
        <f>IF(AND('Mapa final'!$AJ$42="Muy Baja",'Mapa final'!$AL$42="Moderado"),CONCATENATE("R2C",'Mapa final'!$S$42),"")</f>
        <v/>
      </c>
      <c r="Z56" s="54" t="str">
        <f>IF(AND('Mapa final'!$AJ$43="Muy Baja",'Mapa final'!$AL$43="Moderado"),CONCATENATE("R2C",'Mapa final'!$S$43),"")</f>
        <v/>
      </c>
      <c r="AA56" s="54" t="str">
        <f>IF(AND('Mapa final'!$AJ$44="Muy Baja",'Mapa final'!$AL$44="Moderado"),CONCATENATE("R2C",'Mapa final'!$S$44),"")</f>
        <v/>
      </c>
      <c r="AB56" s="55" t="str">
        <f>IF(AND('Mapa final'!$AJ$45="Muy Baja",'Mapa final'!$AL$45="Moderado"),CONCATENATE("R2C",'Mapa final'!$S$45),"")</f>
        <v/>
      </c>
      <c r="AC56" s="38" t="str">
        <f>IF(AND('Mapa final'!$AJ$40="Muy Baja",'Mapa final'!$AL$40="Mayor"),CONCATENATE("R2C",'Mapa final'!$S$40),"")</f>
        <v/>
      </c>
      <c r="AD56" s="39" t="str">
        <f>IF(AND('Mapa final'!$AJ$41="Muy Baja",'Mapa final'!$AL$41="Mayor"),CONCATENATE("R2C",'Mapa final'!$S$41),"")</f>
        <v/>
      </c>
      <c r="AE56" s="39" t="str">
        <f>IF(AND('Mapa final'!$AJ$42="Muy Baja",'Mapa final'!$AL$42="Mayor"),CONCATENATE("R2C",'Mapa final'!$S$42),"")</f>
        <v/>
      </c>
      <c r="AF56" s="39" t="str">
        <f>IF(AND('Mapa final'!$AJ$43="Muy Baja",'Mapa final'!$AL$43="Mayor"),CONCATENATE("R2C",'Mapa final'!$S$43),"")</f>
        <v/>
      </c>
      <c r="AG56" s="39" t="str">
        <f>IF(AND('Mapa final'!$AJ$44="Muy Baja",'Mapa final'!$AL$44="Mayor"),CONCATENATE("R2C",'Mapa final'!$S$44),"")</f>
        <v/>
      </c>
      <c r="AH56" s="40" t="str">
        <f>IF(AND('Mapa final'!$AJ$45="Muy Baja",'Mapa final'!$AL$45="Mayor"),CONCATENATE("R2C",'Mapa final'!$S$45),"")</f>
        <v/>
      </c>
      <c r="AI56" s="41" t="str">
        <f>IF(AND('Mapa final'!$AJ$40="Muy Baja",'Mapa final'!$AL$40="Catastrófico"),CONCATENATE("R2C",'Mapa final'!$S$40),"")</f>
        <v/>
      </c>
      <c r="AJ56" s="42" t="str">
        <f>IF(AND('Mapa final'!$AJ$41="Muy Baja",'Mapa final'!$AL$41="Catastrófico"),CONCATENATE("R2C",'Mapa final'!$S$41),"")</f>
        <v/>
      </c>
      <c r="AK56" s="42" t="str">
        <f>IF(AND('Mapa final'!$AJ$42="Muy Baja",'Mapa final'!$AL$42="Catastrófico"),CONCATENATE("R2C",'Mapa final'!$S$42),"")</f>
        <v/>
      </c>
      <c r="AL56" s="42" t="str">
        <f>IF(AND('Mapa final'!$AJ$43="Muy Baja",'Mapa final'!$AL$43="Catastrófico"),CONCATENATE("R2C",'Mapa final'!$S$43),"")</f>
        <v/>
      </c>
      <c r="AM56" s="42" t="str">
        <f>IF(AND('Mapa final'!$AJ$44="Muy Baja",'Mapa final'!$AL$44="Catastrófico"),CONCATENATE("R2C",'Mapa final'!$S$44),"")</f>
        <v/>
      </c>
      <c r="AN56" s="43" t="str">
        <f>IF(AND('Mapa final'!$AJ$45="Muy Baja",'Mapa final'!$AL$45="Catastrófico"),CONCATENATE("R2C",'Mapa final'!$S$45),"")</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97"/>
      <c r="D57" s="397"/>
      <c r="E57" s="398"/>
      <c r="F57" s="502"/>
      <c r="G57" s="501"/>
      <c r="H57" s="501"/>
      <c r="I57" s="501"/>
      <c r="J57" s="519"/>
      <c r="K57" s="62" t="str">
        <f>IF(AND('Mapa final'!$AJ$46="Muy Baja",'Mapa final'!$AL$46="Leve"),CONCATENATE("R2C",'Mapa final'!$S$46),"")</f>
        <v/>
      </c>
      <c r="L57" s="63" t="str">
        <f>IF(AND('Mapa final'!$AJ$47="Muy Baja",'Mapa final'!$AL$47="Leve"),CONCATENATE("R2C",'Mapa final'!$S$47),"")</f>
        <v/>
      </c>
      <c r="M57" s="63" t="str">
        <f>IF(AND('Mapa final'!$AJ$48="Muy Baja",'Mapa final'!$AL$48="Leve"),CONCATENATE("R2C",'Mapa final'!$S$48),"")</f>
        <v/>
      </c>
      <c r="N57" s="63" t="str">
        <f>IF(AND('Mapa final'!$AJ$49="Muy Baja",'Mapa final'!$AL$49="Leve"),CONCATENATE("R2C",'Mapa final'!$S$49),"")</f>
        <v/>
      </c>
      <c r="O57" s="63" t="str">
        <f>IF(AND('Mapa final'!$AJ$50="Muy Baja",'Mapa final'!$AL$50="Leve"),CONCATENATE("R2C",'Mapa final'!$S$50),"")</f>
        <v/>
      </c>
      <c r="P57" s="64" t="str">
        <f>IF(AND('Mapa final'!$AJ$61="Muy Baja",'Mapa final'!$AL$51="Leve"),CONCATENATE("R2C",'Mapa final'!$S$51),"")</f>
        <v/>
      </c>
      <c r="Q57" s="62" t="str">
        <f>IF(AND('Mapa final'!$AJ$46="Muy Baja",'Mapa final'!$AL$46="Menor"),CONCATENATE("R2C",'Mapa final'!$S$46),"")</f>
        <v/>
      </c>
      <c r="R57" s="63" t="str">
        <f>IF(AND('Mapa final'!$AJ$47="Muy Baja",'Mapa final'!$AL$47="Menor"),CONCATENATE("R2C",'Mapa final'!$S$47),"")</f>
        <v/>
      </c>
      <c r="S57" s="63" t="str">
        <f>IF(AND('Mapa final'!$AJ$48="Muy Baja",'Mapa final'!$AL$48="Menor"),CONCATENATE("R2C",'Mapa final'!$S$48),"")</f>
        <v/>
      </c>
      <c r="T57" s="63" t="str">
        <f>IF(AND('Mapa final'!$AJ$49="Muy Baja",'Mapa final'!$AL$49="Menor"),CONCATENATE("R2C",'Mapa final'!$S$49),"")</f>
        <v/>
      </c>
      <c r="U57" s="63" t="str">
        <f>IF(AND('Mapa final'!$AJ$50="Muy Baja",'Mapa final'!$AL$50="Menor"),CONCATENATE("R2C",'Mapa final'!$S$50),"")</f>
        <v/>
      </c>
      <c r="V57" s="64" t="str">
        <f>IF(AND('Mapa final'!$AJ$61="Muy Baja",'Mapa final'!$AL$51="Menor"),CONCATENATE("R2C",'Mapa final'!$S$51),"")</f>
        <v/>
      </c>
      <c r="W57" s="53" t="str">
        <f>IF(AND('Mapa final'!$AJ$46="Muy Baja",'Mapa final'!$AL$46="Moderado"),CONCATENATE("R2C",'Mapa final'!$S$46),"")</f>
        <v/>
      </c>
      <c r="X57" s="54" t="str">
        <f>IF(AND('Mapa final'!$AJ$47="Muy Baja",'Mapa final'!$AL$47="Moderado"),CONCATENATE("R2C",'Mapa final'!$S$47),"")</f>
        <v/>
      </c>
      <c r="Y57" s="54" t="str">
        <f>IF(AND('Mapa final'!$AJ$48="Muy Baja",'Mapa final'!$AL$48="Moderado"),CONCATENATE("R2C",'Mapa final'!$S$48),"")</f>
        <v/>
      </c>
      <c r="Z57" s="54" t="str">
        <f>IF(AND('Mapa final'!$AJ$49="Muy Baja",'Mapa final'!$AL$49="Moderado"),CONCATENATE("R2C",'Mapa final'!$S$49),"")</f>
        <v/>
      </c>
      <c r="AA57" s="54" t="str">
        <f>IF(AND('Mapa final'!$AJ$50="Muy Baja",'Mapa final'!$AL$50="Moderado"),CONCATENATE("R2C",'Mapa final'!$S$50),"")</f>
        <v/>
      </c>
      <c r="AB57" s="55" t="str">
        <f>IF(AND('Mapa final'!$AJ$61="Muy Baja",'Mapa final'!$AL$51="Moderado"),CONCATENATE("R2C",'Mapa final'!$S$51),"")</f>
        <v/>
      </c>
      <c r="AC57" s="38" t="str">
        <f>IF(AND('Mapa final'!$AJ$46="Muy Baja",'Mapa final'!$AL$46="Mayor"),CONCATENATE("R2C",'Mapa final'!$S$46),"")</f>
        <v/>
      </c>
      <c r="AD57" s="39" t="str">
        <f>IF(AND('Mapa final'!$AJ$47="Muy Baja",'Mapa final'!$AL$47="Mayor"),CONCATENATE("R2C",'Mapa final'!$S$47),"")</f>
        <v/>
      </c>
      <c r="AE57" s="39" t="str">
        <f>IF(AND('Mapa final'!$AJ$48="Muy Baja",'Mapa final'!$AL$48="Mayor"),CONCATENATE("R2C",'Mapa final'!$S$48),"")</f>
        <v/>
      </c>
      <c r="AF57" s="39" t="str">
        <f>IF(AND('Mapa final'!$AJ$49="Muy Baja",'Mapa final'!$AL$49="Mayor"),CONCATENATE("R2C",'Mapa final'!$S$49),"")</f>
        <v/>
      </c>
      <c r="AG57" s="39" t="str">
        <f>IF(AND('Mapa final'!$AJ$50="Muy Baja",'Mapa final'!$AL$50="Mayor"),CONCATENATE("R2C",'Mapa final'!$S$50),"")</f>
        <v/>
      </c>
      <c r="AH57" s="40" t="str">
        <f>IF(AND('Mapa final'!$AJ$61="Muy Baja",'Mapa final'!$AL$51="Mayor"),CONCATENATE("R2C",'Mapa final'!$S$51),"")</f>
        <v/>
      </c>
      <c r="AI57" s="41" t="str">
        <f>IF(AND('Mapa final'!$AJ$46="Muy Baja",'Mapa final'!$AL$46="Catastrófico"),CONCATENATE("R2C",'Mapa final'!$S$46),"")</f>
        <v/>
      </c>
      <c r="AJ57" s="42" t="str">
        <f>IF(AND('Mapa final'!$AJ$47="Muy Baja",'Mapa final'!$AL$47="Catastrófico"),CONCATENATE("R2C",'Mapa final'!$S$47),"")</f>
        <v/>
      </c>
      <c r="AK57" s="42" t="str">
        <f>IF(AND('Mapa final'!$AJ$48="Muy Baja",'Mapa final'!$AL$48="Catastrófico"),CONCATENATE("R2C",'Mapa final'!$S$48),"")</f>
        <v/>
      </c>
      <c r="AL57" s="42" t="str">
        <f>IF(AND('Mapa final'!$AJ$49="Muy Baja",'Mapa final'!$AL$49="Catastrófico"),CONCATENATE("R2C",'Mapa final'!$S$49),"")</f>
        <v/>
      </c>
      <c r="AM57" s="42" t="str">
        <f>IF(AND('Mapa final'!$AJ$50="Muy Baja",'Mapa final'!$AL$50="Catastrófico"),CONCATENATE("R2C",'Mapa final'!$S$50),"")</f>
        <v/>
      </c>
      <c r="AN57" s="43" t="str">
        <f>IF(AND('Mapa final'!$AJ$61="Muy Baja",'Mapa final'!$AL$51="Catastrófico"),CONCATENATE("R2C",'Mapa final'!$S$51),"")</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97"/>
      <c r="D58" s="397"/>
      <c r="E58" s="398"/>
      <c r="F58" s="502"/>
      <c r="G58" s="501"/>
      <c r="H58" s="501"/>
      <c r="I58" s="501"/>
      <c r="J58" s="519"/>
      <c r="K58" s="62" t="str">
        <f>IF(AND('Mapa final'!$AJ$52="Muy Baja",'Mapa final'!$AL$52="Leve"),CONCATENATE("R2C",'Mapa final'!$S$52),"")</f>
        <v/>
      </c>
      <c r="L58" s="63" t="str">
        <f>IF(AND('Mapa final'!$AJ$53="Muy Baja",'Mapa final'!$AL$53="Leve"),CONCATENATE("R2C",'Mapa final'!$S$53),"")</f>
        <v/>
      </c>
      <c r="M58" s="63" t="str">
        <f>IF(AND('Mapa final'!$AJ$54="Muy Baja",'Mapa final'!$AL$54="Leve"),CONCATENATE("R2C",'Mapa final'!$S$54),"")</f>
        <v/>
      </c>
      <c r="N58" s="63" t="str">
        <f>IF(AND('Mapa final'!$AJ$55="Muy Baja",'Mapa final'!$AL$55="Leve"),CONCATENATE("R2C",'Mapa final'!$S$55),"")</f>
        <v/>
      </c>
      <c r="O58" s="63" t="str">
        <f>IF(AND('Mapa final'!$AJ$56="Muy Baja",'Mapa final'!$AL$56="Leve"),CONCATENATE("R2C",'Mapa final'!$S$56),"")</f>
        <v/>
      </c>
      <c r="P58" s="64" t="str">
        <f>IF(AND('Mapa final'!$AJ$57="Muy Baja",'Mapa final'!$AL$57="Leve"),CONCATENATE("R2C",'Mapa final'!$S$57),"")</f>
        <v/>
      </c>
      <c r="Q58" s="62" t="str">
        <f>IF(AND('Mapa final'!$AJ$52="Muy Baja",'Mapa final'!$AL$52="Menor"),CONCATENATE("R2C",'Mapa final'!$S$52),"")</f>
        <v/>
      </c>
      <c r="R58" s="63" t="str">
        <f>IF(AND('Mapa final'!$AJ$53="Muy Baja",'Mapa final'!$AL$53="Menor"),CONCATENATE("R2C",'Mapa final'!$S$53),"")</f>
        <v/>
      </c>
      <c r="S58" s="63" t="str">
        <f>IF(AND('Mapa final'!$AJ$54="Muy Baja",'Mapa final'!$AL$54="Menor"),CONCATENATE("R2C",'Mapa final'!$S$54),"")</f>
        <v/>
      </c>
      <c r="T58" s="63" t="str">
        <f>IF(AND('Mapa final'!$AJ$55="Muy Baja",'Mapa final'!$AL$55="Menor"),CONCATENATE("R2C",'Mapa final'!$S$55),"")</f>
        <v/>
      </c>
      <c r="U58" s="63" t="str">
        <f>IF(AND('Mapa final'!$AJ$56="Muy Baja",'Mapa final'!$AL$56="Menor"),CONCATENATE("R2C",'Mapa final'!$S$56),"")</f>
        <v/>
      </c>
      <c r="V58" s="64" t="str">
        <f>IF(AND('Mapa final'!$AJ$57="Muy Baja",'Mapa final'!$AL$57="Menor"),CONCATENATE("R2C",'Mapa final'!$S$57),"")</f>
        <v/>
      </c>
      <c r="W58" s="53" t="str">
        <f>IF(AND('Mapa final'!$AJ$52="Muy Baja",'Mapa final'!$AL$52="Moderado"),CONCATENATE("R2C",'Mapa final'!$S$52),"")</f>
        <v/>
      </c>
      <c r="X58" s="54" t="str">
        <f>IF(AND('Mapa final'!$AJ$53="Muy Baja",'Mapa final'!$AL$53="Moderado"),CONCATENATE("R2C",'Mapa final'!$S$53),"")</f>
        <v/>
      </c>
      <c r="Y58" s="54" t="str">
        <f>IF(AND('Mapa final'!$AJ$54="Muy Baja",'Mapa final'!$AL$54="Moderado"),CONCATENATE("R2C",'Mapa final'!$S$54),"")</f>
        <v/>
      </c>
      <c r="Z58" s="54" t="str">
        <f>IF(AND('Mapa final'!$AJ$55="Muy Baja",'Mapa final'!$AL$55="Moderado"),CONCATENATE("R2C",'Mapa final'!$S$55),"")</f>
        <v/>
      </c>
      <c r="AA58" s="54" t="str">
        <f>IF(AND('Mapa final'!$AJ$56="Muy Baja",'Mapa final'!$AL$56="Moderado"),CONCATENATE("R2C",'Mapa final'!$S$56),"")</f>
        <v/>
      </c>
      <c r="AB58" s="55" t="str">
        <f>IF(AND('Mapa final'!$AJ$57="Muy Baja",'Mapa final'!$AL$57="Moderado"),CONCATENATE("R2C",'Mapa final'!$S$57),"")</f>
        <v/>
      </c>
      <c r="AC58" s="38" t="str">
        <f>IF(AND('Mapa final'!$AJ$52="Muy Baja",'Mapa final'!$AL$52="Mayor"),CONCATENATE("R2C",'Mapa final'!$S$52),"")</f>
        <v/>
      </c>
      <c r="AD58" s="39" t="str">
        <f>IF(AND('Mapa final'!$AJ$53="Muy Baja",'Mapa final'!$AL$53="Mayor"),CONCATENATE("R2C",'Mapa final'!$S$53),"")</f>
        <v/>
      </c>
      <c r="AE58" s="39" t="str">
        <f>IF(AND('Mapa final'!$AJ$54="Muy Baja",'Mapa final'!$AL$54="Mayor"),CONCATENATE("R2C",'Mapa final'!$S$54),"")</f>
        <v/>
      </c>
      <c r="AF58" s="39" t="str">
        <f>IF(AND('Mapa final'!$AJ$55="Muy Baja",'Mapa final'!$AL$55="Mayor"),CONCATENATE("R2C",'Mapa final'!$S$55),"")</f>
        <v/>
      </c>
      <c r="AG58" s="39" t="str">
        <f>IF(AND('Mapa final'!$AJ$56="Muy Baja",'Mapa final'!$AL$56="Mayor"),CONCATENATE("R2C",'Mapa final'!$S$56),"")</f>
        <v/>
      </c>
      <c r="AH58" s="40" t="str">
        <f>IF(AND('Mapa final'!$AJ$57="Muy Baja",'Mapa final'!$AL$57="Mayor"),CONCATENATE("R2C",'Mapa final'!$S$57),"")</f>
        <v/>
      </c>
      <c r="AI58" s="41" t="str">
        <f>IF(AND('Mapa final'!$AJ$52="Muy Baja",'Mapa final'!$AL$52="Catastrófico"),CONCATENATE("R2C",'Mapa final'!$S$52),"")</f>
        <v/>
      </c>
      <c r="AJ58" s="42" t="str">
        <f>IF(AND('Mapa final'!$AJ$53="Muy Baja",'Mapa final'!$AL$53="Catastrófico"),CONCATENATE("R2C",'Mapa final'!$S$53),"")</f>
        <v/>
      </c>
      <c r="AK58" s="42" t="str">
        <f>IF(AND('Mapa final'!$AJ$54="Muy Baja",'Mapa final'!$AL$54="Catastrófico"),CONCATENATE("R2C",'Mapa final'!$S$54),"")</f>
        <v/>
      </c>
      <c r="AL58" s="42" t="str">
        <f>IF(AND('Mapa final'!$AJ$55="Muy Baja",'Mapa final'!$AL$55="Catastrófico"),CONCATENATE("R2C",'Mapa final'!$S$55),"")</f>
        <v/>
      </c>
      <c r="AM58" s="42" t="str">
        <f>IF(AND('Mapa final'!$AJ$56="Muy Baja",'Mapa final'!$AL$56="Catastrófico"),CONCATENATE("R2C",'Mapa final'!$S$56),"")</f>
        <v/>
      </c>
      <c r="AN58" s="43" t="str">
        <f>IF(AND('Mapa final'!$AJ$57="Muy Baja",'Mapa final'!$AL$57="Catastrófico"),CONCATENATE("R2C",'Mapa final'!$S$57),"")</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97"/>
      <c r="D59" s="397"/>
      <c r="E59" s="398"/>
      <c r="F59" s="502"/>
      <c r="G59" s="501"/>
      <c r="H59" s="501"/>
      <c r="I59" s="501"/>
      <c r="J59" s="519"/>
      <c r="K59" s="62" t="str">
        <f>IF(AND('Mapa final'!$AJ$58="Muy Baja",'Mapa final'!$AL$58="Leve"),CONCATENATE("R2C",'Mapa final'!$S$58),"")</f>
        <v/>
      </c>
      <c r="L59" s="63" t="str">
        <f>IF(AND('Mapa final'!$AJ$59="Muy Baja",'Mapa final'!$AL$59="Leve"),CONCATENATE("R2C",'Mapa final'!$S$59),"")</f>
        <v/>
      </c>
      <c r="M59" s="63" t="str">
        <f>IF(AND('Mapa final'!$AJ$60="Muy Baja",'Mapa final'!$AL$60="Leve"),CONCATENATE("R2C",'Mapa final'!$S$60),"")</f>
        <v/>
      </c>
      <c r="N59" s="63" t="str">
        <f>IF(AND('Mapa final'!$AJ$61="Muy Baja",'Mapa final'!$AL$61="Leve"),CONCATENATE("R2C",'Mapa final'!$S$61),"")</f>
        <v/>
      </c>
      <c r="O59" s="63" t="str">
        <f>IF(AND('Mapa final'!$AJ$62="Muy Baja",'Mapa final'!$AL$62="Leve"),CONCATENATE("R2C",'Mapa final'!$S$62),"")</f>
        <v/>
      </c>
      <c r="P59" s="64" t="str">
        <f>IF(AND('Mapa final'!$AJ$63="Muy Baja",'Mapa final'!$AL$63="Leve"),CONCATENATE("R2C",'Mapa final'!$S$63),"")</f>
        <v/>
      </c>
      <c r="Q59" s="62" t="str">
        <f>IF(AND('Mapa final'!$AJ$58="Muy Baja",'Mapa final'!$AL$58="Menor"),CONCATENATE("R2C",'Mapa final'!$S$58),"")</f>
        <v/>
      </c>
      <c r="R59" s="63" t="str">
        <f>IF(AND('Mapa final'!$AJ$59="Muy Baja",'Mapa final'!$AL$59="Menor"),CONCATENATE("R2C",'Mapa final'!$S$59),"")</f>
        <v/>
      </c>
      <c r="S59" s="63" t="str">
        <f>IF(AND('Mapa final'!$AJ$60="Muy Baja",'Mapa final'!$AL$60="Menor"),CONCATENATE("R2C",'Mapa final'!$S$60),"")</f>
        <v/>
      </c>
      <c r="T59" s="63" t="str">
        <f>IF(AND('Mapa final'!$AJ$61="Muy Baja",'Mapa final'!$AL$61="Menor"),CONCATENATE("R2C",'Mapa final'!$S$61),"")</f>
        <v/>
      </c>
      <c r="U59" s="63" t="str">
        <f>IF(AND('Mapa final'!$AJ$62="Muy Baja",'Mapa final'!$AL$62="Menor"),CONCATENATE("R2C",'Mapa final'!$S$62),"")</f>
        <v/>
      </c>
      <c r="V59" s="64" t="str">
        <f>IF(AND('Mapa final'!$AJ$63="Muy Baja",'Mapa final'!$AL$63="Menor"),CONCATENATE("R2C",'Mapa final'!$S$63),"")</f>
        <v/>
      </c>
      <c r="W59" s="53" t="str">
        <f>IF(AND('Mapa final'!$AJ$58="Muy Baja",'Mapa final'!$AL$58="Moderado"),CONCATENATE("R2C",'Mapa final'!$S$58),"")</f>
        <v/>
      </c>
      <c r="X59" s="54" t="str">
        <f>IF(AND('Mapa final'!$AJ$59="Muy Baja",'Mapa final'!$AL$59="Moderado"),CONCATENATE("R2C",'Mapa final'!$S$59),"")</f>
        <v/>
      </c>
      <c r="Y59" s="54" t="str">
        <f>IF(AND('Mapa final'!$AJ$60="Muy Baja",'Mapa final'!$AL$60="Moderado"),CONCATENATE("R2C",'Mapa final'!$S$60),"")</f>
        <v/>
      </c>
      <c r="Z59" s="54" t="str">
        <f>IF(AND('Mapa final'!$AJ$61="Muy Baja",'Mapa final'!$AL$61="Moderado"),CONCATENATE("R2C",'Mapa final'!$S$61),"")</f>
        <v/>
      </c>
      <c r="AA59" s="54" t="str">
        <f>IF(AND('Mapa final'!$AJ$62="Muy Baja",'Mapa final'!$AL$62="Moderado"),CONCATENATE("R2C",'Mapa final'!$S$62),"")</f>
        <v/>
      </c>
      <c r="AB59" s="55" t="str">
        <f>IF(AND('Mapa final'!$AJ$63="Muy Baja",'Mapa final'!$AL$63="Moderado"),CONCATENATE("R2C",'Mapa final'!$S$63),"")</f>
        <v/>
      </c>
      <c r="AC59" s="38" t="str">
        <f>IF(AND('Mapa final'!$AJ$58="Muy Baja",'Mapa final'!$AL$58="Mayor"),CONCATENATE("R2C",'Mapa final'!$S$58),"")</f>
        <v/>
      </c>
      <c r="AD59" s="39" t="str">
        <f>IF(AND('Mapa final'!$AJ$59="Muy Baja",'Mapa final'!$AL$59="Mayor"),CONCATENATE("R2C",'Mapa final'!$S$59),"")</f>
        <v/>
      </c>
      <c r="AE59" s="39" t="str">
        <f>IF(AND('Mapa final'!$AJ$60="Muy Baja",'Mapa final'!$AL$60="Mayor"),CONCATENATE("R2C",'Mapa final'!$S$60),"")</f>
        <v/>
      </c>
      <c r="AF59" s="39" t="str">
        <f>IF(AND('Mapa final'!$AJ$61="Muy Baja",'Mapa final'!$AL$61="Mayor"),CONCATENATE("R2C",'Mapa final'!$S$61),"")</f>
        <v/>
      </c>
      <c r="AG59" s="39" t="str">
        <f>IF(AND('Mapa final'!$AJ$62="Muy Baja",'Mapa final'!$AL$62="Mayor"),CONCATENATE("R2C",'Mapa final'!$S$62),"")</f>
        <v/>
      </c>
      <c r="AH59" s="40" t="str">
        <f>IF(AND('Mapa final'!$AJ$63="Muy Baja",'Mapa final'!$AL$63="Mayor"),CONCATENATE("R2C",'Mapa final'!$S$63),"")</f>
        <v/>
      </c>
      <c r="AI59" s="41" t="str">
        <f>IF(AND('Mapa final'!$AJ$58="Muy Baja",'Mapa final'!$AL$58="Catastrófico"),CONCATENATE("R2C",'Mapa final'!$S$58),"")</f>
        <v/>
      </c>
      <c r="AJ59" s="42" t="str">
        <f>IF(AND('Mapa final'!$AJ$59="Muy Baja",'Mapa final'!$AL$59="Catastrófico"),CONCATENATE("R2C",'Mapa final'!$S$59),"")</f>
        <v/>
      </c>
      <c r="AK59" s="42" t="str">
        <f>IF(AND('Mapa final'!$AJ$60="Muy Baja",'Mapa final'!$AL$60="Catastrófico"),CONCATENATE("R2C",'Mapa final'!$S$60),"")</f>
        <v/>
      </c>
      <c r="AL59" s="42" t="str">
        <f>IF(AND('Mapa final'!$AJ$61="Muy Baja",'Mapa final'!$AL$61="Catastrófico"),CONCATENATE("R2C",'Mapa final'!$S$61),"")</f>
        <v/>
      </c>
      <c r="AM59" s="42" t="str">
        <f>IF(AND('Mapa final'!$AJ$62="Muy Baja",'Mapa final'!$AL$62="Catastrófico"),CONCATENATE("R2C",'Mapa final'!$S$62),"")</f>
        <v/>
      </c>
      <c r="AN59" s="43" t="str">
        <f>IF(AND('Mapa final'!$AJ$63="Muy Baja",'Mapa final'!$AL$63="Catastrófico"),CONCATENATE("R2C",'Mapa final'!$S$63),"")</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97"/>
      <c r="D60" s="397"/>
      <c r="E60" s="398"/>
      <c r="F60" s="502"/>
      <c r="G60" s="501"/>
      <c r="H60" s="501"/>
      <c r="I60" s="501"/>
      <c r="J60" s="519"/>
      <c r="K60" s="62" t="str">
        <f>IF(AND('Mapa final'!$AJ$64="Muy Baja",'Mapa final'!$AL$64="Leve"),CONCATENATE("R2C",'Mapa final'!$S$64),"")</f>
        <v/>
      </c>
      <c r="L60" s="63" t="str">
        <f>IF(AND('Mapa final'!$AJ$65="Muy Baja",'Mapa final'!$AL$65="Leve"),CONCATENATE("R2C",'Mapa final'!$S$65),"")</f>
        <v/>
      </c>
      <c r="M60" s="63" t="str">
        <f>IF(AND('Mapa final'!$AJ$66="Muy Baja",'Mapa final'!$AL$66="Leve"),CONCATENATE("R2C",'Mapa final'!$S$66),"")</f>
        <v/>
      </c>
      <c r="N60" s="63" t="str">
        <f>IF(AND('Mapa final'!$AJ$67="Muy Baja",'Mapa final'!$AL$67="Leve"),CONCATENATE("R2C",'Mapa final'!$S$67),"")</f>
        <v/>
      </c>
      <c r="O60" s="63" t="str">
        <f>IF(AND('Mapa final'!$AJ$68="Muy Baja",'Mapa final'!$AL$68="Leve"),CONCATENATE("R2C",'Mapa final'!$S$68),"")</f>
        <v/>
      </c>
      <c r="P60" s="64" t="str">
        <f>IF(AND('Mapa final'!$AJ$69="Muy Baja",'Mapa final'!$AL$69="Leve"),CONCATENATE("R2C",'Mapa final'!$S$69),"")</f>
        <v/>
      </c>
      <c r="Q60" s="62" t="str">
        <f>IF(AND('Mapa final'!$AJ$64="Muy Baja",'Mapa final'!$AL$64="Menor"),CONCATENATE("R2C",'Mapa final'!$S$64),"")</f>
        <v/>
      </c>
      <c r="R60" s="63" t="str">
        <f>IF(AND('Mapa final'!$AJ$65="Muy Baja",'Mapa final'!$AL$65="Menor"),CONCATENATE("R2C",'Mapa final'!$S$65),"")</f>
        <v/>
      </c>
      <c r="S60" s="63" t="str">
        <f>IF(AND('Mapa final'!$AJ$66="Muy Baja",'Mapa final'!$AL$66="Menor"),CONCATENATE("R2C",'Mapa final'!$S$66),"")</f>
        <v/>
      </c>
      <c r="T60" s="63" t="str">
        <f>IF(AND('Mapa final'!$AJ$67="Muy Baja",'Mapa final'!$AL$67="Menor"),CONCATENATE("R2C",'Mapa final'!$S$67),"")</f>
        <v/>
      </c>
      <c r="U60" s="63" t="str">
        <f>IF(AND('Mapa final'!$AJ$68="Muy Baja",'Mapa final'!$AL$68="Menor"),CONCATENATE("R2C",'Mapa final'!$S$68),"")</f>
        <v/>
      </c>
      <c r="V60" s="64" t="str">
        <f>IF(AND('Mapa final'!$AJ$69="Muy Baja",'Mapa final'!$AL$69="Menor"),CONCATENATE("R2C",'Mapa final'!$S$69),"")</f>
        <v/>
      </c>
      <c r="W60" s="53" t="str">
        <f>IF(AND('Mapa final'!$AJ$64="Muy Baja",'Mapa final'!$AL$64="Moderado"),CONCATENATE("R2C",'Mapa final'!$S$64),"")</f>
        <v/>
      </c>
      <c r="X60" s="54" t="str">
        <f>IF(AND('Mapa final'!$AJ$65="Muy Baja",'Mapa final'!$AL$65="Moderado"),CONCATENATE("R2C",'Mapa final'!$S$65),"")</f>
        <v/>
      </c>
      <c r="Y60" s="54" t="str">
        <f>IF(AND('Mapa final'!$AJ$66="Muy Baja",'Mapa final'!$AL$66="Moderado"),CONCATENATE("R2C",'Mapa final'!$S$66),"")</f>
        <v/>
      </c>
      <c r="Z60" s="54" t="str">
        <f>IF(AND('Mapa final'!$AJ$67="Muy Baja",'Mapa final'!$AL$67="Moderado"),CONCATENATE("R2C",'Mapa final'!$S$67),"")</f>
        <v/>
      </c>
      <c r="AA60" s="54" t="str">
        <f>IF(AND('Mapa final'!$AJ$68="Muy Baja",'Mapa final'!$AL$68="Moderado"),CONCATENATE("R2C",'Mapa final'!$S$68),"")</f>
        <v/>
      </c>
      <c r="AB60" s="55" t="str">
        <f>IF(AND('Mapa final'!$AJ$69="Muy Baja",'Mapa final'!$AL$69="Moderado"),CONCATENATE("R2C",'Mapa final'!$S$69),"")</f>
        <v/>
      </c>
      <c r="AC60" s="38" t="str">
        <f>IF(AND('Mapa final'!$AJ$64="Muy Baja",'Mapa final'!$AL$64="Mayor"),CONCATENATE("R2C",'Mapa final'!$S$64),"")</f>
        <v/>
      </c>
      <c r="AD60" s="39" t="str">
        <f>IF(AND('Mapa final'!$AJ$65="Muy Baja",'Mapa final'!$AL$65="Mayor"),CONCATENATE("R2C",'Mapa final'!$S$65),"")</f>
        <v/>
      </c>
      <c r="AE60" s="39" t="str">
        <f>IF(AND('Mapa final'!$AJ$66="Muy Baja",'Mapa final'!$AL$66="Mayor"),CONCATENATE("R2C",'Mapa final'!$S$66),"")</f>
        <v/>
      </c>
      <c r="AF60" s="39" t="str">
        <f>IF(AND('Mapa final'!$AJ$67="Muy Baja",'Mapa final'!$AL$67="Mayor"),CONCATENATE("R2C",'Mapa final'!$S$67),"")</f>
        <v/>
      </c>
      <c r="AG60" s="39" t="str">
        <f>IF(AND('Mapa final'!$AJ$68="Muy Baja",'Mapa final'!$AL$68="Mayor"),CONCATENATE("R2C",'Mapa final'!$S$68),"")</f>
        <v/>
      </c>
      <c r="AH60" s="40" t="str">
        <f>IF(AND('Mapa final'!$AJ$69="Muy Baja",'Mapa final'!$AL$69="Mayor"),CONCATENATE("R2C",'Mapa final'!$S$69),"")</f>
        <v/>
      </c>
      <c r="AI60" s="41" t="str">
        <f>IF(AND('Mapa final'!$AJ$64="Muy Baja",'Mapa final'!$AL$64="Catastrófico"),CONCATENATE("R2C",'Mapa final'!$S$64),"")</f>
        <v/>
      </c>
      <c r="AJ60" s="42" t="str">
        <f>IF(AND('Mapa final'!$AJ$65="Muy Baja",'Mapa final'!$AL$65="Catastrófico"),CONCATENATE("R2C",'Mapa final'!$S$65),"")</f>
        <v/>
      </c>
      <c r="AK60" s="42" t="str">
        <f>IF(AND('Mapa final'!$AJ$66="Muy Baja",'Mapa final'!$AL$66="Catastrófico"),CONCATENATE("R2C",'Mapa final'!$S$66),"")</f>
        <v/>
      </c>
      <c r="AL60" s="42" t="str">
        <f>IF(AND('Mapa final'!$AJ$67="Muy Baja",'Mapa final'!$AL$67="Catastrófico"),CONCATENATE("R2C",'Mapa final'!$S$67),"")</f>
        <v/>
      </c>
      <c r="AM60" s="42" t="str">
        <f>IF(AND('Mapa final'!$AJ$68="Muy Baja",'Mapa final'!$AL$68="Catastrófico"),CONCATENATE("R2C",'Mapa final'!$S$68),"")</f>
        <v/>
      </c>
      <c r="AN60" s="43" t="str">
        <f>IF(AND('Mapa final'!$AJ$69="Muy Baja",'Mapa final'!$AL$69="Catastrófico"),CONCATENATE("R2C",'Mapa final'!$S$69),"")</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97"/>
      <c r="D61" s="397"/>
      <c r="E61" s="398"/>
      <c r="F61" s="503"/>
      <c r="G61" s="504"/>
      <c r="H61" s="504"/>
      <c r="I61" s="504"/>
      <c r="J61" s="520"/>
      <c r="K61" s="65" t="str">
        <f>IF(AND('Mapa final'!$AJ$70="Muy Baja",'Mapa final'!$AL$70="Leve"),CONCATENATE("R2C",'Mapa final'!$S$70),"")</f>
        <v/>
      </c>
      <c r="L61" s="66" t="str">
        <f>IF(AND('Mapa final'!$AJ$71="Muy Baja",'Mapa final'!$AL$71="Leve"),CONCATENATE("R2C",'Mapa final'!$S$71),"")</f>
        <v/>
      </c>
      <c r="M61" s="66" t="str">
        <f>IF(AND('Mapa final'!$AJ$72="Muy Baja",'Mapa final'!$AL$72="Leve"),CONCATENATE("R2C",'Mapa final'!$S$72),"")</f>
        <v/>
      </c>
      <c r="N61" s="66" t="str">
        <f>IF(AND('Mapa final'!$AJ$73="Muy Baja",'Mapa final'!$AL$73="Leve"),CONCATENATE("R2C",'Mapa final'!$S$73),"")</f>
        <v/>
      </c>
      <c r="O61" s="66" t="str">
        <f>IF(AND('Mapa final'!$AJ$75="Muy Baja",'Mapa final'!$AL$75="Leve"),CONCATENATE("R2C",'Mapa final'!$S$75),"")</f>
        <v/>
      </c>
      <c r="P61" s="67" t="str">
        <f>IF(AND('Mapa final'!$AJ$76="Muy Baja",'Mapa final'!$AL$76="Leve"),CONCATENATE("R2C",'Mapa final'!$S$76),"")</f>
        <v/>
      </c>
      <c r="Q61" s="65" t="str">
        <f>IF(AND('Mapa final'!$AJ$70="Muy Baja",'Mapa final'!$AL$70="Menor"),CONCATENATE("R2C",'Mapa final'!$S$70),"")</f>
        <v/>
      </c>
      <c r="R61" s="66" t="str">
        <f>IF(AND('Mapa final'!$AJ$71="Muy Baja",'Mapa final'!$AL$71="Menor"),CONCATENATE("R2C",'Mapa final'!$S$71),"")</f>
        <v/>
      </c>
      <c r="S61" s="66" t="str">
        <f>IF(AND('Mapa final'!$AJ$72="Muy Baja",'Mapa final'!$AL$72="Menor"),CONCATENATE("R2C",'Mapa final'!$S$72),"")</f>
        <v/>
      </c>
      <c r="T61" s="66" t="str">
        <f>IF(AND('Mapa final'!$AJ$73="Muy Baja",'Mapa final'!$AL$73="Menor"),CONCATENATE("R2C",'Mapa final'!$S$73),"")</f>
        <v/>
      </c>
      <c r="U61" s="66" t="str">
        <f>IF(AND('Mapa final'!$AJ$75="Muy Baja",'Mapa final'!$AL$75="Menor"),CONCATENATE("R2C",'Mapa final'!$S$75),"")</f>
        <v/>
      </c>
      <c r="V61" s="67" t="str">
        <f>IF(AND('Mapa final'!$AJ$76="Muy Baja",'Mapa final'!$AL$76="Menor"),CONCATENATE("R2C",'Mapa final'!$S$76),"")</f>
        <v/>
      </c>
      <c r="W61" s="56" t="str">
        <f>IF(AND('Mapa final'!$AJ$70="Muy Baja",'Mapa final'!$AL$70="Moderado"),CONCATENATE("R2C",'Mapa final'!$S$70),"")</f>
        <v/>
      </c>
      <c r="X61" s="57" t="str">
        <f>IF(AND('Mapa final'!$AJ$71="Muy Baja",'Mapa final'!$AL$71="Moderado"),CONCATENATE("R2C",'Mapa final'!$S$71),"")</f>
        <v/>
      </c>
      <c r="Y61" s="57" t="str">
        <f>IF(AND('Mapa final'!$AJ$72="Muy Baja",'Mapa final'!$AL$72="Moderado"),CONCATENATE("R2C",'Mapa final'!$S$72),"")</f>
        <v/>
      </c>
      <c r="Z61" s="57" t="str">
        <f>IF(AND('Mapa final'!$AJ$73="Muy Baja",'Mapa final'!$AL$73="Moderado"),CONCATENATE("R2C",'Mapa final'!$S$73),"")</f>
        <v/>
      </c>
      <c r="AA61" s="57" t="str">
        <f>IF(AND('Mapa final'!$AJ$75="Muy Baja",'Mapa final'!$AL$75="Moderado"),CONCATENATE("R2C",'Mapa final'!$S$75),"")</f>
        <v/>
      </c>
      <c r="AB61" s="58" t="str">
        <f>IF(AND('Mapa final'!$AJ$76="Muy Baja",'Mapa final'!$AL$76="Moderado"),CONCATENATE("R2C",'Mapa final'!$S$76),"")</f>
        <v/>
      </c>
      <c r="AC61" s="44" t="str">
        <f>IF(AND('Mapa final'!$AJ$70="Muy Baja",'Mapa final'!$AL$70="Mayor"),CONCATENATE("R2C",'Mapa final'!$S$70),"")</f>
        <v/>
      </c>
      <c r="AD61" s="45" t="str">
        <f>IF(AND('Mapa final'!$AJ$71="Muy Baja",'Mapa final'!$AL$71="Mayor"),CONCATENATE("R2C",'Mapa final'!$S$71),"")</f>
        <v/>
      </c>
      <c r="AE61" s="45" t="str">
        <f>IF(AND('Mapa final'!$AJ$72="Muy Baja",'Mapa final'!$AL$72="Mayor"),CONCATENATE("R2C",'Mapa final'!$S$72),"")</f>
        <v/>
      </c>
      <c r="AF61" s="45" t="str">
        <f>IF(AND('Mapa final'!$AJ$73="Muy Baja",'Mapa final'!$AL$73="Mayor"),CONCATENATE("R2C",'Mapa final'!$S$73),"")</f>
        <v/>
      </c>
      <c r="AG61" s="45" t="str">
        <f>IF(AND('Mapa final'!$AJ$75="Muy Baja",'Mapa final'!$AL$75="Mayor"),CONCATENATE("R2C",'Mapa final'!$S$75),"")</f>
        <v/>
      </c>
      <c r="AH61" s="46" t="str">
        <f>IF(AND('Mapa final'!$AJ$76="Muy Baja",'Mapa final'!$AL$76="Mayor"),CONCATENATE("R2C",'Mapa final'!$S$76),"")</f>
        <v/>
      </c>
      <c r="AI61" s="47" t="str">
        <f>IF(AND('Mapa final'!$AJ$70="Muy Baja",'Mapa final'!$AL$70="Catastrófico"),CONCATENATE("R2C",'Mapa final'!$S$70),"")</f>
        <v/>
      </c>
      <c r="AJ61" s="48" t="str">
        <f>IF(AND('Mapa final'!$AJ$71="Muy Baja",'Mapa final'!$AL$71="Catastrófico"),CONCATENATE("R2C",'Mapa final'!$S$71),"")</f>
        <v/>
      </c>
      <c r="AK61" s="48" t="str">
        <f>IF(AND('Mapa final'!$AJ$72="Muy Baja",'Mapa final'!$AL$72="Catastrófico"),CONCATENATE("R2C",'Mapa final'!$S$72),"")</f>
        <v/>
      </c>
      <c r="AL61" s="48" t="str">
        <f>IF(AND('Mapa final'!$AJ$73="Muy Baja",'Mapa final'!$AL$73="Catastrófico"),CONCATENATE("R2C",'Mapa final'!$S$73),"")</f>
        <v/>
      </c>
      <c r="AM61" s="48" t="str">
        <f>IF(AND('Mapa final'!$AJ$75="Muy Baja",'Mapa final'!$AL$75="Catastrófico"),CONCATENATE("R2C",'Mapa final'!$S$75),"")</f>
        <v/>
      </c>
      <c r="AN61" s="49" t="str">
        <f>IF(AND('Mapa final'!$AJ$76="Muy Baja",'Mapa final'!$AL$76="Catastrófico"),CONCATENATE("R2C",'Mapa final'!$S$76),"")</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98" t="s">
        <v>110</v>
      </c>
      <c r="L62" s="499"/>
      <c r="M62" s="499"/>
      <c r="N62" s="499"/>
      <c r="O62" s="499"/>
      <c r="P62" s="518"/>
      <c r="Q62" s="498" t="s">
        <v>109</v>
      </c>
      <c r="R62" s="499"/>
      <c r="S62" s="499"/>
      <c r="T62" s="499"/>
      <c r="U62" s="499"/>
      <c r="V62" s="518"/>
      <c r="W62" s="498" t="s">
        <v>108</v>
      </c>
      <c r="X62" s="499"/>
      <c r="Y62" s="499"/>
      <c r="Z62" s="499"/>
      <c r="AA62" s="499"/>
      <c r="AB62" s="518"/>
      <c r="AC62" s="498" t="s">
        <v>107</v>
      </c>
      <c r="AD62" s="539"/>
      <c r="AE62" s="499"/>
      <c r="AF62" s="499"/>
      <c r="AG62" s="499"/>
      <c r="AH62" s="518"/>
      <c r="AI62" s="498" t="s">
        <v>106</v>
      </c>
      <c r="AJ62" s="499"/>
      <c r="AK62" s="499"/>
      <c r="AL62" s="499"/>
      <c r="AM62" s="499"/>
      <c r="AN62" s="518"/>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502"/>
      <c r="L63" s="501"/>
      <c r="M63" s="501"/>
      <c r="N63" s="501"/>
      <c r="O63" s="501"/>
      <c r="P63" s="519"/>
      <c r="Q63" s="502"/>
      <c r="R63" s="501"/>
      <c r="S63" s="501"/>
      <c r="T63" s="501"/>
      <c r="U63" s="501"/>
      <c r="V63" s="519"/>
      <c r="W63" s="502"/>
      <c r="X63" s="501"/>
      <c r="Y63" s="501"/>
      <c r="Z63" s="501"/>
      <c r="AA63" s="501"/>
      <c r="AB63" s="519"/>
      <c r="AC63" s="502"/>
      <c r="AD63" s="501"/>
      <c r="AE63" s="501"/>
      <c r="AF63" s="501"/>
      <c r="AG63" s="501"/>
      <c r="AH63" s="519"/>
      <c r="AI63" s="502"/>
      <c r="AJ63" s="501"/>
      <c r="AK63" s="501"/>
      <c r="AL63" s="501"/>
      <c r="AM63" s="501"/>
      <c r="AN63" s="51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502"/>
      <c r="L64" s="501"/>
      <c r="M64" s="501"/>
      <c r="N64" s="501"/>
      <c r="O64" s="501"/>
      <c r="P64" s="519"/>
      <c r="Q64" s="502"/>
      <c r="R64" s="501"/>
      <c r="S64" s="501"/>
      <c r="T64" s="501"/>
      <c r="U64" s="501"/>
      <c r="V64" s="519"/>
      <c r="W64" s="502"/>
      <c r="X64" s="501"/>
      <c r="Y64" s="501"/>
      <c r="Z64" s="501"/>
      <c r="AA64" s="501"/>
      <c r="AB64" s="519"/>
      <c r="AC64" s="502"/>
      <c r="AD64" s="501"/>
      <c r="AE64" s="501"/>
      <c r="AF64" s="501"/>
      <c r="AG64" s="501"/>
      <c r="AH64" s="519"/>
      <c r="AI64" s="502"/>
      <c r="AJ64" s="501"/>
      <c r="AK64" s="501"/>
      <c r="AL64" s="501"/>
      <c r="AM64" s="501"/>
      <c r="AN64" s="51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502"/>
      <c r="L65" s="501"/>
      <c r="M65" s="501"/>
      <c r="N65" s="501"/>
      <c r="O65" s="501"/>
      <c r="P65" s="519"/>
      <c r="Q65" s="502"/>
      <c r="R65" s="501"/>
      <c r="S65" s="501"/>
      <c r="T65" s="501"/>
      <c r="U65" s="501"/>
      <c r="V65" s="519"/>
      <c r="W65" s="502"/>
      <c r="X65" s="501"/>
      <c r="Y65" s="501"/>
      <c r="Z65" s="501"/>
      <c r="AA65" s="501"/>
      <c r="AB65" s="519"/>
      <c r="AC65" s="502"/>
      <c r="AD65" s="501"/>
      <c r="AE65" s="501"/>
      <c r="AF65" s="501"/>
      <c r="AG65" s="501"/>
      <c r="AH65" s="519"/>
      <c r="AI65" s="502"/>
      <c r="AJ65" s="501"/>
      <c r="AK65" s="501"/>
      <c r="AL65" s="501"/>
      <c r="AM65" s="501"/>
      <c r="AN65" s="51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502"/>
      <c r="L66" s="501"/>
      <c r="M66" s="501"/>
      <c r="N66" s="501"/>
      <c r="O66" s="501"/>
      <c r="P66" s="519"/>
      <c r="Q66" s="502"/>
      <c r="R66" s="501"/>
      <c r="S66" s="501"/>
      <c r="T66" s="501"/>
      <c r="U66" s="501"/>
      <c r="V66" s="519"/>
      <c r="W66" s="502"/>
      <c r="X66" s="501"/>
      <c r="Y66" s="501"/>
      <c r="Z66" s="501"/>
      <c r="AA66" s="501"/>
      <c r="AB66" s="519"/>
      <c r="AC66" s="502"/>
      <c r="AD66" s="501"/>
      <c r="AE66" s="501"/>
      <c r="AF66" s="501"/>
      <c r="AG66" s="501"/>
      <c r="AH66" s="519"/>
      <c r="AI66" s="502"/>
      <c r="AJ66" s="501"/>
      <c r="AK66" s="501"/>
      <c r="AL66" s="501"/>
      <c r="AM66" s="501"/>
      <c r="AN66" s="51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503"/>
      <c r="L67" s="504"/>
      <c r="M67" s="504"/>
      <c r="N67" s="504"/>
      <c r="O67" s="504"/>
      <c r="P67" s="520"/>
      <c r="Q67" s="503"/>
      <c r="R67" s="504"/>
      <c r="S67" s="504"/>
      <c r="T67" s="504"/>
      <c r="U67" s="504"/>
      <c r="V67" s="520"/>
      <c r="W67" s="503"/>
      <c r="X67" s="504"/>
      <c r="Y67" s="504"/>
      <c r="Z67" s="504"/>
      <c r="AA67" s="504"/>
      <c r="AB67" s="520"/>
      <c r="AC67" s="503"/>
      <c r="AD67" s="504"/>
      <c r="AE67" s="504"/>
      <c r="AF67" s="504"/>
      <c r="AG67" s="504"/>
      <c r="AH67" s="520"/>
      <c r="AI67" s="503"/>
      <c r="AJ67" s="504"/>
      <c r="AK67" s="504"/>
      <c r="AL67" s="504"/>
      <c r="AM67" s="504"/>
      <c r="AN67" s="520"/>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E2" sqref="E2"/>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40" t="s">
        <v>242</v>
      </c>
      <c r="C2" s="543" t="s">
        <v>203</v>
      </c>
      <c r="D2" s="544"/>
      <c r="E2" s="124" t="s">
        <v>387</v>
      </c>
      <c r="F2" s="125"/>
    </row>
    <row r="3" spans="1:6" ht="15.75" customHeight="1" x14ac:dyDescent="0.25">
      <c r="B3" s="541"/>
      <c r="C3" s="240"/>
      <c r="D3" s="242"/>
      <c r="E3" s="124" t="s">
        <v>262</v>
      </c>
      <c r="F3" s="125"/>
    </row>
    <row r="4" spans="1:6" ht="16.5" customHeight="1" x14ac:dyDescent="0.25">
      <c r="B4" s="541"/>
      <c r="C4" s="240"/>
      <c r="D4" s="242"/>
      <c r="E4" s="124" t="s">
        <v>386</v>
      </c>
      <c r="F4" s="125"/>
    </row>
    <row r="5" spans="1:6" ht="15" customHeight="1" thickBot="1" x14ac:dyDescent="0.3">
      <c r="B5" s="542"/>
      <c r="C5" s="545"/>
      <c r="D5" s="546"/>
      <c r="E5" s="124" t="s">
        <v>243</v>
      </c>
      <c r="F5" s="125"/>
    </row>
    <row r="7" spans="1:6" x14ac:dyDescent="0.25">
      <c r="A7" s="547" t="s">
        <v>264</v>
      </c>
      <c r="B7" s="142" t="s">
        <v>244</v>
      </c>
      <c r="C7" s="143" t="s">
        <v>245</v>
      </c>
      <c r="D7" s="143" t="s">
        <v>246</v>
      </c>
      <c r="E7" s="143" t="s">
        <v>247</v>
      </c>
    </row>
    <row r="8" spans="1:6" ht="28.5" x14ac:dyDescent="0.25">
      <c r="A8" s="547"/>
      <c r="B8" s="126">
        <v>45687</v>
      </c>
      <c r="C8" s="127" t="s">
        <v>441</v>
      </c>
      <c r="D8" s="128" t="s">
        <v>421</v>
      </c>
      <c r="E8" s="128" t="s">
        <v>422</v>
      </c>
    </row>
    <row r="9" spans="1:6" x14ac:dyDescent="0.25">
      <c r="A9" s="547"/>
      <c r="B9" s="126"/>
      <c r="C9" s="127"/>
      <c r="D9" s="128"/>
      <c r="E9" s="128"/>
    </row>
    <row r="10" spans="1:6" x14ac:dyDescent="0.25">
      <c r="A10" s="547"/>
      <c r="B10" s="126"/>
      <c r="C10" s="127"/>
      <c r="D10" s="128"/>
      <c r="E10" s="128"/>
    </row>
    <row r="11" spans="1:6" x14ac:dyDescent="0.25">
      <c r="A11" s="547"/>
      <c r="B11" s="126"/>
      <c r="C11" s="127"/>
      <c r="D11" s="128"/>
      <c r="E11" s="128"/>
    </row>
    <row r="12" spans="1:6" x14ac:dyDescent="0.25">
      <c r="A12" s="547"/>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2025-01-31T18:18:23Z</dcterms:modified>
</cp:coreProperties>
</file>