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H:\CONTRATOS\ETITC\2025\Riesgos 2025\"/>
    </mc:Choice>
  </mc:AlternateContent>
  <xr:revisionPtr revIDLastSave="0" documentId="13_ncr:1_{3C07D706-7820-4836-994E-B834D97FAF8A}" xr6:coauthVersionLast="36" xr6:coauthVersionMax="36" xr10:uidLastSave="{00000000-0000-0000-0000-000000000000}"/>
  <bookViews>
    <workbookView showSheetTabs="0" xWindow="0" yWindow="0" windowWidth="3390" windowHeight="5385"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55" r:id="rId24"/>
  </pivotCaches>
</workbook>
</file>

<file path=xl/calcChain.xml><?xml version="1.0" encoding="utf-8"?>
<calcChain xmlns="http://schemas.openxmlformats.org/spreadsheetml/2006/main">
  <c r="AA17" i="1" l="1"/>
  <c r="AA18" i="1"/>
  <c r="AI22" i="1" l="1"/>
  <c r="AI21" i="1"/>
  <c r="AI20" i="1"/>
  <c r="AI19" i="1"/>
  <c r="Q16" i="1" l="1"/>
  <c r="R16" i="1" s="1"/>
  <c r="AA16" i="1"/>
  <c r="AD16" i="1"/>
  <c r="Q17" i="1"/>
  <c r="R17" i="1" s="1"/>
  <c r="AI17" i="1" s="1"/>
  <c r="AK17" i="1" s="1"/>
  <c r="AI18" i="1" s="1"/>
  <c r="AD17" i="1"/>
  <c r="AM18" i="1"/>
  <c r="AL18" i="1" s="1"/>
  <c r="AD18" i="1"/>
  <c r="Q19" i="1"/>
  <c r="R19" i="1" s="1"/>
  <c r="AA19" i="1"/>
  <c r="AJ19" i="1" s="1"/>
  <c r="AD19" i="1"/>
  <c r="Q20" i="1"/>
  <c r="R20" i="1" s="1"/>
  <c r="AA20" i="1"/>
  <c r="AD20" i="1"/>
  <c r="Q21" i="1"/>
  <c r="R21" i="1" s="1"/>
  <c r="AA21" i="1"/>
  <c r="AD21" i="1"/>
  <c r="Q22" i="1"/>
  <c r="AA22" i="1"/>
  <c r="AM22" i="1" s="1"/>
  <c r="AL22" i="1" s="1"/>
  <c r="AD22" i="1"/>
  <c r="AD15" i="1"/>
  <c r="AA15" i="1"/>
  <c r="AI15" i="1" s="1"/>
  <c r="Q15" i="1"/>
  <c r="AI16" i="1" l="1"/>
  <c r="AJ21" i="1"/>
  <c r="AK21" i="1"/>
  <c r="AM21" i="1"/>
  <c r="AL21" i="1" s="1"/>
  <c r="AM19" i="1"/>
  <c r="AL19" i="1" s="1"/>
  <c r="AN19" i="1" s="1"/>
  <c r="AJ20" i="1"/>
  <c r="AK20" i="1"/>
  <c r="AJ16" i="1"/>
  <c r="AK16" i="1"/>
  <c r="AM20" i="1"/>
  <c r="AL20" i="1" s="1"/>
  <c r="AK19" i="1"/>
  <c r="R22" i="1"/>
  <c r="R15" i="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L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49" i="18"/>
  <c r="N49" i="18"/>
  <c r="P49" i="18"/>
  <c r="R49" i="18"/>
  <c r="T49" i="18"/>
  <c r="V49" i="18"/>
  <c r="X49" i="18"/>
  <c r="Z49" i="18"/>
  <c r="AB49" i="18"/>
  <c r="AD49" i="18"/>
  <c r="AF49" i="18"/>
  <c r="AH49" i="18"/>
  <c r="AJ49" i="18"/>
  <c r="AL49" i="18"/>
  <c r="AN49" i="18"/>
  <c r="AN47" i="18"/>
  <c r="AH47" i="18"/>
  <c r="AB47" i="18"/>
  <c r="V47" i="18"/>
  <c r="P47" i="18"/>
  <c r="N47" i="18"/>
  <c r="N45" i="18"/>
  <c r="P45" i="18"/>
  <c r="P43" i="18"/>
  <c r="N43" i="18"/>
  <c r="L41" i="18"/>
  <c r="N41" i="18"/>
  <c r="P41" i="18"/>
  <c r="R41" i="18"/>
  <c r="T41" i="18"/>
  <c r="V41" i="18"/>
  <c r="X41" i="18"/>
  <c r="Z41" i="18"/>
  <c r="AB41" i="18"/>
  <c r="AD41" i="18"/>
  <c r="AF41" i="18"/>
  <c r="AH41" i="18"/>
  <c r="AJ41" i="18"/>
  <c r="AL41" i="18"/>
  <c r="AN41" i="18"/>
  <c r="AN39" i="18"/>
  <c r="AH39" i="18"/>
  <c r="AB39" i="18"/>
  <c r="V39" i="18"/>
  <c r="P39" i="18"/>
  <c r="N39" i="18"/>
  <c r="N37" i="18"/>
  <c r="P37" i="18"/>
  <c r="P35" i="18"/>
  <c r="N35" i="18"/>
  <c r="AN33" i="18"/>
  <c r="AL33" i="18"/>
  <c r="AJ33" i="18"/>
  <c r="AH33" i="18"/>
  <c r="AF33" i="18"/>
  <c r="AD33" i="18"/>
  <c r="AB33" i="18"/>
  <c r="Z33" i="18"/>
  <c r="X33" i="18"/>
  <c r="V33" i="18"/>
  <c r="T33" i="18"/>
  <c r="R33" i="18"/>
  <c r="P33" i="18"/>
  <c r="N33" i="18"/>
  <c r="L33" i="18"/>
  <c r="N31" i="18"/>
  <c r="P31" i="18"/>
  <c r="V31" i="18"/>
  <c r="AB31" i="18"/>
  <c r="AH31" i="18"/>
  <c r="AN31" i="18"/>
  <c r="P29" i="18"/>
  <c r="N29" i="18"/>
  <c r="P27"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N21" i="1" l="1"/>
  <c r="AJ17" i="1"/>
  <c r="AN20" i="1"/>
  <c r="AJ18" i="1"/>
  <c r="AK18" i="1"/>
  <c r="AJ22" i="1"/>
  <c r="AN22" i="1" s="1"/>
  <c r="AK22" i="1"/>
  <c r="AK15" i="1"/>
  <c r="AJ15" i="1"/>
  <c r="AN13" i="18"/>
  <c r="AN29" i="18"/>
  <c r="AN37" i="18"/>
  <c r="AN21" i="18"/>
  <c r="AN45" i="18"/>
  <c r="AN18" i="1" l="1"/>
  <c r="N52" i="19"/>
  <c r="H10" i="27"/>
  <c r="G29" i="27" s="1"/>
  <c r="H9" i="27"/>
  <c r="H8" i="27"/>
  <c r="F29" i="27"/>
  <c r="E29" i="27"/>
  <c r="Q27" i="1" l="1"/>
  <c r="F221" i="13" l="1"/>
  <c r="F211" i="13"/>
  <c r="F212" i="13"/>
  <c r="F213" i="13"/>
  <c r="F214" i="13"/>
  <c r="F215" i="13"/>
  <c r="F216" i="13"/>
  <c r="F217" i="13"/>
  <c r="F218" i="13"/>
  <c r="F219" i="13"/>
  <c r="F220" i="13"/>
  <c r="F210" i="13"/>
  <c r="B221" i="13" a="1"/>
  <c r="B221" i="13" l="1"/>
  <c r="H210" i="13" l="1"/>
  <c r="B223" i="13" l="1"/>
  <c r="B222" i="13"/>
  <c r="AD53" i="19" l="1"/>
  <c r="X23" i="19"/>
  <c r="AJ13" i="19"/>
  <c r="X13" i="19"/>
  <c r="R43" i="19"/>
  <c r="R33" i="19"/>
  <c r="R53" i="19"/>
  <c r="R23" i="19"/>
  <c r="AD13" i="19"/>
  <c r="X53" i="19"/>
  <c r="AJ43" i="19"/>
  <c r="L43" i="19"/>
  <c r="L33" i="19"/>
  <c r="L53" i="19"/>
  <c r="AJ33" i="19"/>
  <c r="AJ23" i="19"/>
  <c r="L23" i="19"/>
  <c r="X33" i="19"/>
  <c r="AD43" i="19"/>
  <c r="AD33" i="19"/>
  <c r="AJ53" i="19"/>
  <c r="AD23" i="19"/>
  <c r="X43" i="19"/>
  <c r="R13" i="19"/>
  <c r="L13" i="19"/>
  <c r="AC53" i="19"/>
  <c r="W43" i="19"/>
  <c r="W33" i="19"/>
  <c r="W23" i="19"/>
  <c r="W53" i="19"/>
  <c r="AI13" i="19"/>
  <c r="Q43" i="19"/>
  <c r="Q33" i="19"/>
  <c r="K13" i="19"/>
  <c r="Q53" i="19"/>
  <c r="Q23" i="19"/>
  <c r="AC13" i="19"/>
  <c r="AI43" i="19"/>
  <c r="K43" i="19"/>
  <c r="K33" i="19"/>
  <c r="K23" i="19"/>
  <c r="K53" i="19"/>
  <c r="AI33" i="19"/>
  <c r="AI23" i="19"/>
  <c r="AC23" i="19"/>
  <c r="W13" i="19"/>
  <c r="AC43" i="19"/>
  <c r="AC33" i="19"/>
  <c r="Q13" i="19"/>
  <c r="AI53" i="19"/>
  <c r="AF52" i="19"/>
  <c r="AL52" i="19"/>
  <c r="T42" i="19"/>
  <c r="T32" i="19"/>
  <c r="AL22" i="19"/>
  <c r="T22" i="19"/>
  <c r="N12" i="19"/>
  <c r="AF42" i="19"/>
  <c r="AF32" i="19"/>
  <c r="AL42" i="19"/>
  <c r="N42" i="19"/>
  <c r="N32" i="19"/>
  <c r="AF22" i="19"/>
  <c r="N22" i="19"/>
  <c r="AL12" i="19"/>
  <c r="Z12" i="19"/>
  <c r="Z52" i="19"/>
  <c r="Z42" i="19"/>
  <c r="Z32" i="19"/>
  <c r="Z22" i="19"/>
  <c r="AF12" i="19"/>
  <c r="T12" i="19"/>
  <c r="T52" i="19"/>
  <c r="AL32" i="19"/>
  <c r="P52" i="19"/>
  <c r="AH42" i="19"/>
  <c r="AH32" i="19"/>
  <c r="AB12" i="19"/>
  <c r="P12" i="19"/>
  <c r="AH52" i="19"/>
  <c r="P42" i="19"/>
  <c r="P32" i="19"/>
  <c r="AH22" i="19"/>
  <c r="P22" i="19"/>
  <c r="AN12" i="19"/>
  <c r="V22" i="19"/>
  <c r="AB52" i="19"/>
  <c r="AB42" i="19"/>
  <c r="AB32" i="19"/>
  <c r="AB22" i="19"/>
  <c r="AH12" i="19"/>
  <c r="V12" i="19"/>
  <c r="AN42" i="19"/>
  <c r="AN32" i="19"/>
  <c r="AN52" i="19"/>
  <c r="V52" i="19"/>
  <c r="V42" i="19"/>
  <c r="V32" i="19"/>
  <c r="AN22" i="19"/>
  <c r="U52" i="19"/>
  <c r="U22" i="19"/>
  <c r="O12" i="19"/>
  <c r="O52" i="19"/>
  <c r="AG42" i="19"/>
  <c r="AG32" i="19"/>
  <c r="AG52" i="19"/>
  <c r="O42" i="19"/>
  <c r="O32" i="19"/>
  <c r="AG22" i="19"/>
  <c r="U12" i="19"/>
  <c r="AM12" i="19"/>
  <c r="AA22" i="19"/>
  <c r="U32" i="19"/>
  <c r="O22" i="19"/>
  <c r="AA52" i="19"/>
  <c r="AA42" i="19"/>
  <c r="AA32" i="19"/>
  <c r="AG12" i="19"/>
  <c r="U42" i="19"/>
  <c r="AM42" i="19"/>
  <c r="AM32" i="19"/>
  <c r="AA12" i="19"/>
  <c r="AM52" i="19"/>
  <c r="AM22" i="19"/>
  <c r="X45" i="18" l="1"/>
  <c r="L45" i="18"/>
  <c r="AJ45" i="18"/>
  <c r="AJ13" i="18"/>
  <c r="AD37" i="18"/>
  <c r="R21" i="18"/>
  <c r="AD45" i="18"/>
  <c r="L37" i="18"/>
  <c r="L21" i="18"/>
  <c r="AJ37" i="18"/>
  <c r="X29" i="18"/>
  <c r="AJ21" i="18"/>
  <c r="R45" i="18"/>
  <c r="AD13" i="18"/>
  <c r="AD29" i="18"/>
  <c r="X21" i="18"/>
  <c r="X13" i="18"/>
  <c r="R37" i="18"/>
  <c r="L13" i="18"/>
  <c r="AJ29" i="18"/>
  <c r="X37" i="18"/>
  <c r="AD21" i="18"/>
  <c r="R29" i="18"/>
  <c r="R13" i="18"/>
  <c r="L29" i="18"/>
  <c r="T15" i="1" l="1"/>
  <c r="U15" i="1" s="1"/>
  <c r="T22" i="1"/>
  <c r="U22" i="1" s="1"/>
  <c r="T17" i="1"/>
  <c r="U17" i="1" s="1"/>
  <c r="T16" i="1"/>
  <c r="U16" i="1" s="1"/>
  <c r="T21" i="1"/>
  <c r="U21" i="1" s="1"/>
  <c r="T20" i="1"/>
  <c r="U20" i="1" s="1"/>
  <c r="T19" i="1"/>
  <c r="U19" i="1" s="1"/>
  <c r="Z21" i="18" l="1"/>
  <c r="Z13" i="18"/>
  <c r="AF45" i="18"/>
  <c r="AL13" i="18"/>
  <c r="T13" i="18"/>
  <c r="AL45" i="18"/>
  <c r="T37" i="18"/>
  <c r="AF37" i="18"/>
  <c r="AL29" i="18"/>
  <c r="V19" i="1"/>
  <c r="AL21" i="18"/>
  <c r="AL37" i="18"/>
  <c r="Z45" i="18"/>
  <c r="T21" i="18"/>
  <c r="Z29" i="18"/>
  <c r="AF13" i="18"/>
  <c r="T29" i="18"/>
  <c r="AF29" i="18"/>
  <c r="AF21" i="18"/>
  <c r="Z37" i="18"/>
  <c r="W19" i="1"/>
  <c r="T45" i="18"/>
  <c r="AH13" i="18"/>
  <c r="AB45" i="18"/>
  <c r="V37" i="18"/>
  <c r="V45" i="18"/>
  <c r="AH37" i="18"/>
  <c r="AH29" i="18"/>
  <c r="V13" i="18"/>
  <c r="AB29" i="18"/>
  <c r="AH21" i="18"/>
  <c r="AB37" i="18"/>
  <c r="AH45" i="18"/>
  <c r="V20" i="1"/>
  <c r="V21" i="18"/>
  <c r="AB13" i="18"/>
  <c r="AB21" i="18"/>
  <c r="W20" i="1"/>
  <c r="V29" i="18"/>
  <c r="AD23" i="18"/>
  <c r="AD39" i="18"/>
  <c r="L39" i="18"/>
  <c r="X31" i="18"/>
  <c r="R15" i="18"/>
  <c r="L47" i="18"/>
  <c r="AJ31" i="18"/>
  <c r="L15" i="18"/>
  <c r="V21" i="1"/>
  <c r="R23" i="18"/>
  <c r="AJ47" i="18"/>
  <c r="X23" i="18"/>
  <c r="X15" i="18"/>
  <c r="AJ39" i="18"/>
  <c r="R47" i="18"/>
  <c r="X47" i="18"/>
  <c r="R39" i="18"/>
  <c r="W21" i="1"/>
  <c r="R31" i="18"/>
  <c r="AJ23" i="18"/>
  <c r="AD47" i="18"/>
  <c r="L31" i="18"/>
  <c r="AD15" i="18"/>
  <c r="AD31" i="18"/>
  <c r="L23" i="18"/>
  <c r="X39" i="18"/>
  <c r="AJ15" i="18"/>
  <c r="Z35" i="18"/>
  <c r="AF27" i="18"/>
  <c r="Z11" i="18"/>
  <c r="AL11" i="18"/>
  <c r="AF19" i="18"/>
  <c r="Z43" i="18"/>
  <c r="T27" i="18"/>
  <c r="AL35" i="18"/>
  <c r="T11" i="18"/>
  <c r="AL27" i="18"/>
  <c r="V16" i="1"/>
  <c r="AM16" i="1" s="1"/>
  <c r="AL16" i="1" s="1"/>
  <c r="Z19" i="18"/>
  <c r="AF43" i="18"/>
  <c r="Z27" i="18"/>
  <c r="T35" i="18"/>
  <c r="W16" i="1"/>
  <c r="AF11" i="18"/>
  <c r="T43" i="18"/>
  <c r="AL43" i="18"/>
  <c r="AL19" i="18"/>
  <c r="AF35" i="18"/>
  <c r="T19" i="18"/>
  <c r="AB35" i="18"/>
  <c r="AB11" i="18"/>
  <c r="AB43" i="18"/>
  <c r="AH11" i="18"/>
  <c r="V19" i="18"/>
  <c r="V27" i="18"/>
  <c r="AH35" i="18"/>
  <c r="AN11" i="18"/>
  <c r="AN43" i="18"/>
  <c r="AH19" i="18"/>
  <c r="AH27" i="18"/>
  <c r="AH43" i="18"/>
  <c r="AN35" i="18"/>
  <c r="V43" i="18"/>
  <c r="AB27" i="18"/>
  <c r="AN27" i="18"/>
  <c r="V11" i="18"/>
  <c r="AN19" i="18"/>
  <c r="V17" i="1"/>
  <c r="AM17" i="1" s="1"/>
  <c r="AL17" i="1" s="1"/>
  <c r="W17" i="1"/>
  <c r="V35" i="18"/>
  <c r="AB19" i="18"/>
  <c r="AL15" i="18"/>
  <c r="AF15" i="18"/>
  <c r="T23" i="18"/>
  <c r="Z47" i="18"/>
  <c r="Z39" i="18"/>
  <c r="AF23" i="18"/>
  <c r="Z15" i="18"/>
  <c r="T31" i="18"/>
  <c r="AL31" i="18"/>
  <c r="Z23" i="18"/>
  <c r="T47" i="18"/>
  <c r="W22" i="1"/>
  <c r="AL47" i="18"/>
  <c r="AF31" i="18"/>
  <c r="T15" i="18"/>
  <c r="V22" i="1"/>
  <c r="AL23" i="18"/>
  <c r="AF47" i="18"/>
  <c r="AF39" i="18"/>
  <c r="T39" i="18"/>
  <c r="Z31" i="18"/>
  <c r="AL39" i="18"/>
  <c r="X27" i="18"/>
  <c r="AJ19" i="18"/>
  <c r="L43" i="18"/>
  <c r="R27" i="18"/>
  <c r="AJ11" i="18"/>
  <c r="X19" i="18"/>
  <c r="X43" i="18"/>
  <c r="AJ43" i="18"/>
  <c r="AD19" i="18"/>
  <c r="L27" i="18"/>
  <c r="R19" i="18"/>
  <c r="V15" i="1"/>
  <c r="AM15" i="1" s="1"/>
  <c r="AL15" i="1" s="1"/>
  <c r="L19" i="18"/>
  <c r="AJ35" i="18"/>
  <c r="AJ27" i="18"/>
  <c r="L35" i="18"/>
  <c r="AD43" i="18"/>
  <c r="R35" i="18"/>
  <c r="R43" i="18"/>
  <c r="AD35" i="18"/>
  <c r="W15" i="1"/>
  <c r="L11" i="18"/>
  <c r="X35" i="18"/>
  <c r="AD11" i="18"/>
  <c r="X11" i="18"/>
  <c r="R11" i="18"/>
  <c r="AD27" i="18"/>
  <c r="W42" i="19" l="1"/>
  <c r="K42" i="19"/>
  <c r="AI22" i="19"/>
  <c r="AC42" i="19"/>
  <c r="AC12" i="19"/>
  <c r="W32" i="19"/>
  <c r="AI12" i="19"/>
  <c r="K22" i="19"/>
  <c r="W22" i="19"/>
  <c r="AN15" i="1"/>
  <c r="W52" i="19"/>
  <c r="Q12" i="19"/>
  <c r="AC52" i="19"/>
  <c r="AC22" i="19"/>
  <c r="Q42" i="19"/>
  <c r="Q52" i="19"/>
  <c r="AC32" i="19"/>
  <c r="W12" i="19"/>
  <c r="K12" i="19"/>
  <c r="Q32" i="19"/>
  <c r="K32" i="19"/>
  <c r="AI52" i="19"/>
  <c r="AI32" i="19"/>
  <c r="AI42" i="19"/>
  <c r="K52" i="19"/>
  <c r="Q22" i="19"/>
  <c r="X42" i="19"/>
  <c r="R22" i="19"/>
  <c r="AJ32" i="19"/>
  <c r="AD22" i="19"/>
  <c r="L22" i="19"/>
  <c r="L12" i="19"/>
  <c r="AD12" i="19"/>
  <c r="L42" i="19"/>
  <c r="R52" i="19"/>
  <c r="R32" i="19"/>
  <c r="AJ42" i="19"/>
  <c r="R42" i="19"/>
  <c r="AD52" i="19"/>
  <c r="L32" i="19"/>
  <c r="X12" i="19"/>
  <c r="AD42" i="19"/>
  <c r="AD32" i="19"/>
  <c r="X22" i="19"/>
  <c r="L52" i="19"/>
  <c r="AN16" i="1"/>
  <c r="R12" i="19"/>
  <c r="AJ12" i="19"/>
  <c r="AJ52" i="19"/>
  <c r="X52" i="19"/>
  <c r="AJ22" i="19"/>
  <c r="X32" i="19"/>
  <c r="AN17" i="1"/>
  <c r="AK22" i="19"/>
  <c r="M32" i="19"/>
  <c r="AK52" i="19"/>
  <c r="S22" i="19"/>
  <c r="S52" i="19"/>
  <c r="AK32" i="19"/>
  <c r="AE52" i="19"/>
  <c r="AK42" i="19"/>
  <c r="AE32" i="19"/>
  <c r="S32" i="19"/>
  <c r="S12" i="19"/>
  <c r="M12" i="19"/>
  <c r="AE12" i="19"/>
  <c r="AE22" i="19"/>
  <c r="M22" i="19"/>
  <c r="M42" i="19"/>
  <c r="M52" i="19"/>
  <c r="AK12" i="19"/>
  <c r="AE42" i="19"/>
  <c r="S4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L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<sst xmlns="http://schemas.openxmlformats.org/spreadsheetml/2006/main" count="700" uniqueCount="427">
  <si>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</si>
  <si>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</si>
  <si>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</si>
  <si>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</si>
  <si>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</si>
  <si>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</si>
  <si>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</si>
  <si>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</si>
  <si>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</si>
  <si>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</si>
  <si>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</si>
  <si>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</si>
  <si>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</si>
  <si>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</si>
  <si>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</si>
  <si>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</si>
  <si>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</si>
  <si>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</si>
  <si>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</si>
  <si>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</si>
  <si>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</si>
  <si>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</si>
  <si>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</si>
  <si>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</si>
  <si>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</si>
  <si>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</si>
  <si>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</si>
  <si>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</si>
  <si>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</si>
  <si>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</si>
  <si>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</si>
  <si>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</si>
  <si>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</si>
  <si>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</si>
  <si>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</si>
  <si>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</si>
  <si>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</si>
  <si>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</si>
  <si>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</si>
  <si>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</si>
  <si>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</si>
  <si>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</si>
  <si>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</si>
  <si>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</si>
  <si>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</si>
  <si>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</si>
  <si>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</si>
  <si>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</si>
  <si>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</si>
  <si>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</si>
  <si>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</si>
  <si>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</si>
  <si>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</si>
  <si>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</si>
  <si>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</si>
  <si>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</si>
  <si>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</si>
  <si>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</si>
  <si>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</si>
  <si>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</si>
  <si>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</si>
  <si>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</si>
  <si>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</si>
  <si>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</si>
  <si>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</si>
  <si>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</si>
  <si>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</si>
  <si>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</si>
  <si>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</si>
  <si>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</si>
  <si>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</si>
  <si>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</si>
  <si>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</si>
  <si>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</si>
  <si>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</si>
  <si>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</si>
  <si>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</si>
  <si>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</si>
  <si>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</si>
  <si>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</si>
  <si>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</si>
  <si>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</si>
  <si>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</si>
  <si>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</si>
  <si>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</si>
  <si>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</si>
  <si>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</si>
  <si>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</si>
  <si>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</si>
  <si>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</si>
  <si>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</si>
  <si>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</si>
  <si>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</si>
  <si>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</si>
  <si>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</si>
  <si>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</si>
  <si>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</si>
  <si>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</si>
  <si>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</si>
  <si>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</si>
  <si>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</si>
  <si>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</si>
  <si>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</si>
  <si>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</si>
  <si>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</si>
  <si>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</si>
  <si>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</si>
  <si>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</si>
  <si>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</si>
  <si>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</si>
  <si>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</si>
  <si>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</si>
  <si>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</si>
  <si>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</si>
  <si>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</si>
  <si>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</si>
  <si>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</si>
  <si>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</si>
  <si>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</si>
  <si>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</si>
  <si>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</si>
  <si>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</si>
  <si>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</si>
  <si>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</si>
  <si>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</si>
  <si>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</si>
  <si>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</si>
  <si>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</si>
  <si>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</si>
  <si>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</si>
  <si>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</si>
  <si>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</si>
  <si>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</si>
  <si>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</si>
  <si>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</si>
  <si>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</si>
  <si>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</si>
  <si>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</si>
  <si>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</si>
  <si>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</si>
  <si>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</si>
  <si>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</si>
  <si>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</si>
  <si>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</si>
  <si>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</si>
  <si>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</si>
  <si>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</si>
  <si>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</si>
  <si>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</si>
  <si>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</si>
  <si>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</si>
  <si>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</si>
  <si>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</si>
  <si>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</si>
  <si>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</si>
  <si>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</si>
  <si>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</si>
  <si>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</si>
  <si>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</si>
  <si>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</si>
  <si>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</si>
  <si>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</si>
  <si>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</si>
  <si>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</si>
  <si>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</si>
  <si>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</si>
  <si>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</si>
  <si>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</si>
  <si>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</si>
  <si>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</si>
  <si>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</si>
  <si>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</si>
  <si>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</si>
  <si>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</si>
  <si>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</si>
  <si>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</si>
  <si>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</si>
  <si>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</si>
  <si>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</si>
  <si>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</si>
  <si>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</si>
  <si>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</si>
  <si>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</si>
  <si>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</si>
  <si>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</si>
  <si>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</si>
  <si>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</si>
  <si>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</si>
  <si>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</si>
  <si>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</si>
  <si>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</si>
  <si>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</si>
  <si>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</si>
  <si>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</si>
  <si>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</si>
  <si>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</si>
  <si>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</si>
  <si>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</si>
  <si>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</si>
  <si>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</si>
  <si>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</si>
  <si>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</si>
  <si>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</si>
  <si>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</si>
  <si>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</si>
  <si>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</si>
  <si>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</si>
  <si>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</si>
  <si>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</si>
  <si>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</si>
  <si>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</si>
  <si>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</si>
  <si>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</si>
  <si>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</si>
  <si>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</si>
  <si>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</si>
  <si>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</si>
  <si>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</si>
  <si>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</si>
  <si>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</si>
  <si>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</si>
  <si>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</si>
  <si>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</si>
  <si>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</si>
  <si>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</si>
  <si>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</si>
  <si>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</si>
  <si>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</si>
  <si>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</si>
  <si>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</si>
  <si>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</si>
  <si>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</si>
  <si>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</si>
  <si>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</si>
  <si>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</si>
  <si>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</si>
  <si>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</si>
  <si>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</si>
  <si>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</si>
  <si>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</si>
  <si>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</si>
  <si>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</si>
  <si>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</si>
  <si>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</si>
  <si>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</si>
  <si>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</si>
  <si>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</si>
  <si>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</si>
  <si>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</si>
  <si>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</si>
  <si>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</si>
  <si>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</si>
  <si>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</si>
  <si>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</si>
  <si>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</si>
  <si>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</si>
  <si>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</si>
  <si>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</si>
  <si>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</si>
  <si>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</si>
  <si>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</si>
  <si>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</si>
  <si>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</si>
  <si>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</si>
  <si>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</si>
  <si>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</si>
  <si>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</si>
  <si>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</si>
  <si>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</si>
  <si>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</si>
  <si>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</si>
  <si>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</si>
  <si>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</si>
  <si>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</si>
  <si>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</si>
  <si>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</si>
  <si>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</si>
  <si>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</si>
  <si>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</si>
  <si>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</si>
  <si>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</si>
  <si>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</si>
  <si>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</si>
  <si>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</si>
  <si>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</si>
  <si>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</si>
  <si>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</si>
  <si>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</si>
  <si>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</si>
  <si>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</si>
  <si>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</si>
  <si>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</si>
  <si>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</si>
  <si>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</si>
  <si>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</si>
  <si>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</si>
  <si>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</si>
  <si>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</si>
  <si>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</si>
  <si>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</si>
  <si>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</si>
  <si>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</si>
  <si>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</si>
  <si>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</si>
  <si>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</si>
  <si>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</si>
  <si>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</si>
  <si>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</si>
  <si>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</si>
  <si>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</si>
  <si>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</si>
  <si>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</si>
  <si>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</si>
  <si>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</si>
  <si>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</si>
  <si>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</si>
  <si>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</si>
  <si>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</si>
  <si>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</si>
  <si>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</si>
  <si>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</si>
  <si>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</si>
  <si>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</si>
  <si>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</si>
  <si>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</si>
  <si>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</si>
  <si>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</si>
  <si>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</si>
  <si>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</si>
  <si>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</si>
  <si>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</si>
  <si>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</si>
  <si>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</si>
  <si>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</si>
  <si>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</si>
  <si>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</si>
  <si>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</si>
  <si>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</si>
  <si>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</si>
  <si>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</si>
  <si>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</si>
  <si>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</si>
  <si>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</si>
  <si>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</si>
  <si>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</si>
  <si>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</si>
  <si>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</si>
  <si>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</si>
  <si>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</si>
  <si>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</si>
  <si>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</si>
  <si>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</si>
  <si>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</si>
  <si>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</si>
  <si>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</si>
  <si>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</si>
  <si>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</si>
  <si>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</si>
  <si>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</si>
  <si>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</si>
  <si>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</si>
  <si>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</si>
  <si>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</si>
  <si>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</si>
  <si>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</si>
  <si>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</si>
  <si>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</si>
  <si>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</si>
  <si>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</si>
  <si>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</si>
  <si>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</si>
  <si>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</si>
  <si>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</si>
  <si>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</si>
  <si>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</si>
  <si>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</si>
  <si>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</si>
  <si>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</si>
  <si>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</si>
  <si>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</si>
  <si>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</si>
  <si>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</si>
  <si>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</si>
  <si>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</si>
  <si>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</si>
  <si>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</si>
  <si>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</si>
  <si>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</si>
  <si>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</si>
  <si>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</si>
  <si>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</si>
  <si>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</si>
  <si>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</si>
  <si>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</si>
  <si>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</si>
  <si>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Jurídico - Disciplinario</t>
  </si>
  <si>
    <t xml:space="preserve">
Nulidades procesales - Prescripción de la acción disciplinaria  </t>
  </si>
  <si>
    <t xml:space="preserve">
 1. Falta de cumplimiento del término de cada etapa procesal y del impulso procesal que conduzca  a la prescripción disciplinaria.</t>
  </si>
  <si>
    <t>Posibilidad de afectación reputacional por prescripción de la acción disciplinaria debido a que no se sustancie el proceso</t>
  </si>
  <si>
    <t>La profesional de Asuntos Jurídicos y Disciplinarios mensualmente debe realizar seguimiento a cada uno de los procesos disciplinarios, mediante la matriz de seguimiento de procesos disciplinarios, con el fin de evitar vencimiento de términos.
Si la profesional de Asuntos Jurídicos y Disciplinarios identifica un proceso próximo a vencer sus términos, sustanciará dicho proceso inmediatamente.</t>
  </si>
  <si>
    <r>
      <t xml:space="preserve">Matriz de seguimiento de procesos disciplinarios actualizada mensualmente.
Ubicada </t>
    </r>
    <r>
      <rPr>
        <i/>
        <sz val="10"/>
        <rFont val="Arial Narrow"/>
        <family val="2"/>
      </rPr>
      <t>Onedrive</t>
    </r>
  </si>
  <si>
    <t>Pendiente Identificar</t>
  </si>
  <si>
    <t>Contrastar la información física de los proceso con la matriz de seguimiento, mensualmente.</t>
  </si>
  <si>
    <t>Profesional Asuntos Disciplinarios
y
Secretario General</t>
  </si>
  <si>
    <t>GESTIÓN DE CONTROL DISCIPLINARIO</t>
  </si>
  <si>
    <t>Llevar a cabo de manera adecuada las actuaciones disciplinarias al interior de la entidad, con la finalidad de promover los principios de la función pública en los servidores de la ETITC previsto en la Ley 1952 de 2019  y sus modificaciones.</t>
  </si>
  <si>
    <t>Inicia con el conocimiento de la queja, el informe disciplinario o de manera oficiosa y hasta la terminación de la actuación disciplinaria</t>
  </si>
  <si>
    <t>Puede generar Impunidad,
Sanciones disciplinarias por acción u omisión,
deterioro imagen institucional,                           
evaluación inadecuada en el trámite de la Queja</t>
  </si>
  <si>
    <t xml:space="preserve">
1. Falta de publicidad y comunicación de recursos a los sujetos procesales.
</t>
  </si>
  <si>
    <t xml:space="preserve">Posibilidad de afectación reputacional por recibir o solicitar dádivas, por parte del instructor y/o del  operador disciplinario,  a nombre propio o de un tercero para omitir o prorrogar acciones disciplinarias, por no adelantar el proceso disciplinario, por no publicitar el proceso, por no conceder los recursos de ley, para favorecer intereses propios o ajenos.
</t>
  </si>
  <si>
    <t>El Secretario General, cada vez que se proyecte una decisión dentro de una acción disciplinaria, por parte de la profesional de Asuntos Jurídicos y Disciplinarios, verificará que la misma se ajuste a los términos de Ley, con el fin de garantizar el debido proceso y la correcta sustanciación del proceso conforme a las disposiciones de la nueva Ley Disciplinaria.
Si el Secretario General identifica que el documento no se encuentra conforme, realiza las observaciones la profesional de Asuntos Jurídicos y Disciplinarios para los ajustes pertinentes.</t>
  </si>
  <si>
    <t>Revisión y visto bueno de todas las actuaciones disciplinarias  emitido, por parte del Secretario General, mediante correo electrónico.</t>
  </si>
  <si>
    <t>Actuaciones Disciplinarias revisadas y con visto bueno por parte del Secretario General.</t>
  </si>
  <si>
    <t xml:space="preserve">                                                  
Disposición inadecuada de los expedientes disciplinarios debido a la 
 falta de cultura del auto control organizacional, que ocasione pérdidas en la información y archivo de los expedientes.             </t>
  </si>
  <si>
    <t xml:space="preserve">1. Falta de cuidado y archivo de los expedientes y piezas procesales               
2. La información que se está generando en el desarrollo de los procesos disciplinarios no se encuentran debidamente digitalizados y no se suben en su totalidad al drive institucional
            </t>
  </si>
  <si>
    <t>Posibilidad de afectación reputacional por violación de la reserva procesal debido al hurto o pérdida de expedientes disciplinarios.</t>
  </si>
  <si>
    <t>La profesional de Asuntos Jurídicos y Disciplinarios cada vez que se requiera, verificará que toda la información que se genere en el desarrollo de los procesos disciplinarios se digitalicen y se suban al Drive  Institucional, con el fin de contar con la información en tiempo real, únicamente para el Secretario General y el profesional de Asuntos Jurídicos y Disciplinarios.
Debido a la naturaleza de este control, no aplica decisión sobre la desviación.</t>
  </si>
  <si>
    <t>1. Registro de plantilla de prestamo de expedientes  
2. Información y documentación de cada actuación procesal, digitalizada y subida al drive institucional</t>
  </si>
  <si>
    <t>La profesional de Asuntos Jurídicos y Disciplinarios cada vez que se requiera, verificará que toda la información física que se genere en el desarrollo de los procesos disciplinarios se archive dentro de las carpetas que corresponden a cada proceso, y se resguarda en los archivadores de su oficina con candado, con el fin de evitar su hurto o pérdida.
En caso de que se llegue a perder un expediente, la profesional de Asuntos Jurídicos y Disciplinarios deberá realizar la reconstrucción del expediente conforme a las disposiciones de la Ley 1952 de 2019.</t>
  </si>
  <si>
    <t>Expedientes en físico, resguardados.</t>
  </si>
  <si>
    <t>No se encuentra documentado</t>
  </si>
  <si>
    <r>
      <t xml:space="preserve">Guardar en carpeta </t>
    </r>
    <r>
      <rPr>
        <i/>
        <sz val="11"/>
        <rFont val="Arial Narrow"/>
        <family val="2"/>
      </rPr>
      <t>OneDrive</t>
    </r>
    <r>
      <rPr>
        <sz val="11"/>
        <rFont val="Arial Narrow"/>
        <family val="2"/>
      </rPr>
      <t xml:space="preserve"> - Escuela Tecnologica Instituto Tecnico Central del computador,  todos los documentos procesales que se van profiriendo, y que automaticamente serán subidos a la nube y se guardará registro digital</t>
    </r>
  </si>
  <si>
    <t>Mantener resguardados los expedientes</t>
  </si>
  <si>
    <r>
      <rPr>
        <b/>
        <sz val="14"/>
        <rFont val="Arial"/>
        <family val="2"/>
      </rPr>
      <t>LIDER DEL PROCESO:</t>
    </r>
    <r>
      <rPr>
        <sz val="14"/>
        <rFont val="Arial"/>
        <family val="2"/>
      </rPr>
      <t xml:space="preserve"> LAURA DANIELA  RIAÑO DÍAZ 
</t>
    </r>
  </si>
  <si>
    <t xml:space="preserve">Se actualizo a la versión 9 del formato mapa de riesgos </t>
  </si>
  <si>
    <t xml:space="preserve">Lider de proceso </t>
  </si>
  <si>
    <t xml:space="preserve"> LAURA DANIELA  RIAÑO DÍAZ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</si>
</sst>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4"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1"/>
      <name val="Arial"/>
      <family val="2"/>
    </font>
    <font>
      <sz val="14"/>
      <name val="Arial"/>
      <family val="2"/>
    </font>
    <font>
      <b/>
      <sz val="14"/>
      <name val="Arial"/>
      <family val="2"/>
    </font>
    <font>
      <b/>
      <sz val="12"/>
      <color theme="0"/>
      <name val="Arial Black"/>
      <family val="2"/>
    </font>
    <font>
      <sz val="12"/>
      <color theme="0"/>
      <name val="Arial Black"/>
      <family val="2"/>
    </font>
    <font>
      <sz val="11"/>
      <color theme="1"/>
      <name val="Arial Narrow"/>
      <family val="2"/>
    </font>
    <font>
      <sz val="11"/>
      <color theme="9"/>
      <name val="Arial"/>
      <family val="2"/>
    </font>
    <font>
      <i/>
      <sz val="10"/>
      <name val="Arial Narrow"/>
      <family val="2"/>
    </font>
    <font>
      <i/>
      <sz val="11"/>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22">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70"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80" xfId="0" applyNumberFormat="1" applyFont="1" applyBorder="1" applyAlignment="1" applyProtection="1">
      <alignment horizontal="center" vertical="center"/>
      <protection locked="0"/>
    </xf>
    <xf numFmtId="0" fontId="66" fillId="0" borderId="80" xfId="0" applyFont="1" applyBorder="1" applyAlignment="1" applyProtection="1">
      <alignment horizontal="center" vertical="center"/>
      <protection locked="0"/>
    </xf>
    <xf numFmtId="0" fontId="66" fillId="0" borderId="80" xfId="0" applyFont="1" applyBorder="1" applyAlignment="1" applyProtection="1">
      <alignment horizontal="center" vertical="center" wrapText="1"/>
      <protection locked="0"/>
    </xf>
    <xf numFmtId="0" fontId="66" fillId="0" borderId="80"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1" xfId="0" applyFont="1" applyBorder="1" applyAlignment="1">
      <alignment horizontal="center" vertical="center" wrapText="1"/>
    </xf>
    <xf numFmtId="0" fontId="67"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80" xfId="0" applyNumberFormat="1" applyFont="1" applyFill="1" applyBorder="1" applyAlignment="1">
      <alignment horizontal="center" vertical="center" wrapText="1"/>
    </xf>
    <xf numFmtId="0" fontId="71" fillId="16" borderId="80"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9" xfId="0" applyFont="1" applyBorder="1" applyAlignment="1">
      <alignment horizontal="left" vertical="center"/>
    </xf>
    <xf numFmtId="0" fontId="66" fillId="0" borderId="100"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1" xfId="0" applyBorder="1" applyAlignment="1">
      <alignment horizontal="center" vertical="center"/>
    </xf>
    <xf numFmtId="0" fontId="71" fillId="19" borderId="91"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9"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17" fillId="11" borderId="0" xfId="0" applyFont="1" applyFill="1" applyBorder="1" applyAlignment="1" applyProtection="1">
      <alignment horizontal="center" vertical="center" wrapText="1" readingOrder="1"/>
      <protection hidden="1"/>
    </xf>
    <xf numFmtId="0" fontId="17" fillId="13" borderId="0" xfId="0" applyFont="1" applyFill="1" applyBorder="1" applyAlignment="1" applyProtection="1">
      <alignment horizontal="center" wrapText="1" readingOrder="1"/>
      <protection hidden="1"/>
    </xf>
    <xf numFmtId="0" fontId="60" fillId="0" borderId="70"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8" xfId="0" applyFont="1" applyFill="1" applyBorder="1" applyAlignment="1">
      <alignment horizontal="center" vertical="center"/>
    </xf>
    <xf numFmtId="0" fontId="87" fillId="3" borderId="69" xfId="0" applyFont="1" applyFill="1" applyBorder="1" applyAlignment="1">
      <alignment horizontal="center" vertical="center"/>
    </xf>
    <xf numFmtId="0" fontId="87" fillId="3" borderId="67"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hidden="1"/>
    </xf>
    <xf numFmtId="0" fontId="66" fillId="0" borderId="21" xfId="0" applyFont="1" applyBorder="1" applyAlignment="1" applyProtection="1">
      <alignment horizontal="center" vertical="center" textRotation="90" wrapText="1"/>
      <protection locked="0"/>
    </xf>
    <xf numFmtId="0" fontId="77" fillId="0" borderId="21"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horizontal="center" vertical="center" wrapText="1"/>
      <protection locked="0"/>
    </xf>
    <xf numFmtId="0" fontId="66" fillId="3" borderId="0" xfId="0" applyFont="1" applyFill="1" applyAlignment="1">
      <alignment horizontal="center" vertical="center" wrapText="1"/>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8" fillId="16" borderId="21" xfId="0" applyFont="1" applyFill="1" applyBorder="1" applyAlignment="1">
      <alignment horizontal="center" vertical="center" wrapText="1"/>
    </xf>
    <xf numFmtId="0" fontId="66" fillId="0" borderId="21" xfId="0" applyFont="1" applyBorder="1" applyAlignment="1">
      <alignment vertical="center" wrapText="1"/>
    </xf>
    <xf numFmtId="0" fontId="95" fillId="0" borderId="21" xfId="0" applyFont="1" applyBorder="1" applyAlignment="1" applyProtection="1">
      <alignment vertical="center" wrapText="1"/>
      <protection locked="0"/>
    </xf>
    <xf numFmtId="0" fontId="66" fillId="0" borderId="21" xfId="0" applyFont="1" applyBorder="1" applyAlignment="1" applyProtection="1">
      <alignment vertical="center" wrapText="1"/>
      <protection locked="0"/>
    </xf>
    <xf numFmtId="0" fontId="66" fillId="0" borderId="21" xfId="0" applyFont="1" applyBorder="1" applyAlignment="1" applyProtection="1">
      <alignment horizontal="center" vertical="center"/>
      <protection locked="0"/>
    </xf>
    <xf numFmtId="164" fontId="100" fillId="0" borderId="21" xfId="1" applyNumberFormat="1" applyFont="1" applyBorder="1" applyAlignment="1">
      <alignment horizontal="center" vertical="center"/>
    </xf>
    <xf numFmtId="9" fontId="100" fillId="0" borderId="21" xfId="1" applyFont="1" applyBorder="1" applyAlignment="1">
      <alignment horizontal="center" vertical="center" wrapText="1"/>
    </xf>
    <xf numFmtId="0" fontId="1" fillId="0" borderId="110" xfId="0" applyFont="1" applyBorder="1" applyAlignment="1" applyProtection="1">
      <alignment horizontal="center" vertical="center" wrapText="1"/>
      <protection locked="0"/>
    </xf>
    <xf numFmtId="0" fontId="1" fillId="0" borderId="110" xfId="0" applyFont="1" applyBorder="1" applyAlignment="1" applyProtection="1">
      <alignment vertical="center" wrapText="1"/>
      <protection locked="0"/>
    </xf>
    <xf numFmtId="0" fontId="1" fillId="0" borderId="21" xfId="0" applyFont="1" applyBorder="1" applyAlignment="1">
      <alignment horizontal="center" vertical="center"/>
    </xf>
    <xf numFmtId="0" fontId="46" fillId="0" borderId="21" xfId="0" applyFont="1" applyBorder="1" applyAlignment="1" applyProtection="1">
      <alignment horizontal="justify" vertical="center" wrapText="1"/>
      <protection locked="0"/>
    </xf>
    <xf numFmtId="164" fontId="66" fillId="0" borderId="21" xfId="1" applyNumberFormat="1" applyFont="1" applyBorder="1" applyAlignment="1">
      <alignment horizontal="center" vertical="top"/>
    </xf>
    <xf numFmtId="0" fontId="1" fillId="0" borderId="68"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left" vertical="center" wrapText="1"/>
      <protection locked="0"/>
    </xf>
    <xf numFmtId="0" fontId="1" fillId="0" borderId="21" xfId="0" applyFont="1" applyBorder="1" applyAlignment="1">
      <alignment horizontal="center" vertical="center" wrapText="1"/>
    </xf>
    <xf numFmtId="0" fontId="62" fillId="0" borderId="0" xfId="0" applyFont="1" applyAlignment="1">
      <alignment horizontal="center" wrapText="1"/>
    </xf>
    <xf numFmtId="0" fontId="65" fillId="0" borderId="95"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75" xfId="0" applyFont="1" applyBorder="1" applyAlignment="1">
      <alignment horizontal="center" vertical="center" wrapText="1"/>
    </xf>
    <xf numFmtId="0" fontId="65" fillId="0" borderId="0" xfId="0" applyFont="1" applyAlignment="1">
      <alignment horizontal="center" vertical="center" wrapText="1"/>
    </xf>
    <xf numFmtId="0" fontId="65" fillId="0" borderId="76"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4" xfId="0" applyFont="1" applyBorder="1" applyAlignment="1">
      <alignment horizontal="center" vertical="center" wrapText="1"/>
    </xf>
    <xf numFmtId="0" fontId="79" fillId="0" borderId="5" xfId="0" applyFont="1" applyBorder="1" applyAlignment="1">
      <alignment horizontal="center" wrapText="1"/>
    </xf>
    <xf numFmtId="0" fontId="63" fillId="0" borderId="94" xfId="0" applyFont="1" applyBorder="1" applyAlignment="1">
      <alignment horizontal="center" wrapText="1"/>
    </xf>
    <xf numFmtId="0" fontId="63" fillId="0" borderId="7" xfId="0" applyFont="1" applyBorder="1" applyAlignment="1">
      <alignment horizontal="center" wrapText="1"/>
    </xf>
    <xf numFmtId="0" fontId="63" fillId="0" borderId="93" xfId="0" applyFont="1" applyBorder="1" applyAlignment="1">
      <alignment horizontal="center" wrapText="1"/>
    </xf>
    <xf numFmtId="0" fontId="63" fillId="0" borderId="9" xfId="0" applyFont="1" applyBorder="1" applyAlignment="1">
      <alignment horizontal="center" wrapText="1"/>
    </xf>
    <xf numFmtId="0" fontId="63" fillId="0" borderId="96" xfId="0" applyFont="1" applyBorder="1" applyAlignment="1">
      <alignment horizontal="center" wrapText="1"/>
    </xf>
    <xf numFmtId="0" fontId="55" fillId="0" borderId="82" xfId="0" applyFont="1" applyBorder="1" applyAlignment="1">
      <alignment horizontal="left" vertical="center"/>
    </xf>
    <xf numFmtId="0" fontId="55" fillId="0" borderId="6" xfId="0" applyFont="1" applyBorder="1" applyAlignment="1">
      <alignment horizontal="left" vertical="center"/>
    </xf>
    <xf numFmtId="0" fontId="55" fillId="0" borderId="83" xfId="0" applyFont="1" applyBorder="1" applyAlignment="1">
      <alignment horizontal="left" vertical="center"/>
    </xf>
    <xf numFmtId="0" fontId="55" fillId="0" borderId="8" xfId="0" applyFont="1" applyBorder="1" applyAlignment="1">
      <alignment horizontal="left" vertical="center"/>
    </xf>
    <xf numFmtId="0" fontId="55" fillId="0" borderId="85"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65" fillId="0" borderId="102"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101" xfId="0" applyFont="1" applyBorder="1" applyAlignment="1">
      <alignment horizontal="center" vertical="center" wrapText="1"/>
    </xf>
    <xf numFmtId="0" fontId="61" fillId="18" borderId="102" xfId="0" applyFont="1" applyFill="1" applyBorder="1" applyAlignment="1">
      <alignment horizontal="center" vertical="center"/>
    </xf>
    <xf numFmtId="0" fontId="61" fillId="18" borderId="98" xfId="0" applyFont="1" applyFill="1" applyBorder="1" applyAlignment="1">
      <alignment horizontal="center" vertical="center"/>
    </xf>
    <xf numFmtId="0" fontId="61" fillId="18" borderId="101"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77" fillId="0" borderId="110" xfId="0" applyFont="1" applyBorder="1" applyAlignment="1" applyProtection="1">
      <alignment horizontal="center" vertical="center" wrapText="1"/>
      <protection hidden="1"/>
    </xf>
    <xf numFmtId="0" fontId="77" fillId="0" borderId="22" xfId="0" applyFont="1" applyBorder="1" applyAlignment="1" applyProtection="1">
      <alignment horizontal="center" vertical="center" wrapText="1"/>
      <protection hidden="1"/>
    </xf>
    <xf numFmtId="14" fontId="66" fillId="0" borderId="110" xfId="0" applyNumberFormat="1" applyFont="1" applyBorder="1" applyAlignment="1" applyProtection="1">
      <alignment horizontal="center" vertical="center" wrapText="1"/>
      <protection locked="0"/>
    </xf>
    <xf numFmtId="14" fontId="66" fillId="0" borderId="22" xfId="0" applyNumberFormat="1" applyFont="1" applyBorder="1" applyAlignment="1" applyProtection="1">
      <alignment horizontal="center" vertical="center" wrapText="1"/>
      <protection locked="0"/>
    </xf>
    <xf numFmtId="9" fontId="66" fillId="0" borderId="110" xfId="0" applyNumberFormat="1" applyFont="1" applyBorder="1" applyAlignment="1" applyProtection="1">
      <alignment horizontal="center" vertical="center" wrapText="1"/>
      <protection hidden="1"/>
    </xf>
    <xf numFmtId="9" fontId="66" fillId="0" borderId="22" xfId="0" applyNumberFormat="1" applyFont="1" applyBorder="1" applyAlignment="1" applyProtection="1">
      <alignment horizontal="center" vertical="center" wrapText="1"/>
      <protection hidden="1"/>
    </xf>
    <xf numFmtId="9" fontId="66" fillId="0" borderId="110" xfId="0" applyNumberFormat="1" applyFont="1" applyBorder="1" applyAlignment="1" applyProtection="1">
      <alignment horizontal="center" vertical="center" wrapText="1"/>
      <protection locked="0"/>
    </xf>
    <xf numFmtId="9" fontId="66" fillId="0" borderId="22" xfId="0" applyNumberFormat="1" applyFont="1" applyBorder="1" applyAlignment="1" applyProtection="1">
      <alignment horizontal="center" vertical="center" wrapText="1"/>
      <protection locked="0"/>
    </xf>
    <xf numFmtId="0" fontId="66" fillId="0" borderId="110" xfId="0" applyFont="1" applyBorder="1" applyAlignment="1" applyProtection="1">
      <alignment horizontal="center" vertical="center" wrapText="1"/>
      <protection locked="0"/>
    </xf>
    <xf numFmtId="0" fontId="66" fillId="0" borderId="22" xfId="0" applyFont="1" applyBorder="1" applyAlignment="1" applyProtection="1">
      <alignment horizontal="center" vertical="center" wrapText="1"/>
      <protection locked="0"/>
    </xf>
    <xf numFmtId="0" fontId="88" fillId="16" borderId="22" xfId="0" applyFont="1" applyFill="1" applyBorder="1" applyAlignment="1">
      <alignment horizontal="center" vertical="center"/>
    </xf>
    <xf numFmtId="0" fontId="88" fillId="16" borderId="21" xfId="0" applyFont="1" applyFill="1" applyBorder="1" applyAlignment="1">
      <alignment horizontal="center" vertical="center" textRotation="90" wrapText="1"/>
    </xf>
    <xf numFmtId="0" fontId="88" fillId="16" borderId="21" xfId="0" applyFont="1" applyFill="1" applyBorder="1" applyAlignment="1">
      <alignment horizontal="center" vertical="center" wrapText="1"/>
    </xf>
    <xf numFmtId="0" fontId="59" fillId="0" borderId="70" xfId="0" applyFont="1" applyBorder="1" applyAlignment="1">
      <alignment horizontal="center" vertical="center" wrapText="1"/>
    </xf>
    <xf numFmtId="0" fontId="60" fillId="0" borderId="70" xfId="0" applyFont="1" applyBorder="1" applyAlignment="1">
      <alignment horizontal="center" vertical="center" wrapText="1"/>
    </xf>
    <xf numFmtId="0" fontId="97" fillId="0" borderId="68" xfId="0" applyFont="1" applyBorder="1" applyAlignment="1">
      <alignment horizontal="left" vertical="center" wrapText="1"/>
    </xf>
    <xf numFmtId="0" fontId="97" fillId="0" borderId="67" xfId="0" applyFont="1" applyBorder="1" applyAlignment="1">
      <alignment horizontal="left" vertical="center" wrapText="1"/>
    </xf>
    <xf numFmtId="0" fontId="97" fillId="0" borderId="69" xfId="0" applyFont="1" applyBorder="1" applyAlignment="1">
      <alignment horizontal="left" vertical="center" wrapText="1"/>
    </xf>
    <xf numFmtId="0" fontId="96" fillId="0" borderId="21" xfId="0" applyFont="1" applyBorder="1" applyAlignment="1">
      <alignment horizontal="left" vertical="center" wrapText="1"/>
    </xf>
    <xf numFmtId="0" fontId="1" fillId="0" borderId="21" xfId="0" applyFont="1" applyBorder="1" applyAlignment="1" applyProtection="1">
      <alignment horizontal="center" vertical="center" wrapText="1"/>
      <protection locked="0"/>
    </xf>
    <xf numFmtId="0" fontId="66" fillId="0" borderId="110" xfId="0" applyFont="1" applyBorder="1" applyAlignment="1">
      <alignment horizontal="center" vertical="center" wrapText="1"/>
    </xf>
    <xf numFmtId="0" fontId="66" fillId="0" borderId="22" xfId="0" applyFont="1" applyBorder="1" applyAlignment="1">
      <alignment horizontal="center" vertical="center" wrapText="1"/>
    </xf>
    <xf numFmtId="0" fontId="87" fillId="16" borderId="68" xfId="0" applyFont="1" applyFill="1" applyBorder="1" applyAlignment="1">
      <alignment horizontal="left" vertical="center"/>
    </xf>
    <xf numFmtId="0" fontId="87" fillId="16" borderId="67" xfId="0" applyFont="1" applyFill="1" applyBorder="1" applyAlignment="1">
      <alignment horizontal="left" vertical="center"/>
    </xf>
    <xf numFmtId="0" fontId="87" fillId="16" borderId="69" xfId="0" applyFont="1" applyFill="1" applyBorder="1" applyAlignment="1">
      <alignment horizontal="left" vertical="center"/>
    </xf>
    <xf numFmtId="0" fontId="66" fillId="0" borderId="65" xfId="0" applyFont="1" applyBorder="1" applyAlignment="1">
      <alignment horizontal="left" vertical="center" wrapText="1"/>
    </xf>
    <xf numFmtId="0" fontId="66" fillId="0" borderId="66" xfId="0" applyFont="1" applyBorder="1" applyAlignment="1">
      <alignment horizontal="left" vertical="center" wrapText="1"/>
    </xf>
    <xf numFmtId="0" fontId="88" fillId="16" borderId="21" xfId="0" applyFont="1" applyFill="1" applyBorder="1" applyAlignment="1">
      <alignment horizontal="center" vertical="center"/>
    </xf>
    <xf numFmtId="0" fontId="63" fillId="0" borderId="103" xfId="0" applyFont="1" applyBorder="1" applyAlignment="1">
      <alignment horizontal="center" wrapText="1"/>
    </xf>
    <xf numFmtId="0" fontId="63" fillId="0" borderId="104" xfId="0" applyFont="1" applyBorder="1" applyAlignment="1">
      <alignment horizontal="center" wrapText="1"/>
    </xf>
    <xf numFmtId="0" fontId="63" fillId="0" borderId="92" xfId="0" applyFont="1" applyBorder="1" applyAlignment="1">
      <alignment horizontal="center" wrapText="1"/>
    </xf>
    <xf numFmtId="0" fontId="63" fillId="0" borderId="0" xfId="0" applyFont="1" applyAlignment="1">
      <alignment horizontal="center" wrapText="1"/>
    </xf>
    <xf numFmtId="0" fontId="63" fillId="0" borderId="105" xfId="0" applyFont="1" applyBorder="1" applyAlignment="1">
      <alignment horizontal="center" wrapText="1"/>
    </xf>
    <xf numFmtId="0" fontId="63" fillId="0" borderId="106" xfId="0" applyFont="1" applyBorder="1" applyAlignment="1">
      <alignment horizontal="center" wrapText="1"/>
    </xf>
    <xf numFmtId="0" fontId="92" fillId="0" borderId="21" xfId="0" applyFont="1" applyBorder="1" applyAlignment="1" applyProtection="1">
      <alignment horizontal="center" vertical="center"/>
      <protection locked="0"/>
    </xf>
    <xf numFmtId="0" fontId="93" fillId="0" borderId="68" xfId="0" applyFont="1" applyBorder="1" applyAlignment="1">
      <alignment horizontal="left" vertical="center"/>
    </xf>
    <xf numFmtId="0" fontId="93" fillId="0" borderId="67" xfId="0" applyFont="1" applyBorder="1" applyAlignment="1">
      <alignment horizontal="left" vertical="center"/>
    </xf>
    <xf numFmtId="0" fontId="93" fillId="0" borderId="69" xfId="0" applyFont="1" applyBorder="1" applyAlignment="1">
      <alignment horizontal="left" vertical="center"/>
    </xf>
    <xf numFmtId="0" fontId="88" fillId="16" borderId="110"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55" fillId="0" borderId="68" xfId="0" applyFont="1" applyBorder="1" applyAlignment="1">
      <alignment horizontal="left" vertical="center"/>
    </xf>
    <xf numFmtId="0" fontId="55" fillId="0" borderId="69" xfId="0" applyFont="1" applyBorder="1" applyAlignment="1">
      <alignment horizontal="left" vertical="center"/>
    </xf>
    <xf numFmtId="0" fontId="55" fillId="0" borderId="21" xfId="0" applyFont="1" applyBorder="1" applyAlignment="1">
      <alignment horizontal="left" vertical="center"/>
    </xf>
    <xf numFmtId="0" fontId="88" fillId="16" borderId="108"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8" fillId="16" borderId="64" xfId="0" applyFont="1" applyFill="1" applyBorder="1" applyAlignment="1">
      <alignment horizontal="center" vertical="center"/>
    </xf>
    <xf numFmtId="0" fontId="88" fillId="16" borderId="57" xfId="0" applyFont="1" applyFill="1" applyBorder="1" applyAlignment="1">
      <alignment horizontal="center" vertical="center"/>
    </xf>
    <xf numFmtId="0" fontId="88" fillId="19" borderId="21" xfId="0" applyFont="1" applyFill="1" applyBorder="1" applyAlignment="1">
      <alignment horizontal="center" vertical="center" wrapText="1"/>
    </xf>
    <xf numFmtId="0" fontId="88" fillId="18" borderId="107"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0" fillId="0" borderId="112" xfId="0" applyBorder="1" applyAlignment="1">
      <alignment horizontal="left" wrapText="1"/>
    </xf>
    <xf numFmtId="0" fontId="0" fillId="0" borderId="112" xfId="0" applyBorder="1" applyAlignment="1">
      <alignment horizontal="left"/>
    </xf>
    <xf numFmtId="0" fontId="99" fillId="19" borderId="68" xfId="0" applyFont="1" applyFill="1" applyBorder="1" applyAlignment="1">
      <alignment horizontal="center" vertical="center" wrapText="1"/>
    </xf>
    <xf numFmtId="0" fontId="99" fillId="19" borderId="69" xfId="0" applyFont="1" applyFill="1" applyBorder="1" applyAlignment="1">
      <alignment horizontal="center" vertical="center" wrapText="1"/>
    </xf>
    <xf numFmtId="0" fontId="88" fillId="16" borderId="110" xfId="0" applyFont="1" applyFill="1" applyBorder="1" applyAlignment="1">
      <alignment horizontal="center" vertical="center" textRotation="90"/>
    </xf>
    <xf numFmtId="0" fontId="88" fillId="16" borderId="111"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6" xfId="0" applyFont="1" applyBorder="1" applyAlignment="1">
      <alignment horizontal="center"/>
    </xf>
    <xf numFmtId="0" fontId="88" fillId="16" borderId="21" xfId="0" applyFont="1" applyFill="1" applyBorder="1" applyAlignment="1">
      <alignment horizontal="center" vertical="center" textRotation="90"/>
    </xf>
    <xf numFmtId="0" fontId="87" fillId="19" borderId="68" xfId="0" applyFont="1" applyFill="1" applyBorder="1" applyAlignment="1">
      <alignment horizontal="center" vertical="center"/>
    </xf>
    <xf numFmtId="0" fontId="87" fillId="19" borderId="67" xfId="0" applyFont="1" applyFill="1" applyBorder="1" applyAlignment="1">
      <alignment horizontal="center" vertical="center"/>
    </xf>
    <xf numFmtId="0" fontId="88" fillId="18" borderId="68" xfId="0" applyFont="1" applyFill="1" applyBorder="1" applyAlignment="1">
      <alignment horizontal="center" vertical="center" wrapText="1"/>
    </xf>
    <xf numFmtId="0" fontId="88" fillId="18" borderId="67" xfId="0" applyFont="1" applyFill="1" applyBorder="1" applyAlignment="1">
      <alignment horizontal="center" vertical="center" wrapText="1"/>
    </xf>
    <xf numFmtId="0" fontId="88" fillId="18" borderId="69" xfId="0" applyFont="1" applyFill="1" applyBorder="1" applyAlignment="1">
      <alignment horizontal="center" vertical="center" wrapText="1"/>
    </xf>
    <xf numFmtId="0" fontId="88" fillId="19"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9" xfId="0" applyFont="1" applyFill="1" applyBorder="1" applyAlignment="1">
      <alignment horizontal="center" vertical="center" wrapText="1"/>
    </xf>
    <xf numFmtId="0" fontId="0" fillId="5" borderId="0" xfId="0" applyFill="1" applyAlignment="1">
      <alignment horizontal="center"/>
    </xf>
    <xf numFmtId="0" fontId="77" fillId="20" borderId="99" xfId="0" applyFont="1" applyFill="1" applyBorder="1" applyAlignment="1">
      <alignment horizontal="center" vertical="center" wrapText="1"/>
    </xf>
    <xf numFmtId="0" fontId="77" fillId="20" borderId="109"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5" fillId="0" borderId="5" xfId="0" applyFont="1" applyBorder="1" applyAlignment="1">
      <alignment horizontal="center" vertical="center" wrapText="1"/>
    </xf>
    <xf numFmtId="0" fontId="15" fillId="0" borderId="12"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6" fillId="25" borderId="0" xfId="0" applyFont="1" applyFill="1" applyAlignment="1">
      <alignment horizontal="center" vertical="center" wrapText="1" readingOrder="1"/>
    </xf>
    <xf numFmtId="0" fontId="18" fillId="11" borderId="0" xfId="0" applyFont="1" applyFill="1" applyBorder="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5" fillId="0" borderId="7" xfId="0" applyFont="1" applyBorder="1" applyAlignment="1">
      <alignment horizontal="center" vertical="center" wrapText="1"/>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8" fillId="11" borderId="8"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5" fillId="0" borderId="12" xfId="0" applyFont="1" applyBorder="1" applyAlignment="1">
      <alignment horizontal="center" vertical="center" wrapText="1"/>
    </xf>
    <xf numFmtId="0" fontId="18" fillId="11" borderId="9"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18" fillId="5" borderId="0" xfId="0" applyFont="1" applyFill="1" applyAlignment="1" applyProtection="1">
      <alignment horizontal="center" wrapText="1" readingOrder="1"/>
      <protection hidden="1"/>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40" fillId="0" borderId="0" xfId="0" applyFont="1" applyBorder="1" applyAlignment="1">
      <alignment horizontal="center" vertical="center"/>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2" fillId="0" borderId="0" xfId="0" applyFont="1" applyAlignment="1">
      <alignment horizontal="center"/>
    </xf>
    <xf numFmtId="0" fontId="40" fillId="0" borderId="12" xfId="0" applyFont="1" applyBorder="1" applyAlignment="1">
      <alignment horizontal="center" vertical="center" wrapText="1"/>
    </xf>
    <xf numFmtId="0" fontId="63" fillId="0" borderId="71" xfId="0" applyFont="1" applyBorder="1" applyAlignment="1">
      <alignment horizontal="center" wrapText="1"/>
    </xf>
    <xf numFmtId="0" fontId="67" fillId="0" borderId="74" xfId="0" applyFont="1" applyBorder="1" applyAlignment="1">
      <alignment horizontal="center" wrapText="1"/>
    </xf>
    <xf numFmtId="0" fontId="67" fillId="0" borderId="77" xfId="0" applyFont="1" applyBorder="1" applyAlignment="1">
      <alignment horizont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78" xfId="0" applyFont="1" applyBorder="1" applyAlignment="1">
      <alignment horizontal="center" vertical="center" wrapText="1"/>
    </xf>
    <xf numFmtId="0" fontId="65" fillId="0" borderId="79" xfId="0" applyFont="1" applyBorder="1" applyAlignment="1">
      <alignment horizontal="center" vertical="center" wrapText="1"/>
    </xf>
    <xf numFmtId="0" fontId="77" fillId="17" borderId="93" xfId="0" applyFont="1" applyFill="1" applyBorder="1" applyAlignment="1">
      <alignment horizontal="center" vertical="center" textRotation="90"/>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7" xfId="0" applyFont="1" applyBorder="1" applyAlignment="1">
      <alignment horizontal="center" vertical="center" wrapText="1"/>
    </xf>
    <xf numFmtId="0" fontId="66" fillId="0" borderId="33" xfId="0" applyFont="1" applyBorder="1" applyAlignment="1">
      <alignment horizontal="center" vertical="center" wrapText="1"/>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72" fillId="0" borderId="0" xfId="0" applyFont="1" applyAlignment="1">
      <alignment horizontal="center" vertical="center"/>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90"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3" fillId="16" borderId="82"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87"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0" fontId="68" fillId="0" borderId="71"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2">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6</xdr:col>
      <xdr:colOff>104774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9</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MapadeRiesgosaAutoevalu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sheetData sheetId="18"/>
      <sheetData sheetId="1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5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40" t="s">
        <v>267</v>
      </c>
      <c r="C2" s="241"/>
      <c r="D2" s="231" t="s">
        <v>205</v>
      </c>
      <c r="E2" s="232"/>
      <c r="F2" s="232"/>
      <c r="G2" s="232"/>
      <c r="H2" s="232"/>
      <c r="I2" s="232"/>
      <c r="J2" s="232"/>
      <c r="K2" s="232"/>
      <c r="L2" s="233"/>
      <c r="M2" s="246" t="s">
        <v>390</v>
      </c>
      <c r="N2" s="247"/>
    </row>
    <row r="3" spans="2:14" ht="29.25" customHeight="1" x14ac:dyDescent="0.25">
      <c r="B3" s="242"/>
      <c r="C3" s="243"/>
      <c r="D3" s="234"/>
      <c r="E3" s="235"/>
      <c r="F3" s="235"/>
      <c r="G3" s="235"/>
      <c r="H3" s="235"/>
      <c r="I3" s="235"/>
      <c r="J3" s="235"/>
      <c r="K3" s="235"/>
      <c r="L3" s="236"/>
      <c r="M3" s="248" t="s">
        <v>264</v>
      </c>
      <c r="N3" s="249"/>
    </row>
    <row r="4" spans="2:14" ht="29.25" customHeight="1" x14ac:dyDescent="0.25">
      <c r="B4" s="242"/>
      <c r="C4" s="243"/>
      <c r="D4" s="234"/>
      <c r="E4" s="235"/>
      <c r="F4" s="235"/>
      <c r="G4" s="235"/>
      <c r="H4" s="235"/>
      <c r="I4" s="235"/>
      <c r="J4" s="235"/>
      <c r="K4" s="235"/>
      <c r="L4" s="236"/>
      <c r="M4" s="248" t="s">
        <v>389</v>
      </c>
      <c r="N4" s="249"/>
    </row>
    <row r="5" spans="2:14" ht="29.25" customHeight="1" thickBot="1" x14ac:dyDescent="0.3">
      <c r="B5" s="244"/>
      <c r="C5" s="245"/>
      <c r="D5" s="237"/>
      <c r="E5" s="238"/>
      <c r="F5" s="238"/>
      <c r="G5" s="238"/>
      <c r="H5" s="238"/>
      <c r="I5" s="238"/>
      <c r="J5" s="238"/>
      <c r="K5" s="238"/>
      <c r="L5" s="239"/>
      <c r="M5" s="250" t="s">
        <v>245</v>
      </c>
      <c r="N5" s="251"/>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30" t="s">
        <v>309</v>
      </c>
      <c r="E31" s="230"/>
      <c r="N31" s="138"/>
    </row>
    <row r="32" spans="2:14" x14ac:dyDescent="0.25">
      <c r="B32" s="137"/>
      <c r="D32" s="230"/>
      <c r="E32" s="230"/>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42" t="s">
        <v>162</v>
      </c>
      <c r="C2" s="543"/>
      <c r="D2" s="543"/>
      <c r="E2" s="543"/>
      <c r="F2" s="543"/>
      <c r="G2" s="543"/>
      <c r="H2" s="544"/>
      <c r="J2" s="151" t="s">
        <v>274</v>
      </c>
    </row>
    <row r="3" spans="2:10" ht="20.25" x14ac:dyDescent="0.25">
      <c r="B3" s="70"/>
      <c r="C3" s="71"/>
      <c r="D3" s="71"/>
      <c r="E3" s="71"/>
      <c r="F3" s="71"/>
      <c r="G3" s="71"/>
      <c r="H3" s="72"/>
      <c r="J3" s="151"/>
    </row>
    <row r="4" spans="2:10" ht="63" customHeight="1" x14ac:dyDescent="0.25">
      <c r="B4" s="545" t="s">
        <v>305</v>
      </c>
      <c r="C4" s="546"/>
      <c r="D4" s="546"/>
      <c r="E4" s="546"/>
      <c r="F4" s="546"/>
      <c r="G4" s="546"/>
      <c r="H4" s="547"/>
    </row>
    <row r="5" spans="2:10" ht="63" customHeight="1" x14ac:dyDescent="0.25">
      <c r="B5" s="548"/>
      <c r="C5" s="549"/>
      <c r="D5" s="549"/>
      <c r="E5" s="549"/>
      <c r="F5" s="549"/>
      <c r="G5" s="549"/>
      <c r="H5" s="550"/>
    </row>
    <row r="6" spans="2:10" ht="16.5" x14ac:dyDescent="0.25">
      <c r="B6" s="551" t="s">
        <v>160</v>
      </c>
      <c r="C6" s="552"/>
      <c r="D6" s="552"/>
      <c r="E6" s="552"/>
      <c r="F6" s="552"/>
      <c r="G6" s="552"/>
      <c r="H6" s="553"/>
    </row>
    <row r="7" spans="2:10" ht="95.25" customHeight="1" x14ac:dyDescent="0.25">
      <c r="B7" s="561" t="s">
        <v>165</v>
      </c>
      <c r="C7" s="562"/>
      <c r="D7" s="562"/>
      <c r="E7" s="562"/>
      <c r="F7" s="562"/>
      <c r="G7" s="562"/>
      <c r="H7" s="563"/>
    </row>
    <row r="8" spans="2:10" ht="16.5" x14ac:dyDescent="0.25">
      <c r="B8" s="106"/>
      <c r="C8" s="107"/>
      <c r="D8" s="107"/>
      <c r="E8" s="107"/>
      <c r="F8" s="107"/>
      <c r="G8" s="107"/>
      <c r="H8" s="108"/>
    </row>
    <row r="9" spans="2:10" ht="16.5" customHeight="1" x14ac:dyDescent="0.25">
      <c r="B9" s="554" t="s">
        <v>293</v>
      </c>
      <c r="C9" s="555"/>
      <c r="D9" s="555"/>
      <c r="E9" s="555"/>
      <c r="F9" s="555"/>
      <c r="G9" s="555"/>
      <c r="H9" s="556"/>
    </row>
    <row r="10" spans="2:10" ht="44.25" customHeight="1" x14ac:dyDescent="0.25">
      <c r="B10" s="554"/>
      <c r="C10" s="555"/>
      <c r="D10" s="555"/>
      <c r="E10" s="555"/>
      <c r="F10" s="555"/>
      <c r="G10" s="555"/>
      <c r="H10" s="556"/>
    </row>
    <row r="11" spans="2:10" ht="15.75" thickBot="1" x14ac:dyDescent="0.3">
      <c r="B11" s="95"/>
      <c r="C11" s="98"/>
      <c r="D11" s="103"/>
      <c r="E11" s="104"/>
      <c r="F11" s="104"/>
      <c r="G11" s="105"/>
      <c r="H11" s="99"/>
    </row>
    <row r="12" spans="2:10" ht="15.75" thickTop="1" x14ac:dyDescent="0.25">
      <c r="B12" s="95"/>
      <c r="C12" s="557" t="s">
        <v>161</v>
      </c>
      <c r="D12" s="558"/>
      <c r="E12" s="559" t="s">
        <v>198</v>
      </c>
      <c r="F12" s="560"/>
      <c r="G12" s="98"/>
      <c r="H12" s="99"/>
    </row>
    <row r="13" spans="2:10" ht="35.25" customHeight="1" x14ac:dyDescent="0.25">
      <c r="B13" s="95"/>
      <c r="C13" s="529" t="s">
        <v>192</v>
      </c>
      <c r="D13" s="530"/>
      <c r="E13" s="531" t="s">
        <v>197</v>
      </c>
      <c r="F13" s="532"/>
      <c r="G13" s="98"/>
      <c r="H13" s="99"/>
    </row>
    <row r="14" spans="2:10" ht="17.25" customHeight="1" x14ac:dyDescent="0.25">
      <c r="B14" s="95"/>
      <c r="C14" s="529" t="s">
        <v>193</v>
      </c>
      <c r="D14" s="530"/>
      <c r="E14" s="531" t="s">
        <v>195</v>
      </c>
      <c r="F14" s="532"/>
      <c r="G14" s="98"/>
      <c r="H14" s="99"/>
    </row>
    <row r="15" spans="2:10" ht="19.5" customHeight="1" x14ac:dyDescent="0.25">
      <c r="B15" s="95"/>
      <c r="C15" s="529" t="s">
        <v>194</v>
      </c>
      <c r="D15" s="530"/>
      <c r="E15" s="531" t="s">
        <v>196</v>
      </c>
      <c r="F15" s="532"/>
      <c r="G15" s="98"/>
      <c r="H15" s="99"/>
    </row>
    <row r="16" spans="2:10" ht="69.75" customHeight="1" x14ac:dyDescent="0.25">
      <c r="B16" s="95"/>
      <c r="C16" s="529" t="s">
        <v>163</v>
      </c>
      <c r="D16" s="530"/>
      <c r="E16" s="531" t="s">
        <v>164</v>
      </c>
      <c r="F16" s="532"/>
      <c r="G16" s="98"/>
      <c r="H16" s="99"/>
    </row>
    <row r="17" spans="2:8" ht="34.5" customHeight="1" x14ac:dyDescent="0.25">
      <c r="B17" s="95"/>
      <c r="C17" s="533" t="s">
        <v>2</v>
      </c>
      <c r="D17" s="534"/>
      <c r="E17" s="525" t="s">
        <v>199</v>
      </c>
      <c r="F17" s="526"/>
      <c r="G17" s="98"/>
      <c r="H17" s="99"/>
    </row>
    <row r="18" spans="2:8" ht="27.75" customHeight="1" x14ac:dyDescent="0.25">
      <c r="B18" s="95"/>
      <c r="C18" s="533" t="s">
        <v>3</v>
      </c>
      <c r="D18" s="534"/>
      <c r="E18" s="525" t="s">
        <v>200</v>
      </c>
      <c r="F18" s="526"/>
      <c r="G18" s="98"/>
      <c r="H18" s="99"/>
    </row>
    <row r="19" spans="2:8" ht="28.5" customHeight="1" x14ac:dyDescent="0.25">
      <c r="B19" s="95"/>
      <c r="C19" s="533" t="s">
        <v>41</v>
      </c>
      <c r="D19" s="534"/>
      <c r="E19" s="525" t="s">
        <v>201</v>
      </c>
      <c r="F19" s="526"/>
      <c r="G19" s="98"/>
      <c r="H19" s="99"/>
    </row>
    <row r="20" spans="2:8" ht="72.75" customHeight="1" x14ac:dyDescent="0.25">
      <c r="B20" s="95"/>
      <c r="C20" s="533" t="s">
        <v>1</v>
      </c>
      <c r="D20" s="534"/>
      <c r="E20" s="525" t="s">
        <v>202</v>
      </c>
      <c r="F20" s="526"/>
      <c r="G20" s="98"/>
      <c r="H20" s="99"/>
    </row>
    <row r="21" spans="2:8" ht="64.5" customHeight="1" x14ac:dyDescent="0.25">
      <c r="B21" s="95"/>
      <c r="C21" s="533" t="s">
        <v>49</v>
      </c>
      <c r="D21" s="534"/>
      <c r="E21" s="525" t="s">
        <v>167</v>
      </c>
      <c r="F21" s="526"/>
      <c r="G21" s="98"/>
      <c r="H21" s="99"/>
    </row>
    <row r="22" spans="2:8" ht="71.25" customHeight="1" x14ac:dyDescent="0.25">
      <c r="B22" s="95"/>
      <c r="C22" s="533" t="s">
        <v>166</v>
      </c>
      <c r="D22" s="534"/>
      <c r="E22" s="525" t="s">
        <v>168</v>
      </c>
      <c r="F22" s="526"/>
      <c r="G22" s="98"/>
      <c r="H22" s="99"/>
    </row>
    <row r="23" spans="2:8" ht="55.5" customHeight="1" x14ac:dyDescent="0.25">
      <c r="B23" s="95"/>
      <c r="C23" s="527" t="s">
        <v>169</v>
      </c>
      <c r="D23" s="528"/>
      <c r="E23" s="525" t="s">
        <v>170</v>
      </c>
      <c r="F23" s="526"/>
      <c r="G23" s="98"/>
      <c r="H23" s="99"/>
    </row>
    <row r="24" spans="2:8" ht="42" customHeight="1" x14ac:dyDescent="0.25">
      <c r="B24" s="95"/>
      <c r="C24" s="527" t="s">
        <v>47</v>
      </c>
      <c r="D24" s="528"/>
      <c r="E24" s="525" t="s">
        <v>171</v>
      </c>
      <c r="F24" s="526"/>
      <c r="G24" s="98"/>
      <c r="H24" s="99"/>
    </row>
    <row r="25" spans="2:8" ht="59.25" customHeight="1" x14ac:dyDescent="0.25">
      <c r="B25" s="95"/>
      <c r="C25" s="527" t="s">
        <v>159</v>
      </c>
      <c r="D25" s="528"/>
      <c r="E25" s="525" t="s">
        <v>172</v>
      </c>
      <c r="F25" s="526"/>
      <c r="G25" s="98"/>
      <c r="H25" s="99"/>
    </row>
    <row r="26" spans="2:8" ht="23.25" customHeight="1" x14ac:dyDescent="0.25">
      <c r="B26" s="95"/>
      <c r="C26" s="527" t="s">
        <v>12</v>
      </c>
      <c r="D26" s="528"/>
      <c r="E26" s="525" t="s">
        <v>173</v>
      </c>
      <c r="F26" s="526"/>
      <c r="G26" s="98"/>
      <c r="H26" s="99"/>
    </row>
    <row r="27" spans="2:8" ht="30.75" customHeight="1" x14ac:dyDescent="0.25">
      <c r="B27" s="95"/>
      <c r="C27" s="527" t="s">
        <v>177</v>
      </c>
      <c r="D27" s="528"/>
      <c r="E27" s="525" t="s">
        <v>174</v>
      </c>
      <c r="F27" s="526"/>
      <c r="G27" s="98"/>
      <c r="H27" s="99"/>
    </row>
    <row r="28" spans="2:8" ht="35.25" customHeight="1" x14ac:dyDescent="0.25">
      <c r="B28" s="95"/>
      <c r="C28" s="527" t="s">
        <v>178</v>
      </c>
      <c r="D28" s="528"/>
      <c r="E28" s="525" t="s">
        <v>175</v>
      </c>
      <c r="F28" s="526"/>
      <c r="G28" s="98"/>
      <c r="H28" s="99"/>
    </row>
    <row r="29" spans="2:8" ht="33" customHeight="1" x14ac:dyDescent="0.25">
      <c r="B29" s="95"/>
      <c r="C29" s="527" t="s">
        <v>178</v>
      </c>
      <c r="D29" s="528"/>
      <c r="E29" s="525" t="s">
        <v>175</v>
      </c>
      <c r="F29" s="526"/>
      <c r="G29" s="98"/>
      <c r="H29" s="99"/>
    </row>
    <row r="30" spans="2:8" ht="30" customHeight="1" x14ac:dyDescent="0.25">
      <c r="B30" s="95"/>
      <c r="C30" s="527" t="s">
        <v>179</v>
      </c>
      <c r="D30" s="528"/>
      <c r="E30" s="525" t="s">
        <v>176</v>
      </c>
      <c r="F30" s="526"/>
      <c r="G30" s="98"/>
      <c r="H30" s="99"/>
    </row>
    <row r="31" spans="2:8" ht="35.25" customHeight="1" x14ac:dyDescent="0.25">
      <c r="B31" s="95"/>
      <c r="C31" s="527" t="s">
        <v>180</v>
      </c>
      <c r="D31" s="528"/>
      <c r="E31" s="525" t="s">
        <v>181</v>
      </c>
      <c r="F31" s="526"/>
      <c r="G31" s="98"/>
      <c r="H31" s="99"/>
    </row>
    <row r="32" spans="2:8" ht="31.5" customHeight="1" x14ac:dyDescent="0.25">
      <c r="B32" s="95"/>
      <c r="C32" s="527" t="s">
        <v>182</v>
      </c>
      <c r="D32" s="528"/>
      <c r="E32" s="525" t="s">
        <v>183</v>
      </c>
      <c r="F32" s="526"/>
      <c r="G32" s="98"/>
      <c r="H32" s="99"/>
    </row>
    <row r="33" spans="2:8" ht="35.25" customHeight="1" x14ac:dyDescent="0.25">
      <c r="B33" s="95"/>
      <c r="C33" s="527" t="s">
        <v>184</v>
      </c>
      <c r="D33" s="528"/>
      <c r="E33" s="525" t="s">
        <v>185</v>
      </c>
      <c r="F33" s="526"/>
      <c r="G33" s="98"/>
      <c r="H33" s="99"/>
    </row>
    <row r="34" spans="2:8" ht="59.25" customHeight="1" x14ac:dyDescent="0.25">
      <c r="B34" s="95"/>
      <c r="C34" s="527" t="s">
        <v>186</v>
      </c>
      <c r="D34" s="528"/>
      <c r="E34" s="525" t="s">
        <v>187</v>
      </c>
      <c r="F34" s="526"/>
      <c r="G34" s="98"/>
      <c r="H34" s="99"/>
    </row>
    <row r="35" spans="2:8" ht="29.25" customHeight="1" x14ac:dyDescent="0.25">
      <c r="B35" s="95"/>
      <c r="C35" s="527" t="s">
        <v>29</v>
      </c>
      <c r="D35" s="528"/>
      <c r="E35" s="525" t="s">
        <v>188</v>
      </c>
      <c r="F35" s="526"/>
      <c r="G35" s="98"/>
      <c r="H35" s="99"/>
    </row>
    <row r="36" spans="2:8" ht="82.5" customHeight="1" x14ac:dyDescent="0.25">
      <c r="B36" s="95"/>
      <c r="C36" s="527" t="s">
        <v>190</v>
      </c>
      <c r="D36" s="528"/>
      <c r="E36" s="525" t="s">
        <v>189</v>
      </c>
      <c r="F36" s="526"/>
      <c r="G36" s="98"/>
      <c r="H36" s="99"/>
    </row>
    <row r="37" spans="2:8" ht="46.5" customHeight="1" x14ac:dyDescent="0.25">
      <c r="B37" s="95"/>
      <c r="C37" s="527" t="s">
        <v>38</v>
      </c>
      <c r="D37" s="528"/>
      <c r="E37" s="525" t="s">
        <v>191</v>
      </c>
      <c r="F37" s="526"/>
      <c r="G37" s="98"/>
      <c r="H37" s="99"/>
    </row>
    <row r="38" spans="2:8" ht="6.75" customHeight="1" thickBot="1" x14ac:dyDescent="0.3">
      <c r="B38" s="95"/>
      <c r="C38" s="538"/>
      <c r="D38" s="539"/>
      <c r="E38" s="540"/>
      <c r="F38" s="541"/>
      <c r="G38" s="98"/>
      <c r="H38" s="99"/>
    </row>
    <row r="39" spans="2:8" ht="15.75" thickTop="1" x14ac:dyDescent="0.25">
      <c r="B39" s="95"/>
      <c r="C39" s="96"/>
      <c r="D39" s="96"/>
      <c r="E39" s="97"/>
      <c r="F39" s="97"/>
      <c r="G39" s="98"/>
      <c r="H39" s="99"/>
    </row>
    <row r="40" spans="2:8" ht="21" customHeight="1" x14ac:dyDescent="0.25">
      <c r="B40" s="535" t="s">
        <v>294</v>
      </c>
      <c r="C40" s="536"/>
      <c r="D40" s="536"/>
      <c r="E40" s="536"/>
      <c r="F40" s="536"/>
      <c r="G40" s="536"/>
      <c r="H40" s="537"/>
    </row>
    <row r="41" spans="2:8" ht="20.25" customHeight="1" x14ac:dyDescent="0.25">
      <c r="B41" s="535" t="s">
        <v>295</v>
      </c>
      <c r="C41" s="536"/>
      <c r="D41" s="536"/>
      <c r="E41" s="536"/>
      <c r="F41" s="536"/>
      <c r="G41" s="536"/>
      <c r="H41" s="537"/>
    </row>
    <row r="42" spans="2:8" ht="20.25" customHeight="1" x14ac:dyDescent="0.25">
      <c r="B42" s="535" t="s">
        <v>296</v>
      </c>
      <c r="C42" s="536"/>
      <c r="D42" s="536"/>
      <c r="E42" s="536"/>
      <c r="F42" s="536"/>
      <c r="G42" s="536"/>
      <c r="H42" s="537"/>
    </row>
    <row r="43" spans="2:8" ht="20.25" customHeight="1" x14ac:dyDescent="0.25">
      <c r="B43" s="535" t="s">
        <v>297</v>
      </c>
      <c r="C43" s="536"/>
      <c r="D43" s="536"/>
      <c r="E43" s="536"/>
      <c r="F43" s="536"/>
      <c r="G43" s="536"/>
      <c r="H43" s="537"/>
    </row>
    <row r="44" spans="2:8" ht="15" customHeight="1" x14ac:dyDescent="0.25">
      <c r="B44" s="535" t="s">
        <v>298</v>
      </c>
      <c r="C44" s="536"/>
      <c r="D44" s="536"/>
      <c r="E44" s="536"/>
      <c r="F44" s="536"/>
      <c r="G44" s="536"/>
      <c r="H44" s="537"/>
    </row>
    <row r="45" spans="2:8" ht="15.75" thickBot="1" x14ac:dyDescent="0.3">
      <c r="B45" s="100"/>
      <c r="C45" s="101"/>
      <c r="D45" s="101"/>
      <c r="E45" s="101"/>
      <c r="F45" s="101"/>
      <c r="G45" s="101"/>
      <c r="H45" s="102"/>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601" t="s">
        <v>251</v>
      </c>
      <c r="C2" s="602" t="s">
        <v>205</v>
      </c>
      <c r="D2" s="603"/>
      <c r="E2" s="603"/>
      <c r="F2" s="603"/>
      <c r="G2" s="603"/>
      <c r="H2" s="603"/>
      <c r="I2" s="603"/>
      <c r="J2" s="274" t="s">
        <v>250</v>
      </c>
      <c r="K2" s="247"/>
    </row>
    <row r="3" spans="2:11" ht="15" customHeight="1" x14ac:dyDescent="0.25">
      <c r="B3" s="518"/>
      <c r="C3" s="604"/>
      <c r="D3" s="605"/>
      <c r="E3" s="605"/>
      <c r="F3" s="605"/>
      <c r="G3" s="605"/>
      <c r="H3" s="605"/>
      <c r="I3" s="605"/>
      <c r="J3" s="275" t="s">
        <v>264</v>
      </c>
      <c r="K3" s="249"/>
    </row>
    <row r="4" spans="2:11" ht="15" customHeight="1" x14ac:dyDescent="0.25">
      <c r="B4" s="518"/>
      <c r="C4" s="604"/>
      <c r="D4" s="605"/>
      <c r="E4" s="605"/>
      <c r="F4" s="605"/>
      <c r="G4" s="605"/>
      <c r="H4" s="605"/>
      <c r="I4" s="605"/>
      <c r="J4" s="275" t="s">
        <v>263</v>
      </c>
      <c r="K4" s="249" t="s">
        <v>263</v>
      </c>
    </row>
    <row r="5" spans="2:11" ht="15" customHeight="1" thickBot="1" x14ac:dyDescent="0.3">
      <c r="B5" s="519"/>
      <c r="C5" s="606"/>
      <c r="D5" s="607"/>
      <c r="E5" s="607"/>
      <c r="F5" s="607"/>
      <c r="G5" s="607"/>
      <c r="H5" s="607"/>
      <c r="I5" s="607"/>
      <c r="J5" s="276" t="s">
        <v>245</v>
      </c>
      <c r="K5" s="251" t="s">
        <v>245</v>
      </c>
    </row>
    <row r="6" spans="2:11" ht="15.75" thickBot="1" x14ac:dyDescent="0.3"/>
    <row r="7" spans="2:11" customFormat="1" ht="15.75" thickBot="1" x14ac:dyDescent="0.3">
      <c r="B7" s="595" t="s">
        <v>246</v>
      </c>
      <c r="C7" s="596"/>
      <c r="D7" s="597" t="s">
        <v>252</v>
      </c>
      <c r="E7" s="598"/>
      <c r="F7" s="597" t="s">
        <v>253</v>
      </c>
      <c r="G7" s="599"/>
      <c r="H7" s="599"/>
      <c r="I7" s="599"/>
      <c r="J7" s="599"/>
      <c r="K7" s="600"/>
    </row>
    <row r="8" spans="2:11" customFormat="1" ht="18" customHeight="1" thickBot="1" x14ac:dyDescent="0.3">
      <c r="B8" s="566"/>
      <c r="C8" s="567"/>
      <c r="D8" s="568">
        <v>1</v>
      </c>
      <c r="E8" s="569"/>
      <c r="F8" s="564"/>
      <c r="G8" s="564"/>
      <c r="H8" s="564"/>
      <c r="I8" s="564"/>
      <c r="J8" s="564"/>
      <c r="K8" s="565"/>
    </row>
    <row r="9" spans="2:11" customFormat="1" ht="18" customHeight="1" thickBot="1" x14ac:dyDescent="0.3">
      <c r="B9" s="566"/>
      <c r="C9" s="567"/>
      <c r="D9" s="568">
        <v>2</v>
      </c>
      <c r="E9" s="569"/>
      <c r="F9" s="564"/>
      <c r="G9" s="564"/>
      <c r="H9" s="564"/>
      <c r="I9" s="564"/>
      <c r="J9" s="564"/>
      <c r="K9" s="565"/>
    </row>
    <row r="10" spans="2:11" customFormat="1" ht="18" customHeight="1" thickBot="1" x14ac:dyDescent="0.3">
      <c r="B10" s="566"/>
      <c r="C10" s="567"/>
      <c r="D10" s="568">
        <v>3</v>
      </c>
      <c r="E10" s="569"/>
      <c r="F10" s="564"/>
      <c r="G10" s="564"/>
      <c r="H10" s="564"/>
      <c r="I10" s="564"/>
      <c r="J10" s="564"/>
      <c r="K10" s="565"/>
    </row>
    <row r="11" spans="2:11" customFormat="1" ht="18" customHeight="1" thickBot="1" x14ac:dyDescent="0.3">
      <c r="B11" s="566"/>
      <c r="C11" s="567"/>
      <c r="D11" s="568">
        <v>4</v>
      </c>
      <c r="E11" s="569"/>
      <c r="F11" s="564"/>
      <c r="G11" s="564"/>
      <c r="H11" s="564"/>
      <c r="I11" s="564"/>
      <c r="J11" s="564"/>
      <c r="K11" s="565"/>
    </row>
    <row r="12" spans="2:11" customFormat="1" ht="18" customHeight="1" thickBot="1" x14ac:dyDescent="0.3">
      <c r="B12" s="566"/>
      <c r="C12" s="567"/>
      <c r="D12" s="568">
        <v>5</v>
      </c>
      <c r="E12" s="569"/>
      <c r="F12" s="564"/>
      <c r="G12" s="564"/>
      <c r="H12" s="564"/>
      <c r="I12" s="564"/>
      <c r="J12" s="564"/>
      <c r="K12" s="565"/>
    </row>
    <row r="13" spans="2:11" customFormat="1" ht="18" customHeight="1" thickBot="1" x14ac:dyDescent="0.3">
      <c r="B13" s="566"/>
      <c r="C13" s="567"/>
      <c r="D13" s="568">
        <v>6</v>
      </c>
      <c r="E13" s="569"/>
      <c r="F13" s="564"/>
      <c r="G13" s="564"/>
      <c r="H13" s="564"/>
      <c r="I13" s="564"/>
      <c r="J13" s="564"/>
      <c r="K13" s="565"/>
    </row>
    <row r="14" spans="2:11" customFormat="1" ht="18" customHeight="1" thickBot="1" x14ac:dyDescent="0.3">
      <c r="B14" s="566"/>
      <c r="C14" s="567"/>
      <c r="D14" s="568">
        <v>7</v>
      </c>
      <c r="E14" s="569"/>
      <c r="F14" s="564"/>
      <c r="G14" s="564"/>
      <c r="H14" s="564"/>
      <c r="I14" s="564"/>
      <c r="J14" s="564"/>
      <c r="K14" s="565"/>
    </row>
    <row r="15" spans="2:11" customFormat="1" ht="18" customHeight="1" thickBot="1" x14ac:dyDescent="0.3">
      <c r="B15" s="566">
        <v>45352</v>
      </c>
      <c r="C15" s="567"/>
      <c r="D15" s="568">
        <v>8</v>
      </c>
      <c r="E15" s="569"/>
      <c r="F15" s="564" t="s">
        <v>265</v>
      </c>
      <c r="G15" s="564"/>
      <c r="H15" s="564"/>
      <c r="I15" s="564"/>
      <c r="J15" s="564"/>
      <c r="K15" s="565"/>
    </row>
    <row r="16" spans="2:11" customFormat="1" ht="15.75" customHeight="1" thickBot="1" x14ac:dyDescent="0.3">
      <c r="B16" s="582"/>
      <c r="C16" s="582"/>
      <c r="D16" s="582"/>
      <c r="E16" s="582"/>
      <c r="F16" s="582"/>
      <c r="G16" s="582"/>
      <c r="H16" s="582"/>
      <c r="I16" s="582"/>
      <c r="J16" s="582"/>
      <c r="K16" s="582"/>
    </row>
    <row r="17" spans="2:12" customFormat="1" ht="15.75" customHeight="1" thickBot="1" x14ac:dyDescent="0.3">
      <c r="B17" s="583" t="s">
        <v>254</v>
      </c>
      <c r="C17" s="584"/>
      <c r="D17" s="584"/>
      <c r="E17" s="585"/>
      <c r="F17" s="586" t="s">
        <v>255</v>
      </c>
      <c r="G17" s="587"/>
      <c r="H17" s="588"/>
      <c r="I17" s="589" t="s">
        <v>256</v>
      </c>
      <c r="J17" s="590"/>
      <c r="K17" s="585"/>
    </row>
    <row r="18" spans="2:12" customFormat="1" ht="27" customHeight="1" x14ac:dyDescent="0.25">
      <c r="B18" s="591"/>
      <c r="C18" s="592"/>
      <c r="D18" s="592"/>
      <c r="E18" s="592"/>
      <c r="F18" s="592"/>
      <c r="G18" s="592"/>
      <c r="H18" s="592"/>
      <c r="I18" s="593"/>
      <c r="J18" s="593"/>
      <c r="K18" s="594"/>
    </row>
    <row r="19" spans="2:12" customFormat="1" ht="15" customHeight="1" x14ac:dyDescent="0.25">
      <c r="B19" s="571" t="s">
        <v>257</v>
      </c>
      <c r="C19" s="572"/>
      <c r="D19" s="572"/>
      <c r="E19" s="572"/>
      <c r="F19" s="573" t="s">
        <v>258</v>
      </c>
      <c r="G19" s="573"/>
      <c r="H19" s="574"/>
      <c r="I19" s="573" t="s">
        <v>258</v>
      </c>
      <c r="J19" s="573"/>
      <c r="K19" s="574"/>
    </row>
    <row r="20" spans="2:12" customFormat="1" ht="22.5" customHeight="1" thickBot="1" x14ac:dyDescent="0.3">
      <c r="B20" s="575" t="s">
        <v>259</v>
      </c>
      <c r="C20" s="576"/>
      <c r="D20" s="576"/>
      <c r="E20" s="576"/>
      <c r="F20" s="576" t="s">
        <v>260</v>
      </c>
      <c r="G20" s="576"/>
      <c r="H20" s="577"/>
      <c r="I20" s="576" t="s">
        <v>260</v>
      </c>
      <c r="J20" s="576"/>
      <c r="K20" s="577"/>
    </row>
    <row r="21" spans="2:12" customFormat="1" ht="9" customHeight="1" thickBot="1" x14ac:dyDescent="0.3">
      <c r="B21" s="578"/>
      <c r="C21" s="578"/>
      <c r="D21" s="578"/>
      <c r="E21" s="578"/>
      <c r="F21" s="578"/>
      <c r="G21" s="578"/>
      <c r="H21" s="578"/>
      <c r="I21" s="578"/>
      <c r="J21" s="578"/>
      <c r="K21" s="578"/>
    </row>
    <row r="22" spans="2:12" customFormat="1" ht="15.75" thickBot="1" x14ac:dyDescent="0.3">
      <c r="B22" s="579" t="s">
        <v>207</v>
      </c>
      <c r="C22" s="580"/>
      <c r="D22" s="581"/>
      <c r="E22" s="131" t="s">
        <v>208</v>
      </c>
      <c r="F22" s="579" t="s">
        <v>209</v>
      </c>
      <c r="G22" s="581"/>
      <c r="H22" s="132" t="s">
        <v>210</v>
      </c>
      <c r="I22" s="579" t="s">
        <v>211</v>
      </c>
      <c r="J22" s="581"/>
      <c r="K22" s="133">
        <v>1</v>
      </c>
    </row>
    <row r="23" spans="2:12" ht="8.25" customHeight="1" x14ac:dyDescent="0.25"/>
    <row r="24" spans="2:12" x14ac:dyDescent="0.25">
      <c r="B24" s="570" t="s">
        <v>261</v>
      </c>
      <c r="C24" s="570"/>
      <c r="D24" s="570"/>
      <c r="E24" s="570"/>
      <c r="F24" s="570"/>
      <c r="G24" s="570"/>
      <c r="H24" s="570"/>
      <c r="I24" s="570"/>
      <c r="J24" s="570"/>
      <c r="K24" s="570"/>
      <c r="L24" s="570"/>
    </row>
    <row r="25" spans="2:12" x14ac:dyDescent="0.25">
      <c r="B25" s="570" t="s">
        <v>262</v>
      </c>
      <c r="C25" s="570"/>
      <c r="D25" s="570"/>
      <c r="E25" s="570"/>
      <c r="F25" s="570"/>
      <c r="G25" s="570"/>
      <c r="H25" s="570"/>
      <c r="I25" s="570"/>
      <c r="J25" s="570"/>
      <c r="K25" s="570"/>
      <c r="L25" s="570"/>
    </row>
    <row r="26" spans="2:12" ht="9" customHeight="1" x14ac:dyDescent="0.25"/>
  </sheetData>
  <mergeCells count="52">
    <mergeCell ref="B2:B5"/>
    <mergeCell ref="C2:I5"/>
    <mergeCell ref="J2:K2"/>
    <mergeCell ref="J3:K3"/>
    <mergeCell ref="J4:K4"/>
    <mergeCell ref="J5:K5"/>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16:K16"/>
    <mergeCell ref="B17:E17"/>
    <mergeCell ref="F17:H17"/>
    <mergeCell ref="I17:K17"/>
    <mergeCell ref="B18:E18"/>
    <mergeCell ref="F18:H18"/>
    <mergeCell ref="I18:K18"/>
    <mergeCell ref="B25:L25"/>
    <mergeCell ref="B19:E19"/>
    <mergeCell ref="F19:H19"/>
    <mergeCell ref="I19:K19"/>
    <mergeCell ref="B20:E20"/>
    <mergeCell ref="F20:H20"/>
    <mergeCell ref="I20:K20"/>
    <mergeCell ref="B21:K21"/>
    <mergeCell ref="B22:D22"/>
    <mergeCell ref="F22:G22"/>
    <mergeCell ref="I22:J22"/>
    <mergeCell ref="B24:L24"/>
    <mergeCell ref="F11:K11"/>
    <mergeCell ref="B12:C12"/>
    <mergeCell ref="D12:E12"/>
    <mergeCell ref="F12:K12"/>
    <mergeCell ref="B14:C14"/>
    <mergeCell ref="D14:E14"/>
    <mergeCell ref="F14:K14"/>
    <mergeCell ref="D13:E13"/>
    <mergeCell ref="F13:K13"/>
    <mergeCell ref="B11:C11"/>
    <mergeCell ref="D11:E11"/>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608" t="s">
        <v>54</v>
      </c>
      <c r="C1" s="608"/>
      <c r="D1" s="608"/>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609" t="s">
        <v>62</v>
      </c>
      <c r="C1" s="609"/>
      <c r="D1" s="609"/>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67.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e" cm="1">
        <f t="array" aca="1" ref="B221:B223" ca="1">_xlfn.UNIQUE(Tabla1[[#All],[Criterios]])</f>
        <v>#NAME?</v>
      </c>
      <c r="C221" s="18"/>
      <c r="E221" t="s">
        <v>117</v>
      </c>
      <c r="F221" t="str">
        <f t="shared" si="0"/>
        <v xml:space="preserve">     El riesgo afecta la imagen de la entidad a nivel nacional, con efecto publicitarios sostenible a nivel país</v>
      </c>
    </row>
    <row r="222" spans="1:8" x14ac:dyDescent="0.25">
      <c r="A222" s="69"/>
      <c r="B222" s="18" t="e">
        <f ca="1"/>
        <v>#NAME?</v>
      </c>
      <c r="C222" s="18"/>
    </row>
    <row r="223" spans="1:8" x14ac:dyDescent="0.25">
      <c r="B223" s="18" t="e">
        <f ca="1"/>
        <v>#NAME?</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610" t="s">
        <v>77</v>
      </c>
      <c r="C1" s="611"/>
      <c r="D1" s="611"/>
      <c r="E1" s="611"/>
      <c r="F1" s="612"/>
    </row>
    <row r="2" spans="2:6" ht="16.5" thickBot="1" x14ac:dyDescent="0.3">
      <c r="B2" s="75"/>
      <c r="C2" s="75"/>
      <c r="D2" s="75"/>
      <c r="E2" s="75"/>
      <c r="F2" s="75"/>
    </row>
    <row r="3" spans="2:6" ht="16.5" thickBot="1" x14ac:dyDescent="0.25">
      <c r="B3" s="614" t="s">
        <v>63</v>
      </c>
      <c r="C3" s="615"/>
      <c r="D3" s="615"/>
      <c r="E3" s="87" t="s">
        <v>64</v>
      </c>
      <c r="F3" s="88" t="s">
        <v>65</v>
      </c>
    </row>
    <row r="4" spans="2:6" ht="31.5" x14ac:dyDescent="0.2">
      <c r="B4" s="616" t="s">
        <v>66</v>
      </c>
      <c r="C4" s="618" t="s">
        <v>13</v>
      </c>
      <c r="D4" s="76" t="s">
        <v>14</v>
      </c>
      <c r="E4" s="77" t="s">
        <v>67</v>
      </c>
      <c r="F4" s="78">
        <v>0.25</v>
      </c>
    </row>
    <row r="5" spans="2:6" ht="47.25" x14ac:dyDescent="0.2">
      <c r="B5" s="617"/>
      <c r="C5" s="619"/>
      <c r="D5" s="79" t="s">
        <v>15</v>
      </c>
      <c r="E5" s="80" t="s">
        <v>68</v>
      </c>
      <c r="F5" s="81">
        <v>0.15</v>
      </c>
    </row>
    <row r="6" spans="2:6" ht="47.25" x14ac:dyDescent="0.2">
      <c r="B6" s="617"/>
      <c r="C6" s="619"/>
      <c r="D6" s="79" t="s">
        <v>16</v>
      </c>
      <c r="E6" s="80" t="s">
        <v>69</v>
      </c>
      <c r="F6" s="81">
        <v>0.1</v>
      </c>
    </row>
    <row r="7" spans="2:6" ht="63" x14ac:dyDescent="0.2">
      <c r="B7" s="617"/>
      <c r="C7" s="619" t="s">
        <v>17</v>
      </c>
      <c r="D7" s="79" t="s">
        <v>10</v>
      </c>
      <c r="E7" s="80" t="s">
        <v>70</v>
      </c>
      <c r="F7" s="81">
        <v>0.25</v>
      </c>
    </row>
    <row r="8" spans="2:6" ht="31.5" x14ac:dyDescent="0.2">
      <c r="B8" s="617"/>
      <c r="C8" s="619"/>
      <c r="D8" s="79" t="s">
        <v>9</v>
      </c>
      <c r="E8" s="80" t="s">
        <v>71</v>
      </c>
      <c r="F8" s="81">
        <v>0.15</v>
      </c>
    </row>
    <row r="9" spans="2:6" ht="47.25" x14ac:dyDescent="0.2">
      <c r="B9" s="617" t="s">
        <v>158</v>
      </c>
      <c r="C9" s="619" t="s">
        <v>18</v>
      </c>
      <c r="D9" s="79" t="s">
        <v>19</v>
      </c>
      <c r="E9" s="80" t="s">
        <v>72</v>
      </c>
      <c r="F9" s="82" t="s">
        <v>73</v>
      </c>
    </row>
    <row r="10" spans="2:6" ht="63" x14ac:dyDescent="0.2">
      <c r="B10" s="617"/>
      <c r="C10" s="619"/>
      <c r="D10" s="79" t="s">
        <v>20</v>
      </c>
      <c r="E10" s="80" t="s">
        <v>74</v>
      </c>
      <c r="F10" s="82" t="s">
        <v>73</v>
      </c>
    </row>
    <row r="11" spans="2:6" ht="47.25" x14ac:dyDescent="0.2">
      <c r="B11" s="617"/>
      <c r="C11" s="619" t="s">
        <v>21</v>
      </c>
      <c r="D11" s="79" t="s">
        <v>22</v>
      </c>
      <c r="E11" s="80" t="s">
        <v>75</v>
      </c>
      <c r="F11" s="82" t="s">
        <v>73</v>
      </c>
    </row>
    <row r="12" spans="2:6" ht="47.25" x14ac:dyDescent="0.2">
      <c r="B12" s="617"/>
      <c r="C12" s="619"/>
      <c r="D12" s="79" t="s">
        <v>23</v>
      </c>
      <c r="E12" s="80" t="s">
        <v>76</v>
      </c>
      <c r="F12" s="82" t="s">
        <v>73</v>
      </c>
    </row>
    <row r="13" spans="2:6" ht="31.5" x14ac:dyDescent="0.2">
      <c r="B13" s="617"/>
      <c r="C13" s="619" t="s">
        <v>24</v>
      </c>
      <c r="D13" s="79" t="s">
        <v>118</v>
      </c>
      <c r="E13" s="80" t="s">
        <v>121</v>
      </c>
      <c r="F13" s="82" t="s">
        <v>73</v>
      </c>
    </row>
    <row r="14" spans="2:6" ht="32.25" thickBot="1" x14ac:dyDescent="0.25">
      <c r="B14" s="620"/>
      <c r="C14" s="621"/>
      <c r="D14" s="83" t="s">
        <v>119</v>
      </c>
      <c r="E14" s="84" t="s">
        <v>120</v>
      </c>
      <c r="F14" s="85" t="s">
        <v>73</v>
      </c>
    </row>
    <row r="15" spans="2:6" ht="49.5" customHeight="1" x14ac:dyDescent="0.2">
      <c r="B15" s="613" t="s">
        <v>155</v>
      </c>
      <c r="C15" s="613"/>
      <c r="D15" s="613"/>
      <c r="E15" s="613"/>
      <c r="F15" s="613"/>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66" t="s">
        <v>244</v>
      </c>
      <c r="C2" s="267"/>
      <c r="D2" s="254" t="s">
        <v>300</v>
      </c>
      <c r="E2" s="274" t="s">
        <v>377</v>
      </c>
      <c r="F2" s="247"/>
    </row>
    <row r="3" spans="1:8" ht="19.5" customHeight="1" x14ac:dyDescent="0.25">
      <c r="B3" s="242"/>
      <c r="C3" s="268"/>
      <c r="D3" s="255"/>
      <c r="E3" s="275" t="s">
        <v>264</v>
      </c>
      <c r="F3" s="249"/>
    </row>
    <row r="4" spans="1:8" ht="19.5" customHeight="1" x14ac:dyDescent="0.25">
      <c r="B4" s="242"/>
      <c r="C4" s="268"/>
      <c r="D4" s="255"/>
      <c r="E4" s="275" t="s">
        <v>389</v>
      </c>
      <c r="F4" s="249"/>
    </row>
    <row r="5" spans="1:8" ht="19.5" customHeight="1" thickBot="1" x14ac:dyDescent="0.3">
      <c r="A5" t="s">
        <v>266</v>
      </c>
      <c r="B5" s="244"/>
      <c r="C5" s="269"/>
      <c r="D5" s="256"/>
      <c r="E5" s="276" t="s">
        <v>245</v>
      </c>
      <c r="F5" s="251"/>
    </row>
    <row r="6" spans="1:8" ht="15.75" thickBot="1" x14ac:dyDescent="0.3"/>
    <row r="7" spans="1:8" x14ac:dyDescent="0.25">
      <c r="B7" s="257" t="s">
        <v>299</v>
      </c>
      <c r="C7" s="260" t="s">
        <v>268</v>
      </c>
      <c r="D7" s="261"/>
      <c r="E7" s="270" t="s">
        <v>270</v>
      </c>
      <c r="F7" s="271"/>
    </row>
    <row r="8" spans="1:8" ht="15.75" thickBot="1" x14ac:dyDescent="0.3">
      <c r="B8" s="258"/>
      <c r="C8" s="262"/>
      <c r="D8" s="263"/>
      <c r="E8" s="272"/>
      <c r="F8" s="273"/>
      <c r="H8" s="156">
        <f>+COUNTA($E$10:$E$28)</f>
        <v>0</v>
      </c>
    </row>
    <row r="9" spans="1:8" ht="15.75" thickBot="1" x14ac:dyDescent="0.3">
      <c r="B9" s="259"/>
      <c r="C9" s="264" t="s">
        <v>269</v>
      </c>
      <c r="D9" s="265"/>
      <c r="E9" s="153" t="s">
        <v>271</v>
      </c>
      <c r="F9" s="153" t="s">
        <v>272</v>
      </c>
      <c r="H9" s="156">
        <f>+COUNTA($F$10:$F$28)</f>
        <v>0</v>
      </c>
    </row>
    <row r="10" spans="1:8" ht="15.75" thickBot="1" x14ac:dyDescent="0.3">
      <c r="B10" s="152">
        <v>1</v>
      </c>
      <c r="C10" s="252" t="s">
        <v>273</v>
      </c>
      <c r="D10" s="253"/>
      <c r="E10" s="148"/>
      <c r="F10" s="149"/>
      <c r="H10" s="156">
        <f>+COUNTA($E$10:$E$28)-COUNTA(F10:F28)</f>
        <v>0</v>
      </c>
    </row>
    <row r="11" spans="1:8" ht="15.75" thickBot="1" x14ac:dyDescent="0.3">
      <c r="B11" s="152">
        <v>2</v>
      </c>
      <c r="C11" s="252" t="s">
        <v>275</v>
      </c>
      <c r="D11" s="253" t="s">
        <v>275</v>
      </c>
      <c r="E11" s="148"/>
      <c r="F11" s="149"/>
      <c r="H11" s="157"/>
    </row>
    <row r="12" spans="1:8" ht="15.75" thickBot="1" x14ac:dyDescent="0.3">
      <c r="B12" s="152">
        <v>3</v>
      </c>
      <c r="C12" s="252" t="s">
        <v>276</v>
      </c>
      <c r="D12" s="253" t="s">
        <v>276</v>
      </c>
      <c r="E12" s="148"/>
      <c r="F12" s="149"/>
    </row>
    <row r="13" spans="1:8" ht="15.75" thickBot="1" x14ac:dyDescent="0.3">
      <c r="B13" s="152">
        <v>4</v>
      </c>
      <c r="C13" s="252" t="s">
        <v>388</v>
      </c>
      <c r="D13" s="253" t="s">
        <v>277</v>
      </c>
      <c r="E13" s="148"/>
      <c r="F13" s="149"/>
    </row>
    <row r="14" spans="1:8" ht="15.75" thickBot="1" x14ac:dyDescent="0.3">
      <c r="B14" s="152">
        <v>5</v>
      </c>
      <c r="C14" s="252" t="s">
        <v>278</v>
      </c>
      <c r="D14" s="253" t="s">
        <v>278</v>
      </c>
      <c r="E14" s="148"/>
      <c r="F14" s="149"/>
    </row>
    <row r="15" spans="1:8" ht="15.75" thickBot="1" x14ac:dyDescent="0.3">
      <c r="B15" s="152">
        <v>6</v>
      </c>
      <c r="C15" s="252" t="s">
        <v>279</v>
      </c>
      <c r="D15" s="253" t="s">
        <v>279</v>
      </c>
      <c r="E15" s="148"/>
      <c r="F15" s="149"/>
    </row>
    <row r="16" spans="1:8" ht="15.75" thickBot="1" x14ac:dyDescent="0.3">
      <c r="B16" s="152">
        <v>7</v>
      </c>
      <c r="C16" s="252" t="s">
        <v>280</v>
      </c>
      <c r="D16" s="253" t="s">
        <v>280</v>
      </c>
      <c r="E16" s="148"/>
      <c r="F16" s="149"/>
    </row>
    <row r="17" spans="2:7" ht="28.5" customHeight="1" thickBot="1" x14ac:dyDescent="0.3">
      <c r="B17" s="152">
        <v>8</v>
      </c>
      <c r="C17" s="252" t="s">
        <v>281</v>
      </c>
      <c r="D17" s="253" t="s">
        <v>281</v>
      </c>
      <c r="E17" s="148"/>
      <c r="F17" s="149"/>
    </row>
    <row r="18" spans="2:7" ht="18.75" customHeight="1" thickBot="1" x14ac:dyDescent="0.3">
      <c r="B18" s="152">
        <v>9</v>
      </c>
      <c r="C18" s="252" t="s">
        <v>282</v>
      </c>
      <c r="D18" s="253" t="s">
        <v>282</v>
      </c>
      <c r="E18" s="148"/>
      <c r="F18" s="149"/>
    </row>
    <row r="19" spans="2:7" ht="15.75" thickBot="1" x14ac:dyDescent="0.3">
      <c r="B19" s="152">
        <v>10</v>
      </c>
      <c r="C19" s="252" t="s">
        <v>283</v>
      </c>
      <c r="D19" s="253" t="s">
        <v>283</v>
      </c>
      <c r="E19" s="148"/>
      <c r="F19" s="149"/>
    </row>
    <row r="20" spans="2:7" ht="15.75" thickBot="1" x14ac:dyDescent="0.3">
      <c r="B20" s="152">
        <v>11</v>
      </c>
      <c r="C20" s="252" t="s">
        <v>284</v>
      </c>
      <c r="D20" s="253" t="s">
        <v>284</v>
      </c>
      <c r="E20" s="148"/>
      <c r="F20" s="149"/>
    </row>
    <row r="21" spans="2:7" ht="15.75" thickBot="1" x14ac:dyDescent="0.3">
      <c r="B21" s="152">
        <v>12</v>
      </c>
      <c r="C21" s="252" t="s">
        <v>285</v>
      </c>
      <c r="D21" s="253" t="s">
        <v>285</v>
      </c>
      <c r="E21" s="148"/>
      <c r="F21" s="149"/>
    </row>
    <row r="22" spans="2:7" ht="15.75" thickBot="1" x14ac:dyDescent="0.3">
      <c r="B22" s="152">
        <v>13</v>
      </c>
      <c r="C22" s="252" t="s">
        <v>286</v>
      </c>
      <c r="D22" s="253" t="s">
        <v>286</v>
      </c>
      <c r="E22" s="148"/>
      <c r="F22" s="149"/>
    </row>
    <row r="23" spans="2:7" ht="15.75" thickBot="1" x14ac:dyDescent="0.3">
      <c r="B23" s="152">
        <v>14</v>
      </c>
      <c r="C23" s="252" t="s">
        <v>287</v>
      </c>
      <c r="D23" s="253" t="s">
        <v>287</v>
      </c>
      <c r="E23" s="148"/>
      <c r="F23" s="149"/>
    </row>
    <row r="24" spans="2:7" ht="15.75" thickBot="1" x14ac:dyDescent="0.3">
      <c r="B24" s="152">
        <v>15</v>
      </c>
      <c r="C24" s="252" t="s">
        <v>288</v>
      </c>
      <c r="D24" s="253" t="s">
        <v>288</v>
      </c>
      <c r="E24" s="148"/>
      <c r="F24" s="149"/>
    </row>
    <row r="25" spans="2:7" ht="15.75" thickBot="1" x14ac:dyDescent="0.3">
      <c r="B25" s="152">
        <v>16</v>
      </c>
      <c r="C25" s="252" t="s">
        <v>289</v>
      </c>
      <c r="D25" s="253" t="s">
        <v>289</v>
      </c>
      <c r="E25" s="148"/>
      <c r="F25" s="149"/>
    </row>
    <row r="26" spans="2:7" ht="15.75" thickBot="1" x14ac:dyDescent="0.3">
      <c r="B26" s="152">
        <v>17</v>
      </c>
      <c r="C26" s="252" t="s">
        <v>290</v>
      </c>
      <c r="D26" s="253" t="s">
        <v>290</v>
      </c>
      <c r="E26" s="148"/>
      <c r="F26" s="149"/>
    </row>
    <row r="27" spans="2:7" ht="15.75" thickBot="1" x14ac:dyDescent="0.3">
      <c r="B27" s="152">
        <v>18</v>
      </c>
      <c r="C27" s="252" t="s">
        <v>291</v>
      </c>
      <c r="D27" s="253" t="s">
        <v>291</v>
      </c>
      <c r="E27" s="148"/>
      <c r="F27" s="149"/>
    </row>
    <row r="28" spans="2:7" ht="15.75" thickBot="1" x14ac:dyDescent="0.3">
      <c r="B28" s="152">
        <v>19</v>
      </c>
      <c r="C28" s="252" t="s">
        <v>292</v>
      </c>
      <c r="D28" s="253"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 ref="E7:F8"/>
    <mergeCell ref="E2:F2"/>
    <mergeCell ref="E3:F3"/>
    <mergeCell ref="E4:F4"/>
    <mergeCell ref="E5:F5"/>
    <mergeCell ref="C12:D12"/>
    <mergeCell ref="D2:D5"/>
    <mergeCell ref="B7:B9"/>
    <mergeCell ref="C7:D8"/>
    <mergeCell ref="C9:D9"/>
    <mergeCell ref="C11:D11"/>
    <mergeCell ref="B2:C5"/>
    <mergeCell ref="C10:D10"/>
  </mergeCells>
  <conditionalFormatting sqref="G29">
    <cfRule type="cellIs" dxfId="41" priority="1" stopIfTrue="1" operator="equal">
      <formula>"Catastrófico"</formula>
    </cfRule>
    <cfRule type="cellIs" dxfId="40" priority="2" stopIfTrue="1" operator="equal">
      <formula>"Moderado"</formula>
    </cfRule>
    <cfRule type="cellIs" dxfId="39"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29"/>
  <sheetViews>
    <sheetView showGridLines="0" zoomScale="60" zoomScaleNormal="60" workbookViewId="0">
      <pane ySplit="10" topLeftCell="A17" activePane="bottomLeft" state="frozen"/>
      <selection pane="bottomLeft" activeCell="D26" sqref="D26:L26"/>
    </sheetView>
  </sheetViews>
  <sheetFormatPr baseColWidth="10" defaultColWidth="11.42578125" defaultRowHeight="14.25" x14ac:dyDescent="0.2"/>
  <cols>
    <col min="1" max="1" width="11.42578125" style="181"/>
    <col min="2" max="2" width="3" style="181" customWidth="1"/>
    <col min="3" max="3" width="2.5703125" style="181" customWidth="1"/>
    <col min="4" max="4" width="4.7109375" style="182" customWidth="1"/>
    <col min="5" max="5" width="14.7109375" style="182" customWidth="1"/>
    <col min="6" max="8" width="12" style="182" customWidth="1"/>
    <col min="9" max="9" width="31" style="182" customWidth="1"/>
    <col min="10" max="10" width="16.28515625" style="182" hidden="1" customWidth="1"/>
    <col min="11" max="11" width="31.5703125" style="182" customWidth="1"/>
    <col min="12" max="12" width="49.140625" style="181" customWidth="1"/>
    <col min="13" max="15" width="19" style="183" customWidth="1"/>
    <col min="16" max="16" width="17.7109375" style="181" customWidth="1"/>
    <col min="17" max="17" width="16.42578125" style="181" customWidth="1"/>
    <col min="18" max="18" width="6.28515625" style="181" bestFit="1" customWidth="1"/>
    <col min="19" max="19" width="27.28515625" style="181" bestFit="1" customWidth="1"/>
    <col min="20" max="20" width="28.42578125" style="181" customWidth="1"/>
    <col min="21" max="21" width="17.42578125" style="181" customWidth="1"/>
    <col min="22" max="22" width="6.28515625" style="181" bestFit="1" customWidth="1"/>
    <col min="23" max="23" width="16" style="181" customWidth="1"/>
    <col min="24" max="24" width="5.7109375" style="181" customWidth="1"/>
    <col min="25" max="25" width="55.85546875" style="181" customWidth="1"/>
    <col min="26" max="26" width="57.28515625" style="181" customWidth="1"/>
    <col min="27" max="27" width="15.140625" style="181" bestFit="1" customWidth="1"/>
    <col min="28" max="28" width="6.7109375" style="181" customWidth="1"/>
    <col min="29" max="29" width="5" style="181" customWidth="1"/>
    <col min="30" max="30" width="5.42578125" style="181" customWidth="1"/>
    <col min="31" max="31" width="7.140625" style="181" customWidth="1"/>
    <col min="32" max="32" width="6.7109375" style="181" customWidth="1"/>
    <col min="33" max="34" width="12.5703125" style="181" customWidth="1"/>
    <col min="35" max="35" width="13.7109375" style="181" customWidth="1"/>
    <col min="36" max="36" width="8.7109375" style="181" customWidth="1"/>
    <col min="37" max="37" width="10.42578125" style="181" customWidth="1"/>
    <col min="38" max="38" width="9.28515625" style="181" customWidth="1"/>
    <col min="39" max="39" width="9.140625" style="181" customWidth="1"/>
    <col min="40" max="40" width="8.42578125" style="181" customWidth="1"/>
    <col min="41" max="41" width="7.28515625" style="181" customWidth="1"/>
    <col min="42" max="42" width="33.85546875" style="181" customWidth="1"/>
    <col min="43" max="43" width="26.85546875" style="181" customWidth="1"/>
    <col min="44" max="44" width="16.7109375" style="181" customWidth="1"/>
    <col min="45" max="45" width="14.7109375" style="181" customWidth="1"/>
    <col min="46" max="46" width="18.42578125" style="181" customWidth="1"/>
    <col min="47" max="47" width="21" style="181" customWidth="1"/>
    <col min="48" max="48" width="14.140625" style="181" customWidth="1"/>
    <col min="49" max="49" width="17.7109375" style="181" customWidth="1"/>
    <col min="50" max="51" width="20.7109375" style="181" customWidth="1"/>
    <col min="52" max="52" width="15.42578125" style="181" customWidth="1"/>
    <col min="53" max="53" width="19.5703125" style="181" customWidth="1"/>
    <col min="54" max="54" width="17.28515625" style="181" customWidth="1"/>
    <col min="55" max="16384" width="11.42578125" style="181"/>
  </cols>
  <sheetData>
    <row r="1" spans="1:80" ht="15" thickBot="1" x14ac:dyDescent="0.25"/>
    <row r="2" spans="1:80" ht="27.75" customHeight="1" x14ac:dyDescent="0.2">
      <c r="D2" s="305" t="s">
        <v>301</v>
      </c>
      <c r="E2" s="306"/>
      <c r="F2" s="306"/>
      <c r="G2" s="306"/>
      <c r="H2" s="306"/>
      <c r="I2" s="311" t="s">
        <v>205</v>
      </c>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311"/>
      <c r="AW2" s="311"/>
      <c r="AX2" s="311"/>
      <c r="AY2" s="311"/>
      <c r="AZ2" s="311"/>
      <c r="BA2" s="319" t="s">
        <v>377</v>
      </c>
      <c r="BB2" s="320"/>
    </row>
    <row r="3" spans="1:80" ht="27.75" customHeight="1" x14ac:dyDescent="0.2">
      <c r="D3" s="307"/>
      <c r="E3" s="308"/>
      <c r="F3" s="308"/>
      <c r="G3" s="308"/>
      <c r="H3" s="308"/>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R3" s="311"/>
      <c r="AS3" s="311"/>
      <c r="AT3" s="311"/>
      <c r="AU3" s="311"/>
      <c r="AV3" s="311"/>
      <c r="AW3" s="311"/>
      <c r="AX3" s="311"/>
      <c r="AY3" s="311"/>
      <c r="AZ3" s="311"/>
      <c r="BA3" s="321" t="s">
        <v>242</v>
      </c>
      <c r="BB3" s="321"/>
    </row>
    <row r="4" spans="1:80" ht="27.75" customHeight="1" x14ac:dyDescent="0.2">
      <c r="D4" s="307"/>
      <c r="E4" s="308"/>
      <c r="F4" s="308"/>
      <c r="G4" s="308"/>
      <c r="H4" s="308"/>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c r="AP4" s="311"/>
      <c r="AQ4" s="311"/>
      <c r="AR4" s="311"/>
      <c r="AS4" s="311"/>
      <c r="AT4" s="311"/>
      <c r="AU4" s="311"/>
      <c r="AV4" s="311"/>
      <c r="AW4" s="311"/>
      <c r="AX4" s="311"/>
      <c r="AY4" s="311"/>
      <c r="AZ4" s="311"/>
      <c r="BA4" s="321" t="s">
        <v>389</v>
      </c>
      <c r="BB4" s="321"/>
    </row>
    <row r="5" spans="1:80" ht="27.75" customHeight="1" thickBot="1" x14ac:dyDescent="0.25">
      <c r="D5" s="309"/>
      <c r="E5" s="310"/>
      <c r="F5" s="310"/>
      <c r="G5" s="310"/>
      <c r="H5" s="310"/>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c r="AO5" s="311"/>
      <c r="AP5" s="311"/>
      <c r="AQ5" s="311"/>
      <c r="AR5" s="311"/>
      <c r="AS5" s="311"/>
      <c r="AT5" s="311"/>
      <c r="AU5" s="311"/>
      <c r="AV5" s="311"/>
      <c r="AW5" s="311"/>
      <c r="AX5" s="311"/>
      <c r="AY5" s="311"/>
      <c r="AZ5" s="311"/>
      <c r="BA5" s="321" t="s">
        <v>206</v>
      </c>
      <c r="BB5" s="321"/>
    </row>
    <row r="6" spans="1:80" ht="13.9" customHeight="1" x14ac:dyDescent="0.25">
      <c r="D6" s="119"/>
      <c r="E6" s="120"/>
      <c r="F6" s="120"/>
      <c r="G6" s="120"/>
      <c r="H6" s="120"/>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22"/>
      <c r="BB6" s="121"/>
    </row>
    <row r="7" spans="1:80" ht="26.25" customHeight="1" x14ac:dyDescent="0.2">
      <c r="D7" s="299" t="s">
        <v>42</v>
      </c>
      <c r="E7" s="300"/>
      <c r="F7" s="300"/>
      <c r="G7" s="301"/>
      <c r="H7" s="312" t="s">
        <v>404</v>
      </c>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c r="AW7" s="313"/>
      <c r="AX7" s="313"/>
      <c r="AY7" s="313"/>
      <c r="AZ7" s="313"/>
      <c r="BA7" s="313"/>
      <c r="BB7" s="314"/>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row>
    <row r="8" spans="1:80" ht="30" customHeight="1" x14ac:dyDescent="0.2">
      <c r="D8" s="299" t="s">
        <v>129</v>
      </c>
      <c r="E8" s="300"/>
      <c r="F8" s="300"/>
      <c r="G8" s="301"/>
      <c r="H8" s="312" t="s">
        <v>405</v>
      </c>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c r="AP8" s="313"/>
      <c r="AQ8" s="313"/>
      <c r="AR8" s="313"/>
      <c r="AS8" s="313"/>
      <c r="AT8" s="313"/>
      <c r="AU8" s="313"/>
      <c r="AV8" s="313"/>
      <c r="AW8" s="313"/>
      <c r="AX8" s="313"/>
      <c r="AY8" s="313"/>
      <c r="AZ8" s="313"/>
      <c r="BA8" s="313"/>
      <c r="BB8" s="314"/>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row>
    <row r="9" spans="1:80" ht="24" customHeight="1" x14ac:dyDescent="0.2">
      <c r="D9" s="299" t="s">
        <v>43</v>
      </c>
      <c r="E9" s="300"/>
      <c r="F9" s="300"/>
      <c r="G9" s="301"/>
      <c r="H9" s="312" t="s">
        <v>406</v>
      </c>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3"/>
      <c r="BA9" s="313"/>
      <c r="BB9" s="314"/>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row>
    <row r="10" spans="1:80" s="186" customFormat="1" ht="24" customHeight="1" x14ac:dyDescent="0.2">
      <c r="D10" s="187"/>
      <c r="E10" s="188"/>
      <c r="F10" s="189"/>
      <c r="G10" s="189"/>
      <c r="H10" s="187"/>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1"/>
      <c r="AW10" s="191"/>
      <c r="AX10" s="191"/>
      <c r="AY10" s="191"/>
      <c r="AZ10" s="191"/>
      <c r="BA10" s="191"/>
      <c r="BB10" s="191"/>
    </row>
    <row r="11" spans="1:80" s="186" customFormat="1" ht="24" customHeight="1" x14ac:dyDescent="0.25">
      <c r="A11" s="336" t="s">
        <v>266</v>
      </c>
      <c r="B11" s="336"/>
      <c r="C11" s="337"/>
      <c r="D11" s="339" t="s">
        <v>304</v>
      </c>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c r="AS11" s="340"/>
      <c r="AT11" s="340"/>
      <c r="AU11" s="340"/>
      <c r="AV11" s="341" t="s">
        <v>302</v>
      </c>
      <c r="AW11" s="342"/>
      <c r="AX11" s="342"/>
      <c r="AY11" s="343"/>
      <c r="AZ11" s="344" t="s">
        <v>303</v>
      </c>
      <c r="BA11" s="345"/>
      <c r="BB11" s="346"/>
    </row>
    <row r="12" spans="1:80" ht="15.75" x14ac:dyDescent="0.2">
      <c r="D12" s="304" t="s">
        <v>137</v>
      </c>
      <c r="E12" s="304"/>
      <c r="F12" s="304"/>
      <c r="G12" s="304"/>
      <c r="H12" s="304"/>
      <c r="I12" s="287"/>
      <c r="J12" s="287"/>
      <c r="K12" s="287"/>
      <c r="L12" s="287"/>
      <c r="M12" s="287"/>
      <c r="N12" s="287"/>
      <c r="O12" s="287"/>
      <c r="P12" s="287"/>
      <c r="Q12" s="287" t="s">
        <v>138</v>
      </c>
      <c r="R12" s="287"/>
      <c r="S12" s="287"/>
      <c r="T12" s="287"/>
      <c r="U12" s="287"/>
      <c r="V12" s="287"/>
      <c r="W12" s="287"/>
      <c r="X12" s="287" t="s">
        <v>139</v>
      </c>
      <c r="Y12" s="287"/>
      <c r="Z12" s="287"/>
      <c r="AA12" s="287"/>
      <c r="AB12" s="287"/>
      <c r="AC12" s="287"/>
      <c r="AD12" s="287"/>
      <c r="AE12" s="287"/>
      <c r="AF12" s="287"/>
      <c r="AG12" s="287"/>
      <c r="AH12" s="333" t="s">
        <v>18</v>
      </c>
      <c r="AI12" s="287" t="s">
        <v>140</v>
      </c>
      <c r="AJ12" s="287"/>
      <c r="AK12" s="287"/>
      <c r="AL12" s="287"/>
      <c r="AM12" s="287"/>
      <c r="AN12" s="287"/>
      <c r="AO12" s="287"/>
      <c r="AP12" s="324" t="s">
        <v>34</v>
      </c>
      <c r="AQ12" s="325"/>
      <c r="AR12" s="325"/>
      <c r="AS12" s="325"/>
      <c r="AT12" s="325"/>
      <c r="AU12" s="325"/>
      <c r="AV12" s="325"/>
      <c r="AW12" s="325"/>
      <c r="AX12" s="325"/>
      <c r="AY12" s="325"/>
      <c r="AZ12" s="325"/>
      <c r="BA12" s="325"/>
      <c r="BB12" s="325"/>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row>
    <row r="13" spans="1:80" ht="16.5" customHeight="1" x14ac:dyDescent="0.2">
      <c r="D13" s="338" t="s">
        <v>0</v>
      </c>
      <c r="E13" s="289" t="s">
        <v>311</v>
      </c>
      <c r="F13" s="192"/>
      <c r="G13" s="192"/>
      <c r="H13" s="304" t="s">
        <v>224</v>
      </c>
      <c r="I13" s="289" t="s">
        <v>307</v>
      </c>
      <c r="J13" s="193"/>
      <c r="K13" s="289" t="s">
        <v>308</v>
      </c>
      <c r="L13" s="304" t="s">
        <v>1</v>
      </c>
      <c r="M13" s="315" t="s">
        <v>49</v>
      </c>
      <c r="N13" s="331" t="s">
        <v>392</v>
      </c>
      <c r="O13" s="332"/>
      <c r="P13" s="289" t="s">
        <v>133</v>
      </c>
      <c r="Q13" s="289" t="s">
        <v>33</v>
      </c>
      <c r="R13" s="304" t="s">
        <v>5</v>
      </c>
      <c r="S13" s="289" t="s">
        <v>86</v>
      </c>
      <c r="T13" s="289" t="s">
        <v>91</v>
      </c>
      <c r="U13" s="289" t="s">
        <v>44</v>
      </c>
      <c r="V13" s="304" t="s">
        <v>5</v>
      </c>
      <c r="W13" s="289" t="s">
        <v>47</v>
      </c>
      <c r="X13" s="288" t="s">
        <v>11</v>
      </c>
      <c r="Y13" s="289" t="s">
        <v>159</v>
      </c>
      <c r="Z13" s="289" t="s">
        <v>204</v>
      </c>
      <c r="AA13" s="289" t="s">
        <v>12</v>
      </c>
      <c r="AB13" s="289" t="s">
        <v>8</v>
      </c>
      <c r="AC13" s="289"/>
      <c r="AD13" s="289"/>
      <c r="AE13" s="289"/>
      <c r="AF13" s="289"/>
      <c r="AG13" s="289"/>
      <c r="AH13" s="334"/>
      <c r="AI13" s="288" t="s">
        <v>136</v>
      </c>
      <c r="AJ13" s="288" t="s">
        <v>45</v>
      </c>
      <c r="AK13" s="288" t="s">
        <v>5</v>
      </c>
      <c r="AL13" s="288" t="s">
        <v>46</v>
      </c>
      <c r="AM13" s="288" t="s">
        <v>5</v>
      </c>
      <c r="AN13" s="288" t="s">
        <v>48</v>
      </c>
      <c r="AO13" s="288" t="s">
        <v>29</v>
      </c>
      <c r="AP13" s="289" t="s">
        <v>34</v>
      </c>
      <c r="AQ13" s="289" t="s">
        <v>35</v>
      </c>
      <c r="AR13" s="289" t="s">
        <v>36</v>
      </c>
      <c r="AS13" s="289" t="s">
        <v>37</v>
      </c>
      <c r="AT13" s="289" t="s">
        <v>212</v>
      </c>
      <c r="AU13" s="289" t="s">
        <v>38</v>
      </c>
      <c r="AV13" s="327" t="s">
        <v>37</v>
      </c>
      <c r="AW13" s="317" t="s">
        <v>213</v>
      </c>
      <c r="AX13" s="317" t="s">
        <v>38</v>
      </c>
      <c r="AY13" s="322" t="s">
        <v>243</v>
      </c>
      <c r="AZ13" s="326" t="s">
        <v>37</v>
      </c>
      <c r="BA13" s="326" t="s">
        <v>214</v>
      </c>
      <c r="BB13" s="326" t="s">
        <v>38</v>
      </c>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row>
    <row r="14" spans="1:80" s="197" customFormat="1" ht="94.5" customHeight="1" x14ac:dyDescent="0.25">
      <c r="A14" s="194"/>
      <c r="B14" s="194"/>
      <c r="C14" s="194"/>
      <c r="D14" s="338"/>
      <c r="E14" s="289"/>
      <c r="F14" s="192" t="s">
        <v>2</v>
      </c>
      <c r="G14" s="193" t="s">
        <v>317</v>
      </c>
      <c r="H14" s="304"/>
      <c r="I14" s="289"/>
      <c r="J14" s="193" t="s">
        <v>367</v>
      </c>
      <c r="K14" s="289"/>
      <c r="L14" s="304"/>
      <c r="M14" s="316"/>
      <c r="N14" s="214" t="s">
        <v>240</v>
      </c>
      <c r="O14" s="214" t="s">
        <v>241</v>
      </c>
      <c r="P14" s="289"/>
      <c r="Q14" s="289"/>
      <c r="R14" s="304"/>
      <c r="S14" s="289"/>
      <c r="T14" s="289"/>
      <c r="U14" s="304"/>
      <c r="V14" s="304"/>
      <c r="W14" s="289"/>
      <c r="X14" s="288"/>
      <c r="Y14" s="289"/>
      <c r="Z14" s="289"/>
      <c r="AA14" s="289"/>
      <c r="AB14" s="195" t="s">
        <v>13</v>
      </c>
      <c r="AC14" s="195" t="s">
        <v>17</v>
      </c>
      <c r="AD14" s="195" t="s">
        <v>28</v>
      </c>
      <c r="AE14" s="195" t="s">
        <v>18</v>
      </c>
      <c r="AF14" s="195" t="s">
        <v>21</v>
      </c>
      <c r="AG14" s="195" t="s">
        <v>24</v>
      </c>
      <c r="AH14" s="335"/>
      <c r="AI14" s="288"/>
      <c r="AJ14" s="288"/>
      <c r="AK14" s="288"/>
      <c r="AL14" s="288"/>
      <c r="AM14" s="288"/>
      <c r="AN14" s="288"/>
      <c r="AO14" s="288"/>
      <c r="AP14" s="289"/>
      <c r="AQ14" s="289"/>
      <c r="AR14" s="289"/>
      <c r="AS14" s="289"/>
      <c r="AT14" s="289"/>
      <c r="AU14" s="289"/>
      <c r="AV14" s="328"/>
      <c r="AW14" s="318"/>
      <c r="AX14" s="318"/>
      <c r="AY14" s="323"/>
      <c r="AZ14" s="326"/>
      <c r="BA14" s="326"/>
      <c r="BB14" s="326"/>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row>
    <row r="15" spans="1:80" s="198" customFormat="1" ht="162.75" customHeight="1" x14ac:dyDescent="0.25">
      <c r="D15" s="215">
        <v>1</v>
      </c>
      <c r="E15" s="215" t="s">
        <v>219</v>
      </c>
      <c r="F15" s="215" t="s">
        <v>395</v>
      </c>
      <c r="G15" s="215" t="s">
        <v>313</v>
      </c>
      <c r="H15" s="199" t="s">
        <v>228</v>
      </c>
      <c r="I15" s="221" t="s">
        <v>396</v>
      </c>
      <c r="J15" s="200"/>
      <c r="K15" s="222" t="s">
        <v>397</v>
      </c>
      <c r="L15" s="221" t="s">
        <v>398</v>
      </c>
      <c r="M15" s="217" t="s">
        <v>122</v>
      </c>
      <c r="N15" s="200" t="s">
        <v>233</v>
      </c>
      <c r="O15" s="200" t="s">
        <v>238</v>
      </c>
      <c r="P15" s="200">
        <v>300</v>
      </c>
      <c r="Q15" s="201" t="str">
        <f>IF(P15&lt;=0,"",IF(P15&lt;=2,"Muy Baja",IF(P15&lt;=24,"Baja",IF(P15&lt;=500,"Media",IF(P15&lt;=5000,"Alta","Muy Alta")))))</f>
        <v>Media</v>
      </c>
      <c r="R15" s="202">
        <f>IF(Q15="","",IF(Q15="Muy Baja",0.2,IF(Q15="Baja",0.4,IF(Q15="Media",0.6,IF(Q15="Alta",0.8,IF(Q15="Muy Alta",1,))))))</f>
        <v>0.6</v>
      </c>
      <c r="S15" s="203" t="s">
        <v>151</v>
      </c>
      <c r="T15" s="202" t="str">
        <f ca="1">IF(NOT(ISERROR(MATCH(S15,'[2]Tabla Impacto'!$B$221:$B$223,0))),'[2]Tabla Impacto'!$F$223&amp;"Por favor no seleccionar los criterios de impacto(Afectación Económica o presupuestal y Pérdida Reputacional)",S15)</f>
        <v xml:space="preserve">     El riesgo afecta la imagen de la entidad con algunos usuarios de relevancia frente al logro de los objetivos</v>
      </c>
      <c r="U15" s="201" t="str">
        <f ca="1">IF(OR(T15='[3]Tabla Impacto'!$C$11,T15='[3]Tabla Impacto'!$D$11),"Leve",IF(OR(T15='[3]Tabla Impacto'!$C$12,T15='[3]Tabla Impacto'!$D$12),"Menor",IF(OR(T15='[3]Tabla Impacto'!$C$13,T15='[3]Tabla Impacto'!$D$13),"Moderado",IF(OR(T15='[3]Tabla Impacto'!$C$14,T15='[3]Tabla Impacto'!$D$14),"Mayor",IF(OR(T15='[3]Tabla Impacto'!$C$15,T15='[3]Tabla Impacto'!$D$15),"Catastrófico","")))))</f>
        <v>Moderado</v>
      </c>
      <c r="V15" s="202">
        <f ca="1">IF(U15="","",IF(U15="Leve",0.2,IF(U15="Menor",0.4,IF(U15="Moderado",0.6,IF(U15="Mayor",0.8,IF(U15="Catastrófico",1,))))))</f>
        <v>0.6</v>
      </c>
      <c r="W15" s="201" t="str">
        <f ca="1">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Moderado</v>
      </c>
      <c r="X15" s="223">
        <v>1</v>
      </c>
      <c r="Y15" s="224" t="s">
        <v>399</v>
      </c>
      <c r="Z15" s="224" t="s">
        <v>400</v>
      </c>
      <c r="AA15" s="204" t="str">
        <f>IF(OR(AB15="Preventivo",AB15="Detectivo"),"Probabilidad",IF(AB15="Correctivo","Impacto",""))</f>
        <v>Probabilidad</v>
      </c>
      <c r="AB15" s="205" t="s">
        <v>14</v>
      </c>
      <c r="AC15" s="205" t="s">
        <v>9</v>
      </c>
      <c r="AD15" s="202" t="str">
        <f>IF(AND(AB15="Preventivo",AC15="Automático"),"50%",IF(AND(AB15="Preventivo",AC15="Manual"),"40%",IF(AND(AB15="Detectivo",AC15="Automático"),"40%",IF(AND(AB15="Detectivo",AC15="Manual"),"30%",IF(AND(AB15="Correctivo",AC15="Automático"),"35%",IF(AND(AB15="Correctivo",AC15="Manual"),"25%",""))))))</f>
        <v>40%</v>
      </c>
      <c r="AE15" s="205" t="s">
        <v>20</v>
      </c>
      <c r="AF15" s="205" t="s">
        <v>22</v>
      </c>
      <c r="AG15" s="205" t="s">
        <v>118</v>
      </c>
      <c r="AH15" s="200" t="s">
        <v>401</v>
      </c>
      <c r="AI15" s="225">
        <f t="shared" ref="AI15:AI17" si="0">IFERROR(IF(AA15="Probabilidad",(R15-(+R15*AD15)),IF(AA15="Impacto",R15,"")),"")</f>
        <v>0.36</v>
      </c>
      <c r="AJ15" s="206" t="str">
        <f>IFERROR(IF(AI15="","",IF(AI15&lt;=0.2,"Muy Baja",IF(AI15&lt;=0.4,"Baja",IF(AI15&lt;=0.6,"Media",IF(AI15&lt;=0.8,"Alta","Muy Alta"))))),"")</f>
        <v>Baja</v>
      </c>
      <c r="AK15" s="202">
        <f t="shared" ref="AK15" si="1">+AI15</f>
        <v>0.36</v>
      </c>
      <c r="AL15" s="206" t="str">
        <f ca="1">IFERROR(IF(AM15="","",IF(AM15&lt;=0.2,"Leve",IF(AM15&lt;=0.4,"Menor",IF(AM15&lt;=0.6,"Moderado",IF(AM15&lt;=0.8,"Mayor","Catastrófico"))))),"")</f>
        <v>Moderado</v>
      </c>
      <c r="AM15" s="202">
        <f ca="1">IFERROR(IF(AA15="Impacto",(V15-(+V15*AD15)),IF(AA15="Probabilidad",V15,"")),"")</f>
        <v>0.6</v>
      </c>
      <c r="AN15" s="206" t="str">
        <f t="shared" ref="AN15" ca="1" si="2">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Moderado</v>
      </c>
      <c r="AO15" s="205" t="s">
        <v>32</v>
      </c>
      <c r="AP15" s="222" t="s">
        <v>402</v>
      </c>
      <c r="AQ15" s="226" t="s">
        <v>403</v>
      </c>
      <c r="AR15" s="207">
        <v>45687</v>
      </c>
      <c r="AS15" s="207"/>
      <c r="AT15" s="200"/>
      <c r="AU15" s="200"/>
      <c r="AV15" s="207"/>
      <c r="AW15" s="200"/>
      <c r="AX15" s="200"/>
      <c r="AY15" s="200"/>
      <c r="AZ15" s="207"/>
      <c r="BA15" s="200"/>
      <c r="BB15" s="200"/>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row>
    <row r="16" spans="1:80" s="198" customFormat="1" ht="162.75" customHeight="1" x14ac:dyDescent="0.25">
      <c r="D16" s="215">
        <v>2</v>
      </c>
      <c r="E16" s="215" t="s">
        <v>216</v>
      </c>
      <c r="F16" s="215" t="s">
        <v>395</v>
      </c>
      <c r="G16" s="215" t="s">
        <v>313</v>
      </c>
      <c r="H16" s="199" t="s">
        <v>228</v>
      </c>
      <c r="I16" s="227" t="s">
        <v>407</v>
      </c>
      <c r="J16" s="200"/>
      <c r="K16" s="227" t="s">
        <v>408</v>
      </c>
      <c r="L16" s="227" t="s">
        <v>409</v>
      </c>
      <c r="M16" s="217" t="s">
        <v>124</v>
      </c>
      <c r="N16" s="200" t="s">
        <v>233</v>
      </c>
      <c r="O16" s="200" t="s">
        <v>238</v>
      </c>
      <c r="P16" s="200">
        <v>24</v>
      </c>
      <c r="Q16" s="201" t="str">
        <f t="shared" ref="Q16:Q22" si="3">IF(P16&lt;=0,"",IF(P16&lt;=2,"Muy Baja",IF(P16&lt;=24,"Baja",IF(P16&lt;=500,"Media",IF(P16&lt;=5000,"Alta","Muy Alta")))))</f>
        <v>Baja</v>
      </c>
      <c r="R16" s="202">
        <f t="shared" ref="R16:R22" si="4">IF(Q16="","",IF(Q16="Muy Baja",0.2,IF(Q16="Baja",0.4,IF(Q16="Media",0.6,IF(Q16="Alta",0.8,IF(Q16="Muy Alta",1,))))))</f>
        <v>0.4</v>
      </c>
      <c r="S16" s="203" t="s">
        <v>151</v>
      </c>
      <c r="T16" s="202" t="str">
        <f ca="1">IF(NOT(ISERROR(MATCH(S16,'[2]Tabla Impacto'!$B$221:$B$223,0))),'[2]Tabla Impacto'!$F$223&amp;"Por favor no seleccionar los criterios de impacto(Afectación Económica o presupuestal y Pérdida Reputacional)",S16)</f>
        <v xml:space="preserve">     El riesgo afecta la imagen de la entidad con algunos usuarios de relevancia frente al logro de los objetivos</v>
      </c>
      <c r="U16" s="201" t="str">
        <f ca="1">IF(OR(T16='[3]Tabla Impacto'!$C$11,T16='[3]Tabla Impacto'!$D$11),"Leve",IF(OR(T16='[3]Tabla Impacto'!$C$12,T16='[3]Tabla Impacto'!$D$12),"Menor",IF(OR(T16='[3]Tabla Impacto'!$C$13,T16='[3]Tabla Impacto'!$D$13),"Moderado",IF(OR(T16='[3]Tabla Impacto'!$C$14,T16='[3]Tabla Impacto'!$D$14),"Mayor",IF(OR(T16='[3]Tabla Impacto'!$C$15,T16='[3]Tabla Impacto'!$D$15),"Catastrófico","")))))</f>
        <v>Moderado</v>
      </c>
      <c r="V16" s="202">
        <f t="shared" ref="V16:V22" ca="1" si="5">IF(U16="","",IF(U16="Leve",0.2,IF(U16="Menor",0.4,IF(U16="Moderado",0.6,IF(U16="Mayor",0.8,IF(U16="Catastrófico",1,))))))</f>
        <v>0.6</v>
      </c>
      <c r="W16" s="201" t="str">
        <f t="shared" ref="W16:W22" ca="1" si="6">IF(OR(AND(Q16="Muy Baja",U16="Leve"),AND(Q16="Muy Baja",U16="Menor"),AND(Q16="Baja",U16="Leve")),"Bajo",IF(OR(AND(Q16="Muy baja",U16="Moderado"),AND(Q16="Baja",U16="Menor"),AND(Q16="Baja",U16="Moderado"),AND(Q16="Media",U16="Leve"),AND(Q16="Media",U16="Menor"),AND(Q16="Media",U16="Moderado"),AND(Q16="Alta",U16="Leve"),AND(Q16="Alta",U16="Menor")),"Moderado",IF(OR(AND(Q16="Muy Baja",U16="Mayor"),AND(Q16="Baja",U16="Mayor"),AND(Q16="Media",U16="Mayor"),AND(Q16="Alta",U16="Moderado"),AND(Q16="Alta",U16="Mayor"),AND(Q16="Muy Alta",U16="Leve"),AND(Q16="Muy Alta",U16="Menor"),AND(Q16="Muy Alta",U16="Moderado"),AND(Q16="Muy Alta",U16="Mayor")),"Alto",IF(OR(AND(Q16="Muy Baja",U16="Catastrófico"),AND(Q16="Baja",U16="Catastrófico"),AND(Q16="Media",U16="Catastrófico"),AND(Q16="Alta",U16="Catastrófico"),AND(Q16="Muy Alta",U16="Catastrófico")),"Extremo",""))))</f>
        <v>Moderado</v>
      </c>
      <c r="X16" s="223">
        <v>1</v>
      </c>
      <c r="Y16" s="224" t="s">
        <v>410</v>
      </c>
      <c r="Z16" s="224" t="s">
        <v>411</v>
      </c>
      <c r="AA16" s="204" t="str">
        <f t="shared" ref="AA16:AA22" si="7">IF(OR(AB16="Preventivo",AB16="Detectivo"),"Probabilidad",IF(AB16="Correctivo","Impacto",""))</f>
        <v>Probabilidad</v>
      </c>
      <c r="AB16" s="205" t="s">
        <v>14</v>
      </c>
      <c r="AC16" s="205" t="s">
        <v>9</v>
      </c>
      <c r="AD16" s="202" t="str">
        <f t="shared" ref="AD16:AD22" si="8">IF(AND(AB16="Preventivo",AC16="Automático"),"50%",IF(AND(AB16="Preventivo",AC16="Manual"),"40%",IF(AND(AB16="Detectivo",AC16="Automático"),"40%",IF(AND(AB16="Detectivo",AC16="Manual"),"30%",IF(AND(AB16="Correctivo",AC16="Automático"),"35%",IF(AND(AB16="Correctivo",AC16="Manual"),"25%",""))))))</f>
        <v>40%</v>
      </c>
      <c r="AE16" s="205" t="s">
        <v>19</v>
      </c>
      <c r="AF16" s="205" t="s">
        <v>22</v>
      </c>
      <c r="AG16" s="205" t="s">
        <v>118</v>
      </c>
      <c r="AH16" s="200" t="s">
        <v>401</v>
      </c>
      <c r="AI16" s="225">
        <f t="shared" si="0"/>
        <v>0.24</v>
      </c>
      <c r="AJ16" s="206" t="str">
        <f t="shared" ref="AJ16:AJ22" si="9">IFERROR(IF(AI16="","",IF(AI16&lt;=0.2,"Muy Baja",IF(AI16&lt;=0.4,"Baja",IF(AI16&lt;=0.6,"Media",IF(AI16&lt;=0.8,"Alta","Muy Alta"))))),"")</f>
        <v>Baja</v>
      </c>
      <c r="AK16" s="202">
        <f t="shared" ref="AK16:AK22" si="10">+AI16</f>
        <v>0.24</v>
      </c>
      <c r="AL16" s="206" t="str">
        <f t="shared" ref="AL16:AL22" ca="1" si="11">IFERROR(IF(AM16="","",IF(AM16&lt;=0.2,"Leve",IF(AM16&lt;=0.4,"Menor",IF(AM16&lt;=0.6,"Moderado",IF(AM16&lt;=0.8,"Mayor","Catastrófico"))))),"")</f>
        <v>Moderado</v>
      </c>
      <c r="AM16" s="202">
        <f t="shared" ref="AM16:AM22" ca="1" si="12">IFERROR(IF(AA16="Impacto",(V16-(+V16*AD16)),IF(AA16="Probabilidad",V16,"")),"")</f>
        <v>0.6</v>
      </c>
      <c r="AN16" s="206" t="str">
        <f t="shared" ref="AN16:AN22" ca="1" si="13">IFERROR(IF(OR(AND(AJ16="Muy Baja",AL16="Leve"),AND(AJ16="Muy Baja",AL16="Menor"),AND(AJ16="Baja",AL16="Leve")),"Bajo",IF(OR(AND(AJ16="Muy baja",AL16="Moderado"),AND(AJ16="Baja",AL16="Menor"),AND(AJ16="Baja",AL16="Moderado"),AND(AJ16="Media",AL16="Leve"),AND(AJ16="Media",AL16="Menor"),AND(AJ16="Media",AL16="Moderado"),AND(AJ16="Alta",AL16="Leve"),AND(AJ16="Alta",AL16="Menor")),"Moderado",IF(OR(AND(AJ16="Muy Baja",AL16="Mayor"),AND(AJ16="Baja",AL16="Mayor"),AND(AJ16="Media",AL16="Mayor"),AND(AJ16="Alta",AL16="Moderado"),AND(AJ16="Alta",AL16="Mayor"),AND(AJ16="Muy Alta",AL16="Leve"),AND(AJ16="Muy Alta",AL16="Menor"),AND(AJ16="Muy Alta",AL16="Moderado"),AND(AJ16="Muy Alta",AL16="Mayor")),"Alto",IF(OR(AND(AJ16="Muy Baja",AL16="Catastrófico"),AND(AJ16="Baja",AL16="Catastrófico"),AND(AJ16="Media",AL16="Catastrófico"),AND(AJ16="Alta",AL16="Catastrófico"),AND(AJ16="Muy Alta",AL16="Catastrófico")),"Extremo","")))),"")</f>
        <v>Moderado</v>
      </c>
      <c r="AO16" s="205" t="s">
        <v>32</v>
      </c>
      <c r="AP16" s="228" t="s">
        <v>412</v>
      </c>
      <c r="AQ16" s="226" t="s">
        <v>403</v>
      </c>
      <c r="AR16" s="207">
        <v>45687</v>
      </c>
      <c r="AS16" s="207"/>
      <c r="AT16" s="200"/>
      <c r="AU16" s="200"/>
      <c r="AV16" s="207"/>
      <c r="AW16" s="200"/>
      <c r="AX16" s="200"/>
      <c r="AY16" s="200"/>
      <c r="AZ16" s="207"/>
      <c r="BA16" s="200"/>
      <c r="BB16" s="200"/>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row>
    <row r="17" spans="4:80" s="198" customFormat="1" ht="172.9" customHeight="1" x14ac:dyDescent="0.25">
      <c r="D17" s="297">
        <v>3</v>
      </c>
      <c r="E17" s="297" t="s">
        <v>220</v>
      </c>
      <c r="F17" s="297" t="s">
        <v>395</v>
      </c>
      <c r="G17" s="297" t="s">
        <v>314</v>
      </c>
      <c r="H17" s="297" t="s">
        <v>226</v>
      </c>
      <c r="I17" s="296" t="s">
        <v>413</v>
      </c>
      <c r="J17" s="200"/>
      <c r="K17" s="296" t="s">
        <v>414</v>
      </c>
      <c r="L17" s="296" t="s">
        <v>415</v>
      </c>
      <c r="M17" s="285" t="s">
        <v>122</v>
      </c>
      <c r="N17" s="285" t="s">
        <v>233</v>
      </c>
      <c r="O17" s="285" t="s">
        <v>238</v>
      </c>
      <c r="P17" s="285">
        <v>24</v>
      </c>
      <c r="Q17" s="277" t="str">
        <f t="shared" si="3"/>
        <v>Baja</v>
      </c>
      <c r="R17" s="281">
        <f t="shared" si="4"/>
        <v>0.4</v>
      </c>
      <c r="S17" s="283" t="s">
        <v>151</v>
      </c>
      <c r="T17" s="281" t="str">
        <f ca="1">IF(NOT(ISERROR(MATCH(S17,'[2]Tabla Impacto'!$B$221:$B$223,0))),'[2]Tabla Impacto'!$F$223&amp;"Por favor no seleccionar los criterios de impacto(Afectación Económica o presupuestal y Pérdida Reputacional)",S17)</f>
        <v xml:space="preserve">     El riesgo afecta la imagen de la entidad con algunos usuarios de relevancia frente al logro de los objetivos</v>
      </c>
      <c r="U17" s="277" t="str">
        <f ca="1">IF(OR(T17='[3]Tabla Impacto'!$C$11,T17='[3]Tabla Impacto'!$D$11),"Leve",IF(OR(T17='[3]Tabla Impacto'!$C$12,T17='[3]Tabla Impacto'!$D$12),"Menor",IF(OR(T17='[3]Tabla Impacto'!$C$13,T17='[3]Tabla Impacto'!$D$13),"Moderado",IF(OR(T17='[3]Tabla Impacto'!$C$14,T17='[3]Tabla Impacto'!$D$14),"Mayor",IF(OR(T17='[3]Tabla Impacto'!$C$15,T17='[3]Tabla Impacto'!$D$15),"Catastrófico","")))))</f>
        <v>Moderado</v>
      </c>
      <c r="V17" s="281">
        <f t="shared" ca="1" si="5"/>
        <v>0.6</v>
      </c>
      <c r="W17" s="277" t="str">
        <f t="shared" ca="1" si="6"/>
        <v>Moderado</v>
      </c>
      <c r="X17" s="229">
        <v>1</v>
      </c>
      <c r="Y17" s="224" t="s">
        <v>416</v>
      </c>
      <c r="Z17" s="224" t="s">
        <v>417</v>
      </c>
      <c r="AA17" s="204" t="str">
        <f t="shared" si="7"/>
        <v>Probabilidad</v>
      </c>
      <c r="AB17" s="205" t="s">
        <v>14</v>
      </c>
      <c r="AC17" s="205" t="s">
        <v>9</v>
      </c>
      <c r="AD17" s="202" t="str">
        <f t="shared" si="8"/>
        <v>40%</v>
      </c>
      <c r="AE17" s="205" t="s">
        <v>19</v>
      </c>
      <c r="AF17" s="205" t="s">
        <v>22</v>
      </c>
      <c r="AG17" s="205" t="s">
        <v>118</v>
      </c>
      <c r="AH17" s="200" t="s">
        <v>401</v>
      </c>
      <c r="AI17" s="225">
        <f t="shared" si="0"/>
        <v>0.24</v>
      </c>
      <c r="AJ17" s="206" t="str">
        <f t="shared" si="9"/>
        <v>Baja</v>
      </c>
      <c r="AK17" s="202">
        <f>+AI17</f>
        <v>0.24</v>
      </c>
      <c r="AL17" s="206" t="str">
        <f t="shared" ca="1" si="11"/>
        <v>Moderado</v>
      </c>
      <c r="AM17" s="202">
        <f t="shared" ca="1" si="12"/>
        <v>0.6</v>
      </c>
      <c r="AN17" s="206" t="str">
        <f t="shared" ca="1" si="13"/>
        <v>Moderado</v>
      </c>
      <c r="AO17" s="205" t="s">
        <v>134</v>
      </c>
      <c r="AP17" s="227" t="s">
        <v>420</v>
      </c>
      <c r="AQ17" s="228" t="s">
        <v>421</v>
      </c>
      <c r="AR17" s="279">
        <v>45687</v>
      </c>
      <c r="AS17" s="207"/>
      <c r="AT17" s="200"/>
      <c r="AU17" s="200"/>
      <c r="AV17" s="207"/>
      <c r="AW17" s="200"/>
      <c r="AX17" s="200"/>
      <c r="AY17" s="200"/>
      <c r="AZ17" s="207"/>
      <c r="BA17" s="200"/>
      <c r="BB17" s="200"/>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row>
    <row r="18" spans="4:80" s="198" customFormat="1" ht="172.9" customHeight="1" x14ac:dyDescent="0.25">
      <c r="D18" s="298"/>
      <c r="E18" s="298"/>
      <c r="F18" s="298"/>
      <c r="G18" s="298"/>
      <c r="H18" s="298"/>
      <c r="I18" s="296"/>
      <c r="J18" s="200"/>
      <c r="K18" s="296"/>
      <c r="L18" s="296"/>
      <c r="M18" s="286"/>
      <c r="N18" s="286"/>
      <c r="O18" s="286"/>
      <c r="P18" s="286"/>
      <c r="Q18" s="278"/>
      <c r="R18" s="282"/>
      <c r="S18" s="284"/>
      <c r="T18" s="282"/>
      <c r="U18" s="278"/>
      <c r="V18" s="282"/>
      <c r="W18" s="278"/>
      <c r="X18" s="229">
        <v>2</v>
      </c>
      <c r="Y18" s="224" t="s">
        <v>418</v>
      </c>
      <c r="Z18" s="224" t="s">
        <v>419</v>
      </c>
      <c r="AA18" s="204" t="str">
        <f t="shared" si="7"/>
        <v>Probabilidad</v>
      </c>
      <c r="AB18" s="205" t="s">
        <v>14</v>
      </c>
      <c r="AC18" s="205" t="s">
        <v>9</v>
      </c>
      <c r="AD18" s="202" t="str">
        <f t="shared" si="8"/>
        <v>40%</v>
      </c>
      <c r="AE18" s="205" t="s">
        <v>19</v>
      </c>
      <c r="AF18" s="205" t="s">
        <v>22</v>
      </c>
      <c r="AG18" s="205" t="s">
        <v>118</v>
      </c>
      <c r="AH18" s="200" t="s">
        <v>401</v>
      </c>
      <c r="AI18" s="220">
        <f>IFERROR(IF(AND(AA17="Probabilidad",AA18="Probabilidad"),(AK17-(+AK17*AD18)),IF(AA18="Probabilidad",(S17-(+S17*AA18)),IF(AA18="Impacto",AK17,""))),"")</f>
        <v>0.14399999999999999</v>
      </c>
      <c r="AJ18" s="206" t="str">
        <f t="shared" si="9"/>
        <v>Muy Baja</v>
      </c>
      <c r="AK18" s="202">
        <f t="shared" si="10"/>
        <v>0.14399999999999999</v>
      </c>
      <c r="AL18" s="206" t="str">
        <f t="shared" si="11"/>
        <v>Leve</v>
      </c>
      <c r="AM18" s="202">
        <f t="shared" si="12"/>
        <v>0</v>
      </c>
      <c r="AN18" s="206" t="str">
        <f t="shared" si="13"/>
        <v>Bajo</v>
      </c>
      <c r="AO18" s="205" t="s">
        <v>134</v>
      </c>
      <c r="AP18" s="227" t="s">
        <v>420</v>
      </c>
      <c r="AQ18" s="228" t="s">
        <v>422</v>
      </c>
      <c r="AR18" s="280"/>
      <c r="AS18" s="207"/>
      <c r="AT18" s="200"/>
      <c r="AU18" s="200"/>
      <c r="AV18" s="207"/>
      <c r="AW18" s="200"/>
      <c r="AX18" s="200"/>
      <c r="AY18" s="200"/>
      <c r="AZ18" s="207"/>
      <c r="BA18" s="200"/>
      <c r="BB18" s="200"/>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row>
    <row r="19" spans="4:80" s="198" customFormat="1" ht="172.9" hidden="1" customHeight="1" x14ac:dyDescent="0.25">
      <c r="D19" s="199">
        <v>5</v>
      </c>
      <c r="E19" s="215"/>
      <c r="F19" s="215"/>
      <c r="G19" s="215"/>
      <c r="H19" s="199"/>
      <c r="I19" s="200"/>
      <c r="J19" s="200"/>
      <c r="K19" s="200"/>
      <c r="L19" s="216"/>
      <c r="M19" s="217"/>
      <c r="N19" s="200"/>
      <c r="O19" s="200"/>
      <c r="P19" s="200"/>
      <c r="Q19" s="201" t="str">
        <f t="shared" si="3"/>
        <v/>
      </c>
      <c r="R19" s="202" t="str">
        <f t="shared" si="4"/>
        <v/>
      </c>
      <c r="S19" s="203"/>
      <c r="T19" s="202">
        <f ca="1">IF(NOT(ISERROR(MATCH(S19,'[2]Tabla Impacto'!$B$221:$B$223,0))),'[2]Tabla Impacto'!$F$223&amp;"Por favor no seleccionar los criterios de impacto(Afectación Económica o presupuestal y Pérdida Reputacional)",S19)</f>
        <v>0</v>
      </c>
      <c r="U19" s="201" t="str">
        <f ca="1">IF(OR(T19='[3]Tabla Impacto'!$C$11,T19='[3]Tabla Impacto'!$D$11),"Leve",IF(OR(T19='[3]Tabla Impacto'!$C$12,T19='[3]Tabla Impacto'!$D$12),"Menor",IF(OR(T19='[3]Tabla Impacto'!$C$13,T19='[3]Tabla Impacto'!$D$13),"Moderado",IF(OR(T19='[3]Tabla Impacto'!$C$14,T19='[3]Tabla Impacto'!$D$14),"Mayor",IF(OR(T19='[3]Tabla Impacto'!$C$15,T19='[3]Tabla Impacto'!$D$15),"Catastrófico","")))))</f>
        <v/>
      </c>
      <c r="V19" s="202" t="str">
        <f t="shared" ca="1" si="5"/>
        <v/>
      </c>
      <c r="W19" s="201" t="str">
        <f t="shared" ca="1" si="6"/>
        <v/>
      </c>
      <c r="X19" s="199"/>
      <c r="Y19" s="163"/>
      <c r="Z19" s="163"/>
      <c r="AA19" s="204" t="str">
        <f t="shared" si="7"/>
        <v/>
      </c>
      <c r="AB19" s="205"/>
      <c r="AC19" s="205"/>
      <c r="AD19" s="202" t="str">
        <f t="shared" si="8"/>
        <v/>
      </c>
      <c r="AE19" s="205"/>
      <c r="AF19" s="205"/>
      <c r="AG19" s="205"/>
      <c r="AH19" s="218"/>
      <c r="AI19" s="219" t="str">
        <f t="shared" ref="AI19" si="14">IFERROR(IF(AB19="Probabilidad",(S19-(+S19*AE19)),IF(AB19="Impacto",S19,"")),"")</f>
        <v/>
      </c>
      <c r="AJ19" s="206" t="str">
        <f t="shared" si="9"/>
        <v/>
      </c>
      <c r="AK19" s="202" t="str">
        <f t="shared" si="10"/>
        <v/>
      </c>
      <c r="AL19" s="206" t="str">
        <f t="shared" si="11"/>
        <v/>
      </c>
      <c r="AM19" s="202" t="str">
        <f t="shared" si="12"/>
        <v/>
      </c>
      <c r="AN19" s="206" t="str">
        <f t="shared" si="13"/>
        <v/>
      </c>
      <c r="AO19" s="205"/>
      <c r="AP19" s="200"/>
      <c r="AQ19" s="200"/>
      <c r="AR19" s="207"/>
      <c r="AS19" s="207"/>
      <c r="AT19" s="200"/>
      <c r="AU19" s="200"/>
      <c r="AV19" s="207"/>
      <c r="AW19" s="200"/>
      <c r="AX19" s="200"/>
      <c r="AY19" s="200"/>
      <c r="AZ19" s="207"/>
      <c r="BA19" s="200"/>
      <c r="BB19" s="200"/>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row>
    <row r="20" spans="4:80" s="198" customFormat="1" ht="172.9" hidden="1" customHeight="1" x14ac:dyDescent="0.25">
      <c r="D20" s="199">
        <v>6</v>
      </c>
      <c r="E20" s="215"/>
      <c r="F20" s="215"/>
      <c r="G20" s="215"/>
      <c r="H20" s="199"/>
      <c r="I20" s="200"/>
      <c r="J20" s="200"/>
      <c r="K20" s="200"/>
      <c r="L20" s="216"/>
      <c r="M20" s="217"/>
      <c r="N20" s="200"/>
      <c r="O20" s="200"/>
      <c r="P20" s="200"/>
      <c r="Q20" s="201" t="str">
        <f t="shared" si="3"/>
        <v/>
      </c>
      <c r="R20" s="202" t="str">
        <f t="shared" si="4"/>
        <v/>
      </c>
      <c r="S20" s="203"/>
      <c r="T20" s="202">
        <f ca="1">IF(NOT(ISERROR(MATCH(S20,'[2]Tabla Impacto'!$B$221:$B$223,0))),'[2]Tabla Impacto'!$F$223&amp;"Por favor no seleccionar los criterios de impacto(Afectación Económica o presupuestal y Pérdida Reputacional)",S20)</f>
        <v>0</v>
      </c>
      <c r="U20" s="201" t="str">
        <f ca="1">IF(OR(T20='[3]Tabla Impacto'!$C$11,T20='[3]Tabla Impacto'!$D$11),"Leve",IF(OR(T20='[3]Tabla Impacto'!$C$12,T20='[3]Tabla Impacto'!$D$12),"Menor",IF(OR(T20='[3]Tabla Impacto'!$C$13,T20='[3]Tabla Impacto'!$D$13),"Moderado",IF(OR(T20='[3]Tabla Impacto'!$C$14,T20='[3]Tabla Impacto'!$D$14),"Mayor",IF(OR(T20='[3]Tabla Impacto'!$C$15,T20='[3]Tabla Impacto'!$D$15),"Catastrófico","")))))</f>
        <v/>
      </c>
      <c r="V20" s="202" t="str">
        <f t="shared" ca="1" si="5"/>
        <v/>
      </c>
      <c r="W20" s="201" t="str">
        <f t="shared" ca="1" si="6"/>
        <v/>
      </c>
      <c r="X20" s="199"/>
      <c r="Y20" s="163"/>
      <c r="Z20" s="163"/>
      <c r="AA20" s="204" t="str">
        <f t="shared" si="7"/>
        <v/>
      </c>
      <c r="AB20" s="205"/>
      <c r="AC20" s="205"/>
      <c r="AD20" s="202" t="str">
        <f t="shared" si="8"/>
        <v/>
      </c>
      <c r="AE20" s="205"/>
      <c r="AF20" s="205"/>
      <c r="AG20" s="205"/>
      <c r="AH20" s="218"/>
      <c r="AI20" s="220" t="str">
        <f>IFERROR(IF(AND(AB19="Probabilidad",AB20="Probabilidad"),(AK19-(+AK19*AE20)),IF(AB20="Probabilidad",(T19-(+T19*AE20)),IF(AB20="Impacto",AK19,""))),"")</f>
        <v/>
      </c>
      <c r="AJ20" s="206" t="str">
        <f t="shared" si="9"/>
        <v/>
      </c>
      <c r="AK20" s="202" t="str">
        <f t="shared" si="10"/>
        <v/>
      </c>
      <c r="AL20" s="206" t="str">
        <f t="shared" si="11"/>
        <v/>
      </c>
      <c r="AM20" s="202" t="str">
        <f t="shared" si="12"/>
        <v/>
      </c>
      <c r="AN20" s="206" t="str">
        <f t="shared" si="13"/>
        <v/>
      </c>
      <c r="AO20" s="205"/>
      <c r="AP20" s="200"/>
      <c r="AQ20" s="200"/>
      <c r="AR20" s="207"/>
      <c r="AS20" s="207"/>
      <c r="AT20" s="200"/>
      <c r="AU20" s="200"/>
      <c r="AV20" s="207"/>
      <c r="AW20" s="200"/>
      <c r="AX20" s="200"/>
      <c r="AY20" s="200"/>
      <c r="AZ20" s="207"/>
      <c r="BA20" s="200"/>
      <c r="BB20" s="200"/>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row>
    <row r="21" spans="4:80" s="198" customFormat="1" ht="172.9" hidden="1" customHeight="1" x14ac:dyDescent="0.25">
      <c r="D21" s="199">
        <v>7</v>
      </c>
      <c r="E21" s="215"/>
      <c r="F21" s="215"/>
      <c r="G21" s="215"/>
      <c r="H21" s="199"/>
      <c r="I21" s="200"/>
      <c r="J21" s="200"/>
      <c r="K21" s="200"/>
      <c r="L21" s="216"/>
      <c r="M21" s="217"/>
      <c r="N21" s="200"/>
      <c r="O21" s="200"/>
      <c r="P21" s="200"/>
      <c r="Q21" s="201" t="str">
        <f t="shared" si="3"/>
        <v/>
      </c>
      <c r="R21" s="202" t="str">
        <f t="shared" si="4"/>
        <v/>
      </c>
      <c r="S21" s="203"/>
      <c r="T21" s="202">
        <f ca="1">IF(NOT(ISERROR(MATCH(S21,'[2]Tabla Impacto'!$B$221:$B$223,0))),'[2]Tabla Impacto'!$F$223&amp;"Por favor no seleccionar los criterios de impacto(Afectación Económica o presupuestal y Pérdida Reputacional)",S21)</f>
        <v>0</v>
      </c>
      <c r="U21" s="201" t="str">
        <f ca="1">IF(OR(T21='[3]Tabla Impacto'!$C$11,T21='[3]Tabla Impacto'!$D$11),"Leve",IF(OR(T21='[3]Tabla Impacto'!$C$12,T21='[3]Tabla Impacto'!$D$12),"Menor",IF(OR(T21='[3]Tabla Impacto'!$C$13,T21='[3]Tabla Impacto'!$D$13),"Moderado",IF(OR(T21='[3]Tabla Impacto'!$C$14,T21='[3]Tabla Impacto'!$D$14),"Mayor",IF(OR(T21='[3]Tabla Impacto'!$C$15,T21='[3]Tabla Impacto'!$D$15),"Catastrófico","")))))</f>
        <v/>
      </c>
      <c r="V21" s="202" t="str">
        <f t="shared" ca="1" si="5"/>
        <v/>
      </c>
      <c r="W21" s="201" t="str">
        <f t="shared" ca="1" si="6"/>
        <v/>
      </c>
      <c r="X21" s="199"/>
      <c r="Y21" s="163"/>
      <c r="Z21" s="163"/>
      <c r="AA21" s="204" t="str">
        <f t="shared" si="7"/>
        <v/>
      </c>
      <c r="AB21" s="205"/>
      <c r="AC21" s="205"/>
      <c r="AD21" s="202" t="str">
        <f t="shared" si="8"/>
        <v/>
      </c>
      <c r="AE21" s="205"/>
      <c r="AF21" s="205"/>
      <c r="AG21" s="205"/>
      <c r="AH21" s="218"/>
      <c r="AI21" s="219" t="str">
        <f t="shared" ref="AI21" si="15">IFERROR(IF(AB21="Probabilidad",(S21-(+S21*AE21)),IF(AB21="Impacto",S21,"")),"")</f>
        <v/>
      </c>
      <c r="AJ21" s="206" t="str">
        <f t="shared" si="9"/>
        <v/>
      </c>
      <c r="AK21" s="202" t="str">
        <f t="shared" si="10"/>
        <v/>
      </c>
      <c r="AL21" s="206" t="str">
        <f t="shared" si="11"/>
        <v/>
      </c>
      <c r="AM21" s="202" t="str">
        <f t="shared" si="12"/>
        <v/>
      </c>
      <c r="AN21" s="206" t="str">
        <f t="shared" si="13"/>
        <v/>
      </c>
      <c r="AO21" s="205"/>
      <c r="AP21" s="200"/>
      <c r="AQ21" s="200"/>
      <c r="AR21" s="207"/>
      <c r="AS21" s="207"/>
      <c r="AT21" s="200"/>
      <c r="AU21" s="200"/>
      <c r="AV21" s="207"/>
      <c r="AW21" s="200"/>
      <c r="AX21" s="200"/>
      <c r="AY21" s="200"/>
      <c r="AZ21" s="207"/>
      <c r="BA21" s="200"/>
      <c r="BB21" s="200"/>
      <c r="BC21" s="208"/>
      <c r="BD21" s="208"/>
      <c r="BE21" s="208"/>
      <c r="BF21" s="208"/>
      <c r="BG21" s="208"/>
      <c r="BH21" s="208"/>
      <c r="BI21" s="208"/>
      <c r="BJ21" s="208"/>
      <c r="BK21" s="208"/>
      <c r="BL21" s="208"/>
      <c r="BM21" s="208"/>
      <c r="BN21" s="208"/>
      <c r="BO21" s="208"/>
      <c r="BP21" s="208"/>
      <c r="BQ21" s="208"/>
      <c r="BR21" s="208"/>
      <c r="BS21" s="208"/>
      <c r="BT21" s="208"/>
      <c r="BU21" s="208"/>
      <c r="BV21" s="208"/>
      <c r="BW21" s="208"/>
      <c r="BX21" s="208"/>
      <c r="BY21" s="208"/>
      <c r="BZ21" s="208"/>
      <c r="CA21" s="208"/>
      <c r="CB21" s="208"/>
    </row>
    <row r="22" spans="4:80" s="198" customFormat="1" ht="172.9" hidden="1" customHeight="1" x14ac:dyDescent="0.25">
      <c r="D22" s="199">
        <v>8</v>
      </c>
      <c r="E22" s="215"/>
      <c r="F22" s="215"/>
      <c r="G22" s="215"/>
      <c r="H22" s="199"/>
      <c r="I22" s="200"/>
      <c r="J22" s="200"/>
      <c r="K22" s="200"/>
      <c r="L22" s="216"/>
      <c r="M22" s="217"/>
      <c r="N22" s="200"/>
      <c r="O22" s="200"/>
      <c r="P22" s="200"/>
      <c r="Q22" s="201" t="str">
        <f t="shared" si="3"/>
        <v/>
      </c>
      <c r="R22" s="202" t="str">
        <f t="shared" si="4"/>
        <v/>
      </c>
      <c r="S22" s="203"/>
      <c r="T22" s="202">
        <f ca="1">IF(NOT(ISERROR(MATCH(S22,'[2]Tabla Impacto'!$B$221:$B$223,0))),'[2]Tabla Impacto'!$F$223&amp;"Por favor no seleccionar los criterios de impacto(Afectación Económica o presupuestal y Pérdida Reputacional)",S22)</f>
        <v>0</v>
      </c>
      <c r="U22" s="201" t="str">
        <f ca="1">IF(OR(T22='[3]Tabla Impacto'!$C$11,T22='[3]Tabla Impacto'!$D$11),"Leve",IF(OR(T22='[3]Tabla Impacto'!$C$12,T22='[3]Tabla Impacto'!$D$12),"Menor",IF(OR(T22='[3]Tabla Impacto'!$C$13,T22='[3]Tabla Impacto'!$D$13),"Moderado",IF(OR(T22='[3]Tabla Impacto'!$C$14,T22='[3]Tabla Impacto'!$D$14),"Mayor",IF(OR(T22='[3]Tabla Impacto'!$C$15,T22='[3]Tabla Impacto'!$D$15),"Catastrófico","")))))</f>
        <v/>
      </c>
      <c r="V22" s="202" t="str">
        <f t="shared" ca="1" si="5"/>
        <v/>
      </c>
      <c r="W22" s="201" t="str">
        <f t="shared" ca="1" si="6"/>
        <v/>
      </c>
      <c r="X22" s="199"/>
      <c r="Y22" s="163"/>
      <c r="Z22" s="163"/>
      <c r="AA22" s="204" t="str">
        <f t="shared" si="7"/>
        <v/>
      </c>
      <c r="AB22" s="205"/>
      <c r="AC22" s="205"/>
      <c r="AD22" s="202" t="str">
        <f t="shared" si="8"/>
        <v/>
      </c>
      <c r="AE22" s="205"/>
      <c r="AF22" s="205"/>
      <c r="AG22" s="205"/>
      <c r="AH22" s="218"/>
      <c r="AI22" s="220" t="str">
        <f>IFERROR(IF(AND(AB21="Probabilidad",AB22="Probabilidad"),(AK21-(+AK21*AE22)),IF(AB22="Probabilidad",(T21-(+T21*AE22)),IF(AB22="Impacto",AK21,""))),"")</f>
        <v/>
      </c>
      <c r="AJ22" s="206" t="str">
        <f t="shared" si="9"/>
        <v/>
      </c>
      <c r="AK22" s="202" t="str">
        <f t="shared" si="10"/>
        <v/>
      </c>
      <c r="AL22" s="206" t="str">
        <f t="shared" si="11"/>
        <v/>
      </c>
      <c r="AM22" s="202" t="str">
        <f t="shared" si="12"/>
        <v/>
      </c>
      <c r="AN22" s="206" t="str">
        <f t="shared" si="13"/>
        <v/>
      </c>
      <c r="AO22" s="205"/>
      <c r="AP22" s="200"/>
      <c r="AQ22" s="200"/>
      <c r="AR22" s="207"/>
      <c r="AS22" s="207"/>
      <c r="AT22" s="200"/>
      <c r="AU22" s="200"/>
      <c r="AV22" s="207"/>
      <c r="AW22" s="200"/>
      <c r="AX22" s="200"/>
      <c r="AY22" s="200"/>
      <c r="AZ22" s="207"/>
      <c r="BA22" s="200"/>
      <c r="BB22" s="200"/>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row>
    <row r="23" spans="4:80" ht="49.5" customHeight="1" x14ac:dyDescent="0.2">
      <c r="D23" s="209"/>
      <c r="E23" s="210"/>
      <c r="F23" s="210"/>
      <c r="G23" s="210"/>
      <c r="H23" s="210"/>
      <c r="I23" s="302" t="s">
        <v>393</v>
      </c>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3"/>
    </row>
    <row r="25" spans="4:80" ht="15.75" x14ac:dyDescent="0.2">
      <c r="D25" s="109"/>
      <c r="E25" s="110"/>
      <c r="F25" s="110"/>
      <c r="G25" s="110"/>
      <c r="H25" s="110"/>
      <c r="I25" s="110"/>
      <c r="J25" s="110"/>
      <c r="K25" s="110"/>
      <c r="L25" s="110"/>
      <c r="M25" s="181"/>
      <c r="N25" s="181"/>
      <c r="O25" s="181"/>
      <c r="Q25" s="111"/>
      <c r="R25" s="110"/>
      <c r="S25" s="110"/>
      <c r="T25" s="110"/>
      <c r="U25" s="110"/>
      <c r="V25" s="110"/>
      <c r="W25" s="110"/>
      <c r="X25" s="110"/>
      <c r="Y25" s="110"/>
      <c r="Z25" s="110"/>
      <c r="AA25" s="112"/>
      <c r="AB25" s="112"/>
      <c r="AC25" s="110"/>
      <c r="AD25" s="110"/>
      <c r="AE25" s="110"/>
      <c r="AF25" s="110"/>
      <c r="AG25" s="110"/>
      <c r="AH25" s="110"/>
      <c r="AI25" s="110"/>
      <c r="AJ25" s="110"/>
      <c r="AK25" s="110"/>
      <c r="AL25" s="110"/>
      <c r="AM25" s="110"/>
      <c r="AN25" s="110"/>
      <c r="AO25" s="113"/>
      <c r="AP25" s="113"/>
      <c r="AQ25" s="110"/>
      <c r="AR25" s="110"/>
      <c r="AS25" s="110"/>
      <c r="AT25" s="110"/>
      <c r="AU25" s="110"/>
      <c r="AV25" s="110"/>
      <c r="AW25" s="110"/>
    </row>
    <row r="26" spans="4:80" ht="18" x14ac:dyDescent="0.2">
      <c r="D26" s="295" t="s">
        <v>423</v>
      </c>
      <c r="E26" s="295"/>
      <c r="F26" s="295"/>
      <c r="G26" s="295"/>
      <c r="H26" s="295"/>
      <c r="I26" s="295"/>
      <c r="J26" s="295"/>
      <c r="K26" s="295"/>
      <c r="L26" s="295"/>
      <c r="M26" s="181"/>
      <c r="N26" s="181"/>
      <c r="O26" s="181"/>
      <c r="P26" s="292" t="s">
        <v>391</v>
      </c>
      <c r="Q26" s="293"/>
      <c r="R26" s="293"/>
      <c r="S26" s="294"/>
      <c r="T26" s="110"/>
      <c r="U26" s="110"/>
      <c r="V26" s="110"/>
      <c r="W26" s="110"/>
      <c r="X26" s="110"/>
      <c r="Y26" s="110"/>
      <c r="Z26" s="113"/>
      <c r="AA26" s="112"/>
      <c r="AB26" s="112"/>
      <c r="AC26" s="110"/>
      <c r="AD26" s="112"/>
      <c r="AE26" s="112"/>
      <c r="AF26" s="110"/>
      <c r="AG26" s="110"/>
      <c r="AH26" s="110"/>
      <c r="AI26" s="110"/>
      <c r="AJ26" s="110"/>
      <c r="AK26" s="110"/>
      <c r="AL26" s="110"/>
      <c r="AM26" s="110"/>
      <c r="AN26" s="110"/>
      <c r="AO26" s="110"/>
      <c r="AP26" s="110"/>
      <c r="AQ26" s="110"/>
      <c r="AR26" s="110"/>
      <c r="AS26" s="110"/>
      <c r="AT26" s="110"/>
      <c r="AU26" s="110"/>
      <c r="AV26" s="110"/>
      <c r="AW26" s="110"/>
    </row>
    <row r="27" spans="4:80" ht="15" thickBot="1" x14ac:dyDescent="0.25">
      <c r="D27" s="181"/>
      <c r="E27" s="181"/>
      <c r="F27" s="181"/>
      <c r="G27" s="181"/>
      <c r="H27" s="181"/>
      <c r="I27" s="181"/>
      <c r="J27" s="181"/>
      <c r="K27" s="181"/>
      <c r="M27" s="181"/>
      <c r="N27" s="181"/>
      <c r="O27" s="181"/>
      <c r="Q27" s="183" t="str">
        <f>+IFERROR(VLOOKUP(M27,$M$182:$Q$186,3,FALSE)*VLOOKUP(P27,$P$182:$Q$186,3,FALSE),"")</f>
        <v/>
      </c>
      <c r="AA27" s="183"/>
      <c r="AB27" s="211"/>
      <c r="AD27" s="211"/>
      <c r="AE27" s="211"/>
      <c r="AF27" s="212"/>
      <c r="AG27" s="212"/>
      <c r="AH27" s="212"/>
      <c r="AI27" s="212"/>
      <c r="AJ27" s="212"/>
      <c r="AK27" s="114"/>
      <c r="AL27" s="114"/>
      <c r="AM27" s="212"/>
      <c r="AN27" s="213"/>
      <c r="AR27" s="212"/>
      <c r="AT27" s="212"/>
      <c r="AV27" s="212"/>
    </row>
    <row r="28" spans="4:80" ht="17.45" customHeight="1" thickTop="1" thickBot="1" x14ac:dyDescent="0.25">
      <c r="D28" s="290" t="s">
        <v>207</v>
      </c>
      <c r="E28" s="290"/>
      <c r="F28" s="290"/>
      <c r="G28" s="290"/>
      <c r="H28" s="290"/>
      <c r="I28" s="290"/>
      <c r="J28" s="290"/>
      <c r="K28" s="290"/>
      <c r="L28" s="180" t="s">
        <v>208</v>
      </c>
      <c r="M28" s="290" t="s">
        <v>209</v>
      </c>
      <c r="N28" s="290"/>
      <c r="O28" s="290"/>
      <c r="P28" s="290"/>
      <c r="Q28" s="290"/>
      <c r="R28" s="290"/>
      <c r="S28" s="290"/>
      <c r="T28" s="118"/>
      <c r="U28" s="291" t="s">
        <v>210</v>
      </c>
      <c r="V28" s="291"/>
      <c r="W28" s="291"/>
      <c r="X28" s="290" t="s">
        <v>211</v>
      </c>
      <c r="Y28" s="290"/>
      <c r="Z28" s="290"/>
      <c r="AA28" s="290"/>
      <c r="AB28" s="291">
        <v>1</v>
      </c>
      <c r="AC28" s="291"/>
      <c r="AD28" s="291"/>
      <c r="AE28" s="291"/>
      <c r="AF28" s="117"/>
      <c r="AG28" s="117"/>
      <c r="AH28" s="117"/>
      <c r="AI28" s="117"/>
      <c r="AJ28" s="117"/>
      <c r="AK28" s="117"/>
      <c r="AL28" s="117"/>
      <c r="AM28" s="117"/>
      <c r="AN28" s="117"/>
      <c r="AO28" s="117"/>
      <c r="AP28" s="117"/>
      <c r="AQ28" s="117"/>
      <c r="AR28" s="117"/>
      <c r="AS28" s="117"/>
      <c r="AT28" s="117"/>
      <c r="AU28" s="117"/>
      <c r="AV28" s="117"/>
      <c r="AW28" s="115"/>
    </row>
    <row r="29" spans="4:80" ht="36.75" customHeight="1" thickTop="1" x14ac:dyDescent="0.25">
      <c r="D29" s="329" t="s">
        <v>394</v>
      </c>
      <c r="E29" s="330"/>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row>
  </sheetData>
  <dataConsolidate/>
  <mergeCells count="92">
    <mergeCell ref="D29:AE29"/>
    <mergeCell ref="N13:O13"/>
    <mergeCell ref="AH12:AH14"/>
    <mergeCell ref="A11:C11"/>
    <mergeCell ref="D8:G8"/>
    <mergeCell ref="D9:G9"/>
    <mergeCell ref="H9:BB9"/>
    <mergeCell ref="H8:BB8"/>
    <mergeCell ref="D13:D14"/>
    <mergeCell ref="D11:AU11"/>
    <mergeCell ref="AV11:AY11"/>
    <mergeCell ref="AZ11:BB11"/>
    <mergeCell ref="AZ13:AZ14"/>
    <mergeCell ref="E13:E14"/>
    <mergeCell ref="AA13:AA14"/>
    <mergeCell ref="H13:H14"/>
    <mergeCell ref="AX13:AX14"/>
    <mergeCell ref="BA2:BB2"/>
    <mergeCell ref="BA3:BB3"/>
    <mergeCell ref="BA4:BB4"/>
    <mergeCell ref="BA5:BB5"/>
    <mergeCell ref="AY13:AY14"/>
    <mergeCell ref="AP12:BB12"/>
    <mergeCell ref="BA13:BA14"/>
    <mergeCell ref="BB13:BB14"/>
    <mergeCell ref="AV13:AV14"/>
    <mergeCell ref="AW13:AW14"/>
    <mergeCell ref="D2:H5"/>
    <mergeCell ref="I2:AZ5"/>
    <mergeCell ref="H7:BB7"/>
    <mergeCell ref="AO13:AO14"/>
    <mergeCell ref="AN13:AN14"/>
    <mergeCell ref="AM13:AM14"/>
    <mergeCell ref="AI13:AI14"/>
    <mergeCell ref="Z13:Z14"/>
    <mergeCell ref="M13:M14"/>
    <mergeCell ref="D12:P12"/>
    <mergeCell ref="Q12:W12"/>
    <mergeCell ref="L13:L14"/>
    <mergeCell ref="K13:K14"/>
    <mergeCell ref="I13:I14"/>
    <mergeCell ref="S13:S14"/>
    <mergeCell ref="T13:T14"/>
    <mergeCell ref="D7:G7"/>
    <mergeCell ref="I23:AU23"/>
    <mergeCell ref="W13:W14"/>
    <mergeCell ref="AU13:AU14"/>
    <mergeCell ref="AT13:AT14"/>
    <mergeCell ref="AS13:AS14"/>
    <mergeCell ref="AR13:AR14"/>
    <mergeCell ref="AQ13:AQ14"/>
    <mergeCell ref="AL13:AL14"/>
    <mergeCell ref="AJ13:AJ14"/>
    <mergeCell ref="AK13:AK14"/>
    <mergeCell ref="P13:P14"/>
    <mergeCell ref="Q13:Q14"/>
    <mergeCell ref="R13:R14"/>
    <mergeCell ref="U13:U14"/>
    <mergeCell ref="V13:V14"/>
    <mergeCell ref="I17:I18"/>
    <mergeCell ref="K17:K18"/>
    <mergeCell ref="L17:L18"/>
    <mergeCell ref="D17:D18"/>
    <mergeCell ref="E17:E18"/>
    <mergeCell ref="F17:F18"/>
    <mergeCell ref="G17:G18"/>
    <mergeCell ref="H17:H18"/>
    <mergeCell ref="X28:AA28"/>
    <mergeCell ref="AB28:AE28"/>
    <mergeCell ref="D28:K28"/>
    <mergeCell ref="P26:S26"/>
    <mergeCell ref="M28:S28"/>
    <mergeCell ref="U28:W28"/>
    <mergeCell ref="D26:L26"/>
    <mergeCell ref="X12:AG12"/>
    <mergeCell ref="X13:X14"/>
    <mergeCell ref="Y13:Y14"/>
    <mergeCell ref="AP13:AP14"/>
    <mergeCell ref="AI12:AO12"/>
    <mergeCell ref="AB13:AG13"/>
    <mergeCell ref="M17:M18"/>
    <mergeCell ref="N17:N18"/>
    <mergeCell ref="O17:O18"/>
    <mergeCell ref="P17:P18"/>
    <mergeCell ref="Q17:Q18"/>
    <mergeCell ref="W17:W18"/>
    <mergeCell ref="AR17:AR18"/>
    <mergeCell ref="R17:R18"/>
    <mergeCell ref="S17:S18"/>
    <mergeCell ref="T17:T18"/>
    <mergeCell ref="U17:U18"/>
    <mergeCell ref="V17:V18"/>
  </mergeCells>
  <conditionalFormatting sqref="Q15:Q17 Q19:Q22">
    <cfRule type="cellIs" dxfId="38" priority="37" operator="equal">
      <formula>"Muy Alta"</formula>
    </cfRule>
    <cfRule type="cellIs" dxfId="37" priority="38" operator="equal">
      <formula>"Alta"</formula>
    </cfRule>
    <cfRule type="cellIs" dxfId="36" priority="39" operator="equal">
      <formula>"Media"</formula>
    </cfRule>
    <cfRule type="cellIs" dxfId="35" priority="40" operator="equal">
      <formula>"Baja"</formula>
    </cfRule>
    <cfRule type="cellIs" dxfId="34" priority="41" operator="equal">
      <formula>"Muy Baja"</formula>
    </cfRule>
  </conditionalFormatting>
  <conditionalFormatting sqref="T15:T17 T19:T22">
    <cfRule type="containsText" dxfId="33" priority="13" operator="containsText" text="❌">
      <formula>NOT(ISERROR(SEARCH("❌",T15)))</formula>
    </cfRule>
  </conditionalFormatting>
  <conditionalFormatting sqref="U15:U17 U19:U22">
    <cfRule type="cellIs" dxfId="32" priority="32" operator="equal">
      <formula>"Catastrófico"</formula>
    </cfRule>
    <cfRule type="cellIs" dxfId="31" priority="33" operator="equal">
      <formula>"Mayor"</formula>
    </cfRule>
    <cfRule type="cellIs" dxfId="30" priority="34" operator="equal">
      <formula>"Moderado"</formula>
    </cfRule>
    <cfRule type="cellIs" dxfId="29" priority="35" operator="equal">
      <formula>"Menor"</formula>
    </cfRule>
    <cfRule type="cellIs" dxfId="28" priority="36" operator="equal">
      <formula>"Leve"</formula>
    </cfRule>
  </conditionalFormatting>
  <conditionalFormatting sqref="W15:W17 W19:W22">
    <cfRule type="cellIs" dxfId="27" priority="28" operator="equal">
      <formula>"Extremo"</formula>
    </cfRule>
    <cfRule type="cellIs" dxfId="26" priority="29" operator="equal">
      <formula>"Alto"</formula>
    </cfRule>
    <cfRule type="cellIs" dxfId="25" priority="30" operator="equal">
      <formula>"Moderado"</formula>
    </cfRule>
    <cfRule type="cellIs" dxfId="24" priority="31" operator="equal">
      <formula>"Bajo"</formula>
    </cfRule>
  </conditionalFormatting>
  <conditionalFormatting sqref="AJ15:AJ22">
    <cfRule type="cellIs" dxfId="23" priority="23" operator="equal">
      <formula>"Muy Alta"</formula>
    </cfRule>
    <cfRule type="cellIs" dxfId="22" priority="24" operator="equal">
      <formula>"Alta"</formula>
    </cfRule>
    <cfRule type="cellIs" dxfId="21" priority="25" operator="equal">
      <formula>"Media"</formula>
    </cfRule>
    <cfRule type="cellIs" dxfId="20" priority="26" operator="equal">
      <formula>"Baja"</formula>
    </cfRule>
    <cfRule type="cellIs" dxfId="19" priority="27" operator="equal">
      <formula>"Muy Baja"</formula>
    </cfRule>
  </conditionalFormatting>
  <conditionalFormatting sqref="AK25:AK27">
    <cfRule type="cellIs" dxfId="18" priority="1" stopIfTrue="1" operator="equal">
      <formula>#REF!</formula>
    </cfRule>
    <cfRule type="cellIs" dxfId="17" priority="2" operator="equal">
      <formula>#REF!</formula>
    </cfRule>
    <cfRule type="cellIs" dxfId="16" priority="3" operator="equal">
      <formula>#REF!</formula>
    </cfRule>
  </conditionalFormatting>
  <conditionalFormatting sqref="AL15:AL22">
    <cfRule type="cellIs" dxfId="15" priority="18" operator="equal">
      <formula>"Catastrófico"</formula>
    </cfRule>
    <cfRule type="cellIs" dxfId="14" priority="19" operator="equal">
      <formula>"Mayor"</formula>
    </cfRule>
    <cfRule type="cellIs" dxfId="13" priority="20" operator="equal">
      <formula>"Moderado"</formula>
    </cfRule>
    <cfRule type="cellIs" dxfId="12" priority="21" operator="equal">
      <formula>"Menor"</formula>
    </cfRule>
    <cfRule type="cellIs" dxfId="11" priority="22" operator="equal">
      <formula>"Leve"</formula>
    </cfRule>
  </conditionalFormatting>
  <conditionalFormatting sqref="AL25:AL27">
    <cfRule type="cellIs" dxfId="10" priority="4" stopIfTrue="1" operator="equal">
      <formula>#REF!</formula>
    </cfRule>
    <cfRule type="cellIs" dxfId="9" priority="5" stopIfTrue="1" operator="equal">
      <formula>#REF!</formula>
    </cfRule>
    <cfRule type="cellIs" dxfId="8" priority="6" stopIfTrue="1" operator="equal">
      <formula>#REF!</formula>
    </cfRule>
  </conditionalFormatting>
  <conditionalFormatting sqref="AN15:AN22">
    <cfRule type="cellIs" dxfId="7" priority="14" operator="equal">
      <formula>"Extremo"</formula>
    </cfRule>
    <cfRule type="cellIs" dxfId="6" priority="15" operator="equal">
      <formula>"Alto"</formula>
    </cfRule>
    <cfRule type="cellIs" dxfId="5" priority="16" operator="equal">
      <formula>"Moderado"</formula>
    </cfRule>
    <cfRule type="cellIs" dxfId="4" priority="17" operator="equal">
      <formula>"Bajo"</formula>
    </cfRule>
  </conditionalFormatting>
  <dataValidations count="6">
    <dataValidation type="list" allowBlank="1" showInputMessage="1" showErrorMessage="1" sqref="L25" xr:uid="{61DF7E04-DE5E-4FE1-A38F-8A138AA87D58}">
      <formula1>$L$182:$L$191</formula1>
    </dataValidation>
    <dataValidation type="list" allowBlank="1" showInputMessage="1" showErrorMessage="1" sqref="L27 AK27:AL27" xr:uid="{66A41BD7-B090-4403-937D-0435537D31DA}">
      <formula1>#REF!</formula1>
    </dataValidation>
    <dataValidation type="list" allowBlank="1" showInputMessage="1" showErrorMessage="1" sqref="AA27" xr:uid="{3BD557FD-BAB0-4660-A45C-D7AACD9880D7}">
      <formula1>$S$182:$S$183</formula1>
    </dataValidation>
    <dataValidation type="list" allowBlank="1" showInputMessage="1" showErrorMessage="1" sqref="P27" xr:uid="{6EC8CB42-9310-43CD-8FAB-388F6EFE7B5E}">
      <formula1>$P$182:$P$186</formula1>
    </dataValidation>
    <dataValidation type="list" allowBlank="1" showInputMessage="1" showErrorMessage="1" sqref="M27:O27" xr:uid="{681E5490-2B09-494D-9B90-359A2E8F22F3}">
      <formula1>$M$182:$M$186</formula1>
    </dataValidation>
    <dataValidation type="list" allowBlank="1" showInputMessage="1" showErrorMessage="1" sqref="AV27 AD27:AJ27 AB27 AR27 AT27" xr:uid="{208EF431-1729-4D5C-B151-F6757CBBD462}">
      <formula1>$AR$182:$AR$189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0">
        <x14:dataValidation type="list" allowBlank="1" showInputMessage="1" showErrorMessage="1" xr:uid="{FFA9F3EB-8AAC-4371-8BA9-EA5BFF31F870}">
          <x14:formula1>
            <xm:f>'Opciones Tratamiento'!$B$9:$B$10</xm:f>
          </x14:formula1>
          <xm:sqref>AX15:AY22 BB15:BB22 AU15:AU22</xm:sqref>
        </x14:dataValidation>
        <x14:dataValidation type="list" allowBlank="1" showInputMessage="1" showErrorMessage="1" xr:uid="{2F8B922F-A596-4F43-8DB5-EB88E0211184}">
          <x14:formula1>
            <xm:f>'Tabla Valoración controles'!$D$4:$D$6</xm:f>
          </x14:formula1>
          <xm:sqref>AB15:AB22</xm:sqref>
        </x14:dataValidation>
        <x14:dataValidation type="list" allowBlank="1" showInputMessage="1" showErrorMessage="1" xr:uid="{DC38EDB2-F7BD-4E7B-9DDA-3C58EAD78CC5}">
          <x14:formula1>
            <xm:f>'Tabla Valoración controles'!$D$7:$D$8</xm:f>
          </x14:formula1>
          <xm:sqref>AC15:AC22</xm:sqref>
        </x14:dataValidation>
        <x14:dataValidation type="list" allowBlank="1" showInputMessage="1" showErrorMessage="1" xr:uid="{D75AC793-23AB-4ECB-AA93-972ACC7C18B9}">
          <x14:formula1>
            <xm:f>'Tabla Valoración controles'!$D$9:$D$10</xm:f>
          </x14:formula1>
          <xm:sqref>AE15:AE22</xm:sqref>
        </x14:dataValidation>
        <x14:dataValidation type="list" allowBlank="1" showInputMessage="1" showErrorMessage="1" xr:uid="{7CEE6D34-E894-4B07-9738-58E7887FE090}">
          <x14:formula1>
            <xm:f>'Tabla Valoración controles'!$D$11:$D$12</xm:f>
          </x14:formula1>
          <xm:sqref>AF15:AF22</xm:sqref>
        </x14:dataValidation>
        <x14:dataValidation type="list" allowBlank="1" showInputMessage="1" showErrorMessage="1" xr:uid="{B39FB738-8E70-4C89-BE00-31B6F6BC10CA}">
          <x14:formula1>
            <xm:f>'Tabla Valoración controles'!$D$13:$D$14</xm:f>
          </x14:formula1>
          <xm:sqref>AG15:AG22</xm:sqref>
        </x14:dataValidation>
        <x14:dataValidation type="list" allowBlank="1" showInputMessage="1" showErrorMessage="1" xr:uid="{5E056D49-2A01-4844-9657-EAFD8E3B5A80}">
          <x14:formula1>
            <xm:f>'Opciones Tratamiento'!$B$13:$B$19</xm:f>
          </x14:formula1>
          <xm:sqref>M15:M17 M19:M22</xm:sqref>
        </x14:dataValidation>
        <x14:dataValidation type="list" allowBlank="1" showInputMessage="1" showErrorMessage="1" xr:uid="{BCC5CE02-71F3-4D30-B2B6-0BC8D084AB56}">
          <x14:formula1>
            <xm:f>'Opciones Tratamiento'!$B$2:$B$5</xm:f>
          </x14:formula1>
          <xm:sqref>AO15:AO22</xm:sqref>
        </x14:dataValidation>
        <x14:dataValidation type="list" allowBlank="1" showInputMessage="1" showErrorMessage="1" xr:uid="{EF0C0067-1765-4F11-A967-1A801D325D81}">
          <x14:formula1>
            <xm:f>'Tabla Impacto'!$F$210:$F$221</xm:f>
          </x14:formula1>
          <xm:sqref>S15:S17 S19:S22</xm:sqref>
        </x14:dataValidation>
        <x14:dataValidation type="custom" allowBlank="1" showInputMessage="1" showErrorMessage="1" error="Recuerde que las acciones se generan bajo la medida de mitigar el riesgo" xr:uid="{7ED48018-4235-4B97-8418-73E7BBDB0232}">
          <x14:formula1>
            <xm:f>IF(OR(AO19='Opciones Tratamiento'!$B$2,AO19='Opciones Tratamiento'!$B$3,AO19='Opciones Tratamiento'!$B$4),ISBLANK(AO19),ISTEXT(AO19))</xm:f>
          </x14:formula1>
          <xm:sqref>AP19:AP22</xm:sqref>
        </x14:dataValidation>
        <x14:dataValidation type="custom" allowBlank="1" showInputMessage="1" showErrorMessage="1" error="Recuerde que las acciones se generan bajo la medida de mitigar el riesgo" xr:uid="{B9F9F086-C384-4D55-BBDC-46D063DF530B}">
          <x14:formula1>
            <xm:f>IF(OR(AO19='Opciones Tratamiento'!$B$2,AO19='Opciones Tratamiento'!$B$3,AO19='Opciones Tratamiento'!$B$4),ISBLANK(AO19),ISTEXT(AO19))</xm:f>
          </x14:formula1>
          <xm:sqref>AQ19:AQ22</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AV15:AV22 AS15:AS22</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AW15:AW22 AZ15:AZ22 AT15:AT22</xm:sqref>
        </x14:dataValidation>
        <x14:dataValidation type="list" allowBlank="1" showInputMessage="1" showErrorMessage="1" xr:uid="{9E41A0A5-9033-48F4-A523-E78EEE31291B}">
          <x14:formula1>
            <xm:f>Listas!$B$2:$B$7</xm:f>
          </x14:formula1>
          <xm:sqref>H15:H17 H19:H22</xm:sqref>
        </x14:dataValidation>
        <x14:dataValidation type="list" allowBlank="1" showInputMessage="1" showErrorMessage="1" xr:uid="{E1211B7A-6A4E-4A48-9C6D-50DFE53A34CF}">
          <x14:formula1>
            <xm:f>Listas!$C$2:$C$6</xm:f>
          </x14:formula1>
          <xm:sqref>N15:N17 N19:N22</xm:sqref>
        </x14:dataValidation>
        <x14:dataValidation type="list" allowBlank="1" showInputMessage="1" showErrorMessage="1" xr:uid="{B88BA28A-2600-4BF8-8D1C-1591DFA3694A}">
          <x14:formula1>
            <xm:f>Listas!$D$2:$D$5</xm:f>
          </x14:formula1>
          <xm:sqref>O15:O17 O19:O22</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BA15:BA22</xm:sqref>
        </x14:dataValidation>
        <x14:dataValidation type="list" allowBlank="1" showInputMessage="1" showErrorMessage="1" xr:uid="{C1C18457-6497-4468-A0EC-5756D2A505AB}">
          <x14:formula1>
            <xm:f>Hoja2!$B$3:$B$18</xm:f>
          </x14:formula1>
          <xm:sqref>E15:E17 E19:E22</xm:sqref>
        </x14:dataValidation>
        <x14:dataValidation type="list" allowBlank="1" showInputMessage="1" showErrorMessage="1" xr:uid="{30B1B799-4F7E-4DF0-8163-3420DCED9D9B}">
          <x14:formula1>
            <xm:f>Hoja2!$D$3:$D$21</xm:f>
          </x14:formula1>
          <xm:sqref>F15:F17 F19:F22</xm:sqref>
        </x14:dataValidation>
        <x14:dataValidation type="list" allowBlank="1" showInputMessage="1" showErrorMessage="1" xr:uid="{4543C4BE-F1CB-4CCC-8B32-CEE48E0F43C3}">
          <x14:formula1>
            <xm:f>Hoja2!$E$3:$E$23</xm:f>
          </x14:formula1>
          <xm:sqref>G15:G17 G19:G22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E11" sqref="E11"/>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47" t="s">
        <v>137</v>
      </c>
      <c r="C1" s="347"/>
      <c r="D1" s="347"/>
      <c r="E1" s="347"/>
      <c r="F1" s="347"/>
      <c r="G1" s="347"/>
      <c r="H1" s="347"/>
      <c r="I1" s="347"/>
      <c r="J1" s="347"/>
      <c r="L1" s="347" t="s">
        <v>139</v>
      </c>
      <c r="M1" s="347"/>
      <c r="N1" s="347"/>
      <c r="O1" s="347"/>
      <c r="P1" s="347"/>
      <c r="Q1" s="347"/>
      <c r="R1" s="347"/>
    </row>
    <row r="2" spans="2:18" ht="50.25" customHeight="1" x14ac:dyDescent="0.25">
      <c r="B2" s="175" t="s">
        <v>378</v>
      </c>
      <c r="C2" s="175" t="s">
        <v>382</v>
      </c>
      <c r="D2" s="174" t="s">
        <v>2</v>
      </c>
      <c r="E2" s="174" t="s">
        <v>317</v>
      </c>
      <c r="F2" s="174" t="s">
        <v>366</v>
      </c>
      <c r="G2" s="175" t="s">
        <v>368</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383</v>
      </c>
      <c r="D3" s="116" t="s">
        <v>131</v>
      </c>
      <c r="E3" s="116" t="s">
        <v>313</v>
      </c>
      <c r="F3" t="s">
        <v>225</v>
      </c>
      <c r="G3" s="116" t="s">
        <v>128</v>
      </c>
      <c r="I3" t="s">
        <v>369</v>
      </c>
      <c r="J3" t="s">
        <v>236</v>
      </c>
      <c r="L3" s="2" t="s">
        <v>14</v>
      </c>
      <c r="M3" s="2" t="s">
        <v>10</v>
      </c>
      <c r="N3" s="2" t="s">
        <v>19</v>
      </c>
      <c r="O3" s="2" t="s">
        <v>22</v>
      </c>
      <c r="P3" s="2" t="s">
        <v>25</v>
      </c>
      <c r="Q3" s="2" t="s">
        <v>31</v>
      </c>
      <c r="R3" t="s">
        <v>39</v>
      </c>
    </row>
    <row r="4" spans="2:18" ht="31.5" customHeight="1" x14ac:dyDescent="0.25">
      <c r="B4" s="18" t="s">
        <v>216</v>
      </c>
      <c r="C4" s="18" t="s">
        <v>384</v>
      </c>
      <c r="D4" s="116" t="s">
        <v>130</v>
      </c>
      <c r="E4" s="116" t="s">
        <v>314</v>
      </c>
      <c r="F4" t="s">
        <v>218</v>
      </c>
      <c r="G4" s="116" t="s">
        <v>122</v>
      </c>
      <c r="I4" t="s">
        <v>370</v>
      </c>
      <c r="J4" t="s">
        <v>237</v>
      </c>
      <c r="L4" s="2" t="s">
        <v>15</v>
      </c>
      <c r="M4" s="2" t="s">
        <v>9</v>
      </c>
      <c r="N4" s="2" t="s">
        <v>20</v>
      </c>
      <c r="O4" s="2" t="s">
        <v>23</v>
      </c>
      <c r="P4" s="2" t="s">
        <v>26</v>
      </c>
      <c r="Q4" s="2" t="s">
        <v>32</v>
      </c>
      <c r="R4" t="s">
        <v>40</v>
      </c>
    </row>
    <row r="5" spans="2:18" ht="51.75" customHeight="1" x14ac:dyDescent="0.25">
      <c r="B5" s="18" t="s">
        <v>217</v>
      </c>
      <c r="C5" s="18" t="s">
        <v>385</v>
      </c>
      <c r="D5" s="116" t="s">
        <v>132</v>
      </c>
      <c r="E5" s="116" t="s">
        <v>315</v>
      </c>
      <c r="F5" t="s">
        <v>226</v>
      </c>
      <c r="G5" s="116" t="s">
        <v>125</v>
      </c>
      <c r="I5" t="s">
        <v>231</v>
      </c>
      <c r="J5" t="s">
        <v>238</v>
      </c>
      <c r="L5" s="2" t="s">
        <v>16</v>
      </c>
      <c r="P5" s="2" t="s">
        <v>27</v>
      </c>
      <c r="Q5" s="2" t="s">
        <v>30</v>
      </c>
    </row>
    <row r="6" spans="2:18" ht="24.75" customHeight="1" x14ac:dyDescent="0.25">
      <c r="B6" s="18" t="s">
        <v>218</v>
      </c>
      <c r="C6" s="18" t="s">
        <v>386</v>
      </c>
      <c r="D6" s="116" t="s">
        <v>312</v>
      </c>
      <c r="E6" t="s">
        <v>374</v>
      </c>
      <c r="F6" t="s">
        <v>227</v>
      </c>
      <c r="G6" s="116" t="s">
        <v>123</v>
      </c>
      <c r="I6" t="s">
        <v>233</v>
      </c>
      <c r="J6" t="s">
        <v>316</v>
      </c>
      <c r="Q6" s="2" t="s">
        <v>134</v>
      </c>
    </row>
    <row r="7" spans="2:18" ht="26.25" customHeight="1" x14ac:dyDescent="0.25">
      <c r="B7" s="18" t="s">
        <v>222</v>
      </c>
      <c r="C7" s="18" t="s">
        <v>387</v>
      </c>
      <c r="D7" s="116" t="s">
        <v>395</v>
      </c>
      <c r="F7" t="s">
        <v>228</v>
      </c>
      <c r="G7" s="116" t="s">
        <v>124</v>
      </c>
      <c r="I7" t="s">
        <v>371</v>
      </c>
      <c r="Q7" s="2" t="s">
        <v>135</v>
      </c>
    </row>
    <row r="8" spans="2:18" ht="30" x14ac:dyDescent="0.25">
      <c r="B8" s="18" t="s">
        <v>310</v>
      </c>
      <c r="C8" s="18"/>
      <c r="D8" s="116"/>
      <c r="F8" t="s">
        <v>229</v>
      </c>
      <c r="G8" s="116" t="s">
        <v>126</v>
      </c>
      <c r="I8" s="116" t="s">
        <v>372</v>
      </c>
    </row>
    <row r="9" spans="2:18" ht="31.5" customHeight="1" x14ac:dyDescent="0.25">
      <c r="B9" s="18" t="s">
        <v>381</v>
      </c>
      <c r="C9" s="18"/>
      <c r="D9" s="116"/>
      <c r="G9" s="116" t="s">
        <v>127</v>
      </c>
      <c r="I9" t="s">
        <v>373</v>
      </c>
    </row>
    <row r="10" spans="2:18" x14ac:dyDescent="0.25">
      <c r="B10" s="18" t="s">
        <v>220</v>
      </c>
      <c r="C10" s="18"/>
      <c r="D10" s="116"/>
      <c r="I10" t="s">
        <v>374</v>
      </c>
    </row>
    <row r="11" spans="2:18" x14ac:dyDescent="0.25">
      <c r="B11" s="18" t="s">
        <v>379</v>
      </c>
      <c r="C11" s="18"/>
      <c r="D11" s="116"/>
    </row>
    <row r="12" spans="2:18" x14ac:dyDescent="0.25">
      <c r="B12" s="18" t="s">
        <v>380</v>
      </c>
      <c r="C12" s="18"/>
      <c r="I12" t="s">
        <v>374</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375</v>
      </c>
    </row>
    <row r="30" spans="2:2" x14ac:dyDescent="0.25">
      <c r="B30" t="s">
        <v>376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48" t="s">
        <v>318</v>
      </c>
      <c r="D2" s="349"/>
    </row>
    <row r="3" spans="3:4" x14ac:dyDescent="0.25">
      <c r="C3" s="350"/>
      <c r="D3" s="351"/>
    </row>
    <row r="4" spans="3:4" ht="15.75" thickBot="1" x14ac:dyDescent="0.3">
      <c r="C4" s="158" t="s">
        <v>319</v>
      </c>
      <c r="D4" s="159" t="s">
        <v>320</v>
      </c>
    </row>
    <row r="5" spans="3:4" ht="30" customHeight="1" x14ac:dyDescent="0.25">
      <c r="C5" s="160" t="s">
        <v>321</v>
      </c>
      <c r="D5" s="161">
        <v>1</v>
      </c>
    </row>
    <row r="6" spans="3:4" ht="28.5" customHeight="1" x14ac:dyDescent="0.25">
      <c r="C6" s="162" t="s">
        <v>322</v>
      </c>
      <c r="D6" s="163">
        <v>1</v>
      </c>
    </row>
    <row r="7" spans="3:4" ht="28.5" customHeight="1" x14ac:dyDescent="0.25">
      <c r="C7" s="164" t="s">
        <v>323</v>
      </c>
      <c r="D7" s="163">
        <v>1</v>
      </c>
    </row>
    <row r="8" spans="3:4" ht="28.5" customHeight="1" x14ac:dyDescent="0.25">
      <c r="C8" s="164" t="s">
        <v>324</v>
      </c>
      <c r="D8" s="163">
        <v>1</v>
      </c>
    </row>
    <row r="9" spans="3:4" ht="18.600000000000001" customHeight="1" x14ac:dyDescent="0.25">
      <c r="C9" s="164" t="s">
        <v>325</v>
      </c>
      <c r="D9" s="163">
        <v>1</v>
      </c>
    </row>
    <row r="10" spans="3:4" ht="28.5" customHeight="1" x14ac:dyDescent="0.25">
      <c r="C10" s="164" t="s">
        <v>326</v>
      </c>
      <c r="D10" s="163">
        <v>1</v>
      </c>
    </row>
    <row r="11" spans="3:4" ht="21" customHeight="1" x14ac:dyDescent="0.25">
      <c r="C11" s="162" t="s">
        <v>327</v>
      </c>
      <c r="D11" s="163">
        <v>1</v>
      </c>
    </row>
    <row r="12" spans="3:4" ht="21" customHeight="1" x14ac:dyDescent="0.25">
      <c r="C12" s="162" t="s">
        <v>328</v>
      </c>
      <c r="D12" s="163">
        <v>1</v>
      </c>
    </row>
    <row r="13" spans="3:4" ht="21.6" customHeight="1" x14ac:dyDescent="0.25">
      <c r="C13" s="162" t="s">
        <v>329</v>
      </c>
      <c r="D13" s="163">
        <v>1</v>
      </c>
    </row>
    <row r="14" spans="3:4" ht="28.5" customHeight="1" x14ac:dyDescent="0.25">
      <c r="C14" s="162" t="s">
        <v>330</v>
      </c>
      <c r="D14" s="163">
        <v>1</v>
      </c>
    </row>
    <row r="15" spans="3:4" ht="22.5" customHeight="1" x14ac:dyDescent="0.25">
      <c r="C15" s="165"/>
      <c r="D15" s="163">
        <v>1</v>
      </c>
    </row>
    <row r="16" spans="3:4" ht="28.5" customHeight="1" x14ac:dyDescent="0.25">
      <c r="C16" s="166" t="s">
        <v>331</v>
      </c>
      <c r="D16" s="167"/>
    </row>
    <row r="17" spans="3:4" ht="28.5" customHeight="1" x14ac:dyDescent="0.25">
      <c r="C17" s="160" t="s">
        <v>332</v>
      </c>
      <c r="D17" s="163">
        <v>1</v>
      </c>
    </row>
    <row r="18" spans="3:4" ht="28.5" customHeight="1" x14ac:dyDescent="0.25">
      <c r="C18" s="160" t="s">
        <v>333</v>
      </c>
      <c r="D18" s="163">
        <v>1</v>
      </c>
    </row>
    <row r="19" spans="3:4" ht="28.5" customHeight="1" x14ac:dyDescent="0.25">
      <c r="C19" s="160" t="s">
        <v>334</v>
      </c>
      <c r="D19" s="163">
        <v>1</v>
      </c>
    </row>
    <row r="20" spans="3:4" ht="28.5" customHeight="1" x14ac:dyDescent="0.25">
      <c r="C20" s="162" t="s">
        <v>335</v>
      </c>
      <c r="D20" s="163">
        <v>1</v>
      </c>
    </row>
    <row r="21" spans="3:4" ht="28.5" customHeight="1" x14ac:dyDescent="0.25">
      <c r="C21" s="160" t="s">
        <v>336</v>
      </c>
      <c r="D21" s="163">
        <v>1</v>
      </c>
    </row>
    <row r="22" spans="3:4" ht="28.5" customHeight="1" x14ac:dyDescent="0.25">
      <c r="C22" s="168" t="s">
        <v>337</v>
      </c>
      <c r="D22" s="163">
        <v>1</v>
      </c>
    </row>
    <row r="23" spans="3:4" ht="28.5" customHeight="1" x14ac:dyDescent="0.25">
      <c r="C23" s="160" t="s">
        <v>338</v>
      </c>
      <c r="D23" s="163">
        <v>1</v>
      </c>
    </row>
    <row r="24" spans="3:4" ht="28.5" customHeight="1" x14ac:dyDescent="0.25">
      <c r="C24" s="160" t="s">
        <v>339</v>
      </c>
      <c r="D24" s="163">
        <v>1</v>
      </c>
    </row>
    <row r="25" spans="3:4" ht="28.5" customHeight="1" x14ac:dyDescent="0.25">
      <c r="C25" s="165"/>
      <c r="D25" s="163">
        <v>1</v>
      </c>
    </row>
    <row r="26" spans="3:4" ht="28.5" customHeight="1" x14ac:dyDescent="0.25">
      <c r="C26" s="165"/>
      <c r="D26" s="163">
        <v>1</v>
      </c>
    </row>
    <row r="27" spans="3:4" ht="28.5" customHeight="1" x14ac:dyDescent="0.25">
      <c r="C27" s="166" t="s">
        <v>340</v>
      </c>
      <c r="D27" s="169"/>
    </row>
    <row r="28" spans="3:4" ht="28.5" customHeight="1" x14ac:dyDescent="0.25">
      <c r="C28" s="164" t="s">
        <v>341</v>
      </c>
      <c r="D28" s="163">
        <v>1</v>
      </c>
    </row>
    <row r="29" spans="3:4" ht="28.5" customHeight="1" x14ac:dyDescent="0.25">
      <c r="C29" s="164" t="s">
        <v>342</v>
      </c>
      <c r="D29" s="163">
        <v>1</v>
      </c>
    </row>
    <row r="30" spans="3:4" ht="28.5" customHeight="1" x14ac:dyDescent="0.25">
      <c r="C30" s="164" t="s">
        <v>343</v>
      </c>
      <c r="D30" s="163">
        <v>1</v>
      </c>
    </row>
    <row r="31" spans="3:4" ht="28.5" customHeight="1" x14ac:dyDescent="0.25">
      <c r="C31" s="164" t="s">
        <v>344</v>
      </c>
      <c r="D31" s="163">
        <v>1</v>
      </c>
    </row>
    <row r="32" spans="3:4" ht="28.5" customHeight="1" x14ac:dyDescent="0.25">
      <c r="C32" s="164" t="s">
        <v>345</v>
      </c>
      <c r="D32" s="163">
        <v>1</v>
      </c>
    </row>
    <row r="33" spans="3:4" ht="28.5" customHeight="1" x14ac:dyDescent="0.25">
      <c r="C33" s="170" t="s">
        <v>346</v>
      </c>
      <c r="D33" s="163">
        <v>1</v>
      </c>
    </row>
    <row r="34" spans="3:4" ht="28.5" customHeight="1" x14ac:dyDescent="0.25">
      <c r="C34" s="162" t="s">
        <v>347</v>
      </c>
      <c r="D34" s="163">
        <v>1</v>
      </c>
    </row>
    <row r="35" spans="3:4" ht="28.5" customHeight="1" x14ac:dyDescent="0.25">
      <c r="C35" s="164" t="s">
        <v>348</v>
      </c>
      <c r="D35" s="163">
        <v>1</v>
      </c>
    </row>
    <row r="36" spans="3:4" ht="28.5" customHeight="1" x14ac:dyDescent="0.25">
      <c r="C36" s="164" t="s">
        <v>349</v>
      </c>
      <c r="D36" s="163">
        <v>1</v>
      </c>
    </row>
    <row r="37" spans="3:4" ht="28.5" customHeight="1" x14ac:dyDescent="0.25">
      <c r="C37" s="164" t="s">
        <v>350</v>
      </c>
      <c r="D37" s="163">
        <v>1</v>
      </c>
    </row>
    <row r="38" spans="3:4" ht="28.5" customHeight="1" x14ac:dyDescent="0.25">
      <c r="C38" s="162" t="s">
        <v>351</v>
      </c>
      <c r="D38" s="163">
        <v>1</v>
      </c>
    </row>
    <row r="39" spans="3:4" ht="28.5" customHeight="1" x14ac:dyDescent="0.25">
      <c r="C39" s="170" t="s">
        <v>352</v>
      </c>
      <c r="D39" s="163">
        <v>1</v>
      </c>
    </row>
    <row r="40" spans="3:4" ht="28.5" customHeight="1" x14ac:dyDescent="0.25">
      <c r="C40" s="170" t="s">
        <v>353</v>
      </c>
      <c r="D40" s="163">
        <v>1</v>
      </c>
    </row>
    <row r="41" spans="3:4" ht="28.5" customHeight="1" x14ac:dyDescent="0.25">
      <c r="C41" s="170" t="s">
        <v>354</v>
      </c>
      <c r="D41" s="163">
        <v>1</v>
      </c>
    </row>
    <row r="42" spans="3:4" ht="28.5" customHeight="1" x14ac:dyDescent="0.25">
      <c r="C42" s="170" t="s">
        <v>355</v>
      </c>
      <c r="D42" s="163">
        <v>1</v>
      </c>
    </row>
    <row r="43" spans="3:4" ht="28.5" customHeight="1" x14ac:dyDescent="0.25">
      <c r="C43" s="171"/>
      <c r="D43" s="163"/>
    </row>
    <row r="44" spans="3:4" ht="28.5" customHeight="1" x14ac:dyDescent="0.25">
      <c r="C44" s="171"/>
      <c r="D44" s="163"/>
    </row>
    <row r="45" spans="3:4" ht="28.5" customHeight="1" x14ac:dyDescent="0.25">
      <c r="C45" s="166" t="s">
        <v>356</v>
      </c>
      <c r="D45" s="169"/>
    </row>
    <row r="46" spans="3:4" ht="28.5" customHeight="1" x14ac:dyDescent="0.25">
      <c r="C46" s="170" t="s">
        <v>357</v>
      </c>
      <c r="D46" s="163">
        <v>1</v>
      </c>
    </row>
    <row r="47" spans="3:4" ht="28.5" customHeight="1" x14ac:dyDescent="0.25">
      <c r="C47" s="170" t="s">
        <v>358</v>
      </c>
      <c r="D47" s="163">
        <v>1</v>
      </c>
    </row>
    <row r="48" spans="3:4" ht="28.5" customHeight="1" x14ac:dyDescent="0.25">
      <c r="C48" s="170" t="s">
        <v>359</v>
      </c>
      <c r="D48" s="163">
        <v>1</v>
      </c>
    </row>
    <row r="49" spans="3:4" ht="28.5" customHeight="1" x14ac:dyDescent="0.25">
      <c r="C49" s="170" t="s">
        <v>360</v>
      </c>
      <c r="D49" s="163">
        <v>1</v>
      </c>
    </row>
    <row r="50" spans="3:4" ht="28.5" customHeight="1" x14ac:dyDescent="0.25">
      <c r="C50" s="172" t="s">
        <v>361</v>
      </c>
      <c r="D50" s="163">
        <v>1</v>
      </c>
    </row>
    <row r="51" spans="3:4" ht="28.5" customHeight="1" x14ac:dyDescent="0.25">
      <c r="C51" s="172" t="s">
        <v>362</v>
      </c>
      <c r="D51" s="163">
        <v>1</v>
      </c>
    </row>
    <row r="52" spans="3:4" ht="28.5" customHeight="1" x14ac:dyDescent="0.25">
      <c r="C52" s="172" t="s">
        <v>363</v>
      </c>
      <c r="D52" s="163">
        <v>1</v>
      </c>
    </row>
    <row r="53" spans="3:4" ht="28.5" customHeight="1" x14ac:dyDescent="0.25">
      <c r="C53" s="160" t="s">
        <v>364</v>
      </c>
      <c r="D53" s="163">
        <v>1</v>
      </c>
    </row>
    <row r="54" spans="3:4" ht="28.5" customHeight="1" x14ac:dyDescent="0.25">
      <c r="C54" s="160" t="s">
        <v>365</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8" activePane="bottomLeft" state="frozen"/>
      <selection pane="bottomLeft"/>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364" t="s">
        <v>251</v>
      </c>
      <c r="E2" s="365"/>
      <c r="F2" s="365"/>
      <c r="G2" s="365"/>
      <c r="H2" s="365"/>
      <c r="I2" s="365"/>
      <c r="J2" s="365"/>
      <c r="K2" s="366"/>
      <c r="L2" s="355" t="s">
        <v>205</v>
      </c>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7"/>
      <c r="AP2" s="274" t="s">
        <v>250</v>
      </c>
      <c r="AQ2" s="352"/>
      <c r="AR2" s="352"/>
      <c r="AS2" s="352"/>
      <c r="AT2" s="352"/>
      <c r="AU2" s="352"/>
      <c r="AV2" s="247"/>
    </row>
    <row r="3" spans="1:101" x14ac:dyDescent="0.25">
      <c r="D3" s="367"/>
      <c r="E3" s="368"/>
      <c r="F3" s="368"/>
      <c r="G3" s="368"/>
      <c r="H3" s="368"/>
      <c r="I3" s="368"/>
      <c r="J3" s="368"/>
      <c r="K3" s="369"/>
      <c r="L3" s="358"/>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60"/>
      <c r="AP3" s="275" t="s">
        <v>264</v>
      </c>
      <c r="AQ3" s="353"/>
      <c r="AR3" s="353"/>
      <c r="AS3" s="353"/>
      <c r="AT3" s="353"/>
      <c r="AU3" s="353"/>
      <c r="AV3" s="249"/>
    </row>
    <row r="4" spans="1:101" x14ac:dyDescent="0.25">
      <c r="D4" s="367"/>
      <c r="E4" s="368"/>
      <c r="F4" s="368"/>
      <c r="G4" s="368"/>
      <c r="H4" s="368"/>
      <c r="I4" s="368"/>
      <c r="J4" s="368"/>
      <c r="K4" s="369"/>
      <c r="L4" s="358"/>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59"/>
      <c r="AO4" s="360"/>
      <c r="AP4" s="275" t="s">
        <v>389</v>
      </c>
      <c r="AQ4" s="353" t="s">
        <v>263</v>
      </c>
      <c r="AR4" s="353"/>
      <c r="AS4" s="353"/>
      <c r="AT4" s="353"/>
      <c r="AU4" s="353"/>
      <c r="AV4" s="249"/>
    </row>
    <row r="5" spans="1:101" ht="15.75" thickBot="1" x14ac:dyDescent="0.3">
      <c r="D5" s="370"/>
      <c r="E5" s="371"/>
      <c r="F5" s="371"/>
      <c r="G5" s="371"/>
      <c r="H5" s="371"/>
      <c r="I5" s="371"/>
      <c r="J5" s="371"/>
      <c r="K5" s="372"/>
      <c r="L5" s="361"/>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2"/>
      <c r="AO5" s="363"/>
      <c r="AP5" s="276" t="s">
        <v>245</v>
      </c>
      <c r="AQ5" s="354" t="s">
        <v>245</v>
      </c>
      <c r="AR5" s="354"/>
      <c r="AS5" s="354"/>
      <c r="AT5" s="354"/>
      <c r="AU5" s="354"/>
      <c r="AV5" s="251"/>
    </row>
    <row r="7" spans="1:101" ht="18" customHeight="1" x14ac:dyDescent="0.25">
      <c r="C7" s="69"/>
      <c r="D7" s="463" t="s">
        <v>157</v>
      </c>
      <c r="E7" s="463"/>
      <c r="F7" s="463"/>
      <c r="G7" s="463"/>
      <c r="H7" s="463"/>
      <c r="I7" s="463"/>
      <c r="J7" s="463"/>
      <c r="K7" s="463"/>
      <c r="L7" s="418" t="s">
        <v>2</v>
      </c>
      <c r="M7" s="418"/>
      <c r="N7" s="418"/>
      <c r="O7" s="418"/>
      <c r="P7" s="418"/>
      <c r="Q7" s="418"/>
      <c r="R7" s="418"/>
      <c r="S7" s="418"/>
      <c r="T7" s="418"/>
      <c r="U7" s="418"/>
      <c r="V7" s="418"/>
      <c r="W7" s="418"/>
      <c r="X7" s="418"/>
      <c r="Y7" s="418"/>
      <c r="Z7" s="418"/>
      <c r="AA7" s="418"/>
      <c r="AB7" s="418"/>
      <c r="AC7" s="418"/>
      <c r="AD7" s="418"/>
      <c r="AE7" s="418"/>
      <c r="AF7" s="418"/>
      <c r="AG7" s="418"/>
      <c r="AH7" s="418"/>
      <c r="AI7" s="418"/>
      <c r="AJ7" s="418"/>
      <c r="AK7" s="418"/>
      <c r="AL7" s="418"/>
      <c r="AM7" s="418"/>
      <c r="AN7" s="418"/>
      <c r="AO7" s="418"/>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336" t="s">
        <v>266</v>
      </c>
      <c r="B8" s="336"/>
      <c r="C8" s="337"/>
      <c r="D8" s="463"/>
      <c r="E8" s="463"/>
      <c r="F8" s="463"/>
      <c r="G8" s="463"/>
      <c r="H8" s="463"/>
      <c r="I8" s="463"/>
      <c r="J8" s="463"/>
      <c r="K8" s="463"/>
      <c r="L8" s="418"/>
      <c r="M8" s="418"/>
      <c r="N8" s="418"/>
      <c r="O8" s="418"/>
      <c r="P8" s="418"/>
      <c r="Q8" s="418"/>
      <c r="R8" s="418"/>
      <c r="S8" s="418"/>
      <c r="T8" s="418"/>
      <c r="U8" s="418"/>
      <c r="V8" s="418"/>
      <c r="W8" s="418"/>
      <c r="X8" s="418"/>
      <c r="Y8" s="418"/>
      <c r="Z8" s="418"/>
      <c r="AA8" s="418"/>
      <c r="AB8" s="418"/>
      <c r="AC8" s="418"/>
      <c r="AD8" s="418"/>
      <c r="AE8" s="418"/>
      <c r="AF8" s="418"/>
      <c r="AG8" s="418"/>
      <c r="AH8" s="418"/>
      <c r="AI8" s="418"/>
      <c r="AJ8" s="418"/>
      <c r="AK8" s="418"/>
      <c r="AL8" s="418"/>
      <c r="AM8" s="418"/>
      <c r="AN8" s="418"/>
      <c r="AO8" s="418"/>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463"/>
      <c r="E9" s="463"/>
      <c r="F9" s="463"/>
      <c r="G9" s="463"/>
      <c r="H9" s="463"/>
      <c r="I9" s="463"/>
      <c r="J9" s="463"/>
      <c r="K9" s="463"/>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8"/>
      <c r="AM9" s="418"/>
      <c r="AN9" s="418"/>
      <c r="AO9" s="418"/>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373" t="s">
        <v>4</v>
      </c>
      <c r="E11" s="373"/>
      <c r="F11" s="374"/>
      <c r="G11" s="411" t="s">
        <v>115</v>
      </c>
      <c r="H11" s="412"/>
      <c r="I11" s="412"/>
      <c r="J11" s="412"/>
      <c r="K11" s="412"/>
      <c r="L11" s="420" t="str">
        <f ca="1">IF(AND('Mapa final'!$Q$15="Muy Alta",'Mapa final'!$U$15="Leve"),CONCATENATE("R",'Mapa final'!$A$15),"")</f>
        <v/>
      </c>
      <c r="M11" s="421"/>
      <c r="N11" s="421" t="str">
        <f>IF(AND('Mapa final'!$L$16="Muy Alta",'Mapa final'!$P$16="Leve"),CONCATENATE("R",'Mapa final'!$A$16),"")</f>
        <v/>
      </c>
      <c r="O11" s="421"/>
      <c r="P11" s="421" t="str">
        <f>IF(AND('Mapa final'!$L$17="Muy Alta",'Mapa final'!$P$17="Leve"),CONCATENATE("R",'Mapa final'!$A$17),"")</f>
        <v/>
      </c>
      <c r="Q11" s="434"/>
      <c r="R11" s="420" t="str">
        <f ca="1">IF(AND('Mapa final'!$Q$15="Muy Alta",'Mapa final'!$U$15="Menor"),CONCATENATE("R",'Mapa final'!$A$15),"")</f>
        <v/>
      </c>
      <c r="S11" s="421"/>
      <c r="T11" s="421" t="str">
        <f ca="1">IF(AND('Mapa final'!$Q$16="Muy Alta",'Mapa final'!$U$16="Menor"),CONCATENATE("R",'Mapa final'!$A$16),"")</f>
        <v/>
      </c>
      <c r="U11" s="421"/>
      <c r="V11" s="421" t="str">
        <f ca="1">IF(AND('Mapa final'!$Q$17="Muy Alta",'Mapa final'!$U$17="Menor"),CONCATENATE("R",'Mapa final'!$A$17),"")</f>
        <v/>
      </c>
      <c r="W11" s="421"/>
      <c r="X11" s="420" t="str">
        <f ca="1">IF(AND('Mapa final'!$Q$15="Muy Alta",'Mapa final'!$U$15="Moderado"),CONCATENATE("R",'Mapa final'!$A$15),"")</f>
        <v/>
      </c>
      <c r="Y11" s="421"/>
      <c r="Z11" s="421" t="str">
        <f ca="1">IF(AND('Mapa final'!Q$16="Muy Alta",'Mapa final'!$U$16="Moderado"),CONCATENATE("R",'Mapa final'!$A$16),"")</f>
        <v/>
      </c>
      <c r="AA11" s="421"/>
      <c r="AB11" s="421" t="str">
        <f ca="1">IF(AND('Mapa final'!$Q$17="Muy Alta",'Mapa final'!$U$17="Moderado"),CONCATENATE("R",'Mapa final'!$A$17),"")</f>
        <v/>
      </c>
      <c r="AC11" s="421"/>
      <c r="AD11" s="420" t="str">
        <f ca="1">IF(AND('Mapa final'!$Q$15="Muy Alta",'Mapa final'!$U$15="Mayor"),CONCATENATE("R",'Mapa final'!$A$15),"")</f>
        <v/>
      </c>
      <c r="AE11" s="421"/>
      <c r="AF11" s="421" t="str">
        <f ca="1">IF(AND('Mapa final'!$Q$16="Muy Alta",'Mapa final'!$U$16="Mayor"),CONCATENATE("R",'Mapa final'!$A$16),"")</f>
        <v/>
      </c>
      <c r="AG11" s="421"/>
      <c r="AH11" s="421" t="str">
        <f ca="1">IF(AND('Mapa final'!$Q$17="Muy Alta",'Mapa final'!$U$17="Mayor"),CONCATENATE("R",'Mapa final'!$A$17),"")</f>
        <v/>
      </c>
      <c r="AI11" s="421"/>
      <c r="AJ11" s="439" t="str">
        <f ca="1">IF(AND('Mapa final'!$Q$15="Muy Alta",'Mapa final'!$U$15="Catastrófico"),CONCATENATE("R",'Mapa final'!$A$15),"")</f>
        <v/>
      </c>
      <c r="AK11" s="440"/>
      <c r="AL11" s="440" t="str">
        <f ca="1">IF(AND('Mapa final'!$Q$16="Muy Alta",'Mapa final'!$U$16="Catastrófico"),CONCATENATE("R",'Mapa final'!$A$16),"")</f>
        <v/>
      </c>
      <c r="AM11" s="440"/>
      <c r="AN11" s="440" t="str">
        <f ca="1">IF(AND('Mapa final'!$Q$17="Muy Alta",'Mapa final'!$U$17="Catastrófico"),CONCATENATE("R",'Mapa final'!$A$17),"")</f>
        <v/>
      </c>
      <c r="AO11" s="441"/>
      <c r="AQ11" s="375" t="s">
        <v>78</v>
      </c>
      <c r="AR11" s="376"/>
      <c r="AS11" s="376"/>
      <c r="AT11" s="376"/>
      <c r="AU11" s="376"/>
      <c r="AV11" s="377"/>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373"/>
      <c r="E12" s="373"/>
      <c r="F12" s="374"/>
      <c r="G12" s="413"/>
      <c r="H12" s="414"/>
      <c r="I12" s="414"/>
      <c r="J12" s="414"/>
      <c r="K12" s="415"/>
      <c r="L12" s="422"/>
      <c r="M12" s="419"/>
      <c r="N12" s="419"/>
      <c r="O12" s="419"/>
      <c r="P12" s="419"/>
      <c r="Q12" s="427"/>
      <c r="R12" s="422"/>
      <c r="S12" s="419"/>
      <c r="T12" s="419"/>
      <c r="U12" s="419"/>
      <c r="V12" s="419"/>
      <c r="W12" s="419"/>
      <c r="X12" s="422"/>
      <c r="Y12" s="419"/>
      <c r="Z12" s="419"/>
      <c r="AA12" s="419"/>
      <c r="AB12" s="419"/>
      <c r="AC12" s="419"/>
      <c r="AD12" s="422"/>
      <c r="AE12" s="419"/>
      <c r="AF12" s="419"/>
      <c r="AG12" s="419"/>
      <c r="AH12" s="419"/>
      <c r="AI12" s="419"/>
      <c r="AJ12" s="436"/>
      <c r="AK12" s="437"/>
      <c r="AL12" s="437"/>
      <c r="AM12" s="437"/>
      <c r="AN12" s="437"/>
      <c r="AO12" s="438"/>
      <c r="AP12" s="69"/>
      <c r="AQ12" s="378"/>
      <c r="AR12" s="379"/>
      <c r="AS12" s="379"/>
      <c r="AT12" s="379"/>
      <c r="AU12" s="379"/>
      <c r="AV12" s="380"/>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373"/>
      <c r="E13" s="373"/>
      <c r="F13" s="374"/>
      <c r="G13" s="413"/>
      <c r="H13" s="414"/>
      <c r="I13" s="414"/>
      <c r="J13" s="414"/>
      <c r="K13" s="415"/>
      <c r="L13" s="422" t="str">
        <f>IF(AND('Mapa final'!$Q$18="Muy Alta",'Mapa final'!$U$18="Leve"),CONCATENATE("R",'Mapa final'!$A$18),"")</f>
        <v/>
      </c>
      <c r="M13" s="419"/>
      <c r="N13" s="419" t="str">
        <f>IF(AND('Mapa final'!$L$19="Muy Alta",'Mapa final'!$P$19="Leve"),CONCATENATE("R",'Mapa final'!$A$19),"")</f>
        <v/>
      </c>
      <c r="O13" s="419"/>
      <c r="P13" s="419" t="str">
        <f>IF(AND('Mapa final'!$L$20="Muy Alta",'Mapa final'!$P$20="Leve"),CONCATENATE("R",'Mapa final'!$A$20),"")</f>
        <v/>
      </c>
      <c r="Q13" s="427"/>
      <c r="R13" s="422" t="str">
        <f>IF(AND('Mapa final'!$Q$18="Muy Alta",'Mapa final'!$U$18="Menor"),CONCATENATE("R",'Mapa final'!$A$18),"")</f>
        <v/>
      </c>
      <c r="S13" s="419"/>
      <c r="T13" s="419" t="str">
        <f ca="1">IF(AND('Mapa final'!$Q$19="Muy Alta",'Mapa final'!$U$19="Menor"),CONCATENATE("R",'Mapa final'!$A$19),"")</f>
        <v/>
      </c>
      <c r="U13" s="419"/>
      <c r="V13" s="419" t="str">
        <f ca="1">IF(AND('Mapa final'!$Q$20="Muy Alta",'Mapa final'!$U$20="Menor"),CONCATENATE("R",'Mapa final'!$A$20),"")</f>
        <v/>
      </c>
      <c r="W13" s="419"/>
      <c r="X13" s="422" t="str">
        <f>IF(AND('Mapa final'!$Q$18="Muy Alta",'Mapa final'!$U$18="Moderado"),CONCATENATE("R",'Mapa final'!$A$18),"")</f>
        <v/>
      </c>
      <c r="Y13" s="419"/>
      <c r="Z13" s="419" t="str">
        <f ca="1">IF(AND('Mapa final'!$Q$19="Muy Alta",'Mapa final'!$U$19="Moderado"),CONCATENATE("R",'Mapa final'!$A$19),"")</f>
        <v/>
      </c>
      <c r="AA13" s="419"/>
      <c r="AB13" s="419" t="str">
        <f ca="1">IF(AND('Mapa final'!$Q$20="Muy Alta",'Mapa final'!$U$20="Moderado"),CONCATENATE("R",'Mapa final'!$A$20),"")</f>
        <v/>
      </c>
      <c r="AC13" s="419"/>
      <c r="AD13" s="422" t="str">
        <f>IF(AND('Mapa final'!$Q$18="Muy Alta",'Mapa final'!$U$18="Mayor"),CONCATENATE("R",'Mapa final'!$A$18),"")</f>
        <v/>
      </c>
      <c r="AE13" s="419"/>
      <c r="AF13" s="419" t="str">
        <f ca="1">IF(AND('Mapa final'!$Q$19="Muy Alta",'Mapa final'!$U$19="Mayor"),CONCATENATE("R",'Mapa final'!$A$19),"")</f>
        <v/>
      </c>
      <c r="AG13" s="419"/>
      <c r="AH13" s="419" t="str">
        <f ca="1">IF(AND('Mapa final'!$Q$20="Muy Alta",'Mapa final'!$U$20="Mayor"),CONCATENATE("R",'Mapa final'!$A$20),"")</f>
        <v/>
      </c>
      <c r="AI13" s="419"/>
      <c r="AJ13" s="436" t="str">
        <f>IF(AND('Mapa final'!$Q$18="Muy Alta",'Mapa final'!$U$18="Catastrófico"),CONCATENATE("R",'Mapa final'!$A$18),"")</f>
        <v/>
      </c>
      <c r="AK13" s="437"/>
      <c r="AL13" s="437" t="str">
        <f ca="1">IF(AND('Mapa final'!$Q$19="Muy Alta",'Mapa final'!$U$19="Catastrófico"),CONCATENATE("R",'Mapa final'!$A$19),"")</f>
        <v/>
      </c>
      <c r="AM13" s="437"/>
      <c r="AN13" s="437" t="str">
        <f>IF(AND('Mapa final'!$Q$20="Muy Alta",'Mapa final'!$L$20="Catastrófico"),CONCATENATE("R",'Mapa final'!$A$20),"")</f>
        <v/>
      </c>
      <c r="AO13" s="438"/>
      <c r="AP13" s="69"/>
      <c r="AQ13" s="378"/>
      <c r="AR13" s="379"/>
      <c r="AS13" s="379"/>
      <c r="AT13" s="379"/>
      <c r="AU13" s="379"/>
      <c r="AV13" s="380"/>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373"/>
      <c r="E14" s="373"/>
      <c r="F14" s="374"/>
      <c r="G14" s="413"/>
      <c r="H14" s="414"/>
      <c r="I14" s="414"/>
      <c r="J14" s="414"/>
      <c r="K14" s="415"/>
      <c r="L14" s="422"/>
      <c r="M14" s="419"/>
      <c r="N14" s="419"/>
      <c r="O14" s="419"/>
      <c r="P14" s="419"/>
      <c r="Q14" s="427"/>
      <c r="R14" s="422"/>
      <c r="S14" s="419"/>
      <c r="T14" s="419"/>
      <c r="U14" s="419"/>
      <c r="V14" s="419"/>
      <c r="W14" s="419"/>
      <c r="X14" s="422"/>
      <c r="Y14" s="419"/>
      <c r="Z14" s="419"/>
      <c r="AA14" s="419"/>
      <c r="AB14" s="419"/>
      <c r="AC14" s="419"/>
      <c r="AD14" s="422"/>
      <c r="AE14" s="419"/>
      <c r="AF14" s="419"/>
      <c r="AG14" s="419"/>
      <c r="AH14" s="419"/>
      <c r="AI14" s="419"/>
      <c r="AJ14" s="436"/>
      <c r="AK14" s="437"/>
      <c r="AL14" s="437"/>
      <c r="AM14" s="437"/>
      <c r="AN14" s="437"/>
      <c r="AO14" s="438"/>
      <c r="AP14" s="69"/>
      <c r="AQ14" s="378"/>
      <c r="AR14" s="379"/>
      <c r="AS14" s="379"/>
      <c r="AT14" s="379"/>
      <c r="AU14" s="379"/>
      <c r="AV14" s="380"/>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373"/>
      <c r="E15" s="373"/>
      <c r="F15" s="374"/>
      <c r="G15" s="413"/>
      <c r="H15" s="414"/>
      <c r="I15" s="414"/>
      <c r="J15" s="414"/>
      <c r="K15" s="415"/>
      <c r="L15" s="422" t="str">
        <f ca="1">IF(AND('Mapa final'!$Q$21="Muy Alta",'Mapa final'!$U$21="Leve"),CONCATENATE("R",'Mapa final'!$A$21),"")</f>
        <v/>
      </c>
      <c r="M15" s="419"/>
      <c r="N15" s="419" t="str">
        <f>IF(AND('Mapa final'!$L$22="Muy Alta",'Mapa final'!$P$22="Leve"),CONCATENATE("R",'Mapa final'!$A$22),"")</f>
        <v/>
      </c>
      <c r="O15" s="419"/>
      <c r="P15" s="419" t="str">
        <f>IF(AND('Mapa final'!$L$23="Muy Alta",'Mapa final'!$P$23="Leve"),CONCATENATE("R",'Mapa final'!$A$23),"")</f>
        <v/>
      </c>
      <c r="Q15" s="427"/>
      <c r="R15" s="422" t="str">
        <f ca="1">IF(AND('Mapa final'!$Q$21="Muy Alta",'Mapa final'!$U$21="Menor"),CONCATENATE("R",'Mapa final'!$A$21),"")</f>
        <v/>
      </c>
      <c r="S15" s="419"/>
      <c r="T15" s="419" t="str">
        <f ca="1">IF(AND('Mapa final'!$LR$22="Muy Alta",'Mapa final'!$U$22="Menor"),CONCATENATE("R",'Mapa final'!$A$22),"")</f>
        <v/>
      </c>
      <c r="U15" s="419"/>
      <c r="V15" s="419" t="str">
        <f>IF(AND('Mapa final'!$Q$23="Muy Alta",'Mapa final'!$U$23="Menor"),CONCATENATE("R",'Mapa final'!$A$23),"")</f>
        <v/>
      </c>
      <c r="W15" s="419"/>
      <c r="X15" s="422" t="str">
        <f ca="1">IF(AND('Mapa final'!$Q$21="Muy Alta",'Mapa final'!$U$21="Moderado"),CONCATENATE("R",'Mapa final'!$A$21),"")</f>
        <v/>
      </c>
      <c r="Y15" s="419"/>
      <c r="Z15" s="419" t="str">
        <f ca="1">IF(AND('Mapa final'!$Q$22="Muy Alta",'Mapa final'!$U$22="Moderado"),CONCATENATE("R",'Mapa final'!$A$22),"")</f>
        <v/>
      </c>
      <c r="AA15" s="419"/>
      <c r="AB15" s="419" t="str">
        <f>IF(AND('Mapa final'!$Q$23="Muy Alta",'Mapa final'!$U$23="Moderado"),CONCATENATE("R",'Mapa final'!$A$23),"")</f>
        <v/>
      </c>
      <c r="AC15" s="419"/>
      <c r="AD15" s="422" t="str">
        <f ca="1">IF(AND('Mapa final'!$Q$21="Muy Alta",'Mapa final'!$U$21="Mayor"),CONCATENATE("R",'Mapa final'!$A$21),"")</f>
        <v/>
      </c>
      <c r="AE15" s="419"/>
      <c r="AF15" s="419" t="str">
        <f ca="1">IF(AND('Mapa final'!$Q$22="Muy Alta",'Mapa final'!$U$22="Mayor"),CONCATENATE("R",'Mapa final'!$A$22),"")</f>
        <v/>
      </c>
      <c r="AG15" s="419"/>
      <c r="AH15" s="419" t="str">
        <f>IF(AND('Mapa final'!$Q$23="Muy Alta",'Mapa final'!$U$23="Mayor"),CONCATENATE("R",'Mapa final'!$A$23),"")</f>
        <v/>
      </c>
      <c r="AI15" s="419"/>
      <c r="AJ15" s="436" t="str">
        <f ca="1">IF(AND('Mapa final'!$Q$21="Muy Alta",'Mapa final'!$U$21="Catastrófico"),CONCATENATE("R",'Mapa final'!$A$21),"")</f>
        <v/>
      </c>
      <c r="AK15" s="437"/>
      <c r="AL15" s="437" t="str">
        <f ca="1">IF(AND('Mapa final'!$Q$22="Muy Alta",'Mapa final'!$U$22="Catastrófico"),CONCATENATE("R",'Mapa final'!$A$22),"")</f>
        <v/>
      </c>
      <c r="AM15" s="437"/>
      <c r="AN15" s="437" t="str">
        <f>IF(AND('Mapa final'!$Q$23="Muy Alta",'Mapa final'!$U$23="Catastrófico"),CONCATENATE("R",'Mapa final'!$A$23),"")</f>
        <v/>
      </c>
      <c r="AO15" s="438"/>
      <c r="AP15" s="69"/>
      <c r="AQ15" s="378"/>
      <c r="AR15" s="379"/>
      <c r="AS15" s="379"/>
      <c r="AT15" s="379"/>
      <c r="AU15" s="379"/>
      <c r="AV15" s="380"/>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373"/>
      <c r="E16" s="373"/>
      <c r="F16" s="374"/>
      <c r="G16" s="413"/>
      <c r="H16" s="414"/>
      <c r="I16" s="414"/>
      <c r="J16" s="414"/>
      <c r="K16" s="415"/>
      <c r="L16" s="422"/>
      <c r="M16" s="419"/>
      <c r="N16" s="419"/>
      <c r="O16" s="419"/>
      <c r="P16" s="419"/>
      <c r="Q16" s="427"/>
      <c r="R16" s="422"/>
      <c r="S16" s="419"/>
      <c r="T16" s="419"/>
      <c r="U16" s="419"/>
      <c r="V16" s="419"/>
      <c r="W16" s="419"/>
      <c r="X16" s="422"/>
      <c r="Y16" s="419"/>
      <c r="Z16" s="419"/>
      <c r="AA16" s="419"/>
      <c r="AB16" s="419"/>
      <c r="AC16" s="419"/>
      <c r="AD16" s="422"/>
      <c r="AE16" s="419"/>
      <c r="AF16" s="419"/>
      <c r="AG16" s="419"/>
      <c r="AH16" s="419"/>
      <c r="AI16" s="419"/>
      <c r="AJ16" s="436"/>
      <c r="AK16" s="437"/>
      <c r="AL16" s="437"/>
      <c r="AM16" s="437"/>
      <c r="AN16" s="437"/>
      <c r="AO16" s="438"/>
      <c r="AP16" s="69"/>
      <c r="AQ16" s="378"/>
      <c r="AR16" s="379"/>
      <c r="AS16" s="379"/>
      <c r="AT16" s="379"/>
      <c r="AU16" s="379"/>
      <c r="AV16" s="380"/>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373"/>
      <c r="E17" s="373"/>
      <c r="F17" s="374"/>
      <c r="G17" s="413"/>
      <c r="H17" s="414"/>
      <c r="I17" s="414"/>
      <c r="J17" s="414"/>
      <c r="K17" s="415"/>
      <c r="L17" s="422" t="str">
        <f>IF(AND('Mapa final'!$Q$24="Muy Alta",'Mapa final'!$U$24="Leve"),CONCATENATE("R",'Mapa final'!$A$24),"")</f>
        <v/>
      </c>
      <c r="M17" s="419"/>
      <c r="N17" s="419" t="str">
        <f>IF(AND('Mapa final'!$L$25="Muy Alta",'Mapa final'!$P$25="Leve"),CONCATENATE("R",'Mapa final'!$A$25),"")</f>
        <v/>
      </c>
      <c r="O17" s="419"/>
      <c r="P17" s="419" t="str">
        <f>IF(AND('Mapa final'!$L$26="Muy Alta",'Mapa final'!$P$26="Leve"),CONCATENATE("R",'Mapa final'!$A$26),"")</f>
        <v/>
      </c>
      <c r="Q17" s="427"/>
      <c r="R17" s="422" t="str">
        <f>IF(AND('Mapa final'!$Q$24="Muy Alta",'Mapa final'!$U$24="Menor"),CONCATENATE("R",'Mapa final'!$A$24),"")</f>
        <v/>
      </c>
      <c r="S17" s="419"/>
      <c r="T17" s="419" t="str">
        <f>IF(AND('Mapa final'!$Q$25="Muy Alta",'Mapa final'!$U$25="Menor"),CONCATENATE("R",'Mapa final'!$A$25),"")</f>
        <v/>
      </c>
      <c r="U17" s="419"/>
      <c r="V17" s="419" t="str">
        <f>IF(AND('Mapa final'!$Q$26="Muy Alta",'Mapa final'!$U$26="Menor"),CONCATENATE("R",'Mapa final'!$A$26),"")</f>
        <v/>
      </c>
      <c r="W17" s="419"/>
      <c r="X17" s="422" t="str">
        <f>IF(AND('Mapa final'!$Q$24="Muy Alta",'Mapa final'!$U$24="Moderado"),CONCATENATE("R",'Mapa final'!$A$24),"")</f>
        <v/>
      </c>
      <c r="Y17" s="419"/>
      <c r="Z17" s="419" t="str">
        <f>IF(AND('Mapa final'!$Q$25="Muy Alta",'Mapa final'!$U$25="Moderado"),CONCATENATE("R",'Mapa final'!$A$25),"")</f>
        <v/>
      </c>
      <c r="AA17" s="419"/>
      <c r="AB17" s="419" t="str">
        <f>IF(AND('Mapa final'!$Q$26="Muy Alta",'Mapa final'!$U$26="Moderado"),CONCATENATE("R",'Mapa final'!$A$26),"")</f>
        <v/>
      </c>
      <c r="AC17" s="419"/>
      <c r="AD17" s="422" t="str">
        <f>IF(AND('Mapa final'!$Q$24="Muy Alta",'Mapa final'!$U$24="Mayor"),CONCATENATE("R",'Mapa final'!$A$24),"")</f>
        <v/>
      </c>
      <c r="AE17" s="419"/>
      <c r="AF17" s="419" t="str">
        <f>IF(AND('Mapa final'!$Q$25="Muy Alta",'Mapa final'!$U$25="Mayor"),CONCATENATE("R",'Mapa final'!$A$25),"")</f>
        <v/>
      </c>
      <c r="AG17" s="419"/>
      <c r="AH17" s="419" t="str">
        <f>IF(AND('Mapa final'!$Q$26="Muy Alta",'Mapa final'!$U$26="Mayor"),CONCATENATE("R",'Mapa final'!$A$26),"")</f>
        <v/>
      </c>
      <c r="AI17" s="419"/>
      <c r="AJ17" s="436" t="str">
        <f>IF(AND('Mapa final'!$Q$24="Muy Alta",'Mapa final'!$U$24="Catastrófico"),CONCATENATE("R",'Mapa final'!$A$24),"")</f>
        <v/>
      </c>
      <c r="AK17" s="437"/>
      <c r="AL17" s="437" t="str">
        <f>IF(AND('Mapa final'!$Q$25="Muy Alta",'Mapa final'!$U$25="Catastrófico"),CONCATENATE("R",'Mapa final'!$A$25),"")</f>
        <v/>
      </c>
      <c r="AM17" s="437"/>
      <c r="AN17" s="437" t="str">
        <f>IF(AND('Mapa final'!$Q$26="Muy Alta",'Mapa final'!$U$26="Catastrófico"),CONCATENATE("R",'Mapa final'!$A$26),"")</f>
        <v/>
      </c>
      <c r="AO17" s="438"/>
      <c r="AP17" s="69"/>
      <c r="AQ17" s="378"/>
      <c r="AR17" s="379"/>
      <c r="AS17" s="379"/>
      <c r="AT17" s="379"/>
      <c r="AU17" s="379"/>
      <c r="AV17" s="380"/>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373"/>
      <c r="E18" s="373"/>
      <c r="F18" s="374"/>
      <c r="G18" s="416"/>
      <c r="H18" s="417"/>
      <c r="I18" s="417"/>
      <c r="J18" s="417"/>
      <c r="K18" s="417"/>
      <c r="L18" s="433"/>
      <c r="M18" s="428"/>
      <c r="N18" s="428"/>
      <c r="O18" s="428"/>
      <c r="P18" s="428"/>
      <c r="Q18" s="429"/>
      <c r="R18" s="433"/>
      <c r="S18" s="428"/>
      <c r="T18" s="428"/>
      <c r="U18" s="428"/>
      <c r="V18" s="428"/>
      <c r="W18" s="428"/>
      <c r="X18" s="422"/>
      <c r="Y18" s="419"/>
      <c r="Z18" s="419"/>
      <c r="AA18" s="419"/>
      <c r="AB18" s="419"/>
      <c r="AC18" s="419"/>
      <c r="AD18" s="422"/>
      <c r="AE18" s="419"/>
      <c r="AF18" s="419"/>
      <c r="AG18" s="419"/>
      <c r="AH18" s="419"/>
      <c r="AI18" s="419"/>
      <c r="AJ18" s="436"/>
      <c r="AK18" s="437"/>
      <c r="AL18" s="437"/>
      <c r="AM18" s="437"/>
      <c r="AN18" s="437"/>
      <c r="AO18" s="438"/>
      <c r="AP18" s="69"/>
      <c r="AQ18" s="381"/>
      <c r="AR18" s="382"/>
      <c r="AS18" s="382"/>
      <c r="AT18" s="382"/>
      <c r="AU18" s="382"/>
      <c r="AV18" s="383"/>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373"/>
      <c r="E19" s="373"/>
      <c r="F19" s="374"/>
      <c r="G19" s="411" t="s">
        <v>114</v>
      </c>
      <c r="H19" s="412"/>
      <c r="I19" s="412"/>
      <c r="J19" s="412"/>
      <c r="K19" s="412"/>
      <c r="L19" s="450" t="str">
        <f ca="1">IF(AND('Mapa final'!$Q$15="Alta",'Mapa final'!$U$15="Leve"),CONCATENATE("R",'Mapa final'!$A$15),"")</f>
        <v/>
      </c>
      <c r="M19" s="451"/>
      <c r="N19" s="451" t="str">
        <f>IF(AND('Mapa final'!$L$16="Alta",'Mapa final'!$P$16="Leve"),CONCATENATE("R",'Mapa final'!$A$16),"")</f>
        <v/>
      </c>
      <c r="O19" s="451"/>
      <c r="P19" s="451" t="str">
        <f>IF(AND('Mapa final'!$L$17="Alta",'Mapa final'!$P$17="Leve"),CONCATENATE("R",'Mapa final'!$A$17),"")</f>
        <v/>
      </c>
      <c r="Q19" s="452"/>
      <c r="R19" s="450" t="str">
        <f ca="1">IF(AND('Mapa final'!$Q$15="Alta",'Mapa final'!$U$15="Menor"),CONCATENATE("R",'Mapa final'!$A$15),"")</f>
        <v/>
      </c>
      <c r="S19" s="451"/>
      <c r="T19" s="431" t="str">
        <f ca="1">IF(AND('Mapa final'!$Q$16="Alta",'Mapa final'!$U$16="Menor"),CONCATENATE("R",'Mapa final'!$A$16),"")</f>
        <v/>
      </c>
      <c r="U19" s="431"/>
      <c r="V19" s="431" t="str">
        <f ca="1">IF(AND('Mapa final'!$Q$17="Alta",'Mapa final'!$U$17="Menor"),CONCATENATE("R",'Mapa final'!$A$17),"")</f>
        <v/>
      </c>
      <c r="W19" s="431"/>
      <c r="X19" s="420" t="str">
        <f ca="1">IF(AND('Mapa final'!$Q$15="Alta",'Mapa final'!$U$15="Moderado"),CONCATENATE("R",'Mapa final'!$A$15),"")</f>
        <v/>
      </c>
      <c r="Y19" s="421"/>
      <c r="Z19" s="421" t="str">
        <f ca="1">IF(AND('Mapa final'!Q$16="Alta",'Mapa final'!$U$16="Moderado"),CONCATENATE("R",'Mapa final'!$A$16),"")</f>
        <v/>
      </c>
      <c r="AA19" s="421"/>
      <c r="AB19" s="421" t="str">
        <f ca="1">IF(AND('Mapa final'!$Q$17="Alta",'Mapa final'!$U$17="Moderado"),CONCATENATE("R",'Mapa final'!$A$17),"")</f>
        <v/>
      </c>
      <c r="AC19" s="421"/>
      <c r="AD19" s="420" t="str">
        <f ca="1">IF(AND('Mapa final'!$Q$15="Alta",'Mapa final'!$U$15="Mayor"),CONCATENATE("R",'Mapa final'!$A$15),"")</f>
        <v/>
      </c>
      <c r="AE19" s="421"/>
      <c r="AF19" s="421" t="str">
        <f ca="1">IF(AND('Mapa final'!$Q$16="Alta",'Mapa final'!$U$16="Mayor"),CONCATENATE("R",'Mapa final'!$A$16),"")</f>
        <v/>
      </c>
      <c r="AG19" s="421"/>
      <c r="AH19" s="421" t="str">
        <f ca="1">IF(AND('Mapa final'!$Q$17="Alta",'Mapa final'!$U$17="Mayor"),CONCATENATE("R",'Mapa final'!$A$17),"")</f>
        <v/>
      </c>
      <c r="AI19" s="421"/>
      <c r="AJ19" s="439" t="str">
        <f ca="1">IF(AND('Mapa final'!$Q$15="Alta",'Mapa final'!$U$15="Catastrófico"),CONCATENATE("R",'Mapa final'!$A$15),"")</f>
        <v/>
      </c>
      <c r="AK19" s="440"/>
      <c r="AL19" s="440" t="str">
        <f ca="1">IF(AND('Mapa final'!$Q$16="Alta",'Mapa final'!$U$16="Catastrófico"),CONCATENATE("R",'Mapa final'!$A$16),"")</f>
        <v/>
      </c>
      <c r="AM19" s="440"/>
      <c r="AN19" s="440" t="str">
        <f ca="1">IF(AND('Mapa final'!$Q$17="Alta",'Mapa final'!$U$17="Catastrófico"),CONCATENATE("R",'Mapa final'!$A$17),"")</f>
        <v/>
      </c>
      <c r="AO19" s="441"/>
      <c r="AP19" s="69"/>
      <c r="AQ19" s="384" t="s">
        <v>79</v>
      </c>
      <c r="AR19" s="385"/>
      <c r="AS19" s="385"/>
      <c r="AT19" s="385"/>
      <c r="AU19" s="385"/>
      <c r="AV19" s="386"/>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373"/>
      <c r="E20" s="373"/>
      <c r="F20" s="374"/>
      <c r="G20" s="413"/>
      <c r="H20" s="414"/>
      <c r="I20" s="414"/>
      <c r="J20" s="414"/>
      <c r="K20" s="414"/>
      <c r="L20" s="430"/>
      <c r="M20" s="431"/>
      <c r="N20" s="431"/>
      <c r="O20" s="431"/>
      <c r="P20" s="431"/>
      <c r="Q20" s="446"/>
      <c r="R20" s="430"/>
      <c r="S20" s="431"/>
      <c r="T20" s="453"/>
      <c r="U20" s="453"/>
      <c r="V20" s="453"/>
      <c r="W20" s="453"/>
      <c r="X20" s="422"/>
      <c r="Y20" s="419"/>
      <c r="Z20" s="419"/>
      <c r="AA20" s="419"/>
      <c r="AB20" s="419"/>
      <c r="AC20" s="419"/>
      <c r="AD20" s="422"/>
      <c r="AE20" s="419"/>
      <c r="AF20" s="419"/>
      <c r="AG20" s="419"/>
      <c r="AH20" s="419"/>
      <c r="AI20" s="419"/>
      <c r="AJ20" s="436"/>
      <c r="AK20" s="437"/>
      <c r="AL20" s="437"/>
      <c r="AM20" s="437"/>
      <c r="AN20" s="437"/>
      <c r="AO20" s="438"/>
      <c r="AP20" s="69"/>
      <c r="AQ20" s="387"/>
      <c r="AR20" s="388"/>
      <c r="AS20" s="388"/>
      <c r="AT20" s="388"/>
      <c r="AU20" s="388"/>
      <c r="AV20" s="38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373"/>
      <c r="E21" s="373"/>
      <c r="F21" s="374"/>
      <c r="G21" s="413"/>
      <c r="H21" s="414"/>
      <c r="I21" s="414"/>
      <c r="J21" s="414"/>
      <c r="K21" s="414"/>
      <c r="L21" s="430" t="str">
        <f>IF(AND('Mapa final'!$Q$18="Alta",'Mapa final'!$U$18="Leve"),CONCATENATE("R",'Mapa final'!$A$18),"")</f>
        <v/>
      </c>
      <c r="M21" s="431"/>
      <c r="N21" s="431" t="str">
        <f>IF(AND('Mapa final'!$L$19="Alta",'Mapa final'!$P$19="Leve"),CONCATENATE("R",'Mapa final'!$A$19),"")</f>
        <v/>
      </c>
      <c r="O21" s="431"/>
      <c r="P21" s="431" t="str">
        <f>IF(AND('Mapa final'!$L$20="Alta",'Mapa final'!$P$20="Leve"),CONCATENATE("R",'Mapa final'!$A$20),"")</f>
        <v/>
      </c>
      <c r="Q21" s="446"/>
      <c r="R21" s="430" t="str">
        <f>IF(AND('Mapa final'!$Q$18="Alta",'Mapa final'!$U$18="Menor"),CONCATENATE("R",'Mapa final'!$A$18),"")</f>
        <v/>
      </c>
      <c r="S21" s="431"/>
      <c r="T21" s="431" t="str">
        <f ca="1">IF(AND('Mapa final'!$Q$19="Alta",'Mapa final'!$U$19="Menor"),CONCATENATE("R",'Mapa final'!$A$19),"")</f>
        <v/>
      </c>
      <c r="U21" s="431"/>
      <c r="V21" s="431" t="str">
        <f ca="1">IF(AND('Mapa final'!$Q$20="Alta",'Mapa final'!$U$20="Menor"),CONCATENATE("R",'Mapa final'!$A$20),"")</f>
        <v/>
      </c>
      <c r="W21" s="431"/>
      <c r="X21" s="422" t="str">
        <f>IF(AND('Mapa final'!$Q$18="Alta",'Mapa final'!$U$18="Moderado"),CONCATENATE("R",'Mapa final'!$A$18),"")</f>
        <v/>
      </c>
      <c r="Y21" s="419"/>
      <c r="Z21" s="419" t="str">
        <f ca="1">IF(AND('Mapa final'!$Q$19="Alta",'Mapa final'!$U$19="Moderado"),CONCATENATE("R",'Mapa final'!$A$19),"")</f>
        <v/>
      </c>
      <c r="AA21" s="419"/>
      <c r="AB21" s="419" t="str">
        <f ca="1">IF(AND('Mapa final'!$Q$20="Alta",'Mapa final'!$U$20="Moderado"),CONCATENATE("R",'Mapa final'!$A$20),"")</f>
        <v/>
      </c>
      <c r="AC21" s="419"/>
      <c r="AD21" s="422" t="str">
        <f>IF(AND('Mapa final'!$Q$18="Alta",'Mapa final'!$U$18="Mayor"),CONCATENATE("R",'Mapa final'!$A$18),"")</f>
        <v/>
      </c>
      <c r="AE21" s="419"/>
      <c r="AF21" s="419" t="str">
        <f ca="1">IF(AND('Mapa final'!$Q$19="Alta",'Mapa final'!$U$19="Mayor"),CONCATENATE("R",'Mapa final'!$A$19),"")</f>
        <v/>
      </c>
      <c r="AG21" s="419"/>
      <c r="AH21" s="419" t="str">
        <f ca="1">IF(AND('Mapa final'!$Q$20="Alta",'Mapa final'!$U$20="Mayor"),CONCATENATE("R",'Mapa final'!$A$20),"")</f>
        <v/>
      </c>
      <c r="AI21" s="419"/>
      <c r="AJ21" s="436" t="str">
        <f>IF(AND('Mapa final'!$Q$18="Alta",'Mapa final'!$U$18="Catastrófico"),CONCATENATE("R",'Mapa final'!$A$18),"")</f>
        <v/>
      </c>
      <c r="AK21" s="437"/>
      <c r="AL21" s="437" t="str">
        <f ca="1">IF(AND('Mapa final'!$Q$19="Alta",'Mapa final'!$U$19="Catastrófico"),CONCATENATE("R",'Mapa final'!$A$19),"")</f>
        <v/>
      </c>
      <c r="AM21" s="437"/>
      <c r="AN21" s="437" t="str">
        <f>IF(AND('Mapa final'!$Q$20="Alta",'Mapa final'!$L$20="Catastrófico"),CONCATENATE("R",'Mapa final'!$A$20),"")</f>
        <v/>
      </c>
      <c r="AO21" s="438"/>
      <c r="AP21" s="69"/>
      <c r="AQ21" s="387"/>
      <c r="AR21" s="388"/>
      <c r="AS21" s="388"/>
      <c r="AT21" s="388"/>
      <c r="AU21" s="388"/>
      <c r="AV21" s="38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373"/>
      <c r="E22" s="373"/>
      <c r="F22" s="374"/>
      <c r="G22" s="413"/>
      <c r="H22" s="414"/>
      <c r="I22" s="414"/>
      <c r="J22" s="414"/>
      <c r="K22" s="414"/>
      <c r="L22" s="430"/>
      <c r="M22" s="431"/>
      <c r="N22" s="431"/>
      <c r="O22" s="431"/>
      <c r="P22" s="431"/>
      <c r="Q22" s="446"/>
      <c r="R22" s="430"/>
      <c r="S22" s="431"/>
      <c r="T22" s="453"/>
      <c r="U22" s="453"/>
      <c r="V22" s="453"/>
      <c r="W22" s="453"/>
      <c r="X22" s="422"/>
      <c r="Y22" s="419"/>
      <c r="Z22" s="419"/>
      <c r="AA22" s="419"/>
      <c r="AB22" s="419"/>
      <c r="AC22" s="419"/>
      <c r="AD22" s="422"/>
      <c r="AE22" s="419"/>
      <c r="AF22" s="419"/>
      <c r="AG22" s="419"/>
      <c r="AH22" s="419"/>
      <c r="AI22" s="419"/>
      <c r="AJ22" s="436"/>
      <c r="AK22" s="437"/>
      <c r="AL22" s="437"/>
      <c r="AM22" s="437"/>
      <c r="AN22" s="437"/>
      <c r="AO22" s="438"/>
      <c r="AP22" s="69"/>
      <c r="AQ22" s="387"/>
      <c r="AR22" s="388"/>
      <c r="AS22" s="388"/>
      <c r="AT22" s="388"/>
      <c r="AU22" s="388"/>
      <c r="AV22" s="38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373"/>
      <c r="E23" s="373"/>
      <c r="F23" s="374"/>
      <c r="G23" s="413"/>
      <c r="H23" s="414"/>
      <c r="I23" s="414"/>
      <c r="J23" s="414"/>
      <c r="K23" s="414"/>
      <c r="L23" s="430" t="str">
        <f ca="1">IF(AND('Mapa final'!$Q$21="Alta",'Mapa final'!$U$21="Leve"),CONCATENATE("R",'Mapa final'!$A$21),"")</f>
        <v/>
      </c>
      <c r="M23" s="431"/>
      <c r="N23" s="431" t="str">
        <f>IF(AND('Mapa final'!$L$22="Alta",'Mapa final'!$P$22="Leve"),CONCATENATE("R",'Mapa final'!$A$22),"")</f>
        <v/>
      </c>
      <c r="O23" s="431"/>
      <c r="P23" s="431" t="str">
        <f>IF(AND('Mapa final'!$L$23="Alta",'Mapa final'!$P$23="Leve"),CONCATENATE("R",'Mapa final'!$A$23),"")</f>
        <v/>
      </c>
      <c r="Q23" s="446"/>
      <c r="R23" s="430" t="str">
        <f ca="1">IF(AND('Mapa final'!$Q$21="Alta",'Mapa final'!$U$21="Menor"),CONCATENATE("R",'Mapa final'!$A$21),"")</f>
        <v/>
      </c>
      <c r="S23" s="431"/>
      <c r="T23" s="431" t="str">
        <f ca="1">IF(AND('Mapa final'!$LR$22="Alta",'Mapa final'!$U$22="Menor"),CONCATENATE("R",'Mapa final'!$A$22),"")</f>
        <v/>
      </c>
      <c r="U23" s="431"/>
      <c r="V23" s="431" t="str">
        <f>IF(AND('Mapa final'!$Q$23="Alta",'Mapa final'!$U$23="Menor"),CONCATENATE("R",'Mapa final'!$A$23),"")</f>
        <v/>
      </c>
      <c r="W23" s="431"/>
      <c r="X23" s="422" t="str">
        <f ca="1">IF(AND('Mapa final'!$Q$21="Alta",'Mapa final'!$U$21="Moderado"),CONCATENATE("R",'Mapa final'!$A$21),"")</f>
        <v/>
      </c>
      <c r="Y23" s="419"/>
      <c r="Z23" s="419" t="str">
        <f ca="1">IF(AND('Mapa final'!$Q$22="Alta",'Mapa final'!$U$22="Moderado"),CONCATENATE("R",'Mapa final'!$A$22),"")</f>
        <v/>
      </c>
      <c r="AA23" s="419"/>
      <c r="AB23" s="419" t="str">
        <f>IF(AND('Mapa final'!$Q$23="Alta",'Mapa final'!$U$23="Moderado"),CONCATENATE("R",'Mapa final'!$A$23),"")</f>
        <v/>
      </c>
      <c r="AC23" s="419"/>
      <c r="AD23" s="422" t="str">
        <f ca="1">IF(AND('Mapa final'!$Q$21="Alta",'Mapa final'!$U$21="Mayor"),CONCATENATE("R",'Mapa final'!$A$21),"")</f>
        <v/>
      </c>
      <c r="AE23" s="419"/>
      <c r="AF23" s="419" t="str">
        <f ca="1">IF(AND('Mapa final'!$Q$22="Alta",'Mapa final'!$U$22="Mayor"),CONCATENATE("R",'Mapa final'!$A$22),"")</f>
        <v/>
      </c>
      <c r="AG23" s="419"/>
      <c r="AH23" s="419" t="str">
        <f>IF(AND('Mapa final'!$Q$23="Alta",'Mapa final'!$U$23="Mayor"),CONCATENATE("R",'Mapa final'!$A$23),"")</f>
        <v/>
      </c>
      <c r="AI23" s="419"/>
      <c r="AJ23" s="436" t="str">
        <f ca="1">IF(AND('Mapa final'!$Q$21="Alta",'Mapa final'!$U$21="Catastrófico"),CONCATENATE("R",'Mapa final'!$A$21),"")</f>
        <v/>
      </c>
      <c r="AK23" s="437"/>
      <c r="AL23" s="437" t="str">
        <f ca="1">IF(AND('Mapa final'!$Q$22="Alta",'Mapa final'!$U$22="Catastrófico"),CONCATENATE("R",'Mapa final'!$A$22),"")</f>
        <v/>
      </c>
      <c r="AM23" s="437"/>
      <c r="AN23" s="437" t="str">
        <f>IF(AND('Mapa final'!$Q$23="Alta",'Mapa final'!$U$23="Catastrófico"),CONCATENATE("R",'Mapa final'!$A$23),"")</f>
        <v/>
      </c>
      <c r="AO23" s="438"/>
      <c r="AP23" s="69"/>
      <c r="AQ23" s="387"/>
      <c r="AR23" s="388"/>
      <c r="AS23" s="388"/>
      <c r="AT23" s="388"/>
      <c r="AU23" s="388"/>
      <c r="AV23" s="38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373"/>
      <c r="E24" s="373"/>
      <c r="F24" s="374"/>
      <c r="G24" s="413"/>
      <c r="H24" s="414"/>
      <c r="I24" s="414"/>
      <c r="J24" s="414"/>
      <c r="K24" s="414"/>
      <c r="L24" s="430"/>
      <c r="M24" s="431"/>
      <c r="N24" s="431"/>
      <c r="O24" s="431"/>
      <c r="P24" s="431"/>
      <c r="Q24" s="446"/>
      <c r="R24" s="430"/>
      <c r="S24" s="431"/>
      <c r="T24" s="453"/>
      <c r="U24" s="453"/>
      <c r="V24" s="453"/>
      <c r="W24" s="453"/>
      <c r="X24" s="422"/>
      <c r="Y24" s="419"/>
      <c r="Z24" s="419"/>
      <c r="AA24" s="419"/>
      <c r="AB24" s="419"/>
      <c r="AC24" s="419"/>
      <c r="AD24" s="422"/>
      <c r="AE24" s="419"/>
      <c r="AF24" s="419"/>
      <c r="AG24" s="419"/>
      <c r="AH24" s="419"/>
      <c r="AI24" s="419"/>
      <c r="AJ24" s="436"/>
      <c r="AK24" s="437"/>
      <c r="AL24" s="437"/>
      <c r="AM24" s="437"/>
      <c r="AN24" s="437"/>
      <c r="AO24" s="438"/>
      <c r="AP24" s="69"/>
      <c r="AQ24" s="387"/>
      <c r="AR24" s="388"/>
      <c r="AS24" s="388"/>
      <c r="AT24" s="388"/>
      <c r="AU24" s="388"/>
      <c r="AV24" s="38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373"/>
      <c r="E25" s="373"/>
      <c r="F25" s="374"/>
      <c r="G25" s="413"/>
      <c r="H25" s="414"/>
      <c r="I25" s="414"/>
      <c r="J25" s="414"/>
      <c r="K25" s="414"/>
      <c r="L25" s="430" t="str">
        <f>IF(AND('Mapa final'!$Q$24="Alta",'Mapa final'!$U$24="Leve"),CONCATENATE("R",'Mapa final'!$A$24),"")</f>
        <v/>
      </c>
      <c r="M25" s="431"/>
      <c r="N25" s="431" t="str">
        <f>IF(AND('Mapa final'!$L$25="Alta",'Mapa final'!$P$25="Leve"),CONCATENATE("R",'Mapa final'!$A$25),"")</f>
        <v/>
      </c>
      <c r="O25" s="431"/>
      <c r="P25" s="431" t="str">
        <f>IF(AND('Mapa final'!$L$26="Alta",'Mapa final'!$P$26="Leve"),CONCATENATE("R",'Mapa final'!$A$26),"")</f>
        <v/>
      </c>
      <c r="Q25" s="446"/>
      <c r="R25" s="430" t="str">
        <f>IF(AND('Mapa final'!$Q$24="Alta",'Mapa final'!$U$24="Menor"),CONCATENATE("R",'Mapa final'!$A$24),"")</f>
        <v/>
      </c>
      <c r="S25" s="431"/>
      <c r="T25" s="431" t="str">
        <f>IF(AND('Mapa final'!$Q$25="Alta",'Mapa final'!$U$25="Menor"),CONCATENATE("R",'Mapa final'!$A$25),"")</f>
        <v/>
      </c>
      <c r="U25" s="431"/>
      <c r="V25" s="431" t="str">
        <f>IF(AND('Mapa final'!$Q$26="Alta",'Mapa final'!$U$26="Menor"),CONCATENATE("R",'Mapa final'!$A$26),"")</f>
        <v/>
      </c>
      <c r="W25" s="431"/>
      <c r="X25" s="422" t="str">
        <f>IF(AND('Mapa final'!$Q$24="Alta",'Mapa final'!$U$24="Moderado"),CONCATENATE("R",'Mapa final'!$A$24),"")</f>
        <v/>
      </c>
      <c r="Y25" s="419"/>
      <c r="Z25" s="419" t="str">
        <f>IF(AND('Mapa final'!$Q$25="Alta",'Mapa final'!$U$25="Moderado"),CONCATENATE("R",'Mapa final'!$A$25),"")</f>
        <v/>
      </c>
      <c r="AA25" s="419"/>
      <c r="AB25" s="419" t="str">
        <f>IF(AND('Mapa final'!$Q$26="Alta",'Mapa final'!$U$26="Moderado"),CONCATENATE("R",'Mapa final'!$A$26),"")</f>
        <v/>
      </c>
      <c r="AC25" s="419"/>
      <c r="AD25" s="422" t="str">
        <f>IF(AND('Mapa final'!$Q$24="Alta",'Mapa final'!$U$24="Mayor"),CONCATENATE("R",'Mapa final'!$A$24),"")</f>
        <v/>
      </c>
      <c r="AE25" s="419"/>
      <c r="AF25" s="419" t="str">
        <f>IF(AND('Mapa final'!$Q$25="Alta",'Mapa final'!$U$25="Mayor"),CONCATENATE("R",'Mapa final'!$A$25),"")</f>
        <v/>
      </c>
      <c r="AG25" s="419"/>
      <c r="AH25" s="419" t="str">
        <f>IF(AND('Mapa final'!$Q$26="Alta",'Mapa final'!$U$26="Mayor"),CONCATENATE("R",'Mapa final'!$A$26),"")</f>
        <v/>
      </c>
      <c r="AI25" s="419"/>
      <c r="AJ25" s="436" t="str">
        <f>IF(AND('Mapa final'!$Q$24="Alta",'Mapa final'!$U$24="Catastrófico"),CONCATENATE("R",'Mapa final'!$A$24),"")</f>
        <v/>
      </c>
      <c r="AK25" s="437"/>
      <c r="AL25" s="437" t="str">
        <f>IF(AND('Mapa final'!$Q$25="Alta",'Mapa final'!$U$25="Catastrófico"),CONCATENATE("R",'Mapa final'!$A$25),"")</f>
        <v/>
      </c>
      <c r="AM25" s="437"/>
      <c r="AN25" s="437" t="str">
        <f>IF(AND('Mapa final'!$Q$26="Alta",'Mapa final'!$U$26="Catastrófico"),CONCATENATE("R",'Mapa final'!$A$26),"")</f>
        <v/>
      </c>
      <c r="AO25" s="438"/>
      <c r="AP25" s="69"/>
      <c r="AQ25" s="387"/>
      <c r="AR25" s="388"/>
      <c r="AS25" s="388"/>
      <c r="AT25" s="388"/>
      <c r="AU25" s="388"/>
      <c r="AV25" s="38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373"/>
      <c r="E26" s="373"/>
      <c r="F26" s="374"/>
      <c r="G26" s="416"/>
      <c r="H26" s="417"/>
      <c r="I26" s="417"/>
      <c r="J26" s="417"/>
      <c r="K26" s="417"/>
      <c r="L26" s="447"/>
      <c r="M26" s="448"/>
      <c r="N26" s="448"/>
      <c r="O26" s="448"/>
      <c r="P26" s="448"/>
      <c r="Q26" s="449"/>
      <c r="R26" s="447"/>
      <c r="S26" s="448"/>
      <c r="T26" s="453"/>
      <c r="U26" s="453"/>
      <c r="V26" s="453"/>
      <c r="W26" s="453"/>
      <c r="X26" s="422"/>
      <c r="Y26" s="419"/>
      <c r="Z26" s="419"/>
      <c r="AA26" s="419"/>
      <c r="AB26" s="419"/>
      <c r="AC26" s="419"/>
      <c r="AD26" s="422"/>
      <c r="AE26" s="419"/>
      <c r="AF26" s="419"/>
      <c r="AG26" s="419"/>
      <c r="AH26" s="419"/>
      <c r="AI26" s="419"/>
      <c r="AJ26" s="436"/>
      <c r="AK26" s="437"/>
      <c r="AL26" s="437"/>
      <c r="AM26" s="437"/>
      <c r="AN26" s="437"/>
      <c r="AO26" s="438"/>
      <c r="AP26" s="69"/>
      <c r="AQ26" s="390"/>
      <c r="AR26" s="391"/>
      <c r="AS26" s="391"/>
      <c r="AT26" s="391"/>
      <c r="AU26" s="391"/>
      <c r="AV26" s="392"/>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373"/>
      <c r="E27" s="373"/>
      <c r="F27" s="374"/>
      <c r="G27" s="411" t="s">
        <v>116</v>
      </c>
      <c r="H27" s="412"/>
      <c r="I27" s="412"/>
      <c r="J27" s="412"/>
      <c r="K27" s="412"/>
      <c r="L27" s="450" t="str">
        <f ca="1">IF(AND('Mapa final'!$Q$15="Media",'Mapa final'!$U$15="Leve"),CONCATENATE("R",'Mapa final'!$A$15),"")</f>
        <v/>
      </c>
      <c r="M27" s="451"/>
      <c r="N27" s="451" t="str">
        <f>IF(AND('Mapa final'!$L$16="Media",'Mapa final'!$P$16="Leve"),CONCATENATE("R",'Mapa final'!$A$16),"")</f>
        <v/>
      </c>
      <c r="O27" s="451"/>
      <c r="P27" s="451" t="str">
        <f>IF(AND('Mapa final'!$L$17="Media",'Mapa final'!$P$17="Leve"),CONCATENATE("R",'Mapa final'!$A$17),"")</f>
        <v/>
      </c>
      <c r="Q27" s="452"/>
      <c r="R27" s="450" t="str">
        <f ca="1">IF(AND('Mapa final'!$Q$15="Media",'Mapa final'!$U$15="Menor"),CONCATENATE("R",'Mapa final'!$A$15),"")</f>
        <v/>
      </c>
      <c r="S27" s="451"/>
      <c r="T27" s="451" t="str">
        <f ca="1">IF(AND('Mapa final'!$Q$16="Media",'Mapa final'!$U$16="Menor"),CONCATENATE("R",'Mapa final'!$A$16),"")</f>
        <v/>
      </c>
      <c r="U27" s="451"/>
      <c r="V27" s="451" t="str">
        <f ca="1">IF(AND('Mapa final'!$Q$17="Media",'Mapa final'!$U$17="Menor"),CONCATENATE("R",'Mapa final'!$A$17),"")</f>
        <v/>
      </c>
      <c r="W27" s="451"/>
      <c r="X27" s="450" t="str">
        <f ca="1">IF(AND('Mapa final'!$Q$15="Media",'Mapa final'!$U$15="Moderado"),CONCATENATE("R",'Mapa final'!$D$15),"")</f>
        <v>R1</v>
      </c>
      <c r="Y27" s="451"/>
      <c r="Z27" s="451" t="str">
        <f ca="1">IF(AND('Mapa final'!Q$16="Media",'Mapa final'!$U$16="Moderado"),CONCATENATE("R",'Mapa final'!$A$16),"")</f>
        <v/>
      </c>
      <c r="AA27" s="451"/>
      <c r="AB27" s="451" t="str">
        <f ca="1">IF(AND('Mapa final'!$Q$17="Media",'Mapa final'!$U$17="Moderado"),CONCATENATE("R",'Mapa final'!$A$17),"")</f>
        <v/>
      </c>
      <c r="AC27" s="451"/>
      <c r="AD27" s="420" t="str">
        <f ca="1">IF(AND('Mapa final'!$Q$15="Media",'Mapa final'!$U$15="Mayor"),CONCATENATE("R",'Mapa final'!$A$15),"")</f>
        <v/>
      </c>
      <c r="AE27" s="421"/>
      <c r="AF27" s="421" t="str">
        <f ca="1">IF(AND('Mapa final'!$Q$16="Media",'Mapa final'!$U$16="Mayor"),CONCATENATE("R",'Mapa final'!$A$16),"")</f>
        <v/>
      </c>
      <c r="AG27" s="421"/>
      <c r="AH27" s="421" t="str">
        <f ca="1">IF(AND('Mapa final'!$Q$17="Media",'Mapa final'!$U$17="Mayor"),CONCATENATE("R",'Mapa final'!$A$17),"")</f>
        <v/>
      </c>
      <c r="AI27" s="421"/>
      <c r="AJ27" s="439" t="str">
        <f ca="1">IF(AND('Mapa final'!$Q$15="Media",'Mapa final'!$U$15="Catastrófico"),CONCATENATE("R",'Mapa final'!$A$15),"")</f>
        <v/>
      </c>
      <c r="AK27" s="440"/>
      <c r="AL27" s="440" t="str">
        <f ca="1">IF(AND('Mapa final'!$Q$16="Media",'Mapa final'!$U$16="Catastrófico"),CONCATENATE("R",'Mapa final'!$A$16),"")</f>
        <v/>
      </c>
      <c r="AM27" s="440"/>
      <c r="AN27" s="440" t="str">
        <f ca="1">IF(AND('Mapa final'!$Q$17="Media",'Mapa final'!$U$17="Catastrófico"),CONCATENATE("R",'Mapa final'!$A$17),"")</f>
        <v/>
      </c>
      <c r="AO27" s="441"/>
      <c r="AP27" s="69"/>
      <c r="AQ27" s="393" t="s">
        <v>80</v>
      </c>
      <c r="AR27" s="394"/>
      <c r="AS27" s="394"/>
      <c r="AT27" s="394"/>
      <c r="AU27" s="394"/>
      <c r="AV27" s="395"/>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373"/>
      <c r="E28" s="373"/>
      <c r="F28" s="374"/>
      <c r="G28" s="413"/>
      <c r="H28" s="414"/>
      <c r="I28" s="414"/>
      <c r="J28" s="414"/>
      <c r="K28" s="415"/>
      <c r="L28" s="430"/>
      <c r="M28" s="431"/>
      <c r="N28" s="431"/>
      <c r="O28" s="431"/>
      <c r="P28" s="431"/>
      <c r="Q28" s="446"/>
      <c r="R28" s="430"/>
      <c r="S28" s="431"/>
      <c r="T28" s="431"/>
      <c r="U28" s="431"/>
      <c r="V28" s="431"/>
      <c r="W28" s="431"/>
      <c r="X28" s="430"/>
      <c r="Y28" s="431"/>
      <c r="Z28" s="431"/>
      <c r="AA28" s="431"/>
      <c r="AB28" s="431"/>
      <c r="AC28" s="431"/>
      <c r="AD28" s="422"/>
      <c r="AE28" s="419"/>
      <c r="AF28" s="419"/>
      <c r="AG28" s="419"/>
      <c r="AH28" s="419"/>
      <c r="AI28" s="419"/>
      <c r="AJ28" s="436"/>
      <c r="AK28" s="437"/>
      <c r="AL28" s="437"/>
      <c r="AM28" s="437"/>
      <c r="AN28" s="437"/>
      <c r="AO28" s="438"/>
      <c r="AP28" s="69"/>
      <c r="AQ28" s="396"/>
      <c r="AR28" s="397"/>
      <c r="AS28" s="397"/>
      <c r="AT28" s="397"/>
      <c r="AU28" s="397"/>
      <c r="AV28" s="398"/>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373"/>
      <c r="E29" s="373"/>
      <c r="F29" s="374"/>
      <c r="G29" s="413"/>
      <c r="H29" s="414"/>
      <c r="I29" s="414"/>
      <c r="J29" s="414"/>
      <c r="K29" s="415"/>
      <c r="L29" s="430" t="str">
        <f>IF(AND('Mapa final'!$Q$18="Media",'Mapa final'!$U$18="Leve"),CONCATENATE("R",'Mapa final'!$A$18),"")</f>
        <v/>
      </c>
      <c r="M29" s="431"/>
      <c r="N29" s="431" t="str">
        <f>IF(AND('Mapa final'!$L$19="Media",'Mapa final'!$P$19="Leve"),CONCATENATE("R",'Mapa final'!$A$19),"")</f>
        <v/>
      </c>
      <c r="O29" s="431"/>
      <c r="P29" s="431" t="str">
        <f>IF(AND('Mapa final'!$L$20="Media",'Mapa final'!$P$20="Leve"),CONCATENATE("R",'Mapa final'!$A$20),"")</f>
        <v/>
      </c>
      <c r="Q29" s="446"/>
      <c r="R29" s="430" t="str">
        <f>IF(AND('Mapa final'!$Q$18="Media",'Mapa final'!$U$18="Menor"),CONCATENATE("R",'Mapa final'!$A$18),"")</f>
        <v/>
      </c>
      <c r="S29" s="431"/>
      <c r="T29" s="431" t="str">
        <f ca="1">IF(AND('Mapa final'!$Q$19="Media",'Mapa final'!$U$19="Menor"),CONCATENATE("R",'Mapa final'!$A$19),"")</f>
        <v/>
      </c>
      <c r="U29" s="431"/>
      <c r="V29" s="431" t="str">
        <f ca="1">IF(AND('Mapa final'!$Q$20="Media",'Mapa final'!$U$20="Menor"),CONCATENATE("R",'Mapa final'!$A$20),"")</f>
        <v/>
      </c>
      <c r="W29" s="431"/>
      <c r="X29" s="430" t="str">
        <f>IF(AND('Mapa final'!$Q$18="Media",'Mapa final'!$U$18="Moderado"),CONCATENATE("R",'Mapa final'!$A$18),"")</f>
        <v/>
      </c>
      <c r="Y29" s="431"/>
      <c r="Z29" s="431" t="str">
        <f ca="1">IF(AND('Mapa final'!$Q$19="Media",'Mapa final'!$U$19="Moderado"),CONCATENATE("R",'Mapa final'!$A$19),"")</f>
        <v/>
      </c>
      <c r="AA29" s="431"/>
      <c r="AB29" s="431" t="str">
        <f ca="1">IF(AND('Mapa final'!$Q$20="Media",'Mapa final'!$U$20="Moderado"),CONCATENATE("R",'Mapa final'!$A$20),"")</f>
        <v/>
      </c>
      <c r="AC29" s="431"/>
      <c r="AD29" s="422" t="str">
        <f>IF(AND('Mapa final'!$Q$18="Media",'Mapa final'!$U$18="Mayor"),CONCATENATE("R",'Mapa final'!$A$18),"")</f>
        <v/>
      </c>
      <c r="AE29" s="419"/>
      <c r="AF29" s="419" t="str">
        <f ca="1">IF(AND('Mapa final'!$Q$19="Media",'Mapa final'!$U$19="Mayor"),CONCATENATE("R",'Mapa final'!$A$19),"")</f>
        <v/>
      </c>
      <c r="AG29" s="419"/>
      <c r="AH29" s="419" t="str">
        <f ca="1">IF(AND('Mapa final'!$Q$20="Media",'Mapa final'!$U$20="Mayor"),CONCATENATE("R",'Mapa final'!$A$20),"")</f>
        <v/>
      </c>
      <c r="AI29" s="419"/>
      <c r="AJ29" s="436" t="str">
        <f>IF(AND('Mapa final'!$Q$18="Media",'Mapa final'!$U$18="Catastrófico"),CONCATENATE("R",'Mapa final'!$A$18),"")</f>
        <v/>
      </c>
      <c r="AK29" s="437"/>
      <c r="AL29" s="437" t="str">
        <f ca="1">IF(AND('Mapa final'!$Q$19="Media",'Mapa final'!$U$19="Catastrófico"),CONCATENATE("R",'Mapa final'!$A$19),"")</f>
        <v/>
      </c>
      <c r="AM29" s="437"/>
      <c r="AN29" s="437" t="str">
        <f>IF(AND('Mapa final'!$Q$20="Media",'Mapa final'!$L$20="Catastrófico"),CONCATENATE("R",'Mapa final'!$A$20),"")</f>
        <v/>
      </c>
      <c r="AO29" s="438"/>
      <c r="AP29" s="69"/>
      <c r="AQ29" s="396"/>
      <c r="AR29" s="397"/>
      <c r="AS29" s="397"/>
      <c r="AT29" s="397"/>
      <c r="AU29" s="397"/>
      <c r="AV29" s="398"/>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373"/>
      <c r="E30" s="373"/>
      <c r="F30" s="374"/>
      <c r="G30" s="413"/>
      <c r="H30" s="414"/>
      <c r="I30" s="414"/>
      <c r="J30" s="414"/>
      <c r="K30" s="415"/>
      <c r="L30" s="430"/>
      <c r="M30" s="431"/>
      <c r="N30" s="431"/>
      <c r="O30" s="431"/>
      <c r="P30" s="431"/>
      <c r="Q30" s="446"/>
      <c r="R30" s="430"/>
      <c r="S30" s="431"/>
      <c r="T30" s="431"/>
      <c r="U30" s="431"/>
      <c r="V30" s="431"/>
      <c r="W30" s="431"/>
      <c r="X30" s="430"/>
      <c r="Y30" s="431"/>
      <c r="Z30" s="431"/>
      <c r="AA30" s="431"/>
      <c r="AB30" s="431"/>
      <c r="AC30" s="431"/>
      <c r="AD30" s="422"/>
      <c r="AE30" s="419"/>
      <c r="AF30" s="419"/>
      <c r="AG30" s="419"/>
      <c r="AH30" s="419"/>
      <c r="AI30" s="419"/>
      <c r="AJ30" s="436"/>
      <c r="AK30" s="437"/>
      <c r="AL30" s="437"/>
      <c r="AM30" s="437"/>
      <c r="AN30" s="437"/>
      <c r="AO30" s="438"/>
      <c r="AP30" s="69"/>
      <c r="AQ30" s="396"/>
      <c r="AR30" s="397"/>
      <c r="AS30" s="397"/>
      <c r="AT30" s="397"/>
      <c r="AU30" s="397"/>
      <c r="AV30" s="398"/>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373"/>
      <c r="E31" s="373"/>
      <c r="F31" s="374"/>
      <c r="G31" s="413"/>
      <c r="H31" s="414"/>
      <c r="I31" s="414"/>
      <c r="J31" s="414"/>
      <c r="K31" s="415"/>
      <c r="L31" s="430" t="str">
        <f ca="1">IF(AND('Mapa final'!$Q$21="Media",'Mapa final'!$U$21="Leve"),CONCATENATE("R",'Mapa final'!$A$21),"")</f>
        <v/>
      </c>
      <c r="M31" s="431"/>
      <c r="N31" s="431" t="str">
        <f>IF(AND('Mapa final'!$L$22="Media",'Mapa final'!$P$22="Leve"),CONCATENATE("R",'Mapa final'!$A$22),"")</f>
        <v/>
      </c>
      <c r="O31" s="431"/>
      <c r="P31" s="431" t="str">
        <f>IF(AND('Mapa final'!$L$23="Media",'Mapa final'!$P$23="Leve"),CONCATENATE("R",'Mapa final'!$A$23),"")</f>
        <v/>
      </c>
      <c r="Q31" s="446"/>
      <c r="R31" s="430" t="str">
        <f ca="1">IF(AND('Mapa final'!$Q$21="Media",'Mapa final'!$U$21="Menor"),CONCATENATE("R",'Mapa final'!$A$21),"")</f>
        <v/>
      </c>
      <c r="S31" s="431"/>
      <c r="T31" s="431" t="str">
        <f ca="1">IF(AND('Mapa final'!$LR$22="Media",'Mapa final'!$U$22="Menor"),CONCATENATE("R",'Mapa final'!$A$22),"")</f>
        <v/>
      </c>
      <c r="U31" s="431"/>
      <c r="V31" s="431" t="str">
        <f>IF(AND('Mapa final'!$Q$23="Media",'Mapa final'!$U$23="Menor"),CONCATENATE("R",'Mapa final'!$A$23),"")</f>
        <v/>
      </c>
      <c r="W31" s="431"/>
      <c r="X31" s="430" t="str">
        <f ca="1">IF(AND('Mapa final'!$Q$21="Media",'Mapa final'!$U$21="Moderado"),CONCATENATE("R",'Mapa final'!$A$21),"")</f>
        <v/>
      </c>
      <c r="Y31" s="431"/>
      <c r="Z31" s="431" t="str">
        <f ca="1">IF(AND('Mapa final'!$Q$22="Media",'Mapa final'!$U$22="Moderado"),CONCATENATE("R",'Mapa final'!$A$22),"")</f>
        <v/>
      </c>
      <c r="AA31" s="431"/>
      <c r="AB31" s="431" t="str">
        <f>IF(AND('Mapa final'!$Q$23="Media",'Mapa final'!$U$23="Moderado"),CONCATENATE("R",'Mapa final'!$A$23),"")</f>
        <v/>
      </c>
      <c r="AC31" s="431"/>
      <c r="AD31" s="422" t="str">
        <f ca="1">IF(AND('Mapa final'!$Q$21="Media",'Mapa final'!$U$21="Mayor"),CONCATENATE("R",'Mapa final'!$A$21),"")</f>
        <v/>
      </c>
      <c r="AE31" s="419"/>
      <c r="AF31" s="419" t="str">
        <f ca="1">IF(AND('Mapa final'!$Q$22="Media",'Mapa final'!$U$22="Mayor"),CONCATENATE("R",'Mapa final'!$A$22),"")</f>
        <v/>
      </c>
      <c r="AG31" s="419"/>
      <c r="AH31" s="419" t="str">
        <f>IF(AND('Mapa final'!$Q$23="Media",'Mapa final'!$U$23="Mayor"),CONCATENATE("R",'Mapa final'!$A$23),"")</f>
        <v/>
      </c>
      <c r="AI31" s="419"/>
      <c r="AJ31" s="436" t="str">
        <f ca="1">IF(AND('Mapa final'!$Q$21="Media",'Mapa final'!$U$21="Catastrófico"),CONCATENATE("R",'Mapa final'!$A$21),"")</f>
        <v/>
      </c>
      <c r="AK31" s="437"/>
      <c r="AL31" s="437" t="str">
        <f ca="1">IF(AND('Mapa final'!$Q$22="Media",'Mapa final'!$U$22="Catastrófico"),CONCATENATE("R",'Mapa final'!$A$22),"")</f>
        <v/>
      </c>
      <c r="AM31" s="437"/>
      <c r="AN31" s="437" t="str">
        <f>IF(AND('Mapa final'!$Q$23="Media",'Mapa final'!$U$23="Catastrófico"),CONCATENATE("R",'Mapa final'!$A$23),"")</f>
        <v/>
      </c>
      <c r="AO31" s="438"/>
      <c r="AP31" s="69"/>
      <c r="AQ31" s="396"/>
      <c r="AR31" s="397"/>
      <c r="AS31" s="397"/>
      <c r="AT31" s="397"/>
      <c r="AU31" s="397"/>
      <c r="AV31" s="398"/>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373"/>
      <c r="E32" s="373"/>
      <c r="F32" s="374"/>
      <c r="G32" s="413"/>
      <c r="H32" s="414"/>
      <c r="I32" s="414"/>
      <c r="J32" s="414"/>
      <c r="K32" s="415"/>
      <c r="L32" s="430"/>
      <c r="M32" s="431"/>
      <c r="N32" s="431"/>
      <c r="O32" s="431"/>
      <c r="P32" s="431"/>
      <c r="Q32" s="446"/>
      <c r="R32" s="430"/>
      <c r="S32" s="431"/>
      <c r="T32" s="431"/>
      <c r="U32" s="431"/>
      <c r="V32" s="431"/>
      <c r="W32" s="431"/>
      <c r="X32" s="430"/>
      <c r="Y32" s="431"/>
      <c r="Z32" s="431"/>
      <c r="AA32" s="431"/>
      <c r="AB32" s="431"/>
      <c r="AC32" s="431"/>
      <c r="AD32" s="422"/>
      <c r="AE32" s="419"/>
      <c r="AF32" s="419"/>
      <c r="AG32" s="419"/>
      <c r="AH32" s="419"/>
      <c r="AI32" s="419"/>
      <c r="AJ32" s="436"/>
      <c r="AK32" s="437"/>
      <c r="AL32" s="437"/>
      <c r="AM32" s="437"/>
      <c r="AN32" s="437"/>
      <c r="AO32" s="438"/>
      <c r="AP32" s="69"/>
      <c r="AQ32" s="396"/>
      <c r="AR32" s="397"/>
      <c r="AS32" s="397"/>
      <c r="AT32" s="397"/>
      <c r="AU32" s="397"/>
      <c r="AV32" s="398"/>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373"/>
      <c r="E33" s="373"/>
      <c r="F33" s="374"/>
      <c r="G33" s="413"/>
      <c r="H33" s="414"/>
      <c r="I33" s="414"/>
      <c r="J33" s="414"/>
      <c r="K33" s="415"/>
      <c r="L33" s="430" t="str">
        <f>IF(AND('Mapa final'!$Q$24="Mediaa",'Mapa final'!$U$24="Leve"),CONCATENATE("R",'Mapa final'!$A$24),"")</f>
        <v/>
      </c>
      <c r="M33" s="431"/>
      <c r="N33" s="431" t="str">
        <f>IF(AND('Mapa final'!$L$25="Media",'Mapa final'!$P$25="Leve"),CONCATENATE("R",'Mapa final'!$A$25),"")</f>
        <v/>
      </c>
      <c r="O33" s="431"/>
      <c r="P33" s="431" t="str">
        <f>IF(AND('Mapa final'!$L$26="Media",'Mapa final'!$P$26="Leve"),CONCATENATE("R",'Mapa final'!$A$26),"")</f>
        <v/>
      </c>
      <c r="Q33" s="446"/>
      <c r="R33" s="430" t="str">
        <f>IF(AND('Mapa final'!$Q$24="Media",'Mapa final'!$U$24="Menor"),CONCATENATE("R",'Mapa final'!$A$24),"")</f>
        <v/>
      </c>
      <c r="S33" s="431"/>
      <c r="T33" s="431" t="str">
        <f>IF(AND('Mapa final'!$Q$25="Media",'Mapa final'!$U$25="Menor"),CONCATENATE("R",'Mapa final'!$A$25),"")</f>
        <v/>
      </c>
      <c r="U33" s="431"/>
      <c r="V33" s="431" t="str">
        <f>IF(AND('Mapa final'!$Q$26="Media",'Mapa final'!$U$26="Menor"),CONCATENATE("R",'Mapa final'!$A$26),"")</f>
        <v/>
      </c>
      <c r="W33" s="431"/>
      <c r="X33" s="430" t="str">
        <f>IF(AND('Mapa final'!$Q$24="Media",'Mapa final'!$U$24="Moderado"),CONCATENATE("R",'Mapa final'!$A$24),"")</f>
        <v/>
      </c>
      <c r="Y33" s="431"/>
      <c r="Z33" s="431" t="str">
        <f>IF(AND('Mapa final'!$Q$25="Media",'Mapa final'!$U$25="Moderado"),CONCATENATE("R",'Mapa final'!$A$25),"")</f>
        <v/>
      </c>
      <c r="AA33" s="431"/>
      <c r="AB33" s="431" t="str">
        <f>IF(AND('Mapa final'!$Q$26="Media",'Mapa final'!$U$26="Moderado"),CONCATENATE("R",'Mapa final'!$A$26),"")</f>
        <v/>
      </c>
      <c r="AC33" s="431"/>
      <c r="AD33" s="422" t="str">
        <f>IF(AND('Mapa final'!$Q$24="Media",'Mapa final'!$U$24="Mayor"),CONCATENATE("R",'Mapa final'!$A$24),"")</f>
        <v/>
      </c>
      <c r="AE33" s="419"/>
      <c r="AF33" s="419" t="str">
        <f>IF(AND('Mapa final'!$Q$25="Media",'Mapa final'!$U$25="Mayor"),CONCATENATE("R",'Mapa final'!$A$25),"")</f>
        <v/>
      </c>
      <c r="AG33" s="419"/>
      <c r="AH33" s="419" t="str">
        <f>IF(AND('Mapa final'!$Q$26="Media",'Mapa final'!$U$26="Mayor"),CONCATENATE("R",'Mapa final'!$A$26),"")</f>
        <v/>
      </c>
      <c r="AI33" s="419"/>
      <c r="AJ33" s="436" t="str">
        <f>IF(AND('Mapa final'!$Q$24="Media",'Mapa final'!$U$24="Catastrófico"),CONCATENATE("R",'Mapa final'!$A$24),"")</f>
        <v/>
      </c>
      <c r="AK33" s="437"/>
      <c r="AL33" s="437" t="str">
        <f>IF(AND('Mapa final'!$Q$25="Media",'Mapa final'!$U$25="Catastrófico"),CONCATENATE("R",'Mapa final'!$A$25),"")</f>
        <v/>
      </c>
      <c r="AM33" s="437"/>
      <c r="AN33" s="437" t="str">
        <f>IF(AND('Mapa final'!$Q$26="Media",'Mapa final'!$U$26="Catastrófico"),CONCATENATE("R",'Mapa final'!$A$26),"")</f>
        <v/>
      </c>
      <c r="AO33" s="438"/>
      <c r="AP33" s="69"/>
      <c r="AQ33" s="396"/>
      <c r="AR33" s="397"/>
      <c r="AS33" s="397"/>
      <c r="AT33" s="397"/>
      <c r="AU33" s="397"/>
      <c r="AV33" s="398"/>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373"/>
      <c r="E34" s="373"/>
      <c r="F34" s="374"/>
      <c r="G34" s="416"/>
      <c r="H34" s="417"/>
      <c r="I34" s="417"/>
      <c r="J34" s="417"/>
      <c r="K34" s="417"/>
      <c r="L34" s="447"/>
      <c r="M34" s="448"/>
      <c r="N34" s="448"/>
      <c r="O34" s="448"/>
      <c r="P34" s="448"/>
      <c r="Q34" s="449"/>
      <c r="R34" s="447"/>
      <c r="S34" s="448"/>
      <c r="T34" s="448"/>
      <c r="U34" s="448"/>
      <c r="V34" s="448"/>
      <c r="W34" s="448"/>
      <c r="X34" s="447"/>
      <c r="Y34" s="448"/>
      <c r="Z34" s="448"/>
      <c r="AA34" s="448"/>
      <c r="AB34" s="448"/>
      <c r="AC34" s="448"/>
      <c r="AD34" s="433"/>
      <c r="AE34" s="428"/>
      <c r="AF34" s="428"/>
      <c r="AG34" s="428"/>
      <c r="AH34" s="428"/>
      <c r="AI34" s="428"/>
      <c r="AJ34" s="436"/>
      <c r="AK34" s="437"/>
      <c r="AL34" s="437"/>
      <c r="AM34" s="437"/>
      <c r="AN34" s="437"/>
      <c r="AO34" s="438"/>
      <c r="AP34" s="69"/>
      <c r="AQ34" s="399"/>
      <c r="AR34" s="400"/>
      <c r="AS34" s="400"/>
      <c r="AT34" s="400"/>
      <c r="AU34" s="400"/>
      <c r="AV34" s="401"/>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373"/>
      <c r="E35" s="373"/>
      <c r="F35" s="374"/>
      <c r="G35" s="411" t="s">
        <v>113</v>
      </c>
      <c r="H35" s="412"/>
      <c r="I35" s="412"/>
      <c r="J35" s="412"/>
      <c r="K35" s="412"/>
      <c r="L35" s="460" t="str">
        <f ca="1">IF(AND('Mapa final'!$Q$15="Baja",'Mapa final'!$U$15="Leve"),CONCATENATE("R",'Mapa final'!$A$15),"")</f>
        <v/>
      </c>
      <c r="M35" s="461"/>
      <c r="N35" s="461" t="str">
        <f>IF(AND('Mapa final'!$L$16="Baja",'Mapa final'!$P$16="Leve"),CONCATENATE("R",'Mapa final'!$A$16),"")</f>
        <v/>
      </c>
      <c r="O35" s="461"/>
      <c r="P35" s="461" t="str">
        <f>IF(AND('Mapa final'!$L$17="Baja",'Mapa final'!$P$17="Leve"),CONCATENATE("R",'Mapa final'!$A$17),"")</f>
        <v/>
      </c>
      <c r="Q35" s="462"/>
      <c r="R35" s="450" t="str">
        <f ca="1">IF(AND('Mapa final'!$Q$15="Baja",'Mapa final'!$U$15="Menor"),CONCATENATE("R",'Mapa final'!$A$15),"")</f>
        <v/>
      </c>
      <c r="S35" s="451"/>
      <c r="T35" s="431" t="str">
        <f ca="1">IF(AND('Mapa final'!$Q$16="Baja",'Mapa final'!$U$16="Menor"),CONCATENATE("R",'Mapa final'!$A$16),"")</f>
        <v/>
      </c>
      <c r="U35" s="431"/>
      <c r="V35" s="431" t="str">
        <f ca="1">IF(AND('Mapa final'!$Q$17="Baja",'Mapa final'!$U$17="Menor"),CONCATENATE("R",'Mapa final'!$A$17),"")</f>
        <v/>
      </c>
      <c r="W35" s="446"/>
      <c r="X35" s="430" t="str">
        <f ca="1">IF(AND('Mapa final'!$Q$15="Baja",'Mapa final'!$U$15="Moderado"),CONCATENATE("R",'Mapa final'!$A$15),"")</f>
        <v/>
      </c>
      <c r="Y35" s="431"/>
      <c r="Z35" s="431" t="str">
        <f ca="1">IF(AND('Mapa final'!Q$16="Baja",'Mapa final'!$U$16="Moderado"),CONCATENATE("R",'Mapa final'!$D$16),"")</f>
        <v>R2</v>
      </c>
      <c r="AA35" s="431"/>
      <c r="AB35" s="431" t="str">
        <f ca="1">IF(AND('Mapa final'!$Q$17="Baja",'Mapa final'!$U$17="Moderado"),CONCATENATE("R",'Mapa final'!$D$17),"")</f>
        <v>R3</v>
      </c>
      <c r="AC35" s="446"/>
      <c r="AD35" s="422" t="str">
        <f ca="1">IF(AND('Mapa final'!$Q$15="Baja",'Mapa final'!$U$15="Mayor"),CONCATENATE("R",'Mapa final'!$A$15),"")</f>
        <v/>
      </c>
      <c r="AE35" s="419"/>
      <c r="AF35" s="419" t="str">
        <f ca="1">IF(AND('Mapa final'!$Q$16="Baja",'Mapa final'!$U$16="Mayor"),CONCATENATE("R",'Mapa final'!$A$16),"")</f>
        <v/>
      </c>
      <c r="AG35" s="419"/>
      <c r="AH35" s="419" t="str">
        <f ca="1">IF(AND('Mapa final'!$Q$17="Baja",'Mapa final'!$U$17="Mayor"),CONCATENATE("R",'Mapa final'!$A$17),"")</f>
        <v/>
      </c>
      <c r="AI35" s="419"/>
      <c r="AJ35" s="439" t="str">
        <f ca="1">IF(AND('Mapa final'!$Q$15="Baja",'Mapa final'!$U$15="Catastrófico"),CONCATENATE("R",'Mapa final'!$A$15),"")</f>
        <v/>
      </c>
      <c r="AK35" s="440"/>
      <c r="AL35" s="440" t="str">
        <f ca="1">IF(AND('Mapa final'!$Q$16="Baja",'Mapa final'!$U$16="Catastrófico"),CONCATENATE("R",'Mapa final'!$A$16),"")</f>
        <v/>
      </c>
      <c r="AM35" s="440"/>
      <c r="AN35" s="440" t="str">
        <f ca="1">IF(AND('Mapa final'!$Q$17="Baja",'Mapa final'!$U$17="Catastrófico"),CONCATENATE("R",'Mapa final'!$A$17),"")</f>
        <v/>
      </c>
      <c r="AO35" s="441"/>
      <c r="AP35" s="69"/>
      <c r="AQ35" s="402" t="s">
        <v>81</v>
      </c>
      <c r="AR35" s="403"/>
      <c r="AS35" s="403"/>
      <c r="AT35" s="403"/>
      <c r="AU35" s="403"/>
      <c r="AV35" s="404"/>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373"/>
      <c r="E36" s="373"/>
      <c r="F36" s="374"/>
      <c r="G36" s="413"/>
      <c r="H36" s="414"/>
      <c r="I36" s="414"/>
      <c r="J36" s="414"/>
      <c r="K36" s="414"/>
      <c r="L36" s="456"/>
      <c r="M36" s="454"/>
      <c r="N36" s="454"/>
      <c r="O36" s="454"/>
      <c r="P36" s="454"/>
      <c r="Q36" s="455"/>
      <c r="R36" s="430"/>
      <c r="S36" s="431"/>
      <c r="T36" s="453"/>
      <c r="U36" s="453"/>
      <c r="V36" s="453"/>
      <c r="W36" s="446"/>
      <c r="X36" s="430"/>
      <c r="Y36" s="453"/>
      <c r="Z36" s="453"/>
      <c r="AA36" s="453"/>
      <c r="AB36" s="453"/>
      <c r="AC36" s="446"/>
      <c r="AD36" s="422"/>
      <c r="AE36" s="435"/>
      <c r="AF36" s="435"/>
      <c r="AG36" s="435"/>
      <c r="AH36" s="435"/>
      <c r="AI36" s="419"/>
      <c r="AJ36" s="436"/>
      <c r="AK36" s="437"/>
      <c r="AL36" s="437"/>
      <c r="AM36" s="437"/>
      <c r="AN36" s="437"/>
      <c r="AO36" s="438"/>
      <c r="AP36" s="69"/>
      <c r="AQ36" s="405"/>
      <c r="AR36" s="406"/>
      <c r="AS36" s="406"/>
      <c r="AT36" s="406"/>
      <c r="AU36" s="406"/>
      <c r="AV36" s="407"/>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373"/>
      <c r="E37" s="373"/>
      <c r="F37" s="374"/>
      <c r="G37" s="413"/>
      <c r="H37" s="414"/>
      <c r="I37" s="414"/>
      <c r="J37" s="414"/>
      <c r="K37" s="414"/>
      <c r="L37" s="456" t="str">
        <f>IF(AND('Mapa final'!$Q$18="Baja",'Mapa final'!$U$18="Leve"),CONCATENATE("R",'Mapa final'!$A$18),"")</f>
        <v/>
      </c>
      <c r="M37" s="454"/>
      <c r="N37" s="454" t="str">
        <f>IF(AND('Mapa final'!$L$19="Baja",'Mapa final'!$P$19="Leve"),CONCATENATE("R",'Mapa final'!$A$19),"")</f>
        <v/>
      </c>
      <c r="O37" s="454"/>
      <c r="P37" s="454" t="str">
        <f>IF(AND('Mapa final'!$L$20="Baja",'Mapa final'!$P$20="Leve"),CONCATENATE("R",'Mapa final'!$A$20),"")</f>
        <v/>
      </c>
      <c r="Q37" s="455"/>
      <c r="R37" s="430" t="str">
        <f>IF(AND('Mapa final'!$Q$18="Baja",'Mapa final'!$U$18="Menor"),CONCATENATE("R",'Mapa final'!$A$18),"")</f>
        <v/>
      </c>
      <c r="S37" s="453"/>
      <c r="T37" s="453" t="str">
        <f ca="1">IF(AND('Mapa final'!$Q$19="Baja",'Mapa final'!$U$19="Menor"),CONCATENATE("R",'Mapa final'!$A$19),"")</f>
        <v/>
      </c>
      <c r="U37" s="453"/>
      <c r="V37" s="453" t="str">
        <f ca="1">IF(AND('Mapa final'!$Q$20="Baja",'Mapa final'!$U$20="Menor"),CONCATENATE("R",'Mapa final'!$A$20),"")</f>
        <v/>
      </c>
      <c r="W37" s="446"/>
      <c r="X37" s="430" t="str">
        <f>IF(AND('Mapa final'!$Q$18="Baja",'Mapa final'!$U$18="Moderado"),CONCATENATE("R",'Mapa final'!$A$18),"")</f>
        <v/>
      </c>
      <c r="Y37" s="453"/>
      <c r="Z37" s="453" t="str">
        <f ca="1">IF(AND('Mapa final'!$Q$19="Baja",'Mapa final'!$U$19="Moderado"),CONCATENATE("R",'Mapa final'!$A$19),"")</f>
        <v/>
      </c>
      <c r="AA37" s="453"/>
      <c r="AB37" s="453" t="str">
        <f ca="1">IF(AND('Mapa final'!$Q$20="Baja",'Mapa final'!$U$20="Moderado"),CONCATENATE("R",'Mapa final'!$A$20),"")</f>
        <v/>
      </c>
      <c r="AC37" s="446"/>
      <c r="AD37" s="422" t="str">
        <f>IF(AND('Mapa final'!$Q$18="Baja",'Mapa final'!$U$18="Mayor"),CONCATENATE("R",'Mapa final'!$A$18),"")</f>
        <v/>
      </c>
      <c r="AE37" s="435"/>
      <c r="AF37" s="435" t="str">
        <f ca="1">IF(AND('Mapa final'!$Q$19="Baja",'Mapa final'!$U$19="Mayor"),CONCATENATE("R",'Mapa final'!$A$19),"")</f>
        <v/>
      </c>
      <c r="AG37" s="435"/>
      <c r="AH37" s="435" t="str">
        <f ca="1">IF(AND('Mapa final'!$Q$20="Baja",'Mapa final'!$U$20="Mayor"),CONCATENATE("R",'Mapa final'!$A$20),"")</f>
        <v/>
      </c>
      <c r="AI37" s="419"/>
      <c r="AJ37" s="436" t="str">
        <f>IF(AND('Mapa final'!$Q$18="Baja",'Mapa final'!$U$18="Catastrófico"),CONCATENATE("R",'Mapa final'!$A$18),"")</f>
        <v/>
      </c>
      <c r="AK37" s="437"/>
      <c r="AL37" s="437" t="str">
        <f ca="1">IF(AND('Mapa final'!$Q$19="Baja",'Mapa final'!$U$19="Catastrófico"),CONCATENATE("R",'Mapa final'!$A$19),"")</f>
        <v/>
      </c>
      <c r="AM37" s="437"/>
      <c r="AN37" s="437" t="str">
        <f>IF(AND('Mapa final'!$Q$20="Baja",'Mapa final'!$L$20="Catastrófico"),CONCATENATE("R",'Mapa final'!$A$20),"")</f>
        <v/>
      </c>
      <c r="AO37" s="438"/>
      <c r="AP37" s="69"/>
      <c r="AQ37" s="405"/>
      <c r="AR37" s="406"/>
      <c r="AS37" s="406"/>
      <c r="AT37" s="406"/>
      <c r="AU37" s="406"/>
      <c r="AV37" s="407"/>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373"/>
      <c r="E38" s="373"/>
      <c r="F38" s="374"/>
      <c r="G38" s="413"/>
      <c r="H38" s="414"/>
      <c r="I38" s="414"/>
      <c r="J38" s="414"/>
      <c r="K38" s="414"/>
      <c r="L38" s="456"/>
      <c r="M38" s="454"/>
      <c r="N38" s="454"/>
      <c r="O38" s="454"/>
      <c r="P38" s="454"/>
      <c r="Q38" s="455"/>
      <c r="R38" s="430"/>
      <c r="S38" s="453"/>
      <c r="T38" s="453"/>
      <c r="U38" s="453"/>
      <c r="V38" s="453"/>
      <c r="W38" s="446"/>
      <c r="X38" s="430"/>
      <c r="Y38" s="453"/>
      <c r="Z38" s="453"/>
      <c r="AA38" s="453"/>
      <c r="AB38" s="453"/>
      <c r="AC38" s="446"/>
      <c r="AD38" s="422"/>
      <c r="AE38" s="435"/>
      <c r="AF38" s="435"/>
      <c r="AG38" s="435"/>
      <c r="AH38" s="435"/>
      <c r="AI38" s="419"/>
      <c r="AJ38" s="436"/>
      <c r="AK38" s="437"/>
      <c r="AL38" s="437"/>
      <c r="AM38" s="437"/>
      <c r="AN38" s="437"/>
      <c r="AO38" s="438"/>
      <c r="AP38" s="69"/>
      <c r="AQ38" s="405"/>
      <c r="AR38" s="406"/>
      <c r="AS38" s="406"/>
      <c r="AT38" s="406"/>
      <c r="AU38" s="406"/>
      <c r="AV38" s="407"/>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373"/>
      <c r="E39" s="373"/>
      <c r="F39" s="374"/>
      <c r="G39" s="413"/>
      <c r="H39" s="414"/>
      <c r="I39" s="414"/>
      <c r="J39" s="414"/>
      <c r="K39" s="414"/>
      <c r="L39" s="456" t="str">
        <f ca="1">IF(AND('Mapa final'!$Q$21="Baja",'Mapa final'!$U$21="Leve"),CONCATENATE("R",'Mapa final'!$A$21),"")</f>
        <v/>
      </c>
      <c r="M39" s="454"/>
      <c r="N39" s="454" t="str">
        <f>IF(AND('Mapa final'!$L$22="Baja",'Mapa final'!$P$22="Leve"),CONCATENATE("R",'Mapa final'!$A$22),"")</f>
        <v/>
      </c>
      <c r="O39" s="454"/>
      <c r="P39" s="454" t="str">
        <f>IF(AND('Mapa final'!$L$23="Baja",'Mapa final'!$P$23="Leve"),CONCATENATE("R",'Mapa final'!$A$23),"")</f>
        <v/>
      </c>
      <c r="Q39" s="455"/>
      <c r="R39" s="430" t="str">
        <f ca="1">IF(AND('Mapa final'!$Q$21="Baja",'Mapa final'!$U$21="Menor"),CONCATENATE("R",'Mapa final'!$A$21),"")</f>
        <v/>
      </c>
      <c r="S39" s="453"/>
      <c r="T39" s="453" t="str">
        <f ca="1">IF(AND('Mapa final'!$LR$22="Baja",'Mapa final'!$U$22="Menor"),CONCATENATE("R",'Mapa final'!$A$22),"")</f>
        <v/>
      </c>
      <c r="U39" s="453"/>
      <c r="V39" s="453" t="str">
        <f>IF(AND('Mapa final'!$Q$23="Baja",'Mapa final'!$U$23="Menor"),CONCATENATE("R",'Mapa final'!$A$23),"")</f>
        <v/>
      </c>
      <c r="W39" s="446"/>
      <c r="X39" s="430" t="str">
        <f ca="1">IF(AND('Mapa final'!$Q$21="Baja",'Mapa final'!$U$21="Moderado"),CONCATENATE("R",'Mapa final'!$A$21),"")</f>
        <v/>
      </c>
      <c r="Y39" s="453"/>
      <c r="Z39" s="453" t="str">
        <f ca="1">IF(AND('Mapa final'!$Q$22="Baja",'Mapa final'!$U$22="Moderado"),CONCATENATE("R",'Mapa final'!$A$22),"")</f>
        <v/>
      </c>
      <c r="AA39" s="453"/>
      <c r="AB39" s="453" t="str">
        <f>IF(AND('Mapa final'!$Q$23="Baja",'Mapa final'!$U$23="Moderado"),CONCATENATE("R",'Mapa final'!$A$23),"")</f>
        <v/>
      </c>
      <c r="AC39" s="446"/>
      <c r="AD39" s="422" t="str">
        <f ca="1">IF(AND('Mapa final'!$Q$21="Baja",'Mapa final'!$U$21="Mayor"),CONCATENATE("R",'Mapa final'!$A$21),"")</f>
        <v/>
      </c>
      <c r="AE39" s="435"/>
      <c r="AF39" s="435" t="str">
        <f ca="1">IF(AND('Mapa final'!$Q$22="Baja",'Mapa final'!$U$22="Mayor"),CONCATENATE("R",'Mapa final'!$A$22),"")</f>
        <v/>
      </c>
      <c r="AG39" s="435"/>
      <c r="AH39" s="435" t="str">
        <f>IF(AND('Mapa final'!$Q$23="Baja",'Mapa final'!$U$23="Mayor"),CONCATENATE("R",'Mapa final'!$A$23),"")</f>
        <v/>
      </c>
      <c r="AI39" s="419"/>
      <c r="AJ39" s="436" t="str">
        <f ca="1">IF(AND('Mapa final'!$Q$21="Baja",'Mapa final'!$U$21="Catastrófico"),CONCATENATE("R",'Mapa final'!$A$21),"")</f>
        <v/>
      </c>
      <c r="AK39" s="437"/>
      <c r="AL39" s="437" t="str">
        <f ca="1">IF(AND('Mapa final'!$Q$22="Baja",'Mapa final'!$U$22="Catastrófico"),CONCATENATE("R",'Mapa final'!$A$22),"")</f>
        <v/>
      </c>
      <c r="AM39" s="437"/>
      <c r="AN39" s="437" t="str">
        <f>IF(AND('Mapa final'!$Q$23="Baja",'Mapa final'!$U$23="Catastrófico"),CONCATENATE("R",'Mapa final'!$A$23),"")</f>
        <v/>
      </c>
      <c r="AO39" s="438"/>
      <c r="AP39" s="69"/>
      <c r="AQ39" s="405"/>
      <c r="AR39" s="406"/>
      <c r="AS39" s="406"/>
      <c r="AT39" s="406"/>
      <c r="AU39" s="406"/>
      <c r="AV39" s="407"/>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373"/>
      <c r="E40" s="373"/>
      <c r="F40" s="374"/>
      <c r="G40" s="413"/>
      <c r="H40" s="414"/>
      <c r="I40" s="414"/>
      <c r="J40" s="414"/>
      <c r="K40" s="414"/>
      <c r="L40" s="456"/>
      <c r="M40" s="454"/>
      <c r="N40" s="454"/>
      <c r="O40" s="454"/>
      <c r="P40" s="454"/>
      <c r="Q40" s="455"/>
      <c r="R40" s="430"/>
      <c r="S40" s="453"/>
      <c r="T40" s="453"/>
      <c r="U40" s="453"/>
      <c r="V40" s="453"/>
      <c r="W40" s="446"/>
      <c r="X40" s="430"/>
      <c r="Y40" s="453"/>
      <c r="Z40" s="453"/>
      <c r="AA40" s="453"/>
      <c r="AB40" s="453"/>
      <c r="AC40" s="446"/>
      <c r="AD40" s="422"/>
      <c r="AE40" s="435"/>
      <c r="AF40" s="435"/>
      <c r="AG40" s="435"/>
      <c r="AH40" s="435"/>
      <c r="AI40" s="419"/>
      <c r="AJ40" s="436"/>
      <c r="AK40" s="437"/>
      <c r="AL40" s="437"/>
      <c r="AM40" s="437"/>
      <c r="AN40" s="437"/>
      <c r="AO40" s="438"/>
      <c r="AP40" s="69"/>
      <c r="AQ40" s="405"/>
      <c r="AR40" s="406"/>
      <c r="AS40" s="406"/>
      <c r="AT40" s="406"/>
      <c r="AU40" s="406"/>
      <c r="AV40" s="407"/>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373"/>
      <c r="E41" s="373"/>
      <c r="F41" s="374"/>
      <c r="G41" s="413"/>
      <c r="H41" s="414"/>
      <c r="I41" s="414"/>
      <c r="J41" s="414"/>
      <c r="K41" s="414"/>
      <c r="L41" s="456" t="str">
        <f>IF(AND('Mapa final'!$Q$24="Baja",'Mapa final'!$U$24="Leve"),CONCATENATE("R",'Mapa final'!$A$24),"")</f>
        <v/>
      </c>
      <c r="M41" s="454"/>
      <c r="N41" s="454" t="str">
        <f>IF(AND('Mapa final'!$L$25="Baja",'Mapa final'!$P$25="Leve"),CONCATENATE("R",'Mapa final'!$A$25),"")</f>
        <v/>
      </c>
      <c r="O41" s="454"/>
      <c r="P41" s="454" t="str">
        <f>IF(AND('Mapa final'!$L$26="Baja",'Mapa final'!$P$26="Leve"),CONCATENATE("R",'Mapa final'!$A$26),"")</f>
        <v/>
      </c>
      <c r="Q41" s="455"/>
      <c r="R41" s="430" t="str">
        <f>IF(AND('Mapa final'!$Q$24="Baja",'Mapa final'!$U$24="Menor"),CONCATENATE("R",'Mapa final'!$A$24),"")</f>
        <v/>
      </c>
      <c r="S41" s="453"/>
      <c r="T41" s="453" t="str">
        <f>IF(AND('Mapa final'!$Q$25="Baja",'Mapa final'!$U$25="Menor"),CONCATENATE("R",'Mapa final'!$A$25),"")</f>
        <v/>
      </c>
      <c r="U41" s="453"/>
      <c r="V41" s="453" t="str">
        <f>IF(AND('Mapa final'!$Q$26="Baja",'Mapa final'!$U$26="Menor"),CONCATENATE("R",'Mapa final'!$A$26),"")</f>
        <v/>
      </c>
      <c r="W41" s="446"/>
      <c r="X41" s="430" t="str">
        <f>IF(AND('Mapa final'!$Q$24="Baja",'Mapa final'!$U$24="Moderado"),CONCATENATE("R",'Mapa final'!$A$24),"")</f>
        <v/>
      </c>
      <c r="Y41" s="453"/>
      <c r="Z41" s="453" t="str">
        <f>IF(AND('Mapa final'!$Q$25="Baja",'Mapa final'!$U$25="Moderado"),CONCATENATE("R",'Mapa final'!$A$25),"")</f>
        <v/>
      </c>
      <c r="AA41" s="453"/>
      <c r="AB41" s="453" t="str">
        <f>IF(AND('Mapa final'!$Q$26="Baja",'Mapa final'!$U$26="Moderado"),CONCATENATE("R",'Mapa final'!$A$26),"")</f>
        <v/>
      </c>
      <c r="AC41" s="446"/>
      <c r="AD41" s="422" t="str">
        <f>IF(AND('Mapa final'!$Q$24="Baja",'Mapa final'!$U$24="Mayor"),CONCATENATE("R",'Mapa final'!$A$24),"")</f>
        <v/>
      </c>
      <c r="AE41" s="435"/>
      <c r="AF41" s="435" t="str">
        <f>IF(AND('Mapa final'!$Q$25="Baja",'Mapa final'!$U$25="Mayor"),CONCATENATE("R",'Mapa final'!$A$25),"")</f>
        <v/>
      </c>
      <c r="AG41" s="435"/>
      <c r="AH41" s="435" t="str">
        <f>IF(AND('Mapa final'!$Q$26="Baja",'Mapa final'!$U$26="Mayor"),CONCATENATE("R",'Mapa final'!$A$26),"")</f>
        <v/>
      </c>
      <c r="AI41" s="419"/>
      <c r="AJ41" s="436" t="str">
        <f>IF(AND('Mapa final'!$Q$24="Baja",'Mapa final'!$U$24="Catastrófico"),CONCATENATE("R",'Mapa final'!$A$24),"")</f>
        <v/>
      </c>
      <c r="AK41" s="437"/>
      <c r="AL41" s="437" t="str">
        <f>IF(AND('Mapa final'!$Q$25="Baja",'Mapa final'!$U$25="Catastrófico"),CONCATENATE("R",'Mapa final'!$A$25),"")</f>
        <v/>
      </c>
      <c r="AM41" s="437"/>
      <c r="AN41" s="437" t="str">
        <f>IF(AND('Mapa final'!$Q$26="Baja",'Mapa final'!$U$26="Catastrófico"),CONCATENATE("R",'Mapa final'!$A$26),"")</f>
        <v/>
      </c>
      <c r="AO41" s="438"/>
      <c r="AP41" s="69"/>
      <c r="AQ41" s="405"/>
      <c r="AR41" s="406"/>
      <c r="AS41" s="406"/>
      <c r="AT41" s="406"/>
      <c r="AU41" s="406"/>
      <c r="AV41" s="407"/>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373"/>
      <c r="E42" s="373"/>
      <c r="F42" s="374"/>
      <c r="G42" s="416"/>
      <c r="H42" s="417"/>
      <c r="I42" s="417"/>
      <c r="J42" s="417"/>
      <c r="K42" s="417"/>
      <c r="L42" s="457"/>
      <c r="M42" s="458"/>
      <c r="N42" s="458"/>
      <c r="O42" s="458"/>
      <c r="P42" s="458"/>
      <c r="Q42" s="459"/>
      <c r="R42" s="447"/>
      <c r="S42" s="448"/>
      <c r="T42" s="448"/>
      <c r="U42" s="448"/>
      <c r="V42" s="448"/>
      <c r="W42" s="449"/>
      <c r="X42" s="447"/>
      <c r="Y42" s="448"/>
      <c r="Z42" s="448"/>
      <c r="AA42" s="448"/>
      <c r="AB42" s="448"/>
      <c r="AC42" s="449"/>
      <c r="AD42" s="433"/>
      <c r="AE42" s="428"/>
      <c r="AF42" s="428"/>
      <c r="AG42" s="428"/>
      <c r="AH42" s="428"/>
      <c r="AI42" s="428"/>
      <c r="AJ42" s="442"/>
      <c r="AK42" s="443"/>
      <c r="AL42" s="443"/>
      <c r="AM42" s="443"/>
      <c r="AN42" s="443"/>
      <c r="AO42" s="444"/>
      <c r="AP42" s="69"/>
      <c r="AQ42" s="408"/>
      <c r="AR42" s="409"/>
      <c r="AS42" s="409"/>
      <c r="AT42" s="409"/>
      <c r="AU42" s="409"/>
      <c r="AV42" s="410"/>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373"/>
      <c r="E43" s="373"/>
      <c r="F43" s="374"/>
      <c r="G43" s="411" t="s">
        <v>112</v>
      </c>
      <c r="H43" s="412"/>
      <c r="I43" s="412"/>
      <c r="J43" s="412"/>
      <c r="K43" s="412"/>
      <c r="L43" s="460" t="str">
        <f ca="1">IF(AND('Mapa final'!$Q$15="Muy Baja",'Mapa final'!$U$15="Leve"),CONCATENATE("R",'Mapa final'!$A$15),"")</f>
        <v/>
      </c>
      <c r="M43" s="461"/>
      <c r="N43" s="461" t="str">
        <f>IF(AND('Mapa final'!$L$16="Muy Baja",'Mapa final'!$P$16="Leve"),CONCATENATE("R",'Mapa final'!$A$16),"")</f>
        <v/>
      </c>
      <c r="O43" s="461"/>
      <c r="P43" s="461" t="str">
        <f>IF(AND('Mapa final'!$L$17="Muy Baja",'Mapa final'!$P$17="Leve"),CONCATENATE("R",'Mapa final'!$A$17),"")</f>
        <v/>
      </c>
      <c r="Q43" s="462"/>
      <c r="R43" s="460" t="str">
        <f ca="1">IF(AND('Mapa final'!$Q$15="Muy Baja",'Mapa final'!$U$15="Menor"),CONCATENATE("R",'Mapa final'!$A$15),"")</f>
        <v/>
      </c>
      <c r="S43" s="461"/>
      <c r="T43" s="461" t="str">
        <f ca="1">IF(AND('Mapa final'!$Q$16="Muy Baja",'Mapa final'!$U$16="Menor"),CONCATENATE("R",'Mapa final'!$A$16),"")</f>
        <v/>
      </c>
      <c r="U43" s="461"/>
      <c r="V43" s="461" t="str">
        <f ca="1">IF(AND('Mapa final'!$Q$17="Muy Baja",'Mapa final'!$U$17="Menor"),CONCATENATE("R",'Mapa final'!$A$17),"")</f>
        <v/>
      </c>
      <c r="W43" s="462"/>
      <c r="X43" s="450" t="str">
        <f ca="1">IF(AND('Mapa final'!$Q$15="Muy Baja",'Mapa final'!$U$15="Moderado"),CONCATENATE("R",'Mapa final'!$A$15),"")</f>
        <v/>
      </c>
      <c r="Y43" s="451"/>
      <c r="Z43" s="451" t="str">
        <f ca="1">IF(AND('Mapa final'!Q$16="Muy Baja",'Mapa final'!$U$16="Moderado"),CONCATENATE("R",'Mapa final'!$A$16),"")</f>
        <v/>
      </c>
      <c r="AA43" s="451"/>
      <c r="AB43" s="451" t="str">
        <f ca="1">IF(AND('Mapa final'!$Q$17="Muy Baja",'Mapa final'!$U$17="Moderado"),CONCATENATE("R",'Mapa final'!$A$17),"")</f>
        <v/>
      </c>
      <c r="AC43" s="452"/>
      <c r="AD43" s="420" t="str">
        <f ca="1">IF(AND('Mapa final'!$Q$15="Muy Baja",'Mapa final'!$U$15="Mayor"),CONCATENATE("R",'Mapa final'!$A$15),"")</f>
        <v/>
      </c>
      <c r="AE43" s="421"/>
      <c r="AF43" s="421" t="str">
        <f ca="1">IF(AND('Mapa final'!$Q$16="Muy Baja",'Mapa final'!$U$16="Mayor"),CONCATENATE("R",'Mapa final'!$A$16),"")</f>
        <v/>
      </c>
      <c r="AG43" s="421"/>
      <c r="AH43" s="421" t="str">
        <f ca="1">IF(AND('Mapa final'!$Q$17="Muy Baja",'Mapa final'!$U$17="Mayor"),CONCATENATE("R",'Mapa final'!$A$17),"")</f>
        <v/>
      </c>
      <c r="AI43" s="434"/>
      <c r="AJ43" s="436" t="str">
        <f ca="1">IF(AND('Mapa final'!$Q$15="Muy Baja",'Mapa final'!$U$15="Catastrófico"),CONCATENATE("R",'Mapa final'!$A$15),"")</f>
        <v/>
      </c>
      <c r="AK43" s="437"/>
      <c r="AL43" s="437" t="str">
        <f ca="1">IF(AND('Mapa final'!$Q$16="Muy Baja",'Mapa final'!$U$16="Catastrófico"),CONCATENATE("R",'Mapa final'!$A$16),"")</f>
        <v/>
      </c>
      <c r="AM43" s="437"/>
      <c r="AN43" s="437" t="str">
        <f ca="1">IF(AND('Mapa final'!$Q$17="Muy Baja",'Mapa final'!$U$17="Catastrófico"),CONCATENATE("R",'Mapa final'!$A$17),"")</f>
        <v/>
      </c>
      <c r="AO43" s="438"/>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373"/>
      <c r="E44" s="373"/>
      <c r="F44" s="374"/>
      <c r="G44" s="413"/>
      <c r="H44" s="414"/>
      <c r="I44" s="414"/>
      <c r="J44" s="414"/>
      <c r="K44" s="415"/>
      <c r="L44" s="456"/>
      <c r="M44" s="454"/>
      <c r="N44" s="454"/>
      <c r="O44" s="454"/>
      <c r="P44" s="454"/>
      <c r="Q44" s="455"/>
      <c r="R44" s="456"/>
      <c r="S44" s="454"/>
      <c r="T44" s="464"/>
      <c r="U44" s="464"/>
      <c r="V44" s="464"/>
      <c r="W44" s="455"/>
      <c r="X44" s="430"/>
      <c r="Y44" s="453"/>
      <c r="Z44" s="453"/>
      <c r="AA44" s="453"/>
      <c r="AB44" s="453"/>
      <c r="AC44" s="446"/>
      <c r="AD44" s="422"/>
      <c r="AE44" s="435"/>
      <c r="AF44" s="435"/>
      <c r="AG44" s="435"/>
      <c r="AH44" s="435"/>
      <c r="AI44" s="427"/>
      <c r="AJ44" s="436"/>
      <c r="AK44" s="445"/>
      <c r="AL44" s="445"/>
      <c r="AM44" s="445"/>
      <c r="AN44" s="445"/>
      <c r="AO44" s="438"/>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373"/>
      <c r="E45" s="373"/>
      <c r="F45" s="374"/>
      <c r="G45" s="413"/>
      <c r="H45" s="414"/>
      <c r="I45" s="414"/>
      <c r="J45" s="414"/>
      <c r="K45" s="415"/>
      <c r="L45" s="456" t="str">
        <f>IF(AND('Mapa final'!$Q$18="Muy Baja",'Mapa final'!$U$18="Leve"),CONCATENATE("R",'Mapa final'!$A$18),"")</f>
        <v/>
      </c>
      <c r="M45" s="454"/>
      <c r="N45" s="454" t="str">
        <f>IF(AND('Mapa final'!$L$19="Muy Baja",'Mapa final'!$P$19="Leve"),CONCATENATE("R",'Mapa final'!$A$19),"")</f>
        <v/>
      </c>
      <c r="O45" s="454"/>
      <c r="P45" s="454" t="str">
        <f>IF(AND('Mapa final'!$L$20="Muy Baja",'Mapa final'!$P$20="Leve"),CONCATENATE("R",'Mapa final'!$A$20),"")</f>
        <v/>
      </c>
      <c r="Q45" s="455"/>
      <c r="R45" s="456" t="str">
        <f>IF(AND('Mapa final'!$Q$18="Muy Baja",'Mapa final'!$U$18="Menor"),CONCATENATE("R",'Mapa final'!$A$18),"")</f>
        <v/>
      </c>
      <c r="S45" s="454"/>
      <c r="T45" s="464" t="str">
        <f ca="1">IF(AND('Mapa final'!$Q$19="Muy Baja",'Mapa final'!$U$19="Menor"),CONCATENATE("R",'Mapa final'!$A$19),"")</f>
        <v/>
      </c>
      <c r="U45" s="464"/>
      <c r="V45" s="464" t="str">
        <f ca="1">IF(AND('Mapa final'!$Q$20="Muy Baja",'Mapa final'!$U$20="Menor"),CONCATENATE("R",'Mapa final'!$A$20),"")</f>
        <v/>
      </c>
      <c r="W45" s="455"/>
      <c r="X45" s="430" t="str">
        <f>IF(AND('Mapa final'!$Q$18="Muy Baja",'Mapa final'!$U$18="Moderado"),CONCATENATE("R",'Mapa final'!$A$18),"")</f>
        <v/>
      </c>
      <c r="Y45" s="453"/>
      <c r="Z45" s="453" t="str">
        <f ca="1">IF(AND('Mapa final'!$Q$19="Muy Baja",'Mapa final'!$U$19="Moderado"),CONCATENATE("R",'Mapa final'!$A$19),"")</f>
        <v/>
      </c>
      <c r="AA45" s="453"/>
      <c r="AB45" s="453" t="str">
        <f ca="1">IF(AND('Mapa final'!$Q$20="Muy Baja",'Mapa final'!$U$20="Moderado"),CONCATENATE("R",'Mapa final'!$A$20),"")</f>
        <v/>
      </c>
      <c r="AC45" s="446"/>
      <c r="AD45" s="422" t="str">
        <f>IF(AND('Mapa final'!$Q$18="Muy Baja",'Mapa final'!$U$18="Mayor"),CONCATENATE("R",'Mapa final'!$A$18),"")</f>
        <v/>
      </c>
      <c r="AE45" s="435"/>
      <c r="AF45" s="435" t="str">
        <f ca="1">IF(AND('Mapa final'!$Q$19="Muy Baja",'Mapa final'!$U$19="Mayor"),CONCATENATE("R",'Mapa final'!$A$19),"")</f>
        <v/>
      </c>
      <c r="AG45" s="435"/>
      <c r="AH45" s="435" t="str">
        <f ca="1">IF(AND('Mapa final'!$Q$20="Muy Baja",'Mapa final'!$U$20="Mayor"),CONCATENATE("R",'Mapa final'!$A$20),"")</f>
        <v/>
      </c>
      <c r="AI45" s="427"/>
      <c r="AJ45" s="436" t="str">
        <f>IF(AND('Mapa final'!$Q$18="Muy Baja",'Mapa final'!$U$18="Catastrófico"),CONCATENATE("R",'Mapa final'!$A$18),"")</f>
        <v/>
      </c>
      <c r="AK45" s="445"/>
      <c r="AL45" s="445" t="str">
        <f ca="1">IF(AND('Mapa final'!$Q$19="Muy Baja",'Mapa final'!$U$19="Catastrófico"),CONCATENATE("R",'Mapa final'!$A$19),"")</f>
        <v/>
      </c>
      <c r="AM45" s="445"/>
      <c r="AN45" s="445" t="str">
        <f>IF(AND('Mapa final'!$Q$20="Muy Baja",'Mapa final'!$L$20="Catastrófico"),CONCATENATE("R",'Mapa final'!$A$20),"")</f>
        <v/>
      </c>
      <c r="AO45" s="438"/>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373"/>
      <c r="E46" s="373"/>
      <c r="F46" s="374"/>
      <c r="G46" s="413"/>
      <c r="H46" s="414"/>
      <c r="I46" s="414"/>
      <c r="J46" s="414"/>
      <c r="K46" s="415"/>
      <c r="L46" s="456"/>
      <c r="M46" s="454"/>
      <c r="N46" s="454"/>
      <c r="O46" s="454"/>
      <c r="P46" s="454"/>
      <c r="Q46" s="455"/>
      <c r="R46" s="456"/>
      <c r="S46" s="454"/>
      <c r="T46" s="464"/>
      <c r="U46" s="464"/>
      <c r="V46" s="464"/>
      <c r="W46" s="455"/>
      <c r="X46" s="430"/>
      <c r="Y46" s="453"/>
      <c r="Z46" s="453"/>
      <c r="AA46" s="453"/>
      <c r="AB46" s="453"/>
      <c r="AC46" s="446"/>
      <c r="AD46" s="422"/>
      <c r="AE46" s="435"/>
      <c r="AF46" s="435"/>
      <c r="AG46" s="435"/>
      <c r="AH46" s="435"/>
      <c r="AI46" s="427"/>
      <c r="AJ46" s="436"/>
      <c r="AK46" s="445"/>
      <c r="AL46" s="445"/>
      <c r="AM46" s="445"/>
      <c r="AN46" s="445"/>
      <c r="AO46" s="438"/>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373"/>
      <c r="E47" s="373"/>
      <c r="F47" s="374"/>
      <c r="G47" s="413"/>
      <c r="H47" s="414"/>
      <c r="I47" s="414"/>
      <c r="J47" s="414"/>
      <c r="K47" s="415"/>
      <c r="L47" s="456" t="str">
        <f ca="1">IF(AND('Mapa final'!$Q$21="Muy Baja",'Mapa final'!$U$21="Leve"),CONCATENATE("R",'Mapa final'!$A$21),"")</f>
        <v/>
      </c>
      <c r="M47" s="454"/>
      <c r="N47" s="454" t="str">
        <f>IF(AND('Mapa final'!$L$22="Muy Baja",'Mapa final'!$P$22="Leve"),CONCATENATE("R",'Mapa final'!$A$22),"")</f>
        <v/>
      </c>
      <c r="O47" s="454"/>
      <c r="P47" s="454" t="str">
        <f>IF(AND('Mapa final'!$L$23="Muy Baja",'Mapa final'!$P$23="Leve"),CONCATENATE("R",'Mapa final'!$A$23),"")</f>
        <v/>
      </c>
      <c r="Q47" s="455"/>
      <c r="R47" s="456" t="str">
        <f ca="1">IF(AND('Mapa final'!$Q$21="Muy Baja",'Mapa final'!$U$21="Menor"),CONCATENATE("R",'Mapa final'!$A$21),"")</f>
        <v/>
      </c>
      <c r="S47" s="454"/>
      <c r="T47" s="464" t="str">
        <f ca="1">IF(AND('Mapa final'!$LR$22="Muy Baja",'Mapa final'!$U$22="Menor"),CONCATENATE("R",'Mapa final'!$A$22),"")</f>
        <v/>
      </c>
      <c r="U47" s="464"/>
      <c r="V47" s="464" t="str">
        <f>IF(AND('Mapa final'!$Q$23="Muy Baja",'Mapa final'!$U$23="Menor"),CONCATENATE("R",'Mapa final'!$A$23),"")</f>
        <v/>
      </c>
      <c r="W47" s="455"/>
      <c r="X47" s="430" t="str">
        <f ca="1">IF(AND('Mapa final'!$Q$21="Muy Baja",'Mapa final'!$U$21="Moderado"),CONCATENATE("R",'Mapa final'!$A$21),"")</f>
        <v/>
      </c>
      <c r="Y47" s="453"/>
      <c r="Z47" s="453" t="str">
        <f ca="1">IF(AND('Mapa final'!$Q$22="Muy Baja",'Mapa final'!$U$22="Moderado"),CONCATENATE("R",'Mapa final'!$A$22),"")</f>
        <v/>
      </c>
      <c r="AA47" s="453"/>
      <c r="AB47" s="453" t="str">
        <f>IF(AND('Mapa final'!$Q$23="Muy Baja",'Mapa final'!$U$23="Moderado"),CONCATENATE("R",'Mapa final'!$A$23),"")</f>
        <v/>
      </c>
      <c r="AC47" s="446"/>
      <c r="AD47" s="422" t="str">
        <f ca="1">IF(AND('Mapa final'!$Q$21="Muy Baja",'Mapa final'!$U$21="Mayor"),CONCATENATE("R",'Mapa final'!$A$21),"")</f>
        <v/>
      </c>
      <c r="AE47" s="435"/>
      <c r="AF47" s="435" t="str">
        <f ca="1">IF(AND('Mapa final'!$Q$22="Muy Baja",'Mapa final'!$U$22="Mayor"),CONCATENATE("R",'Mapa final'!$A$22),"")</f>
        <v/>
      </c>
      <c r="AG47" s="435"/>
      <c r="AH47" s="435" t="str">
        <f>IF(AND('Mapa final'!$Q$23="Muy Baja",'Mapa final'!$U$23="Mayor"),CONCATENATE("R",'Mapa final'!$A$23),"")</f>
        <v/>
      </c>
      <c r="AI47" s="427"/>
      <c r="AJ47" s="436" t="str">
        <f ca="1">IF(AND('Mapa final'!$Q$21="Muy Baja",'Mapa final'!$U$21="Catastrófico"),CONCATENATE("R",'Mapa final'!$A$21),"")</f>
        <v/>
      </c>
      <c r="AK47" s="445"/>
      <c r="AL47" s="445" t="str">
        <f ca="1">IF(AND('Mapa final'!$Q$22="Muy Baja",'Mapa final'!$U$22="Catastrófico"),CONCATENATE("R",'Mapa final'!$A$22),"")</f>
        <v/>
      </c>
      <c r="AM47" s="445"/>
      <c r="AN47" s="445" t="str">
        <f>IF(AND('Mapa final'!$Q$23="Muy Baja",'Mapa final'!$U$23="Catastrófico"),CONCATENATE("R",'Mapa final'!$A$23),"")</f>
        <v/>
      </c>
      <c r="AO47" s="438"/>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373"/>
      <c r="E48" s="373"/>
      <c r="F48" s="374"/>
      <c r="G48" s="413"/>
      <c r="H48" s="414"/>
      <c r="I48" s="414"/>
      <c r="J48" s="414"/>
      <c r="K48" s="415"/>
      <c r="L48" s="456"/>
      <c r="M48" s="454"/>
      <c r="N48" s="454"/>
      <c r="O48" s="454"/>
      <c r="P48" s="454"/>
      <c r="Q48" s="455"/>
      <c r="R48" s="456"/>
      <c r="S48" s="454"/>
      <c r="T48" s="464"/>
      <c r="U48" s="464"/>
      <c r="V48" s="464"/>
      <c r="W48" s="455"/>
      <c r="X48" s="430"/>
      <c r="Y48" s="453"/>
      <c r="Z48" s="453"/>
      <c r="AA48" s="453"/>
      <c r="AB48" s="453"/>
      <c r="AC48" s="446"/>
      <c r="AD48" s="422"/>
      <c r="AE48" s="435"/>
      <c r="AF48" s="435"/>
      <c r="AG48" s="435"/>
      <c r="AH48" s="435"/>
      <c r="AI48" s="427"/>
      <c r="AJ48" s="436"/>
      <c r="AK48" s="445"/>
      <c r="AL48" s="445"/>
      <c r="AM48" s="445"/>
      <c r="AN48" s="445"/>
      <c r="AO48" s="438"/>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373"/>
      <c r="E49" s="373"/>
      <c r="F49" s="374"/>
      <c r="G49" s="413"/>
      <c r="H49" s="414"/>
      <c r="I49" s="414"/>
      <c r="J49" s="414"/>
      <c r="K49" s="415"/>
      <c r="L49" s="456" t="str">
        <f>IF(AND('Mapa final'!$Q$24="Muy Baja",'Mapa final'!$U$24="Leve"),CONCATENATE("R",'Mapa final'!$A$24),"")</f>
        <v/>
      </c>
      <c r="M49" s="454"/>
      <c r="N49" s="454" t="str">
        <f>IF(AND('Mapa final'!$L$25="Muy Baja",'Mapa final'!$P$25="Leve"),CONCATENATE("R",'Mapa final'!$A$25),"")</f>
        <v/>
      </c>
      <c r="O49" s="454"/>
      <c r="P49" s="454" t="str">
        <f>IF(AND('Mapa final'!$L$26="Muy Baja",'Mapa final'!$P$26="Leve"),CONCATENATE("R",'Mapa final'!$A$26),"")</f>
        <v/>
      </c>
      <c r="Q49" s="455"/>
      <c r="R49" s="454" t="str">
        <f>IF(AND('Mapa final'!$Q$24="Muy Baja",'Mapa final'!$U$24="Menor"),CONCATENATE("R",'Mapa final'!$A$24),"")</f>
        <v/>
      </c>
      <c r="S49" s="464"/>
      <c r="T49" s="464" t="str">
        <f>IF(AND('Mapa final'!$Q$25="Muy Baja",'Mapa final'!$U$25="Menor"),CONCATENATE("R",'Mapa final'!$A$25),"")</f>
        <v/>
      </c>
      <c r="U49" s="464"/>
      <c r="V49" s="464" t="str">
        <f>IF(AND('Mapa final'!$Q$26="Muy Baja",'Mapa final'!$U$26="Menor"),CONCATENATE("R",'Mapa final'!$A$26),"")</f>
        <v/>
      </c>
      <c r="W49" s="455"/>
      <c r="X49" s="430" t="str">
        <f>IF(AND('Mapa final'!$Q$24="Muy Baja",'Mapa final'!$U$24="Moderado"),CONCATENATE("R",'Mapa final'!$A$24),"")</f>
        <v/>
      </c>
      <c r="Y49" s="453"/>
      <c r="Z49" s="453" t="str">
        <f>IF(AND('Mapa final'!$Q$25="Muy Baja",'Mapa final'!$U$25="Moderado"),CONCATENATE("R",'Mapa final'!$A$25),"")</f>
        <v/>
      </c>
      <c r="AA49" s="453"/>
      <c r="AB49" s="453" t="str">
        <f>IF(AND('Mapa final'!$Q$26="Muy Baja",'Mapa final'!$U$26="Moderado"),CONCATENATE("R",'Mapa final'!$A$26),"")</f>
        <v/>
      </c>
      <c r="AC49" s="446"/>
      <c r="AD49" s="422" t="str">
        <f>IF(AND('Mapa final'!$Q$24="Muy Baja",'Mapa final'!$U$24="Mayor"),CONCATENATE("R",'Mapa final'!$A$24),"")</f>
        <v/>
      </c>
      <c r="AE49" s="435"/>
      <c r="AF49" s="435" t="str">
        <f>IF(AND('Mapa final'!$Q$25="Muy Baja",'Mapa final'!$U$25="Mayor"),CONCATENATE("R",'Mapa final'!$A$25),"")</f>
        <v/>
      </c>
      <c r="AG49" s="435"/>
      <c r="AH49" s="435" t="str">
        <f>IF(AND('Mapa final'!$Q$26="Muy Baja",'Mapa final'!$U$26="Mayor"),CONCATENATE("R",'Mapa final'!$A$26),"")</f>
        <v/>
      </c>
      <c r="AI49" s="427"/>
      <c r="AJ49" s="436" t="str">
        <f>IF(AND('Mapa final'!$Q$24="Muy Baja",'Mapa final'!$U$24="Catastrófico"),CONCATENATE("R",'Mapa final'!$A$24),"")</f>
        <v/>
      </c>
      <c r="AK49" s="445"/>
      <c r="AL49" s="445" t="str">
        <f>IF(AND('Mapa final'!$Q$25="Muy Baja",'Mapa final'!$U$25="Catastrófico"),CONCATENATE("R",'Mapa final'!$A$25),"")</f>
        <v/>
      </c>
      <c r="AM49" s="445"/>
      <c r="AN49" s="445" t="str">
        <f>IF(AND('Mapa final'!$Q$26="Muy Baja",'Mapa final'!$U$26="Catastrófico"),CONCATENATE("R",'Mapa final'!$A$26),"")</f>
        <v/>
      </c>
      <c r="AO49" s="438"/>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373"/>
      <c r="E50" s="373"/>
      <c r="F50" s="374"/>
      <c r="G50" s="416"/>
      <c r="H50" s="417"/>
      <c r="I50" s="417"/>
      <c r="J50" s="417"/>
      <c r="K50" s="417"/>
      <c r="L50" s="457"/>
      <c r="M50" s="458"/>
      <c r="N50" s="458"/>
      <c r="O50" s="458"/>
      <c r="P50" s="458"/>
      <c r="Q50" s="459"/>
      <c r="R50" s="458"/>
      <c r="S50" s="458"/>
      <c r="T50" s="458"/>
      <c r="U50" s="458"/>
      <c r="V50" s="458"/>
      <c r="W50" s="459"/>
      <c r="X50" s="447"/>
      <c r="Y50" s="448"/>
      <c r="Z50" s="448"/>
      <c r="AA50" s="448"/>
      <c r="AB50" s="448"/>
      <c r="AC50" s="449"/>
      <c r="AD50" s="433"/>
      <c r="AE50" s="428"/>
      <c r="AF50" s="428"/>
      <c r="AG50" s="428"/>
      <c r="AH50" s="428"/>
      <c r="AI50" s="429"/>
      <c r="AJ50" s="442"/>
      <c r="AK50" s="443"/>
      <c r="AL50" s="443"/>
      <c r="AM50" s="443"/>
      <c r="AN50" s="443"/>
      <c r="AO50" s="444"/>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423" t="s">
        <v>111</v>
      </c>
      <c r="M51" s="415"/>
      <c r="N51" s="415"/>
      <c r="O51" s="415"/>
      <c r="P51" s="415"/>
      <c r="Q51" s="424"/>
      <c r="R51" s="411" t="s">
        <v>110</v>
      </c>
      <c r="S51" s="412"/>
      <c r="T51" s="412"/>
      <c r="U51" s="412"/>
      <c r="V51" s="412"/>
      <c r="W51" s="426"/>
      <c r="X51" s="411" t="s">
        <v>109</v>
      </c>
      <c r="Y51" s="412"/>
      <c r="Z51" s="412"/>
      <c r="AA51" s="412"/>
      <c r="AB51" s="412"/>
      <c r="AC51" s="426"/>
      <c r="AD51" s="411" t="s">
        <v>108</v>
      </c>
      <c r="AE51" s="432"/>
      <c r="AF51" s="412"/>
      <c r="AG51" s="412"/>
      <c r="AH51" s="412"/>
      <c r="AI51" s="426"/>
      <c r="AJ51" s="411" t="s">
        <v>107</v>
      </c>
      <c r="AK51" s="412"/>
      <c r="AL51" s="412"/>
      <c r="AM51" s="412"/>
      <c r="AN51" s="412"/>
      <c r="AO51" s="426"/>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413"/>
      <c r="M52" s="414"/>
      <c r="N52" s="414"/>
      <c r="O52" s="414"/>
      <c r="P52" s="414"/>
      <c r="Q52" s="424"/>
      <c r="R52" s="413"/>
      <c r="S52" s="414"/>
      <c r="T52" s="414"/>
      <c r="U52" s="414"/>
      <c r="V52" s="414"/>
      <c r="W52" s="424"/>
      <c r="X52" s="413"/>
      <c r="Y52" s="414"/>
      <c r="Z52" s="414"/>
      <c r="AA52" s="414"/>
      <c r="AB52" s="414"/>
      <c r="AC52" s="424"/>
      <c r="AD52" s="413"/>
      <c r="AE52" s="414"/>
      <c r="AF52" s="414"/>
      <c r="AG52" s="414"/>
      <c r="AH52" s="414"/>
      <c r="AI52" s="424"/>
      <c r="AJ52" s="413"/>
      <c r="AK52" s="414"/>
      <c r="AL52" s="414"/>
      <c r="AM52" s="414"/>
      <c r="AN52" s="414"/>
      <c r="AO52" s="424"/>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413"/>
      <c r="M53" s="414"/>
      <c r="N53" s="414"/>
      <c r="O53" s="414"/>
      <c r="P53" s="414"/>
      <c r="Q53" s="424"/>
      <c r="R53" s="413"/>
      <c r="S53" s="414"/>
      <c r="T53" s="414"/>
      <c r="U53" s="414"/>
      <c r="V53" s="414"/>
      <c r="W53" s="424"/>
      <c r="X53" s="413"/>
      <c r="Y53" s="414"/>
      <c r="Z53" s="414"/>
      <c r="AA53" s="414"/>
      <c r="AB53" s="414"/>
      <c r="AC53" s="424"/>
      <c r="AD53" s="413"/>
      <c r="AE53" s="414"/>
      <c r="AF53" s="414"/>
      <c r="AG53" s="414"/>
      <c r="AH53" s="414"/>
      <c r="AI53" s="424"/>
      <c r="AJ53" s="413"/>
      <c r="AK53" s="414"/>
      <c r="AL53" s="414"/>
      <c r="AM53" s="414"/>
      <c r="AN53" s="414"/>
      <c r="AO53" s="424"/>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413"/>
      <c r="M54" s="414"/>
      <c r="N54" s="414"/>
      <c r="O54" s="414"/>
      <c r="P54" s="414"/>
      <c r="Q54" s="424"/>
      <c r="R54" s="413"/>
      <c r="S54" s="414"/>
      <c r="T54" s="414"/>
      <c r="U54" s="414"/>
      <c r="V54" s="414"/>
      <c r="W54" s="424"/>
      <c r="X54" s="413"/>
      <c r="Y54" s="414"/>
      <c r="Z54" s="414"/>
      <c r="AA54" s="414"/>
      <c r="AB54" s="414"/>
      <c r="AC54" s="424"/>
      <c r="AD54" s="413"/>
      <c r="AE54" s="414"/>
      <c r="AF54" s="414"/>
      <c r="AG54" s="414"/>
      <c r="AH54" s="414"/>
      <c r="AI54" s="424"/>
      <c r="AJ54" s="413"/>
      <c r="AK54" s="414"/>
      <c r="AL54" s="414"/>
      <c r="AM54" s="414"/>
      <c r="AN54" s="414"/>
      <c r="AO54" s="424"/>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413"/>
      <c r="M55" s="414"/>
      <c r="N55" s="414"/>
      <c r="O55" s="414"/>
      <c r="P55" s="414"/>
      <c r="Q55" s="424"/>
      <c r="R55" s="413"/>
      <c r="S55" s="414"/>
      <c r="T55" s="414"/>
      <c r="U55" s="414"/>
      <c r="V55" s="414"/>
      <c r="W55" s="424"/>
      <c r="X55" s="413"/>
      <c r="Y55" s="414"/>
      <c r="Z55" s="414"/>
      <c r="AA55" s="414"/>
      <c r="AB55" s="414"/>
      <c r="AC55" s="424"/>
      <c r="AD55" s="413"/>
      <c r="AE55" s="414"/>
      <c r="AF55" s="414"/>
      <c r="AG55" s="414"/>
      <c r="AH55" s="414"/>
      <c r="AI55" s="424"/>
      <c r="AJ55" s="413"/>
      <c r="AK55" s="414"/>
      <c r="AL55" s="414"/>
      <c r="AM55" s="414"/>
      <c r="AN55" s="414"/>
      <c r="AO55" s="424"/>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416"/>
      <c r="M56" s="417"/>
      <c r="N56" s="417"/>
      <c r="O56" s="417"/>
      <c r="P56" s="417"/>
      <c r="Q56" s="425"/>
      <c r="R56" s="416"/>
      <c r="S56" s="417"/>
      <c r="T56" s="417"/>
      <c r="U56" s="417"/>
      <c r="V56" s="417"/>
      <c r="W56" s="425"/>
      <c r="X56" s="416"/>
      <c r="Y56" s="417"/>
      <c r="Z56" s="417"/>
      <c r="AA56" s="417"/>
      <c r="AB56" s="417"/>
      <c r="AC56" s="425"/>
      <c r="AD56" s="416"/>
      <c r="AE56" s="417"/>
      <c r="AF56" s="417"/>
      <c r="AG56" s="417"/>
      <c r="AH56" s="417"/>
      <c r="AI56" s="425"/>
      <c r="AJ56" s="416"/>
      <c r="AK56" s="417"/>
      <c r="AL56" s="417"/>
      <c r="AM56" s="417"/>
      <c r="AN56" s="417"/>
      <c r="AO56" s="425"/>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X47:Y48"/>
    <mergeCell ref="Z47:AA48"/>
    <mergeCell ref="AB47:AC48"/>
    <mergeCell ref="X49:Y50"/>
    <mergeCell ref="Z49:AA50"/>
    <mergeCell ref="AB49:AC50"/>
    <mergeCell ref="X43:Y44"/>
    <mergeCell ref="Z43:AA44"/>
    <mergeCell ref="AB43:AC44"/>
    <mergeCell ref="X45:Y46"/>
    <mergeCell ref="Z45:AA46"/>
    <mergeCell ref="AB45:AC46"/>
    <mergeCell ref="R39:S40"/>
    <mergeCell ref="T39:U40"/>
    <mergeCell ref="V39:W40"/>
    <mergeCell ref="R41:S42"/>
    <mergeCell ref="T41:U42"/>
    <mergeCell ref="V41:W42"/>
    <mergeCell ref="R35:S36"/>
    <mergeCell ref="T35:U36"/>
    <mergeCell ref="V35:W36"/>
    <mergeCell ref="R37:S38"/>
    <mergeCell ref="T37:U38"/>
    <mergeCell ref="V37:W38"/>
    <mergeCell ref="X39:Y40"/>
    <mergeCell ref="Z39:AA40"/>
    <mergeCell ref="AB39:AC40"/>
    <mergeCell ref="X41:Y42"/>
    <mergeCell ref="Z41:AA42"/>
    <mergeCell ref="AB41:AC42"/>
    <mergeCell ref="X35:Y36"/>
    <mergeCell ref="Z35:AA36"/>
    <mergeCell ref="AB35:AC36"/>
    <mergeCell ref="X37:Y38"/>
    <mergeCell ref="Z37:AA38"/>
    <mergeCell ref="AB37:AC38"/>
    <mergeCell ref="X31:Y32"/>
    <mergeCell ref="Z31:AA32"/>
    <mergeCell ref="AB31:AC32"/>
    <mergeCell ref="X33:Y34"/>
    <mergeCell ref="Z33:AA34"/>
    <mergeCell ref="AB33:AC34"/>
    <mergeCell ref="X27:Y28"/>
    <mergeCell ref="Z27:AA28"/>
    <mergeCell ref="AB27:AC28"/>
    <mergeCell ref="X29:Y30"/>
    <mergeCell ref="Z29:AA30"/>
    <mergeCell ref="AB29:AC30"/>
    <mergeCell ref="R31:S32"/>
    <mergeCell ref="T31:U32"/>
    <mergeCell ref="V31:W32"/>
    <mergeCell ref="R33:S34"/>
    <mergeCell ref="T33:U34"/>
    <mergeCell ref="V33:W34"/>
    <mergeCell ref="R27:S28"/>
    <mergeCell ref="T27:U28"/>
    <mergeCell ref="V27:W28"/>
    <mergeCell ref="R29:S30"/>
    <mergeCell ref="T29:U30"/>
    <mergeCell ref="V29:W30"/>
    <mergeCell ref="L31:M32"/>
    <mergeCell ref="N31:O32"/>
    <mergeCell ref="P31:Q32"/>
    <mergeCell ref="L33:M34"/>
    <mergeCell ref="N33:O34"/>
    <mergeCell ref="P33:Q34"/>
    <mergeCell ref="L27:M28"/>
    <mergeCell ref="N27:O28"/>
    <mergeCell ref="P27:Q28"/>
    <mergeCell ref="L29:M30"/>
    <mergeCell ref="N29:O30"/>
    <mergeCell ref="P29:Q30"/>
    <mergeCell ref="R23:S24"/>
    <mergeCell ref="T23:U24"/>
    <mergeCell ref="V23:W24"/>
    <mergeCell ref="R25:S26"/>
    <mergeCell ref="T25:U26"/>
    <mergeCell ref="V25:W26"/>
    <mergeCell ref="R19:S20"/>
    <mergeCell ref="T19:U20"/>
    <mergeCell ref="V19:W20"/>
    <mergeCell ref="R21:S22"/>
    <mergeCell ref="T21:U22"/>
    <mergeCell ref="V21:W22"/>
    <mergeCell ref="P23:Q24"/>
    <mergeCell ref="L25:M26"/>
    <mergeCell ref="N25:O26"/>
    <mergeCell ref="P25:Q26"/>
    <mergeCell ref="L19:M20"/>
    <mergeCell ref="N19:O20"/>
    <mergeCell ref="P19:Q20"/>
    <mergeCell ref="L21:M22"/>
    <mergeCell ref="N21:O22"/>
    <mergeCell ref="P21:Q22"/>
    <mergeCell ref="AJ47:AK48"/>
    <mergeCell ref="AL47:AM48"/>
    <mergeCell ref="AN47:AO48"/>
    <mergeCell ref="AJ49:AK50"/>
    <mergeCell ref="AL49:AM50"/>
    <mergeCell ref="AN49:AO50"/>
    <mergeCell ref="AJ43:AK44"/>
    <mergeCell ref="AL43:AM44"/>
    <mergeCell ref="AN43:AO44"/>
    <mergeCell ref="AJ45:AK46"/>
    <mergeCell ref="AL45:AM46"/>
    <mergeCell ref="AN45:AO46"/>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15:AK16"/>
    <mergeCell ref="AL15:AM16"/>
    <mergeCell ref="AN15:AO16"/>
    <mergeCell ref="AJ17:AK18"/>
    <mergeCell ref="AL17:AM18"/>
    <mergeCell ref="AN17:AO18"/>
    <mergeCell ref="AJ11:AK12"/>
    <mergeCell ref="AL11:AM12"/>
    <mergeCell ref="AN11:AO12"/>
    <mergeCell ref="AJ13:AK14"/>
    <mergeCell ref="AL13:AM14"/>
    <mergeCell ref="AN13:AO14"/>
    <mergeCell ref="AD47:AE48"/>
    <mergeCell ref="AF47:AG48"/>
    <mergeCell ref="AH47:AI48"/>
    <mergeCell ref="AD49:AE50"/>
    <mergeCell ref="AF49:AG50"/>
    <mergeCell ref="AH49:AI50"/>
    <mergeCell ref="AD43:AE44"/>
    <mergeCell ref="AF43:AG44"/>
    <mergeCell ref="AH43:AI44"/>
    <mergeCell ref="AD45:AE46"/>
    <mergeCell ref="AF45:AG46"/>
    <mergeCell ref="AH45:AI46"/>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30" activePane="bottomLeft" state="frozen"/>
      <selection pane="bottomLeft" activeCell="AX52" sqref="AX52"/>
    </sheetView>
  </sheetViews>
  <sheetFormatPr baseColWidth="10" defaultRowHeight="15" x14ac:dyDescent="0.25"/>
  <cols>
    <col min="3" max="13" width="5.7109375" customWidth="1"/>
    <col min="14" max="14" width="13.42578125" customWidth="1"/>
    <col min="15" max="19" width="5.7109375" customWidth="1"/>
    <col min="20" max="20" width="6.7109375" customWidth="1"/>
    <col min="21" max="22" width="5.7109375" customWidth="1"/>
    <col min="23" max="23" width="11" customWidth="1"/>
    <col min="24" max="24" width="10.28515625" customWidth="1"/>
    <col min="25" max="25" width="8.42578125" customWidth="1"/>
    <col min="26" max="27" width="5.7109375" customWidth="1"/>
    <col min="28" max="28" width="10.7109375" customWidth="1"/>
    <col min="29" max="29" width="5.7109375" customWidth="1"/>
    <col min="30" max="30" width="7.42578125" customWidth="1"/>
    <col min="31" max="34" width="5.7109375" customWidth="1"/>
    <col min="35" max="35" width="8.42578125" customWidth="1"/>
    <col min="36" max="40" width="5.7109375" customWidth="1"/>
    <col min="42" max="47" width="5.7109375" customWidth="1"/>
  </cols>
  <sheetData>
    <row r="1" spans="1:92" ht="15.75" thickBot="1" x14ac:dyDescent="0.3"/>
    <row r="2" spans="1:92" x14ac:dyDescent="0.25">
      <c r="C2" s="364" t="s">
        <v>251</v>
      </c>
      <c r="D2" s="365"/>
      <c r="E2" s="365"/>
      <c r="F2" s="365"/>
      <c r="G2" s="365"/>
      <c r="H2" s="365"/>
      <c r="I2" s="365"/>
      <c r="J2" s="366"/>
      <c r="K2" s="355" t="s">
        <v>205</v>
      </c>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7"/>
      <c r="AO2" s="274" t="s">
        <v>377</v>
      </c>
      <c r="AP2" s="352"/>
      <c r="AQ2" s="352"/>
      <c r="AR2" s="352"/>
      <c r="AS2" s="352"/>
      <c r="AT2" s="352"/>
      <c r="AU2" s="247"/>
    </row>
    <row r="3" spans="1:92" x14ac:dyDescent="0.25">
      <c r="C3" s="367"/>
      <c r="D3" s="368"/>
      <c r="E3" s="368"/>
      <c r="F3" s="368"/>
      <c r="G3" s="368"/>
      <c r="H3" s="368"/>
      <c r="I3" s="368"/>
      <c r="J3" s="369"/>
      <c r="K3" s="358"/>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60"/>
      <c r="AO3" s="275" t="s">
        <v>264</v>
      </c>
      <c r="AP3" s="353"/>
      <c r="AQ3" s="353"/>
      <c r="AR3" s="353"/>
      <c r="AS3" s="353"/>
      <c r="AT3" s="353"/>
      <c r="AU3" s="249"/>
    </row>
    <row r="4" spans="1:92" x14ac:dyDescent="0.25">
      <c r="C4" s="367"/>
      <c r="D4" s="368"/>
      <c r="E4" s="368"/>
      <c r="F4" s="368"/>
      <c r="G4" s="368"/>
      <c r="H4" s="368"/>
      <c r="I4" s="368"/>
      <c r="J4" s="369"/>
      <c r="K4" s="358"/>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60"/>
      <c r="AO4" s="275" t="s">
        <v>389</v>
      </c>
      <c r="AP4" s="353" t="s">
        <v>263</v>
      </c>
      <c r="AQ4" s="353"/>
      <c r="AR4" s="353"/>
      <c r="AS4" s="353"/>
      <c r="AT4" s="353"/>
      <c r="AU4" s="249"/>
    </row>
    <row r="5" spans="1:92" ht="15.75" thickBot="1" x14ac:dyDescent="0.3">
      <c r="C5" s="370"/>
      <c r="D5" s="371"/>
      <c r="E5" s="371"/>
      <c r="F5" s="371"/>
      <c r="G5" s="371"/>
      <c r="H5" s="371"/>
      <c r="I5" s="371"/>
      <c r="J5" s="372"/>
      <c r="K5" s="361"/>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3"/>
      <c r="AO5" s="276" t="s">
        <v>245</v>
      </c>
      <c r="AP5" s="354" t="s">
        <v>245</v>
      </c>
      <c r="AQ5" s="354"/>
      <c r="AR5" s="354"/>
      <c r="AS5" s="354"/>
      <c r="AT5" s="354"/>
      <c r="AU5" s="251"/>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515" t="s">
        <v>266</v>
      </c>
      <c r="B8" s="515"/>
      <c r="C8" s="493" t="s">
        <v>156</v>
      </c>
      <c r="D8" s="494"/>
      <c r="E8" s="494"/>
      <c r="F8" s="494"/>
      <c r="G8" s="494"/>
      <c r="H8" s="494"/>
      <c r="I8" s="494"/>
      <c r="J8" s="494"/>
      <c r="K8" s="495" t="s">
        <v>2</v>
      </c>
      <c r="L8" s="495"/>
      <c r="M8" s="495"/>
      <c r="N8" s="495"/>
      <c r="O8" s="495"/>
      <c r="P8" s="495"/>
      <c r="Q8" s="495"/>
      <c r="R8" s="495"/>
      <c r="S8" s="495"/>
      <c r="T8" s="495"/>
      <c r="U8" s="495"/>
      <c r="V8" s="495"/>
      <c r="W8" s="495"/>
      <c r="X8" s="495"/>
      <c r="Y8" s="495"/>
      <c r="Z8" s="495"/>
      <c r="AA8" s="495"/>
      <c r="AB8" s="495"/>
      <c r="AC8" s="495"/>
      <c r="AD8" s="495"/>
      <c r="AE8" s="495"/>
      <c r="AF8" s="495"/>
      <c r="AG8" s="495"/>
      <c r="AH8" s="495"/>
      <c r="AI8" s="495"/>
      <c r="AJ8" s="495"/>
      <c r="AK8" s="495"/>
      <c r="AL8" s="495"/>
      <c r="AM8" s="495"/>
      <c r="AN8" s="495"/>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494"/>
      <c r="D9" s="494"/>
      <c r="E9" s="494"/>
      <c r="F9" s="494"/>
      <c r="G9" s="494"/>
      <c r="H9" s="494"/>
      <c r="I9" s="494"/>
      <c r="J9" s="494"/>
      <c r="K9" s="495"/>
      <c r="L9" s="495"/>
      <c r="M9" s="495"/>
      <c r="N9" s="495"/>
      <c r="O9" s="495"/>
      <c r="P9" s="495"/>
      <c r="Q9" s="495"/>
      <c r="R9" s="495"/>
      <c r="S9" s="495"/>
      <c r="T9" s="495"/>
      <c r="U9" s="495"/>
      <c r="V9" s="495"/>
      <c r="W9" s="495"/>
      <c r="X9" s="495"/>
      <c r="Y9" s="495"/>
      <c r="Z9" s="495"/>
      <c r="AA9" s="495"/>
      <c r="AB9" s="495"/>
      <c r="AC9" s="495"/>
      <c r="AD9" s="495"/>
      <c r="AE9" s="495"/>
      <c r="AF9" s="495"/>
      <c r="AG9" s="495"/>
      <c r="AH9" s="495"/>
      <c r="AI9" s="495"/>
      <c r="AJ9" s="495"/>
      <c r="AK9" s="495"/>
      <c r="AL9" s="495"/>
      <c r="AM9" s="495"/>
      <c r="AN9" s="495"/>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494"/>
      <c r="D10" s="494"/>
      <c r="E10" s="494"/>
      <c r="F10" s="494"/>
      <c r="G10" s="494"/>
      <c r="H10" s="494"/>
      <c r="I10" s="494"/>
      <c r="J10" s="494"/>
      <c r="K10" s="495"/>
      <c r="L10" s="495"/>
      <c r="M10" s="495"/>
      <c r="N10" s="495"/>
      <c r="O10" s="495"/>
      <c r="P10" s="495"/>
      <c r="Q10" s="495"/>
      <c r="R10" s="495"/>
      <c r="S10" s="495"/>
      <c r="T10" s="495"/>
      <c r="U10" s="495"/>
      <c r="V10" s="495"/>
      <c r="W10" s="495"/>
      <c r="X10" s="495"/>
      <c r="Y10" s="495"/>
      <c r="Z10" s="495"/>
      <c r="AA10" s="495"/>
      <c r="AB10" s="495"/>
      <c r="AC10" s="495"/>
      <c r="AD10" s="495"/>
      <c r="AE10" s="495"/>
      <c r="AF10" s="495"/>
      <c r="AG10" s="495"/>
      <c r="AH10" s="495"/>
      <c r="AI10" s="495"/>
      <c r="AJ10" s="495"/>
      <c r="AK10" s="495"/>
      <c r="AL10" s="495"/>
      <c r="AM10" s="495"/>
      <c r="AN10" s="495"/>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373" t="s">
        <v>4</v>
      </c>
      <c r="D12" s="373"/>
      <c r="E12" s="374"/>
      <c r="F12" s="465" t="s">
        <v>115</v>
      </c>
      <c r="G12" s="466"/>
      <c r="H12" s="466"/>
      <c r="I12" s="466"/>
      <c r="J12" s="466"/>
      <c r="K12" s="32" t="str">
        <f ca="1">IF(AND('Mapa final'!$AJ$15="Muy Alta",'Mapa final'!$AL$15="Leve"),CONCATENATE("R2C",'Mapa final'!$S$15),"")</f>
        <v/>
      </c>
      <c r="L12" s="33" t="str">
        <f ca="1">IF(AND('Mapa final'!$AJ$16="Muy Alta",'Mapa final'!$AL$16="Leve"),CONCATENATE("R2C",'Mapa final'!$S$16),"")</f>
        <v/>
      </c>
      <c r="M12" s="33" t="str">
        <f ca="1">IF(AND('Mapa final'!$AJ$17="Muy Alta",'Mapa final'!$AL$17="Leve"),CONCATENATE("R2C",'Mapa final'!$S$17),"")</f>
        <v/>
      </c>
      <c r="N12" s="33" t="str">
        <f>IF(AND('Mapa final'!$AJ$18="Muy Alta",'Mapa final'!$AL$18="Leve"),CONCATENATE("R2C",'Mapa final'!$S$18),"")</f>
        <v/>
      </c>
      <c r="O12" s="33" t="str">
        <f>IF(AND('Mapa final'!$AJ$19="Muy Alta",'Mapa final'!$AL$19="Leve"),CONCATENATE("R2C",'Mapa final'!$S$19),"")</f>
        <v/>
      </c>
      <c r="P12" s="34" t="str">
        <f>IF(AND('Mapa final'!$AJ$20="Muy Alta",'Mapa final'!$AL$20="Leve"),CONCATENATE("R2C",'Mapa final'!$S$20),"")</f>
        <v/>
      </c>
      <c r="Q12" s="33" t="str">
        <f ca="1">IF(AND('Mapa final'!$AJ$15="Muy Alta",'Mapa final'!$AL$15="Menor"),CONCATENATE("R2C",'Mapa final'!$S$15),"")</f>
        <v/>
      </c>
      <c r="R12" s="33" t="str">
        <f ca="1">IF(AND('Mapa final'!$AJ$16="Muy Alta",'Mapa final'!$AL$16="Menore"),CONCATENATE("R2C",'Mapa final'!$S$16),"")</f>
        <v/>
      </c>
      <c r="S12" s="33" t="str">
        <f ca="1">IF(AND('Mapa final'!$AJ$17="Muy Alta",'Mapa final'!$AL$17="Menor"),CONCATENATE("R2C",'Mapa final'!$S$17),"")</f>
        <v/>
      </c>
      <c r="T12" s="33" t="str">
        <f>IF(AND('Mapa final'!$AJ$18="Muy Alta",'Mapa final'!$AL$18="Menor"),CONCATENATE("R2C",'Mapa final'!$S$18),"")</f>
        <v/>
      </c>
      <c r="U12" s="33" t="str">
        <f>IF(AND('Mapa final'!$AJ$19="Muy Alta",'Mapa final'!$AL$19="Menor"),CONCATENATE("R2C",'Mapa final'!$S$19),"")</f>
        <v/>
      </c>
      <c r="V12" s="34" t="str">
        <f>IF(AND('Mapa final'!$AJ$20="Muy Alta",'Mapa final'!$AL$20="Menor"),CONCATENATE("R2C",'Mapa final'!$S$20),"")</f>
        <v/>
      </c>
      <c r="W12" s="32" t="str">
        <f ca="1">IF(AND('Mapa final'!$AJ$15="Muy Alta",'Mapa final'!$AL$15="Moderado"),CONCATENATE("R2C",'Mapa final'!$S$15),"")</f>
        <v/>
      </c>
      <c r="X12" s="33" t="str">
        <f ca="1">IF(AND('Mapa final'!$AJ$16="Muy Alta",'Mapa final'!$AL$16="Moderado"),CONCATENATE("R2C",'Mapa final'!$S$16),"")</f>
        <v/>
      </c>
      <c r="Y12" s="33"/>
      <c r="Z12" s="33" t="str">
        <f>IF(AND('Mapa final'!$AJ$18="Muy Alta",'Mapa final'!$AL$18="Moderado"),CONCATENATE("R2C",'Mapa final'!$S$18),"")</f>
        <v/>
      </c>
      <c r="AA12" s="33" t="str">
        <f>IF(AND('Mapa final'!$AJ$19="Muy Alta",'Mapa final'!$AL$19="Moderado"),CONCATENATE("R2C",'Mapa final'!$S$19),"")</f>
        <v/>
      </c>
      <c r="AB12" s="34" t="str">
        <f>IF(AND('Mapa final'!$AJ$20="Muy Alta",'Mapa final'!$AL$20="Moderado"),CONCATENATE("R2C",'Mapa final'!$S$20),"")</f>
        <v/>
      </c>
      <c r="AC12" s="32" t="str">
        <f ca="1">IF(AND('Mapa final'!$AJ$15="Muy Alta",'Mapa final'!$AL$15="Mayor"),CONCATENATE("R2C",'Mapa final'!$S$15),"")</f>
        <v/>
      </c>
      <c r="AD12" s="33" t="str">
        <f ca="1">IF(AND('Mapa final'!$AJ$16="Muy Alta",'Mapa final'!$AL$16="Mayor"),CONCATENATE("R2C",'Mapa final'!$S$16),"")</f>
        <v/>
      </c>
      <c r="AE12" s="33" t="str">
        <f ca="1">IF(AND('Mapa final'!$AJ$17="Muy Alta",'Mapa final'!$AL$17="Mayor"),CONCATENATE("R2C",'Mapa final'!$S$17),"")</f>
        <v/>
      </c>
      <c r="AF12" s="33" t="str">
        <f>IF(AND('Mapa final'!$AJ$18="Muy Alta",'Mapa final'!$AL$18="Mayor"),CONCATENATE("R2C",'Mapa final'!$S$18),"")</f>
        <v/>
      </c>
      <c r="AG12" s="33" t="str">
        <f>IF(AND('Mapa final'!$AJ$19="Muy Alta",'Mapa final'!$AL$19="Mayor"),CONCATENATE("R2C",'Mapa final'!$S$19),"")</f>
        <v/>
      </c>
      <c r="AH12" s="34" t="str">
        <f>IF(AND('Mapa final'!$AJ$20="Muy Alta",'Mapa final'!$AL$20="Mayor"),CONCATENATE("R2C",'Mapa final'!$S$20),"")</f>
        <v/>
      </c>
      <c r="AI12" s="35" t="str">
        <f ca="1">IF(AND('Mapa final'!$AJ$15="Muy Alta",'Mapa final'!$AL$15="Catastrófico"),CONCATENATE("R2C",'Mapa final'!$S$15),"")</f>
        <v/>
      </c>
      <c r="AJ12" s="36" t="str">
        <f ca="1">IF(AND('Mapa final'!$AJ$16="Muy Alta",'Mapa final'!$AL$16="Catastrófico"),CONCATENATE("R2C",'Mapa final'!$S$16),"")</f>
        <v/>
      </c>
      <c r="AK12" s="36" t="str">
        <f ca="1">IF(AND('Mapa final'!$AJ$17="Muy Alta",'Mapa final'!$AL$17="Catastrófico"),CONCATENATE("R2C",'Mapa final'!$S$17),"")</f>
        <v/>
      </c>
      <c r="AL12" s="36" t="str">
        <f>IF(AND('Mapa final'!$AJ$18="Muy Alta",'Mapa final'!$AL$18="Catastrófico"),CONCATENATE("R2C",'Mapa final'!$S$18),"")</f>
        <v/>
      </c>
      <c r="AM12" s="36" t="str">
        <f>IF(AND('Mapa final'!$AJ$19="Muy Alta",'Mapa final'!$AL$19="Catastrófico"),CONCATENATE("R2C",'Mapa final'!$S$19),"")</f>
        <v/>
      </c>
      <c r="AN12" s="37" t="str">
        <f>IF(AND('Mapa final'!$AJ$20="Muy Alta",'Mapa final'!$AL$20="Catastrófico"),CONCATENATE("R2C",'Mapa final'!$S$20),"")</f>
        <v/>
      </c>
      <c r="AO12" s="69"/>
      <c r="AP12" s="484" t="s">
        <v>78</v>
      </c>
      <c r="AQ12" s="485"/>
      <c r="AR12" s="485"/>
      <c r="AS12" s="485"/>
      <c r="AT12" s="485"/>
      <c r="AU12" s="486"/>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373"/>
      <c r="D13" s="373"/>
      <c r="E13" s="374"/>
      <c r="F13" s="468"/>
      <c r="G13" s="469"/>
      <c r="H13" s="469"/>
      <c r="I13" s="469"/>
      <c r="J13" s="496"/>
      <c r="K13" s="38" t="str">
        <f>IF(AND('Mapa final'!$AJ$21="Muy Alta",'Mapa final'!$AL$21="Leve"),CONCATENATE("R2C",'Mapa final'!$S$21),"")</f>
        <v/>
      </c>
      <c r="L13" s="178" t="str">
        <f>IF(AND('Mapa final'!$AJ$22="Muy Alta",'Mapa final'!$AL$22="Leve"),CONCATENATE("R2C",'Mapa final'!$S$22),"")</f>
        <v/>
      </c>
      <c r="M13" s="178" t="str">
        <f>IF(AND('Mapa final'!$AJ$23="Muy Alta",'Mapa final'!$AL$23="Leve"),CONCATENATE("R2C",'Mapa final'!$S$23),"")</f>
        <v/>
      </c>
      <c r="N13" s="178" t="str">
        <f>IF(AND('Mapa final'!$AJ$24="Muy Alta",'Mapa final'!$AL$24="Leve"),CONCATENATE("R2C",'Mapa final'!$S$24),"")</f>
        <v/>
      </c>
      <c r="O13" s="178" t="str">
        <f>IF(AND('Mapa final'!$AJ$25="Muy Alta",'Mapa final'!$AL$25="Leve"),CONCATENATE("R2C",'Mapa final'!$S$25),"")</f>
        <v/>
      </c>
      <c r="P13" s="40" t="str">
        <f>IF(AND('Mapa final'!$AJ$26="Muy Alta",'Mapa final'!$AL$26="Leve"),CONCATENATE("R2C",'Mapa final'!$S$26),"")</f>
        <v/>
      </c>
      <c r="Q13" s="178" t="str">
        <f>IF(AND('Mapa final'!$AJ$21="Muy Alta",'Mapa final'!$AL$21="Menor"),CONCATENATE("R2C",'Mapa final'!$S$21),"")</f>
        <v/>
      </c>
      <c r="R13" s="39" t="str">
        <f>IF(AND('Mapa final'!$AJ$22="Muy Alta",'Mapa final'!$AL$22="Menor"),CONCATENATE("R2C",'Mapa final'!$S$22),"")</f>
        <v/>
      </c>
      <c r="S13" s="39" t="str">
        <f>IF(AND('Mapa final'!$AJ$23="Muy Alta",'Mapa final'!$AL$23="Menor"),CONCATENATE("R2C",'Mapa final'!$S$23),"")</f>
        <v/>
      </c>
      <c r="T13" s="39" t="str">
        <f>IF(AND('Mapa final'!$AJ$24="Muy Alta",'Mapa final'!$AL$24="Menor"),CONCATENATE("R2C",'Mapa final'!$S$24),"")</f>
        <v/>
      </c>
      <c r="U13" s="39" t="str">
        <f>IF(AND('Mapa final'!$AJ$25="Muy Alta",'Mapa final'!$AL$25="Menor"),CONCATENATE("R2C",'Mapa final'!$S$25),"")</f>
        <v/>
      </c>
      <c r="V13" s="40" t="str">
        <f>IF(AND('Mapa final'!$AJ$26="Muy Alta",'Mapa final'!$AL$26="Menor"),CONCATENATE("R2C",'Mapa final'!$S$26),"")</f>
        <v/>
      </c>
      <c r="W13" s="38" t="str">
        <f>IF(AND('Mapa final'!$AJ$21="Muy Alta",'Mapa final'!$AL$21="Moderado"),CONCATENATE("R2C",'Mapa final'!$S$21),"")</f>
        <v/>
      </c>
      <c r="X13" s="39" t="str">
        <f>IF(AND('Mapa final'!$AJ$22="Muy Alta",'Mapa final'!$AL$22="Moderado"),CONCATENATE("R2C",'Mapa final'!$S$22),"")</f>
        <v/>
      </c>
      <c r="Y13" s="39" t="str">
        <f>IF(AND('Mapa final'!$AJ$23="Muy Alta",'Mapa final'!$AL$23="Moderado"),CONCATENATE("R2C",'Mapa final'!$S$23),"")</f>
        <v/>
      </c>
      <c r="Z13" s="39" t="str">
        <f>IF(AND('Mapa final'!$AJ$24="Muy Alta",'Mapa final'!$AL$24="Moderado"),CONCATENATE("R2C",'Mapa final'!$S$24),"")</f>
        <v/>
      </c>
      <c r="AA13" s="39" t="str">
        <f>IF(AND('Mapa final'!$AJ$25="Muy Alta",'Mapa final'!$AL$25="Moderado"),CONCATENATE("R2C",'Mapa final'!$S$25),"")</f>
        <v/>
      </c>
      <c r="AB13" s="40" t="str">
        <f>IF(AND('Mapa final'!$AJ$26="Muy Alta",'Mapa final'!$AL$26="Moderado"),CONCATENATE("R2C",'Mapa final'!$S$26),"")</f>
        <v/>
      </c>
      <c r="AC13" s="38" t="str">
        <f>IF(AND('Mapa final'!$AJ$21="Muy Alta",'Mapa final'!$AL$21="Mayor"),CONCATENATE("R2C",'Mapa final'!$S$21),"")</f>
        <v/>
      </c>
      <c r="AD13" s="39" t="str">
        <f>IF(AND('Mapa final'!$AJ$22="Muy Alta",'Mapa final'!$AL$22="Mayor"),CONCATENATE("R2C",'Mapa final'!$S$22),"")</f>
        <v/>
      </c>
      <c r="AE13" s="39" t="str">
        <f>IF(AND('Mapa final'!$AJ$23="Muy Alta",'Mapa final'!$AL$23="Mayor"),CONCATENATE("R2C",'Mapa final'!$S$23),"")</f>
        <v/>
      </c>
      <c r="AF13" s="39" t="str">
        <f>IF(AND('Mapa final'!$AJ$24="Muy Alta",'Mapa final'!$AL$24="Mayor"),CONCATENATE("R2C",'Mapa final'!$S$24),"")</f>
        <v/>
      </c>
      <c r="AG13" s="39" t="str">
        <f>IF(AND('Mapa final'!$AJ$25="Muy Alta",'Mapa final'!$AL$25="Mayor"),CONCATENATE("R2C",'Mapa final'!$S$25),"")</f>
        <v/>
      </c>
      <c r="AH13" s="40" t="str">
        <f>IF(AND('Mapa final'!$AJ$26="Muy Alta",'Mapa final'!$AL$26="Mayor"),CONCATENATE("R2C",'Mapa final'!$S$26),"")</f>
        <v/>
      </c>
      <c r="AI13" s="41" t="str">
        <f>IF(AND('Mapa final'!$AJ$21="Muy Alta",'Mapa final'!$AL$21="Catastrófico"),CONCATENATE("R2C",'Mapa final'!$S$21),"")</f>
        <v/>
      </c>
      <c r="AJ13" s="42" t="str">
        <f>IF(AND('Mapa final'!$AJ$22="Muy Alta",'Mapa final'!$AL$22="Catastrófico"),CONCATENATE("R2C",'Mapa final'!$S$22),"")</f>
        <v/>
      </c>
      <c r="AK13" s="42" t="str">
        <f>IF(AND('Mapa final'!$AJ$23="Muy Alta",'Mapa final'!$AL$23="Catastrófico"),CONCATENATE("R2C",'Mapa final'!$S$23),"")</f>
        <v/>
      </c>
      <c r="AL13" s="42" t="str">
        <f>IF(AND('Mapa final'!$AJ$24="Muy Alta",'Mapa final'!$AL$24="Catastrófico"),CONCATENATE("R2C",'Mapa final'!$S$24),"")</f>
        <v/>
      </c>
      <c r="AM13" s="42" t="str">
        <f>IF(AND('Mapa final'!$AJ$25="Muy Alta",'Mapa final'!$AL$25="Catastrófico"),CONCATENATE("R2C",'Mapa final'!$S$25),"")</f>
        <v/>
      </c>
      <c r="AN13" s="43" t="str">
        <f>IF(AND('Mapa final'!$AJ$26="Muy Alta",'Mapa final'!$AL$26="Catastrófico"),CONCATENATE("R2C",'Mapa final'!$S$26),"")</f>
        <v/>
      </c>
      <c r="AO13" s="69"/>
      <c r="AP13" s="487"/>
      <c r="AQ13" s="488"/>
      <c r="AR13" s="488"/>
      <c r="AS13" s="488"/>
      <c r="AT13" s="488"/>
      <c r="AU13" s="48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373"/>
      <c r="D14" s="373"/>
      <c r="E14" s="374"/>
      <c r="F14" s="468"/>
      <c r="G14" s="469"/>
      <c r="H14" s="469"/>
      <c r="I14" s="469"/>
      <c r="J14" s="496"/>
      <c r="K14" s="38" t="str">
        <f>IF(AND('Mapa final'!$AJ$27="Muy Alta",'Mapa final'!$AL$27="Leve"),CONCATENATE("R2C",'Mapa final'!$S$27),"")</f>
        <v/>
      </c>
      <c r="L14" s="178" t="str">
        <f>IF(AND('Mapa final'!$AJ$28="Muy Alta",'Mapa final'!$AL$28="Leve"),CONCATENATE("R2C",'Mapa final'!$S$28),"")</f>
        <v/>
      </c>
      <c r="M14" s="178" t="str">
        <f>IF(AND('Mapa final'!$AJ$29="Muy Alta",'Mapa final'!$AL$29="Leve"),CONCATENATE("R2C",'Mapa final'!$S$29),"")</f>
        <v/>
      </c>
      <c r="N14" s="178" t="str">
        <f>IF(AND('Mapa final'!$AJ$30="Muy Alta",'Mapa final'!$AL$30="Leve"),CONCATENATE("R2C",'Mapa final'!$S$30),"")</f>
        <v/>
      </c>
      <c r="O14" s="178" t="str">
        <f>IF(AND('Mapa final'!$AJ$31="Muy Alta",'Mapa final'!$AL$31="Leve"),CONCATENATE("R2C",'Mapa final'!$S$31),"")</f>
        <v/>
      </c>
      <c r="P14" s="40" t="str">
        <f>IF(AND('Mapa final'!$AJ$32="Muy Alta",'Mapa final'!$AL$32="Leve"),CONCATENATE("R2C",'Mapa final'!$S$32),"")</f>
        <v/>
      </c>
      <c r="Q14" s="178" t="str">
        <f>IF(AND('Mapa final'!$AJ$27="Muy Alta",'Mapa final'!$AL$27="Menor"),CONCATENATE("R2C",'Mapa final'!$S$27),"")</f>
        <v/>
      </c>
      <c r="R14" s="39" t="str">
        <f>IF(AND('Mapa final'!$AJ$28="Muy Alta",'Mapa final'!$AL$28="Menor"),CONCATENATE("R2C",'Mapa final'!$S$28),"")</f>
        <v/>
      </c>
      <c r="S14" s="39" t="str">
        <f>IF(AND('Mapa final'!$AJ$29="Muy Alta",'Mapa final'!$AL$29="Menor"),CONCATENATE("R2C",'Mapa final'!$S$29),"")</f>
        <v/>
      </c>
      <c r="T14" s="39" t="str">
        <f>IF(AND('Mapa final'!$AJ$30="Muy Alta",'Mapa final'!$AL$30="Menor"),CONCATENATE("R2C",'Mapa final'!$S$30),"")</f>
        <v/>
      </c>
      <c r="U14" s="39" t="str">
        <f>IF(AND('Mapa final'!$AJ$31="Muy Alta",'Mapa final'!$AL$31="Menor"),CONCATENATE("R2C",'Mapa final'!$S$31),"")</f>
        <v/>
      </c>
      <c r="V14" s="40" t="str">
        <f>IF(AND('Mapa final'!$AJ$32="Muy Alta",'Mapa final'!$AL$32="Menor"),CONCATENATE("R2C",'Mapa final'!$S$32),"")</f>
        <v/>
      </c>
      <c r="W14" s="38" t="str">
        <f>IF(AND('Mapa final'!$AJ$27="Muy Alta",'Mapa final'!$AL$27="Moderado"),CONCATENATE("R2C",'Mapa final'!$S$27),"")</f>
        <v/>
      </c>
      <c r="X14" s="39" t="str">
        <f>IF(AND('Mapa final'!$AJ$28="Muy Alta",'Mapa final'!$AL$28="Moderado"),CONCATENATE("R2C",'Mapa final'!$S$28),"")</f>
        <v/>
      </c>
      <c r="Y14" s="39" t="str">
        <f>IF(AND('Mapa final'!$AJ$29="Muy Alta",'Mapa final'!$AL$29="Moderado"),CONCATENATE("R2C",'Mapa final'!$S$29),"")</f>
        <v/>
      </c>
      <c r="Z14" s="39" t="str">
        <f>IF(AND('Mapa final'!$AJ$30="Muy Alta",'Mapa final'!$AL$30="Moderado"),CONCATENATE("R2C",'Mapa final'!$S$30),"")</f>
        <v/>
      </c>
      <c r="AA14" s="39" t="str">
        <f>IF(AND('Mapa final'!$AJ$31="Muy Alta",'Mapa final'!$AL$31="Moderado"),CONCATENATE("R2C",'Mapa final'!$S$31),"")</f>
        <v/>
      </c>
      <c r="AB14" s="40" t="str">
        <f>IF(AND('Mapa final'!$AJ$32="Muy Alta",'Mapa final'!$AL$32="Moderado"),CONCATENATE("R2C",'Mapa final'!$S$32),"")</f>
        <v/>
      </c>
      <c r="AC14" s="38" t="str">
        <f>IF(AND('Mapa final'!$AJ$27="Muy Alta",'Mapa final'!$AL$27="Mayor"),CONCATENATE("R2C",'Mapa final'!$S$27),"")</f>
        <v/>
      </c>
      <c r="AD14" s="39" t="str">
        <f>IF(AND('Mapa final'!$AJ$28="Muy Alta",'Mapa final'!$AL$28="Mayor"),CONCATENATE("R2C",'Mapa final'!$S$28),"")</f>
        <v/>
      </c>
      <c r="AE14" s="39" t="str">
        <f>IF(AND('Mapa final'!$AJ$29="Muy Alta",'Mapa final'!$AL$29="Mayor"),CONCATENATE("R2C",'Mapa final'!$S$29),"")</f>
        <v/>
      </c>
      <c r="AF14" s="39" t="str">
        <f>IF(AND('Mapa final'!$AJ$30="Muy Alta",'Mapa final'!$AL$30="Mayor"),CONCATENATE("R2C",'Mapa final'!$S$30),"")</f>
        <v/>
      </c>
      <c r="AG14" s="39" t="str">
        <f>IF(AND('Mapa final'!$AJ$31="Muy Alta",'Mapa final'!$AL$31="Mayor"),CONCATENATE("R2C",'Mapa final'!$S$31),"")</f>
        <v/>
      </c>
      <c r="AH14" s="40" t="str">
        <f>IF(AND('Mapa final'!$AJ$32="Muy Alta",'Mapa final'!$AL$32="Mayor"),CONCATENATE("R2C",'Mapa final'!$S$32),"")</f>
        <v/>
      </c>
      <c r="AI14" s="41" t="str">
        <f>IF(AND('Mapa final'!$AJ$27="Muy Alta",'Mapa final'!$AL$27="Catastrófico"),CONCATENATE("R2C",'Mapa final'!$S$27),"")</f>
        <v/>
      </c>
      <c r="AJ14" s="42" t="str">
        <f>IF(AND('Mapa final'!$AJ$28="Muy Alta",'Mapa final'!$AL$28="Catastrófico"),CONCATENATE("R2C",'Mapa final'!$S$28),"")</f>
        <v/>
      </c>
      <c r="AK14" s="42" t="str">
        <f>IF(AND('Mapa final'!$AJ$29="Muy Alta",'Mapa final'!$AL$29="Catastrófico"),CONCATENATE("R2C",'Mapa final'!$S$29),"")</f>
        <v/>
      </c>
      <c r="AL14" s="42" t="str">
        <f>IF(AND('Mapa final'!$AJ$30="Muy Alta",'Mapa final'!$AL$30="Catastrófico"),CONCATENATE("R2C",'Mapa final'!$S$30),"")</f>
        <v/>
      </c>
      <c r="AM14" s="42" t="str">
        <f>IF(AND('Mapa final'!$AJ$31="Muy Alta",'Mapa final'!$AL$31="Catastrófico"),CONCATENATE("R2C",'Mapa final'!$S$31),"")</f>
        <v/>
      </c>
      <c r="AN14" s="43" t="str">
        <f>IF(AND('Mapa final'!$AJ$32="Muy Alta",'Mapa final'!$AL$32="Catastrófico"),CONCATENATE("R2C",'Mapa final'!$S$32),"")</f>
        <v/>
      </c>
      <c r="AO14" s="69"/>
      <c r="AP14" s="487"/>
      <c r="AQ14" s="488"/>
      <c r="AR14" s="488"/>
      <c r="AS14" s="488"/>
      <c r="AT14" s="488"/>
      <c r="AU14" s="48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373"/>
      <c r="D15" s="373"/>
      <c r="E15" s="374"/>
      <c r="F15" s="468"/>
      <c r="G15" s="469"/>
      <c r="H15" s="469"/>
      <c r="I15" s="469"/>
      <c r="J15" s="496"/>
      <c r="K15" s="38" t="str">
        <f>IF(AND('Mapa final'!$AJ$33="Muy Alta",'Mapa final'!$AL$33="Leve"),CONCATENATE("R2C",'Mapa final'!$S$33),"")</f>
        <v/>
      </c>
      <c r="L15" s="178" t="str">
        <f>IF(AND('Mapa final'!$AJ$34="Muy Alta",'Mapa final'!$AL$34="Leve"),CONCATENATE("R2C",'Mapa final'!$S$34),"")</f>
        <v/>
      </c>
      <c r="M15" s="178" t="str">
        <f>IF(AND('Mapa final'!$AJ$35="Muy Alta",'Mapa final'!$AL$35="Leve"),CONCATENATE("R2C",'Mapa final'!$S$35),"")</f>
        <v/>
      </c>
      <c r="N15" s="178" t="str">
        <f>IF(AND('Mapa final'!$AJ$36="Muy Alta",'Mapa final'!$AL$36="Leve"),CONCATENATE("R2C",'Mapa final'!$S$36),"")</f>
        <v/>
      </c>
      <c r="O15" s="178" t="str">
        <f>IF(AND('Mapa final'!$AJ$37="Muy Alta",'Mapa final'!$AL$37="Leve"),CONCATENATE("R2C",'Mapa final'!$S$37),"")</f>
        <v/>
      </c>
      <c r="P15" s="40" t="str">
        <f>IF(AND('Mapa final'!$AJ$38="Muy Alta",'Mapa final'!$AL$38="Leve"),CONCATENATE("R2C",'Mapa final'!$S$38),"")</f>
        <v/>
      </c>
      <c r="Q15" s="178" t="str">
        <f>IF(AND('Mapa final'!$AJ$33="Muy Alta",'Mapa final'!$AL$33="Menor"),CONCATENATE("R2C",'Mapa final'!$S$33),"")</f>
        <v/>
      </c>
      <c r="R15" s="39" t="str">
        <f>IF(AND('Mapa final'!$AJ$34="Muy Alta",'Mapa final'!$AL$34="Menor"),CONCATENATE("R2C",'Mapa final'!$S$34),"")</f>
        <v/>
      </c>
      <c r="S15" s="39" t="str">
        <f>IF(AND('Mapa final'!$AJ$35="Muy Alta",'Mapa final'!$AL$35="Menor"),CONCATENATE("R2C",'Mapa final'!$S$35),"")</f>
        <v/>
      </c>
      <c r="T15" s="39" t="str">
        <f>IF(AND('Mapa final'!$AJ$36="Muy Alta",'Mapa final'!$AL$36="Menor"),CONCATENATE("R2C",'Mapa final'!$S$36),"")</f>
        <v/>
      </c>
      <c r="U15" s="39" t="str">
        <f>IF(AND('Mapa final'!$AJ$37="Muy Alta",'Mapa final'!$AL$37="LMenor"),CONCATENATE("R2C",'Mapa final'!$S$37),"")</f>
        <v/>
      </c>
      <c r="V15" s="40" t="str">
        <f>IF(AND('Mapa final'!$AJ$38="Muy Alta",'Mapa final'!$AL$38="Menor"),CONCATENATE("R2C",'Mapa final'!$S$38),"")</f>
        <v/>
      </c>
      <c r="W15" s="38" t="str">
        <f>IF(AND('Mapa final'!$AJ$33="Muy Alta",'Mapa final'!$AL$33="Moderado"),CONCATENATE("R2C",'Mapa final'!$S$33),"")</f>
        <v/>
      </c>
      <c r="X15" s="39" t="str">
        <f>IF(AND('Mapa final'!$AJ$34="Muy Alta",'Mapa final'!$AL$34="Moderado"),CONCATENATE("R2C",'Mapa final'!$S$34),"")</f>
        <v/>
      </c>
      <c r="Y15" s="39" t="str">
        <f>IF(AND('Mapa final'!$AJ$35="Muy Alta",'Mapa final'!$AL$35="Moderado"),CONCATENATE("R2C",'Mapa final'!$S$35),"")</f>
        <v/>
      </c>
      <c r="Z15" s="39" t="str">
        <f>IF(AND('Mapa final'!$AJ$36="Muy Alta",'Mapa final'!$AL$36="Moderado"),CONCATENATE("R2C",'Mapa final'!$S$36),"")</f>
        <v/>
      </c>
      <c r="AA15" s="39" t="str">
        <f>IF(AND('Mapa final'!$AJ$37="Muy Alta",'Mapa final'!$AL$37="Moderado"),CONCATENATE("R2C",'Mapa final'!$S$37),"")</f>
        <v/>
      </c>
      <c r="AB15" s="40" t="str">
        <f>IF(AND('Mapa final'!$AJ$38="Muy Alta",'Mapa final'!$AL$38="Moderado"),CONCATENATE("R2C",'Mapa final'!$S$38),"")</f>
        <v/>
      </c>
      <c r="AC15" s="38" t="str">
        <f>IF(AND('Mapa final'!$AJ$33="Muy Alta",'Mapa final'!$AL$33="Mayor"),CONCATENATE("R2C",'Mapa final'!$S$33),"")</f>
        <v/>
      </c>
      <c r="AD15" s="39" t="str">
        <f>IF(AND('Mapa final'!$AJ$34="Muy Alta",'Mapa final'!$AL$34="Mayor"),CONCATENATE("R2C",'Mapa final'!$S$34),"")</f>
        <v/>
      </c>
      <c r="AE15" s="39" t="str">
        <f>IF(AND('Mapa final'!$AJ$35="Muy Alta",'Mapa final'!$AL$35="Mayor"),CONCATENATE("R2C",'Mapa final'!$S$35),"")</f>
        <v/>
      </c>
      <c r="AF15" s="39" t="str">
        <f>IF(AND('Mapa final'!$AJ$36="Muy Alta",'Mapa final'!$AL$36="Mayor"),CONCATENATE("R2C",'Mapa final'!$S$36),"")</f>
        <v/>
      </c>
      <c r="AG15" s="39" t="str">
        <f>IF(AND('Mapa final'!$AJ$37="Muy Alta",'Mapa final'!$AL$37="Mayor"),CONCATENATE("R2C",'Mapa final'!$S$37),"")</f>
        <v/>
      </c>
      <c r="AH15" s="40" t="str">
        <f>IF(AND('Mapa final'!$AJ$38="Muy Alta",'Mapa final'!$AL$38="Mayor"),CONCATENATE("R2C",'Mapa final'!$S$38),"")</f>
        <v/>
      </c>
      <c r="AI15" s="41" t="str">
        <f>IF(AND('Mapa final'!$AJ$33="Muy Alta",'Mapa final'!$AL$33="Catastrófico"),CONCATENATE("R2C",'Mapa final'!$S$33),"")</f>
        <v/>
      </c>
      <c r="AJ15" s="42" t="str">
        <f>IF(AND('Mapa final'!$AJ$34="Muy Alta",'Mapa final'!$AL$34="Catastrófico"),CONCATENATE("R2C",'Mapa final'!$S$34),"")</f>
        <v/>
      </c>
      <c r="AK15" s="42" t="str">
        <f>IF(AND('Mapa final'!$AJ$35="Muy Alta",'Mapa final'!$AL$35="Catastrófico"),CONCATENATE("R2C",'Mapa final'!$S$35),"")</f>
        <v/>
      </c>
      <c r="AL15" s="42" t="str">
        <f>IF(AND('Mapa final'!$AJ$36="Muy Alta",'Mapa final'!$AL$36="Catastrófico"),CONCATENATE("R2C",'Mapa final'!$S$36),"")</f>
        <v/>
      </c>
      <c r="AM15" s="42" t="str">
        <f>IF(AND('Mapa final'!$AJ$37="Muy Alta",'Mapa final'!$AL$37="LCatastrófico"),CONCATENATE("R2C",'Mapa final'!$S$37),"")</f>
        <v/>
      </c>
      <c r="AN15" s="43" t="str">
        <f>IF(AND('Mapa final'!$AJ$38="Muy Alta",'Mapa final'!$AL$38="Catastrófico"),CONCATENATE("R2C",'Mapa final'!$S$38),"")</f>
        <v/>
      </c>
      <c r="AO15" s="69"/>
      <c r="AP15" s="487"/>
      <c r="AQ15" s="488"/>
      <c r="AR15" s="488"/>
      <c r="AS15" s="488"/>
      <c r="AT15" s="488"/>
      <c r="AU15" s="48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373"/>
      <c r="D16" s="373"/>
      <c r="E16" s="374"/>
      <c r="F16" s="468"/>
      <c r="G16" s="469"/>
      <c r="H16" s="469"/>
      <c r="I16" s="469"/>
      <c r="J16" s="496"/>
      <c r="K16" s="38" t="str">
        <f>IF(AND('Mapa final'!$AJ$39="Muy Alta",'Mapa final'!$AL$39="Leve"),CONCATENATE("R2C",'Mapa final'!$S$39),"")</f>
        <v/>
      </c>
      <c r="L16" s="178" t="str">
        <f>IF(AND('Mapa final'!$AJ$40="Muy Alta",'Mapa final'!$AL$40="Leve"),CONCATENATE("R2C",'Mapa final'!$S$40),"")</f>
        <v/>
      </c>
      <c r="M16" s="178" t="str">
        <f>IF(AND('Mapa final'!$AJ$41="Muy Alta",'Mapa final'!$AL$41="Leve"),CONCATENATE("R2C",'Mapa final'!$S$41),"")</f>
        <v/>
      </c>
      <c r="N16" s="178" t="str">
        <f>IF(AND('Mapa final'!$AJ$42="Muy Alta",'Mapa final'!$AL$42="Leve"),CONCATENATE("R2C",'Mapa final'!$S$42),"")</f>
        <v/>
      </c>
      <c r="O16" s="178" t="str">
        <f>IF(AND('Mapa final'!$AJ$43="Muy Alta",'Mapa final'!$AL$43="Leve"),CONCATENATE("R2C",'Mapa final'!$S$43),"")</f>
        <v/>
      </c>
      <c r="P16" s="40" t="str">
        <f>IF(AND('Mapa final'!$AJ$44="Muy Alta",'Mapa final'!$AL$44="Leve"),CONCATENATE("R2C",'Mapa final'!$S$44),"")</f>
        <v/>
      </c>
      <c r="Q16" s="178" t="str">
        <f>IF(AND('Mapa final'!$AJ$39="Muy Alta",'Mapa final'!$AL$39="Menor"),CONCATENATE("R2C",'Mapa final'!$S$39),"")</f>
        <v/>
      </c>
      <c r="R16" s="39" t="str">
        <f>IF(AND('Mapa final'!$AJ$40="Muy Alta",'Mapa final'!$AL$40="Menor"),CONCATENATE("R2C",'Mapa final'!$S$40),"")</f>
        <v/>
      </c>
      <c r="S16" s="39" t="str">
        <f>IF(AND('Mapa final'!$AJ$41="Muy Alta",'Mapa final'!$AL$41="Menor"),CONCATENATE("R2C",'Mapa final'!$S$41),"")</f>
        <v/>
      </c>
      <c r="T16" s="39" t="str">
        <f>IF(AND('Mapa final'!$AJ$42="Muy Alta",'Mapa final'!$AL$42="Menor"),CONCATENATE("R2C",'Mapa final'!$S$42),"")</f>
        <v/>
      </c>
      <c r="U16" s="39" t="str">
        <f>IF(AND('Mapa final'!$AJ$43="Muy Alta",'Mapa final'!$AL$43="Menor"),CONCATENATE("R2C",'Mapa final'!$S$43),"")</f>
        <v/>
      </c>
      <c r="V16" s="40" t="str">
        <f>IF(AND('Mapa final'!$AJ$44="Muy Alta",'Mapa final'!$AL$44="Menor"),CONCATENATE("R2C",'Mapa final'!$S$44),"")</f>
        <v/>
      </c>
      <c r="W16" s="38" t="str">
        <f>IF(AND('Mapa final'!$AJ$39="Muy Alta",'Mapa final'!$AL$39="Moderado"),CONCATENATE("R2C",'Mapa final'!$S$39),"")</f>
        <v/>
      </c>
      <c r="X16" s="39" t="str">
        <f>IF(AND('Mapa final'!$AJ$40="Muy Alta",'Mapa final'!$AL$40="Moderado"),CONCATENATE("R2C",'Mapa final'!$S$40),"")</f>
        <v/>
      </c>
      <c r="Y16" s="39" t="str">
        <f>IF(AND('Mapa final'!$AJ$41="Muy Alta",'Mapa final'!$AL$41="Moderado"),CONCATENATE("R2C",'Mapa final'!$S$41),"")</f>
        <v/>
      </c>
      <c r="Z16" s="39" t="str">
        <f>IF(AND('Mapa final'!$AJ$42="Muy Alta",'Mapa final'!$AL$42="Moderado"),CONCATENATE("R2C",'Mapa final'!$S$42),"")</f>
        <v/>
      </c>
      <c r="AA16" s="39" t="str">
        <f>IF(AND('Mapa final'!$AJ$43="Muy Alta",'Mapa final'!$AL$43="Moderado"),CONCATENATE("R2C",'Mapa final'!$S$43),"")</f>
        <v/>
      </c>
      <c r="AB16" s="40" t="str">
        <f>IF(AND('Mapa final'!$AJ$44="Muy Alta",'Mapa final'!$AL$44="Moderado"),CONCATENATE("R2C",'Mapa final'!$S$44),"")</f>
        <v/>
      </c>
      <c r="AC16" s="38" t="str">
        <f>IF(AND('Mapa final'!$AJ$39="Muy Alta",'Mapa final'!$AL$39="Mayor"),CONCATENATE("R2C",'Mapa final'!$S$39),"")</f>
        <v/>
      </c>
      <c r="AD16" s="39" t="str">
        <f>IF(AND('Mapa final'!$AJ$40="Muy Alta",'Mapa final'!$AL$40="Mayor"),CONCATENATE("R2C",'Mapa final'!$S$40),"")</f>
        <v/>
      </c>
      <c r="AE16" s="39" t="str">
        <f>IF(AND('Mapa final'!$AJ$41="Muy Alta",'Mapa final'!$AL$41="Mayor"),CONCATENATE("R2C",'Mapa final'!$S$41),"")</f>
        <v/>
      </c>
      <c r="AF16" s="39" t="str">
        <f>IF(AND('Mapa final'!$AJ$42="Muy Alta",'Mapa final'!$AL$42="Mayor"),CONCATENATE("R2C",'Mapa final'!$S$42),"")</f>
        <v/>
      </c>
      <c r="AG16" s="39" t="str">
        <f>IF(AND('Mapa final'!$AJ$43="Muy Alta",'Mapa final'!$AL$43="Mayor"),CONCATENATE("R2C",'Mapa final'!$S$43),"")</f>
        <v/>
      </c>
      <c r="AH16" s="40" t="str">
        <f>IF(AND('Mapa final'!$AJ$44="Muy Alta",'Mapa final'!$AL$44="Mayor"),CONCATENATE("R2C",'Mapa final'!$S$44),"")</f>
        <v/>
      </c>
      <c r="AI16" s="41" t="str">
        <f>IF(AND('Mapa final'!$AJ$39="Muy Alta",'Mapa final'!$AL$39="Catastrófico"),CONCATENATE("R2C",'Mapa final'!$S$39),"")</f>
        <v/>
      </c>
      <c r="AJ16" s="42" t="str">
        <f>IF(AND('Mapa final'!$AJ$40="Muy Alta",'Mapa final'!$AL$40="Catastrófico"),CONCATENATE("R2C",'Mapa final'!$S$40),"")</f>
        <v/>
      </c>
      <c r="AK16" s="42" t="str">
        <f>IF(AND('Mapa final'!$AJ$41="Muy Alta",'Mapa final'!$AL$41="Catastrófico"),CONCATENATE("R2C",'Mapa final'!$S$41),"")</f>
        <v/>
      </c>
      <c r="AL16" s="42" t="str">
        <f>IF(AND('Mapa final'!$AJ$42="Muy Alta",'Mapa final'!$AL$42="Catastrófico"),CONCATENATE("R2C",'Mapa final'!$S$42),"")</f>
        <v/>
      </c>
      <c r="AM16" s="42" t="str">
        <f>IF(AND('Mapa final'!$AJ$43="Muy Alta",'Mapa final'!$AL$43="Catastrófico"),CONCATENATE("R2C",'Mapa final'!$S$43),"")</f>
        <v/>
      </c>
      <c r="AN16" s="43" t="str">
        <f>IF(AND('Mapa final'!$AJ$44="Muy Alta",'Mapa final'!$AL$44="Catastrófico"),CONCATENATE("R2C",'Mapa final'!$S$44),"")</f>
        <v/>
      </c>
      <c r="AO16" s="69"/>
      <c r="AP16" s="487"/>
      <c r="AQ16" s="488"/>
      <c r="AR16" s="488"/>
      <c r="AS16" s="488"/>
      <c r="AT16" s="488"/>
      <c r="AU16" s="48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373"/>
      <c r="D17" s="373"/>
      <c r="E17" s="374"/>
      <c r="F17" s="468"/>
      <c r="G17" s="469"/>
      <c r="H17" s="469"/>
      <c r="I17" s="469"/>
      <c r="J17" s="496"/>
      <c r="K17" s="38" t="str">
        <f>IF(AND('Mapa final'!$AJ$45="Muy Alta",'Mapa final'!$AL$45="Leve"),CONCATENATE("R2C",'Mapa final'!$S$45),"")</f>
        <v/>
      </c>
      <c r="L17" s="178" t="str">
        <f>IF(AND('Mapa final'!$AJ$46="Muy Alta",'Mapa final'!$AL$46="Leve"),CONCATENATE("R2C",'Mapa final'!$S$46),"")</f>
        <v/>
      </c>
      <c r="M17" s="178" t="str">
        <f>IF(AND('Mapa final'!$AJ$47="Muy Alta",'Mapa final'!$AL$47="Leve"),CONCATENATE("R2C",'Mapa final'!$S$47),"")</f>
        <v/>
      </c>
      <c r="N17" s="178" t="str">
        <f>IF(AND('Mapa final'!$AJ$48="Muy Alta",'Mapa final'!$AL$48="Leve"),CONCATENATE("R2C",'Mapa final'!$S$48),"")</f>
        <v/>
      </c>
      <c r="O17" s="178" t="str">
        <f>IF(AND('Mapa final'!$AJ$49="Muy Alta",'Mapa final'!$AL$49="Leve"),CONCATENATE("R2C",'Mapa final'!$S$49),"")</f>
        <v/>
      </c>
      <c r="P17" s="40" t="str">
        <f>IF(AND('Mapa final'!$AJ$60="Muy Alta",'Mapa final'!$AL$50="Leve"),CONCATENATE("R2C",'Mapa final'!$S$50),"")</f>
        <v/>
      </c>
      <c r="Q17" s="178" t="str">
        <f>IF(AND('Mapa final'!$AJ$45="Muy Alta",'Mapa final'!$AL$45="Menor"),CONCATENATE("R2C",'Mapa final'!$S$45),"")</f>
        <v/>
      </c>
      <c r="R17" s="39" t="str">
        <f>IF(AND('Mapa final'!$AJ$46="Muy Alta",'Mapa final'!$AL$46="Menor"),CONCATENATE("R2C",'Mapa final'!$S$46),"")</f>
        <v/>
      </c>
      <c r="S17" s="39" t="str">
        <f>IF(AND('Mapa final'!$AJ$47="Muy Alta",'Mapa final'!$AL$47="Menor"),CONCATENATE("R2C",'Mapa final'!$S$47),"")</f>
        <v/>
      </c>
      <c r="T17" s="39" t="str">
        <f>IF(AND('Mapa final'!$AJ$48="Muy Alta",'Mapa final'!$AL$48="Menor"),CONCATENATE("R2C",'Mapa final'!$S$48),"")</f>
        <v/>
      </c>
      <c r="U17" s="39" t="str">
        <f>IF(AND('Mapa final'!$AJ$49="Muy Alta",'Mapa final'!$AL$49="Menor"),CONCATENATE("R2C",'Mapa final'!$S$49),"")</f>
        <v/>
      </c>
      <c r="V17" s="40" t="str">
        <f>IF(AND('Mapa final'!$AJ$60="Muy Alta",'Mapa final'!$AL$50="Menor"),CONCATENATE("R2C",'Mapa final'!$S$50),"")</f>
        <v/>
      </c>
      <c r="W17" s="38" t="str">
        <f>IF(AND('Mapa final'!$AJ$45="Muy Alta",'Mapa final'!$AL$45="Moderado"),CONCATENATE("R2C",'Mapa final'!$S$45),"")</f>
        <v/>
      </c>
      <c r="X17" s="39" t="str">
        <f>IF(AND('Mapa final'!$AJ$46="Muy Alta",'Mapa final'!$AL$46="Moderado"),CONCATENATE("R2C",'Mapa final'!$S$46),"")</f>
        <v/>
      </c>
      <c r="Y17" s="39" t="str">
        <f>IF(AND('Mapa final'!$AJ$47="Muy Alta",'Mapa final'!$AL$47="Moderado"),CONCATENATE("R2C",'Mapa final'!$S$47),"")</f>
        <v/>
      </c>
      <c r="Z17" s="39" t="str">
        <f>IF(AND('Mapa final'!$AJ$48="Muy Alta",'Mapa final'!$AL$48="Moderado"),CONCATENATE("R2C",'Mapa final'!$S$48),"")</f>
        <v/>
      </c>
      <c r="AA17" s="39" t="str">
        <f>IF(AND('Mapa final'!$AJ$49="Muy Alta",'Mapa final'!$AL$49="Moderado"),CONCATENATE("R2C",'Mapa final'!$S$49),"")</f>
        <v/>
      </c>
      <c r="AB17" s="40" t="str">
        <f>IF(AND('Mapa final'!$AJ$60="Muy Alta",'Mapa final'!$AL$50="Moderado"),CONCATENATE("R2C",'Mapa final'!$S$50),"")</f>
        <v/>
      </c>
      <c r="AC17" s="38" t="str">
        <f>IF(AND('Mapa final'!$AJ$45="Muy Alta",'Mapa final'!$AL$45="Mayor"),CONCATENATE("R2C",'Mapa final'!$S$45),"")</f>
        <v/>
      </c>
      <c r="AD17" s="39" t="str">
        <f>IF(AND('Mapa final'!$AJ$46="Muy Alta",'Mapa final'!$AL$46="Mayor"),CONCATENATE("R2C",'Mapa final'!$S$46),"")</f>
        <v/>
      </c>
      <c r="AE17" s="39" t="str">
        <f>IF(AND('Mapa final'!$AJ$47="Muy Alta",'Mapa final'!$AL$47="Mayor"),CONCATENATE("R2C",'Mapa final'!$S$47),"")</f>
        <v/>
      </c>
      <c r="AF17" s="39" t="str">
        <f>IF(AND('Mapa final'!$AJ$48="Muy Alta",'Mapa final'!$AL$48="Mayor"),CONCATENATE("R2C",'Mapa final'!$S$48),"")</f>
        <v/>
      </c>
      <c r="AG17" s="39" t="str">
        <f>IF(AND('Mapa final'!$AJ$49="Muy Alta",'Mapa final'!$AL$49="Mayor"),CONCATENATE("R2C",'Mapa final'!$S$49),"")</f>
        <v/>
      </c>
      <c r="AH17" s="40" t="str">
        <f>IF(AND('Mapa final'!$AJ$60="Muy Alta",'Mapa final'!$AL$50="Mayor"),CONCATENATE("R2C",'Mapa final'!$S$50),"")</f>
        <v/>
      </c>
      <c r="AI17" s="41" t="str">
        <f>IF(AND('Mapa final'!$AJ$45="Muy Alta",'Mapa final'!$AL$45="Catastrófico"),CONCATENATE("R2C",'Mapa final'!$S$45),"")</f>
        <v/>
      </c>
      <c r="AJ17" s="42" t="str">
        <f>IF(AND('Mapa final'!$AJ$46="Muy Alta",'Mapa final'!$AL$46="Catastrófico"),CONCATENATE("R2C",'Mapa final'!$S$46),"")</f>
        <v/>
      </c>
      <c r="AK17" s="42" t="str">
        <f>IF(AND('Mapa final'!$AJ$47="Muy Alta",'Mapa final'!$AL$47="Catastrófico"),CONCATENATE("R2C",'Mapa final'!$S$47),"")</f>
        <v/>
      </c>
      <c r="AL17" s="42" t="str">
        <f>IF(AND('Mapa final'!$AJ$48="Muy Alta",'Mapa final'!$AL$48="Catastrófico"),CONCATENATE("R2C",'Mapa final'!$S$48),"")</f>
        <v/>
      </c>
      <c r="AM17" s="42" t="str">
        <f>IF(AND('Mapa final'!$AJ$49="Muy Alta",'Mapa final'!$AL$49="Catastrófico"),CONCATENATE("R2C",'Mapa final'!$S$49),"")</f>
        <v/>
      </c>
      <c r="AN17" s="43" t="str">
        <f>IF(AND('Mapa final'!$AJ$60="Muy Alta",'Mapa final'!$AL$50="Catastrófico"),CONCATENATE("R2C",'Mapa final'!$S$50),"")</f>
        <v/>
      </c>
      <c r="AO17" s="69"/>
      <c r="AP17" s="487"/>
      <c r="AQ17" s="488"/>
      <c r="AR17" s="488"/>
      <c r="AS17" s="488"/>
      <c r="AT17" s="488"/>
      <c r="AU17" s="48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373"/>
      <c r="D18" s="373"/>
      <c r="E18" s="374"/>
      <c r="F18" s="468"/>
      <c r="G18" s="469"/>
      <c r="H18" s="469"/>
      <c r="I18" s="469"/>
      <c r="J18" s="496"/>
      <c r="K18" s="38" t="str">
        <f>IF(AND('Mapa final'!$AJ$51="Muy Alta",'Mapa final'!$AL$51="Leve"),CONCATENATE("R2C",'Mapa final'!$S$51),"")</f>
        <v/>
      </c>
      <c r="L18" s="178" t="str">
        <f>IF(AND('Mapa final'!$AJ$52="Muy Alta",'Mapa final'!$AL$52="Leve"),CONCATENATE("R2C",'Mapa final'!$S$52),"")</f>
        <v/>
      </c>
      <c r="M18" s="178" t="str">
        <f>IF(AND('Mapa final'!$AJ$53="Muy Alta",'Mapa final'!$AL$53="Leve"),CONCATENATE("R2C",'Mapa final'!$S$53),"")</f>
        <v/>
      </c>
      <c r="N18" s="178" t="str">
        <f>IF(AND('Mapa final'!$AJ$54="Muy Alta",'Mapa final'!$AL$54="Leve"),CONCATENATE("R2C",'Mapa final'!$S$54),"")</f>
        <v/>
      </c>
      <c r="O18" s="178" t="str">
        <f>IF(AND('Mapa final'!$AJ$55="Muy Alta",'Mapa final'!$AL$55="Leve"),CONCATENATE("R2C",'Mapa final'!$S$55),"")</f>
        <v/>
      </c>
      <c r="P18" s="40" t="str">
        <f>IF(AND('Mapa final'!$AJ$56="Muy Alta",'Mapa final'!$AL$56="Leve"),CONCATENATE("R2C",'Mapa final'!$S$56),"")</f>
        <v/>
      </c>
      <c r="Q18" s="178" t="str">
        <f>IF(AND('Mapa final'!$AJ$51="Muy Alta",'Mapa final'!$AL$51="Menor"),CONCATENATE("R2C",'Mapa final'!$S$51),"")</f>
        <v/>
      </c>
      <c r="R18" s="39" t="str">
        <f>IF(AND('Mapa final'!$AJ$52="Muy Alta",'Mapa final'!$AL$52="Menor"),CONCATENATE("R2C",'Mapa final'!$S$52),"")</f>
        <v/>
      </c>
      <c r="S18" s="39" t="str">
        <f>IF(AND('Mapa final'!$AJ$53="Muy Alta",'Mapa final'!$AL$53="Menor"),CONCATENATE("R2C",'Mapa final'!$S$53),"")</f>
        <v/>
      </c>
      <c r="T18" s="39" t="str">
        <f>IF(AND('Mapa final'!$AJ$54="Muy Alta",'Mapa final'!$AL$54="Menor"),CONCATENATE("R2C",'Mapa final'!$S$54),"")</f>
        <v/>
      </c>
      <c r="U18" s="39" t="str">
        <f>IF(AND('Mapa final'!$AJ$55="Muy Alta",'Mapa final'!$AL$55="Menor"),CONCATENATE("R2C",'Mapa final'!$S$55),"")</f>
        <v/>
      </c>
      <c r="V18" s="40" t="str">
        <f>IF(AND('Mapa final'!$AJ$56="Muy Alta",'Mapa final'!$AL$56="Menor"),CONCATENATE("R2C",'Mapa final'!$S$56),"")</f>
        <v/>
      </c>
      <c r="W18" s="38" t="str">
        <f>IF(AND('Mapa final'!$AJ$51="Muy Alta",'Mapa final'!$AL$51="Moderado"),CONCATENATE("R2C",'Mapa final'!$S$51),"")</f>
        <v/>
      </c>
      <c r="X18" s="39" t="str">
        <f>IF(AND('Mapa final'!$AJ$52="Muy Alta",'Mapa final'!$AL$52="Moderado"),CONCATENATE("R2C",'Mapa final'!$S$52),"")</f>
        <v/>
      </c>
      <c r="Y18" s="39" t="str">
        <f>IF(AND('Mapa final'!$AJ$53="Muy Alta",'Mapa final'!$AL$53="Moderado"),CONCATENATE("R2C",'Mapa final'!$S$53),"")</f>
        <v/>
      </c>
      <c r="Z18" s="39" t="str">
        <f>IF(AND('Mapa final'!$AJ$54="Muy Alta",'Mapa final'!$AL$54="Moderado"),CONCATENATE("R2C",'Mapa final'!$S$54),"")</f>
        <v/>
      </c>
      <c r="AA18" s="39" t="str">
        <f>IF(AND('Mapa final'!$AJ$55="Muy Alta",'Mapa final'!$AL$55="Moderado"),CONCATENATE("R2C",'Mapa final'!$S$55),"")</f>
        <v/>
      </c>
      <c r="AB18" s="40" t="str">
        <f>IF(AND('Mapa final'!$AJ$56="Muy Alta",'Mapa final'!$AL$56="Moderado"),CONCATENATE("R2C",'Mapa final'!$S$56),"")</f>
        <v/>
      </c>
      <c r="AC18" s="38" t="str">
        <f>IF(AND('Mapa final'!$AJ$51="Muy Alta",'Mapa final'!$AL$51="Mayor"),CONCATENATE("R2C",'Mapa final'!$S$51),"")</f>
        <v/>
      </c>
      <c r="AD18" s="39" t="str">
        <f>IF(AND('Mapa final'!$AJ$52="Muy Alta",'Mapa final'!$AL$52="Mayor"),CONCATENATE("R2C",'Mapa final'!$S$52),"")</f>
        <v/>
      </c>
      <c r="AE18" s="39" t="str">
        <f>IF(AND('Mapa final'!$AJ$53="Muy Alta",'Mapa final'!$AL$53="Mayor"),CONCATENATE("R2C",'Mapa final'!$S$53),"")</f>
        <v/>
      </c>
      <c r="AF18" s="39" t="str">
        <f>IF(AND('Mapa final'!$AJ$54="Muy Alta",'Mapa final'!$AL$54="Mayor"),CONCATENATE("R2C",'Mapa final'!$S$54),"")</f>
        <v/>
      </c>
      <c r="AG18" s="39" t="str">
        <f>IF(AND('Mapa final'!$AJ$55="Muy Alta",'Mapa final'!$AL$55="Mayor"),CONCATENATE("R2C",'Mapa final'!$S$55),"")</f>
        <v/>
      </c>
      <c r="AH18" s="40" t="str">
        <f>IF(AND('Mapa final'!$AJ$56="Muy Alta",'Mapa final'!$AL$56="Mayor"),CONCATENATE("R2C",'Mapa final'!$S$56),"")</f>
        <v/>
      </c>
      <c r="AI18" s="41" t="str">
        <f>IF(AND('Mapa final'!$AJ$51="Muy Alta",'Mapa final'!$AL$51="Catastrófico"),CONCATENATE("R2C",'Mapa final'!$S$51),"")</f>
        <v/>
      </c>
      <c r="AJ18" s="42" t="str">
        <f>IF(AND('Mapa final'!$AJ$52="Muy Alta",'Mapa final'!$AL$52="Catastrófico"),CONCATENATE("R2C",'Mapa final'!$S$52),"")</f>
        <v/>
      </c>
      <c r="AK18" s="42" t="str">
        <f>IF(AND('Mapa final'!$AJ$53="Muy Alta",'Mapa final'!$AL$53="Catastrófico"),CONCATENATE("R2C",'Mapa final'!$S$53),"")</f>
        <v/>
      </c>
      <c r="AL18" s="42" t="str">
        <f>IF(AND('Mapa final'!$AJ$54="Muy Alta",'Mapa final'!$AL$54="Catastrófico"),CONCATENATE("R2C",'Mapa final'!$S$54),"")</f>
        <v/>
      </c>
      <c r="AM18" s="42" t="str">
        <f>IF(AND('Mapa final'!$AJ$55="Muy Alta",'Mapa final'!$AL$55="Catastrófico"),CONCATENATE("R2C",'Mapa final'!$S$55),"")</f>
        <v/>
      </c>
      <c r="AN18" s="43" t="str">
        <f>IF(AND('Mapa final'!$AJ$56="Muy Alta",'Mapa final'!$AL$56="Catastrófico"),CONCATENATE("R2C",'Mapa final'!$S$56),"")</f>
        <v/>
      </c>
      <c r="AO18" s="69"/>
      <c r="AP18" s="487"/>
      <c r="AQ18" s="488"/>
      <c r="AR18" s="488"/>
      <c r="AS18" s="488"/>
      <c r="AT18" s="488"/>
      <c r="AU18" s="48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373"/>
      <c r="D19" s="373"/>
      <c r="E19" s="374"/>
      <c r="F19" s="468"/>
      <c r="G19" s="469"/>
      <c r="H19" s="469"/>
      <c r="I19" s="469"/>
      <c r="J19" s="496"/>
      <c r="K19" s="38" t="str">
        <f>IF(AND('Mapa final'!$AJ$57="Muy Alta",'Mapa final'!$AL$57="Leve"),CONCATENATE("R2C",'Mapa final'!$S$57),"")</f>
        <v/>
      </c>
      <c r="L19" s="178" t="str">
        <f>IF(AND('Mapa final'!$AJ$58="Muy Alta",'Mapa final'!$AL$58="Leve"),CONCATENATE("R2C",'Mapa final'!$S$58),"")</f>
        <v/>
      </c>
      <c r="M19" s="178" t="str">
        <f>IF(AND('Mapa final'!$AJ$59="Muy Alta",'Mapa final'!$AL$59="Leve"),CONCATENATE("R2C",'Mapa final'!$S$59),"")</f>
        <v/>
      </c>
      <c r="N19" s="178" t="str">
        <f>IF(AND('Mapa final'!$AJ$60="Muy Alta",'Mapa final'!$AL$60="Leve"),CONCATENATE("R2C",'Mapa final'!$S$60),"")</f>
        <v/>
      </c>
      <c r="O19" s="178" t="str">
        <f>IF(AND('Mapa final'!$AJ$61="Muy Alta",'Mapa final'!$AL$61="Leve"),CONCATENATE("R2C",'Mapa final'!$S$61),"")</f>
        <v/>
      </c>
      <c r="P19" s="40" t="str">
        <f>IF(AND('Mapa final'!$AJ$62="Muy Alta",'Mapa final'!$AL$62="Leve"),CONCATENATE("R2C",'Mapa final'!$S$62),"")</f>
        <v/>
      </c>
      <c r="Q19" s="178" t="str">
        <f>IF(AND('Mapa final'!$AJ$57="Muy Alta",'Mapa final'!$AL$57="Menor"),CONCATENATE("R2C",'Mapa final'!$S$57),"")</f>
        <v/>
      </c>
      <c r="R19" s="39" t="str">
        <f>IF(AND('Mapa final'!$AJ$58="Muy Alta",'Mapa final'!$AL$58="Menor"),CONCATENATE("R2C",'Mapa final'!$S$58),"")</f>
        <v/>
      </c>
      <c r="S19" s="39" t="str">
        <f>IF(AND('Mapa final'!$AJ$59="Muy Alta",'Mapa final'!$AL$59="Menor"),CONCATENATE("R2C",'Mapa final'!$S$59),"")</f>
        <v/>
      </c>
      <c r="T19" s="39" t="str">
        <f>IF(AND('Mapa final'!$AJ$60="Muy Alta",'Mapa final'!$AL$60="Menor"),CONCATENATE("R2C",'Mapa final'!$S$60),"")</f>
        <v/>
      </c>
      <c r="U19" s="39" t="str">
        <f>IF(AND('Mapa final'!$AJ$61="Muy Alta",'Mapa final'!$AL$61="Menor"),CONCATENATE("R2C",'Mapa final'!$S$61),"")</f>
        <v/>
      </c>
      <c r="V19" s="40" t="str">
        <f>IF(AND('Mapa final'!$AJ$62="Muy Alta",'Mapa final'!$AL$62="Menor"),CONCATENATE("R2C",'Mapa final'!$S$62),"")</f>
        <v/>
      </c>
      <c r="W19" s="38" t="str">
        <f>IF(AND('Mapa final'!$AJ$57="Muy Alta",'Mapa final'!$AL$57="Moderado"),CONCATENATE("R2C",'Mapa final'!$S$57),"")</f>
        <v/>
      </c>
      <c r="X19" s="39" t="str">
        <f>IF(AND('Mapa final'!$AJ$58="Muy Alta",'Mapa final'!$AL$58="Moderado"),CONCATENATE("R2C",'Mapa final'!$S$58),"")</f>
        <v/>
      </c>
      <c r="Y19" s="39" t="str">
        <f>IF(AND('Mapa final'!$AJ$59="Muy Alta",'Mapa final'!$AL$59="Moderado"),CONCATENATE("R2C",'Mapa final'!$S$59),"")</f>
        <v/>
      </c>
      <c r="Z19" s="39" t="str">
        <f>IF(AND('Mapa final'!$AJ$60="Muy Alta",'Mapa final'!$AL$60="Moderado"),CONCATENATE("R2C",'Mapa final'!$S$60),"")</f>
        <v/>
      </c>
      <c r="AA19" s="39" t="str">
        <f>IF(AND('Mapa final'!$AJ$61="Muy Alta",'Mapa final'!$AL$61="Moderado"),CONCATENATE("R2C",'Mapa final'!$S$61),"")</f>
        <v/>
      </c>
      <c r="AB19" s="40" t="str">
        <f>IF(AND('Mapa final'!$AJ$62="Muy Alta",'Mapa final'!$AL$62="Moderado"),CONCATENATE("R2C",'Mapa final'!$S$62),"")</f>
        <v/>
      </c>
      <c r="AC19" s="38" t="str">
        <f>IF(AND('Mapa final'!$AJ$57="Muy Alta",'Mapa final'!$AL$57="Mayor"),CONCATENATE("R2C",'Mapa final'!$S$57),"")</f>
        <v/>
      </c>
      <c r="AD19" s="39" t="str">
        <f>IF(AND('Mapa final'!$AJ$58="Muy Alta",'Mapa final'!$AL$58="Mayor"),CONCATENATE("R2C",'Mapa final'!$S$58),"")</f>
        <v/>
      </c>
      <c r="AE19" s="39" t="str">
        <f>IF(AND('Mapa final'!$AJ$59="Muy Alta",'Mapa final'!$AL$59="Mayor"),CONCATENATE("R2C",'Mapa final'!$S$59),"")</f>
        <v/>
      </c>
      <c r="AF19" s="39" t="str">
        <f>IF(AND('Mapa final'!$AJ$60="Muy Alta",'Mapa final'!$AL$60="Mayor"),CONCATENATE("R2C",'Mapa final'!$S$60),"")</f>
        <v/>
      </c>
      <c r="AG19" s="39" t="str">
        <f>IF(AND('Mapa final'!$AJ$61="Muy Alta",'Mapa final'!$AL$61="Mayor"),CONCATENATE("R2C",'Mapa final'!$S$61),"")</f>
        <v/>
      </c>
      <c r="AH19" s="40" t="str">
        <f>IF(AND('Mapa final'!$AJ$62="Muy Alta",'Mapa final'!$AL$62="Mayor"),CONCATENATE("R2C",'Mapa final'!$S$62),"")</f>
        <v/>
      </c>
      <c r="AI19" s="41" t="str">
        <f>IF(AND('Mapa final'!$AJ$57="Muy Alta",'Mapa final'!$AL$57="Catastrófico"),CONCATENATE("R2C",'Mapa final'!$S$57),"")</f>
        <v/>
      </c>
      <c r="AJ19" s="42" t="str">
        <f>IF(AND('Mapa final'!$AJ$58="Muy Alta",'Mapa final'!$AL$58="Catastrófico"),CONCATENATE("R2C",'Mapa final'!$S$58),"")</f>
        <v/>
      </c>
      <c r="AK19" s="42" t="str">
        <f>IF(AND('Mapa final'!$AJ$59="Muy Alta",'Mapa final'!$AL$59="Catastrófico"),CONCATENATE("R2C",'Mapa final'!$S$59),"")</f>
        <v/>
      </c>
      <c r="AL19" s="42" t="str">
        <f>IF(AND('Mapa final'!$AJ$60="Muy Alta",'Mapa final'!$AL$60="Catastrófico"),CONCATENATE("R2C",'Mapa final'!$S$60),"")</f>
        <v/>
      </c>
      <c r="AM19" s="42" t="str">
        <f>IF(AND('Mapa final'!$AJ$61="Muy Alta",'Mapa final'!$AL$61="Catastrófico"),CONCATENATE("R2C",'Mapa final'!$S$61),"")</f>
        <v/>
      </c>
      <c r="AN19" s="43" t="str">
        <f>IF(AND('Mapa final'!$AJ$62="Muy Alta",'Mapa final'!$AL$62="Catastrófico"),CONCATENATE("R2C",'Mapa final'!$S$62),"")</f>
        <v/>
      </c>
      <c r="AO19" s="69"/>
      <c r="AP19" s="487"/>
      <c r="AQ19" s="488"/>
      <c r="AR19" s="488"/>
      <c r="AS19" s="488"/>
      <c r="AT19" s="488"/>
      <c r="AU19" s="48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373"/>
      <c r="D20" s="373"/>
      <c r="E20" s="374"/>
      <c r="F20" s="468"/>
      <c r="G20" s="469"/>
      <c r="H20" s="469"/>
      <c r="I20" s="469"/>
      <c r="J20" s="496"/>
      <c r="K20" s="38" t="str">
        <f>IF(AND('Mapa final'!$AJ$63="Muy Alta",'Mapa final'!$AL$63="Leve"),CONCATENATE("R2C",'Mapa final'!$S$63),"")</f>
        <v/>
      </c>
      <c r="L20" s="178" t="str">
        <f>IF(AND('Mapa final'!$AJ$64="Muy Alta",'Mapa final'!$AL$64="Leve"),CONCATENATE("R2C",'Mapa final'!$S$64),"")</f>
        <v/>
      </c>
      <c r="M20" s="178" t="str">
        <f>IF(AND('Mapa final'!$AJ$65="Muy Alta",'Mapa final'!$AL$65="Leve"),CONCATENATE("R2C",'Mapa final'!$S$65),"")</f>
        <v/>
      </c>
      <c r="N20" s="178" t="str">
        <f>IF(AND('Mapa final'!$AJ$66="Muy Alta",'Mapa final'!$AL$66="Leve"),CONCATENATE("R2C",'Mapa final'!$S$66),"")</f>
        <v/>
      </c>
      <c r="O20" s="178" t="str">
        <f>IF(AND('Mapa final'!$AJ$67="Muy Alta",'Mapa final'!$AL$67="Leve"),CONCATENATE("R2C",'Mapa final'!$S$67),"")</f>
        <v/>
      </c>
      <c r="P20" s="40" t="str">
        <f>IF(AND('Mapa final'!$AJ$68="Muy Alta",'Mapa final'!$AL$68="Leve"),CONCATENATE("R2C",'Mapa final'!$S$68),"")</f>
        <v/>
      </c>
      <c r="Q20" s="178" t="str">
        <f>IF(AND('Mapa final'!$AJ$63="Muy Alta",'Mapa final'!$AL$63="Menor"),CONCATENATE("R2C",'Mapa final'!$S$63),"")</f>
        <v/>
      </c>
      <c r="R20" s="39" t="str">
        <f>IF(AND('Mapa final'!$AJ$64="Muy Alta",'Mapa final'!$AL$64="Menor"),CONCATENATE("R2C",'Mapa final'!$S$64),"")</f>
        <v/>
      </c>
      <c r="S20" s="39" t="str">
        <f>IF(AND('Mapa final'!$AJ$65="Muy Alta",'Mapa final'!$AL$65="Menor"),CONCATENATE("R2C",'Mapa final'!$S$65),"")</f>
        <v/>
      </c>
      <c r="T20" s="39" t="str">
        <f>IF(AND('Mapa final'!$AJ$66="Muy Alta",'Mapa final'!$AL$66="Menor"),CONCATENATE("R2C",'Mapa final'!$S$66),"")</f>
        <v/>
      </c>
      <c r="U20" s="39" t="str">
        <f>IF(AND('Mapa final'!$AJ$67="Muy Alta",'Mapa final'!$AL$67="Menor"),CONCATENATE("R2C",'Mapa final'!$S$67),"")</f>
        <v/>
      </c>
      <c r="V20" s="40" t="str">
        <f>IF(AND('Mapa final'!$AJ$68="Muy Alta",'Mapa final'!$AL$68="Menor"),CONCATENATE("R2C",'Mapa final'!$S$68),"")</f>
        <v/>
      </c>
      <c r="W20" s="38" t="str">
        <f>IF(AND('Mapa final'!$AJ$63="Muy Alta",'Mapa final'!$AL$63="Moderado"),CONCATENATE("R2C",'Mapa final'!$S$63),"")</f>
        <v/>
      </c>
      <c r="X20" s="39" t="str">
        <f>IF(AND('Mapa final'!$AJ$64="Muy Alta",'Mapa final'!$AL$64="Moderado"),CONCATENATE("R2C",'Mapa final'!$S$64),"")</f>
        <v/>
      </c>
      <c r="Y20" s="39" t="str">
        <f>IF(AND('Mapa final'!$AJ$65="Muy Alta",'Mapa final'!$AL$65="Moderado"),CONCATENATE("R2C",'Mapa final'!$S$65),"")</f>
        <v/>
      </c>
      <c r="Z20" s="39" t="str">
        <f>IF(AND('Mapa final'!$AJ$66="Muy Alta",'Mapa final'!$AL$66="Moderado"),CONCATENATE("R2C",'Mapa final'!$S$66),"")</f>
        <v/>
      </c>
      <c r="AA20" s="39" t="str">
        <f>IF(AND('Mapa final'!$AJ$67="Muy Alta",'Mapa final'!$AL$67="Moderado"),CONCATENATE("R2C",'Mapa final'!$S$67),"")</f>
        <v/>
      </c>
      <c r="AB20" s="40" t="str">
        <f>IF(AND('Mapa final'!$AJ$68="Muy Alta",'Mapa final'!$AL$68="Moderado"),CONCATENATE("R2C",'Mapa final'!$S$68),"")</f>
        <v/>
      </c>
      <c r="AC20" s="38" t="str">
        <f>IF(AND('Mapa final'!$AJ$63="Muy Alta",'Mapa final'!$AL$63="Mayor"),CONCATENATE("R2C",'Mapa final'!$S$63),"")</f>
        <v/>
      </c>
      <c r="AD20" s="39" t="str">
        <f>IF(AND('Mapa final'!$AJ$64="Muy Alta",'Mapa final'!$AL$64="Mayor"),CONCATENATE("R2C",'Mapa final'!$S$64),"")</f>
        <v/>
      </c>
      <c r="AE20" s="39" t="str">
        <f>IF(AND('Mapa final'!$AJ$65="Muy Alta",'Mapa final'!$AL$65="Mayor"),CONCATENATE("R2C",'Mapa final'!$S$65),"")</f>
        <v/>
      </c>
      <c r="AF20" s="39" t="str">
        <f>IF(AND('Mapa final'!$AJ$66="Muy Alta",'Mapa final'!$AL$66="Mayor"),CONCATENATE("R2C",'Mapa final'!$S$66),"")</f>
        <v/>
      </c>
      <c r="AG20" s="39" t="str">
        <f>IF(AND('Mapa final'!$AJ$67="Muy Alta",'Mapa final'!$AL$67="Mayor"),CONCATENATE("R2C",'Mapa final'!$S$67),"")</f>
        <v/>
      </c>
      <c r="AH20" s="40" t="str">
        <f>IF(AND('Mapa final'!$AJ$68="Muy Alta",'Mapa final'!$AL$68="Mayor"),CONCATENATE("R2C",'Mapa final'!$S$68),"")</f>
        <v/>
      </c>
      <c r="AI20" s="41" t="str">
        <f>IF(AND('Mapa final'!$AJ$63="Muy Alta",'Mapa final'!$AL$63="Catastrófico"),CONCATENATE("R2C",'Mapa final'!$S$63),"")</f>
        <v/>
      </c>
      <c r="AJ20" s="42" t="str">
        <f>IF(AND('Mapa final'!$AJ$64="Muy Alta",'Mapa final'!$AL$64="Catastrófico"),CONCATENATE("R2C",'Mapa final'!$S$64),"")</f>
        <v/>
      </c>
      <c r="AK20" s="42" t="str">
        <f>IF(AND('Mapa final'!$AJ$65="Muy Alta",'Mapa final'!$AL$65="Catastrófico"),CONCATENATE("R2C",'Mapa final'!$S$65),"")</f>
        <v/>
      </c>
      <c r="AL20" s="42" t="str">
        <f>IF(AND('Mapa final'!$AJ$66="Muy Alta",'Mapa final'!$AL$66="Catastrófico"),CONCATENATE("R2C",'Mapa final'!$S$66),"")</f>
        <v/>
      </c>
      <c r="AM20" s="42" t="str">
        <f>IF(AND('Mapa final'!$AJ$67="Muy Alta",'Mapa final'!$AL$67="Catastrófico"),CONCATENATE("R2C",'Mapa final'!$S$67),"")</f>
        <v/>
      </c>
      <c r="AN20" s="43" t="str">
        <f>IF(AND('Mapa final'!$AJ$68="Muy Alta",'Mapa final'!$AL$68="Catastrófico"),CONCATENATE("R2C",'Mapa final'!$S$68),"")</f>
        <v/>
      </c>
      <c r="AO20" s="69"/>
      <c r="AP20" s="487"/>
      <c r="AQ20" s="488"/>
      <c r="AR20" s="488"/>
      <c r="AS20" s="488"/>
      <c r="AT20" s="488"/>
      <c r="AU20" s="48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373"/>
      <c r="D21" s="373"/>
      <c r="E21" s="374"/>
      <c r="F21" s="471"/>
      <c r="G21" s="472"/>
      <c r="H21" s="472"/>
      <c r="I21" s="472"/>
      <c r="J21" s="472"/>
      <c r="K21" s="44" t="str">
        <f>IF(AND('Mapa final'!$AJ$69="Muy Alta",'Mapa final'!$AL$69="Leve"),CONCATENATE("R2C",'Mapa final'!$S$69),"")</f>
        <v/>
      </c>
      <c r="L21" s="45" t="str">
        <f>IF(AND('Mapa final'!$AJ$70="Muy Alta",'Mapa final'!$AL$70="Leve"),CONCATENATE("R2C",'Mapa final'!$S$70),"")</f>
        <v/>
      </c>
      <c r="M21" s="45" t="str">
        <f>IF(AND('Mapa final'!$AJ$71="Muy Alta",'Mapa final'!$AL$71="Leve"),CONCATENATE("R2C",'Mapa final'!$S$71),"")</f>
        <v/>
      </c>
      <c r="N21" s="45" t="str">
        <f>IF(AND('Mapa final'!$AJ$72="Muy Alta",'Mapa final'!$AL$72="Leve"),CONCATENATE("R2C",'Mapa final'!$S$72),"")</f>
        <v/>
      </c>
      <c r="O21" s="45" t="str">
        <f>IF(AND('Mapa final'!$AJ$74="Muy Alta",'Mapa final'!$AL$74="Leve"),CONCATENATE("R2C",'Mapa final'!$S$74),"")</f>
        <v/>
      </c>
      <c r="P21" s="46" t="str">
        <f>IF(AND('Mapa final'!$AJ$75="Muy Alta",'Mapa final'!$AL$75="Leve"),CONCATENATE("R2C",'Mapa final'!$S$75),"")</f>
        <v/>
      </c>
      <c r="Q21" s="178" t="str">
        <f>IF(AND('Mapa final'!$AJ$69="Muy Alta",'Mapa final'!$AL$69="Menor"),CONCATENATE("R2C",'Mapa final'!$S$69),"")</f>
        <v/>
      </c>
      <c r="R21" s="39" t="str">
        <f>IF(AND('Mapa final'!$AJ$70="Muy Alta",'Mapa final'!$AL$70="Menor"),CONCATENATE("R2C",'Mapa final'!$S$70),"")</f>
        <v/>
      </c>
      <c r="S21" s="39" t="str">
        <f>IF(AND('Mapa final'!$AJ$71="Muy Alta",'Mapa final'!$AL$71="Menor"),CONCATENATE("R2C",'Mapa final'!$S$71),"")</f>
        <v/>
      </c>
      <c r="T21" s="39" t="str">
        <f>IF(AND('Mapa final'!$AJ$72="Muy Alta",'Mapa final'!$AL$72="Menor"),CONCATENATE("R2C",'Mapa final'!$S$72),"")</f>
        <v/>
      </c>
      <c r="U21" s="39" t="str">
        <f>IF(AND('Mapa final'!$AJ$74="Muy Alta",'Mapa final'!$AL$74="Menor"),CONCATENATE("R2C",'Mapa final'!$S$74),"")</f>
        <v/>
      </c>
      <c r="V21" s="40" t="str">
        <f>IF(AND('Mapa final'!$AJ$75="Muy Alta",'Mapa final'!$AL$75="Menor"),CONCATENATE("R2C",'Mapa final'!$S$75),"")</f>
        <v/>
      </c>
      <c r="W21" s="44" t="str">
        <f>IF(AND('Mapa final'!$AJ$69="Muy Alta",'Mapa final'!$AL$69="Moderado"),CONCATENATE("R2C",'Mapa final'!$S$69),"")</f>
        <v/>
      </c>
      <c r="X21" s="45" t="str">
        <f>IF(AND('Mapa final'!$AJ$70="Muy Alta",'Mapa final'!$AL$70="Moderado"),CONCATENATE("R2C",'Mapa final'!$S$70),"")</f>
        <v/>
      </c>
      <c r="Y21" s="45" t="str">
        <f>IF(AND('Mapa final'!$AJ$71="Muy Alta",'Mapa final'!$AL$71="Moderado"),CONCATENATE("R2C",'Mapa final'!$S$71),"")</f>
        <v/>
      </c>
      <c r="Z21" s="45" t="str">
        <f>IF(AND('Mapa final'!$AJ$72="Muy Alta",'Mapa final'!$AL$72="Moderado"),CONCATENATE("R2C",'Mapa final'!$S$72),"")</f>
        <v/>
      </c>
      <c r="AA21" s="45" t="str">
        <f>IF(AND('Mapa final'!$AJ$74="Muy Alta",'Mapa final'!$AL$74="Moderado"),CONCATENATE("R2C",'Mapa final'!$S$74),"")</f>
        <v/>
      </c>
      <c r="AB21" s="46" t="str">
        <f>IF(AND('Mapa final'!$AJ$75="Muy Alta",'Mapa final'!$AL$75="Moderado"),CONCATENATE("R2C",'Mapa final'!$S$75),"")</f>
        <v/>
      </c>
      <c r="AC21" s="38" t="str">
        <f>IF(AND('Mapa final'!$AJ$69="Muy Alta",'Mapa final'!$AL$69="Mayor"),CONCATENATE("R2C",'Mapa final'!$S$69),"")</f>
        <v/>
      </c>
      <c r="AD21" s="39" t="str">
        <f>IF(AND('Mapa final'!$AJ$70="Muy Alta",'Mapa final'!$AL$70="Mayor"),CONCATENATE("R2C",'Mapa final'!$S$70),"")</f>
        <v/>
      </c>
      <c r="AE21" s="39" t="str">
        <f>IF(AND('Mapa final'!$AJ$71="Muy Alta",'Mapa final'!$AL$71="Mayor"),CONCATENATE("R2C",'Mapa final'!$S$71),"")</f>
        <v/>
      </c>
      <c r="AF21" s="39" t="str">
        <f>IF(AND('Mapa final'!$AJ$72="Muy Alta",'Mapa final'!$AL$72="Mayor"),CONCATENATE("R2C",'Mapa final'!$S$72),"")</f>
        <v/>
      </c>
      <c r="AG21" s="39" t="str">
        <f>IF(AND('Mapa final'!$AJ$74="Muy Alta",'Mapa final'!$AL$74="Mayor"),CONCATENATE("R2C",'Mapa final'!$S$74),"")</f>
        <v/>
      </c>
      <c r="AH21" s="40" t="str">
        <f>IF(AND('Mapa final'!$AJ$75="Muy Alta",'Mapa final'!$AL$75="Mayor"),CONCATENATE("R2C",'Mapa final'!$S$75),"")</f>
        <v/>
      </c>
      <c r="AI21" s="47" t="str">
        <f>IF(AND('Mapa final'!$AJ$69="Muy Alta",'Mapa final'!$AL$69="Catastrófico"),CONCATENATE("R2C",'Mapa final'!$S$69),"")</f>
        <v/>
      </c>
      <c r="AJ21" s="48" t="str">
        <f>IF(AND('Mapa final'!$AJ$70="Muy Alta",'Mapa final'!$AL$70="Catastrófico"),CONCATENATE("R2C",'Mapa final'!$S$70),"")</f>
        <v/>
      </c>
      <c r="AK21" s="48" t="str">
        <f>IF(AND('Mapa final'!$AJ$71="Muy Alta",'Mapa final'!$AL$71="Catastrófico"),CONCATENATE("R2C",'Mapa final'!$S$71),"")</f>
        <v/>
      </c>
      <c r="AL21" s="48" t="str">
        <f>IF(AND('Mapa final'!$AJ$72="Muy Alta",'Mapa final'!$AL$72="Catastrófico"),CONCATENATE("R2C",'Mapa final'!$S$72),"")</f>
        <v/>
      </c>
      <c r="AM21" s="48" t="str">
        <f>IF(AND('Mapa final'!$AJ$74="Muy Alta",'Mapa final'!$AL$74="Catastrófico"),CONCATENATE("R2C",'Mapa final'!$S$74),"")</f>
        <v/>
      </c>
      <c r="AN21" s="49" t="str">
        <f>IF(AND('Mapa final'!$AJ$75="Muy Alta",'Mapa final'!$AL$75="Catastrófico"),CONCATENATE("R2C",'Mapa final'!$S$75),"")</f>
        <v/>
      </c>
      <c r="AO21" s="69"/>
      <c r="AP21" s="490"/>
      <c r="AQ21" s="491"/>
      <c r="AR21" s="491"/>
      <c r="AS21" s="491"/>
      <c r="AT21" s="491"/>
      <c r="AU21" s="492"/>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373"/>
      <c r="D22" s="373"/>
      <c r="E22" s="374"/>
      <c r="F22" s="465" t="s">
        <v>114</v>
      </c>
      <c r="G22" s="466"/>
      <c r="H22" s="466"/>
      <c r="I22" s="466"/>
      <c r="J22" s="466"/>
      <c r="K22" s="53" t="str">
        <f ca="1">IF(AND('Mapa final'!$AJ$15="Alta",'Mapa final'!$AL$15="Leve"),CONCATENATE("R2C",'Mapa final'!$S$15),"")</f>
        <v/>
      </c>
      <c r="L22" s="179" t="str">
        <f ca="1">IF(AND('Mapa final'!$AJ$16="Alta",'Mapa final'!$AL$16="Leve"),CONCATENATE("R2C",'Mapa final'!$S$16),"")</f>
        <v/>
      </c>
      <c r="M22" s="179" t="str">
        <f ca="1">IF(AND('Mapa final'!$AJ$17="Alta",'Mapa final'!$AL$17="Leve"),CONCATENATE("R2C",'Mapa final'!$S$17),"")</f>
        <v/>
      </c>
      <c r="N22" s="179" t="str">
        <f>IF(AND('Mapa final'!$AJ$18="Alta",'Mapa final'!$AL$18="Leve"),CONCATENATE("R2C",'Mapa final'!$S$18),"")</f>
        <v/>
      </c>
      <c r="O22" s="179" t="str">
        <f>IF(AND('Mapa final'!$AJ$19="Alta",'Mapa final'!$AL$19="Leve"),CONCATENATE("R2C",'Mapa final'!$S$19),"")</f>
        <v/>
      </c>
      <c r="P22" s="55" t="str">
        <f>IF(AND('Mapa final'!$AJ$20="Alta",'Mapa final'!$AL$20="Leve"),CONCATENATE("R2C",'Mapa final'!$S$20),"")</f>
        <v/>
      </c>
      <c r="Q22" s="50" t="str">
        <f ca="1">IF(AND('Mapa final'!$AJ$15="Alta",'Mapa final'!$AL$15="Menor"),CONCATENATE("R2C",'Mapa final'!$S$15),"")</f>
        <v/>
      </c>
      <c r="R22" s="51" t="str">
        <f ca="1">IF(AND('Mapa final'!$AJ$16="Alta",'Mapa final'!$AL$16="Menore"),CONCATENATE("R2C",'Mapa final'!$S$16),"")</f>
        <v/>
      </c>
      <c r="S22" s="51" t="str">
        <f ca="1">IF(AND('Mapa final'!$AJ$17="Alta",'Mapa final'!$AL$17="Menor"),CONCATENATE("R2C",'Mapa final'!$S$17),"")</f>
        <v/>
      </c>
      <c r="T22" s="51" t="str">
        <f>IF(AND('Mapa final'!$AJ$18="Alta",'Mapa final'!$AL$18="Menor"),CONCATENATE("R2C",'Mapa final'!$S$18),"")</f>
        <v/>
      </c>
      <c r="U22" s="51" t="str">
        <f>IF(AND('Mapa final'!$AJ$19="Alta",'Mapa final'!$AL$19="Menor"),CONCATENATE("R2C",'Mapa final'!$S$19),"")</f>
        <v/>
      </c>
      <c r="V22" s="52" t="str">
        <f>IF(AND('Mapa final'!$AJ$20="Alta",'Mapa final'!$AL$20="Menor"),CONCATENATE("R2C",'Mapa final'!$S$20),"")</f>
        <v/>
      </c>
      <c r="W22" s="32" t="str">
        <f ca="1">IF(AND('Mapa final'!$AJ$15="Alta",'Mapa final'!$AL$15="Moderado"),CONCATENATE("R2C",'Mapa final'!$S$15),"")</f>
        <v/>
      </c>
      <c r="X22" s="33" t="str">
        <f ca="1">IF(AND('Mapa final'!$AJ$16="Alta",'Mapa final'!$AL$16="Moderado"),CONCATENATE("R2C",'Mapa final'!$S$16),"")</f>
        <v/>
      </c>
      <c r="Y22" s="33"/>
      <c r="Z22" s="33" t="str">
        <f>IF(AND('Mapa final'!$AJ$18="Alta",'Mapa final'!$AL$18="Moderado"),CONCATENATE("R2C",'Mapa final'!$S$18),"")</f>
        <v/>
      </c>
      <c r="AA22" s="33" t="str">
        <f>IF(AND('Mapa final'!$AJ$19="Alta",'Mapa final'!$AL$19="Moderado"),CONCATENATE("R2C",'Mapa final'!$S$19),"")</f>
        <v/>
      </c>
      <c r="AB22" s="34" t="str">
        <f>IF(AND('Mapa final'!$AJ$20="Alta",'Mapa final'!$AL$20="Moderado"),CONCATENATE("R2C",'Mapa final'!$S$20),"")</f>
        <v/>
      </c>
      <c r="AC22" s="32" t="str">
        <f ca="1">IF(AND('Mapa final'!$AJ$15="Alta",'Mapa final'!$AL$15="Mayor"),CONCATENATE("R2C",'Mapa final'!$S$15),"")</f>
        <v/>
      </c>
      <c r="AD22" s="33" t="str">
        <f ca="1">IF(AND('Mapa final'!$AJ$16="Alta",'Mapa final'!$AL$16="Mayor"),CONCATENATE("R2C",'Mapa final'!$S$16),"")</f>
        <v/>
      </c>
      <c r="AE22" s="33" t="str">
        <f ca="1">IF(AND('Mapa final'!$AJ$17="Alta",'Mapa final'!$AL$17="Mayor"),CONCATENATE("R2C",'Mapa final'!$S$17),"")</f>
        <v/>
      </c>
      <c r="AF22" s="33" t="str">
        <f>IF(AND('Mapa final'!$AJ$18="Alta",'Mapa final'!$AL$18="Mayor"),CONCATENATE("R2C",'Mapa final'!$S$18),"")</f>
        <v/>
      </c>
      <c r="AG22" s="33" t="str">
        <f>IF(AND('Mapa final'!$AJ$19="Alta",'Mapa final'!$AL$19="Mayor"),CONCATENATE("R2C",'Mapa final'!$S$19),"")</f>
        <v/>
      </c>
      <c r="AH22" s="34" t="str">
        <f>IF(AND('Mapa final'!$AJ$20="Alta",'Mapa final'!$AL$20="Mayor"),CONCATENATE("R2C",'Mapa final'!$S$20),"")</f>
        <v/>
      </c>
      <c r="AI22" s="35" t="str">
        <f ca="1">IF(AND('Mapa final'!$AJ$15="Alta",'Mapa final'!$AL$15="Catastrófico"),CONCATENATE("R2C",'Mapa final'!$S$15),"")</f>
        <v/>
      </c>
      <c r="AJ22" s="36" t="str">
        <f ca="1">IF(AND('Mapa final'!$AJ$16="Alta",'Mapa final'!$AL$16="Catastrófico"),CONCATENATE("R2C",'Mapa final'!$S$16),"")</f>
        <v/>
      </c>
      <c r="AK22" s="36" t="str">
        <f ca="1">IF(AND('Mapa final'!$AJ$17="Alta",'Mapa final'!$AL$17="Catastrófico"),CONCATENATE("R2C",'Mapa final'!$S$17),"")</f>
        <v/>
      </c>
      <c r="AL22" s="36" t="str">
        <f>IF(AND('Mapa final'!$AJ$18="Alta",'Mapa final'!$AL$18="Catastrófico"),CONCATENATE("R2C",'Mapa final'!$S$18),"")</f>
        <v/>
      </c>
      <c r="AM22" s="36" t="str">
        <f>IF(AND('Mapa final'!$AJ$19="Alta",'Mapa final'!$AL$19="Catastrófico"),CONCATENATE("R2C",'Mapa final'!$S$19),"")</f>
        <v/>
      </c>
      <c r="AN22" s="37" t="str">
        <f>IF(AND('Mapa final'!$AJ$20="Alta",'Mapa final'!$AL$20="Catastrófico"),CONCATENATE("R2C",'Mapa final'!$S$20),"")</f>
        <v/>
      </c>
      <c r="AO22" s="69"/>
      <c r="AP22" s="474" t="s">
        <v>79</v>
      </c>
      <c r="AQ22" s="475"/>
      <c r="AR22" s="475"/>
      <c r="AS22" s="475"/>
      <c r="AT22" s="475"/>
      <c r="AU22" s="476"/>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373"/>
      <c r="D23" s="373"/>
      <c r="E23" s="374"/>
      <c r="F23" s="483"/>
      <c r="G23" s="469"/>
      <c r="H23" s="469"/>
      <c r="I23" s="469"/>
      <c r="J23" s="469"/>
      <c r="K23" s="53" t="str">
        <f>IF(AND('Mapa final'!$AJ$21="Alta",'Mapa final'!$AL$21="Leve"),CONCATENATE("R2C",'Mapa final'!$S$21),"")</f>
        <v/>
      </c>
      <c r="L23" s="54" t="str">
        <f>IF(AND('Mapa final'!$AJ$22="Alta",'Mapa final'!$AL$22="Leve"),CONCATENATE("R2C",'Mapa final'!$S$22),"")</f>
        <v/>
      </c>
      <c r="M23" s="54" t="str">
        <f>IF(AND('Mapa final'!$AJ$23="Alta",'Mapa final'!$AL$23="Leve"),CONCATENATE("R2C",'Mapa final'!$S$23),"")</f>
        <v/>
      </c>
      <c r="N23" s="54" t="str">
        <f>IF(AND('Mapa final'!$AJ$24="Alta",'Mapa final'!$AL$24="Leve"),CONCATENATE("R2C",'Mapa final'!$S$24),"")</f>
        <v/>
      </c>
      <c r="O23" s="54" t="str">
        <f>IF(AND('Mapa final'!$AJ$25="Alta",'Mapa final'!$AL$25="Leve"),CONCATENATE("R2C",'Mapa final'!$S$25),"")</f>
        <v/>
      </c>
      <c r="P23" s="55" t="str">
        <f>IF(AND('Mapa final'!$AJ$26="Alta",'Mapa final'!$AL$26="Leve"),CONCATENATE("R2C",'Mapa final'!$S$26),"")</f>
        <v/>
      </c>
      <c r="Q23" s="53" t="str">
        <f>IF(AND('Mapa final'!$AJ$21="Alta",'Mapa final'!$AL$21="Menor"),CONCATENATE("R2C",'Mapa final'!$S$21),"")</f>
        <v/>
      </c>
      <c r="R23" s="54" t="str">
        <f>IF(AND('Mapa final'!$AJ$22="Alta",'Mapa final'!$AL$22="Menor"),CONCATENATE("R2C",'Mapa final'!$S$22),"")</f>
        <v/>
      </c>
      <c r="S23" s="54" t="str">
        <f>IF(AND('Mapa final'!$AJ$23="Alta",'Mapa final'!$AL$23="Menor"),CONCATENATE("R2C",'Mapa final'!$S$23),"")</f>
        <v/>
      </c>
      <c r="T23" s="54" t="str">
        <f>IF(AND('Mapa final'!$AJ$24="Alta",'Mapa final'!$AL$24="Menor"),CONCATENATE("R2C",'Mapa final'!$S$24),"")</f>
        <v/>
      </c>
      <c r="U23" s="54" t="str">
        <f>IF(AND('Mapa final'!$AJ$25="Alta",'Mapa final'!$AL$25="Menor"),CONCATENATE("R2C",'Mapa final'!$S$25),"")</f>
        <v/>
      </c>
      <c r="V23" s="55" t="str">
        <f>IF(AND('Mapa final'!$AJ$26="Alta",'Mapa final'!$AL$26="Menor"),CONCATENATE("R2C",'Mapa final'!$S$26),"")</f>
        <v/>
      </c>
      <c r="W23" s="38" t="str">
        <f>IF(AND('Mapa final'!$AJ$21="Alta",'Mapa final'!$AL$21="Moderado"),CONCATENATE("R2C",'Mapa final'!$S$21),"")</f>
        <v/>
      </c>
      <c r="X23" s="39" t="str">
        <f>IF(AND('Mapa final'!$AJ$22="Alta",'Mapa final'!$AL$22="Moderado"),CONCATENATE("R2C",'Mapa final'!$S$22),"")</f>
        <v/>
      </c>
      <c r="Y23" s="39" t="str">
        <f>IF(AND('Mapa final'!$AJ$23="Alta",'Mapa final'!$AL$23="Moderado"),CONCATENATE("R2C",'Mapa final'!$S$23),"")</f>
        <v/>
      </c>
      <c r="Z23" s="39" t="str">
        <f>IF(AND('Mapa final'!$AJ$24="Alta",'Mapa final'!$AL$24="Moderado"),CONCATENATE("R2C",'Mapa final'!$S$24),"")</f>
        <v/>
      </c>
      <c r="AA23" s="39" t="str">
        <f>IF(AND('Mapa final'!$AJ$25="Alta",'Mapa final'!$AL$25="Moderado"),CONCATENATE("R2C",'Mapa final'!$S$25),"")</f>
        <v/>
      </c>
      <c r="AB23" s="40" t="str">
        <f>IF(AND('Mapa final'!$AJ$26="Alta",'Mapa final'!$AL$26="Moderado"),CONCATENATE("R2C",'Mapa final'!$S$26),"")</f>
        <v/>
      </c>
      <c r="AC23" s="38" t="str">
        <f>IF(AND('Mapa final'!$AJ$21="Alta",'Mapa final'!$AL$21="Mayor"),CONCATENATE("R2C",'Mapa final'!$S$21),"")</f>
        <v/>
      </c>
      <c r="AD23" s="39" t="str">
        <f>IF(AND('Mapa final'!$AJ$22="Alta",'Mapa final'!$AL$22="Mayor"),CONCATENATE("R2C",'Mapa final'!$S$22),"")</f>
        <v/>
      </c>
      <c r="AE23" s="39" t="str">
        <f>IF(AND('Mapa final'!$AJ$23="Alta",'Mapa final'!$AL$23="Mayor"),CONCATENATE("R2C",'Mapa final'!$S$23),"")</f>
        <v/>
      </c>
      <c r="AF23" s="39" t="str">
        <f>IF(AND('Mapa final'!$AJ$24="Alta",'Mapa final'!$AL$24="Mayor"),CONCATENATE("R2C",'Mapa final'!$S$24),"")</f>
        <v/>
      </c>
      <c r="AG23" s="39" t="str">
        <f>IF(AND('Mapa final'!$AJ$25="Alta",'Mapa final'!$AL$25="Mayor"),CONCATENATE("R2C",'Mapa final'!$S$25),"")</f>
        <v/>
      </c>
      <c r="AH23" s="40" t="str">
        <f>IF(AND('Mapa final'!$AJ$26="Alta",'Mapa final'!$AL$26="Mayor"),CONCATENATE("R2C",'Mapa final'!$S$26),"")</f>
        <v/>
      </c>
      <c r="AI23" s="41" t="str">
        <f>IF(AND('Mapa final'!$AJ$21="Alta",'Mapa final'!$AL$21="Catastrófico"),CONCATENATE("R2C",'Mapa final'!$S$21),"")</f>
        <v/>
      </c>
      <c r="AJ23" s="42" t="str">
        <f>IF(AND('Mapa final'!$AJ$22="Alta",'Mapa final'!$AL$22="Catastrófico"),CONCATENATE("R2C",'Mapa final'!$S$22),"")</f>
        <v/>
      </c>
      <c r="AK23" s="42" t="str">
        <f>IF(AND('Mapa final'!$AJ$23="Alta",'Mapa final'!$AL$23="Catastrófico"),CONCATENATE("R2C",'Mapa final'!$S$23),"")</f>
        <v/>
      </c>
      <c r="AL23" s="42" t="str">
        <f>IF(AND('Mapa final'!$AJ$24="Alta",'Mapa final'!$AL$24="Catastrófico"),CONCATENATE("R2C",'Mapa final'!$S$24),"")</f>
        <v/>
      </c>
      <c r="AM23" s="42" t="str">
        <f>IF(AND('Mapa final'!$AJ$25="Alta",'Mapa final'!$AL$25="Catastrófico"),CONCATENATE("R2C",'Mapa final'!$S$25),"")</f>
        <v/>
      </c>
      <c r="AN23" s="43" t="str">
        <f>IF(AND('Mapa final'!$AJ$26="Alta",'Mapa final'!$AL$26="Catastrófico"),CONCATENATE("R2C",'Mapa final'!$S$26),"")</f>
        <v/>
      </c>
      <c r="AO23" s="69"/>
      <c r="AP23" s="477"/>
      <c r="AQ23" s="478"/>
      <c r="AR23" s="478"/>
      <c r="AS23" s="478"/>
      <c r="AT23" s="478"/>
      <c r="AU23" s="47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373"/>
      <c r="D24" s="373"/>
      <c r="E24" s="374"/>
      <c r="F24" s="468"/>
      <c r="G24" s="469"/>
      <c r="H24" s="469"/>
      <c r="I24" s="469"/>
      <c r="J24" s="469"/>
      <c r="K24" s="53" t="str">
        <f>IF(AND('Mapa final'!$AJ$27="Alta",'Mapa final'!$AL$27="Leve"),CONCATENATE("R2C",'Mapa final'!$S$27),"")</f>
        <v/>
      </c>
      <c r="L24" s="54" t="str">
        <f>IF(AND('Mapa final'!$AJ$28="Alta",'Mapa final'!$AL$28="Leve"),CONCATENATE("R2C",'Mapa final'!$S$28),"")</f>
        <v/>
      </c>
      <c r="M24" s="54" t="str">
        <f>IF(AND('Mapa final'!$AJ$29="Alta",'Mapa final'!$AL$29="Leve"),CONCATENATE("R2C",'Mapa final'!$S$29),"")</f>
        <v/>
      </c>
      <c r="N24" s="54" t="str">
        <f>IF(AND('Mapa final'!$AJ$30="Alta",'Mapa final'!$AL$30="Leve"),CONCATENATE("R2C",'Mapa final'!$S$30),"")</f>
        <v/>
      </c>
      <c r="O24" s="54" t="str">
        <f>IF(AND('Mapa final'!$AJ$31="Alta",'Mapa final'!$AL$31="Leve"),CONCATENATE("R2C",'Mapa final'!$S$31),"")</f>
        <v/>
      </c>
      <c r="P24" s="55" t="str">
        <f>IF(AND('Mapa final'!$AJ$32="Alta",'Mapa final'!$AL$32="Leve"),CONCATENATE("R2C",'Mapa final'!$S$32),"")</f>
        <v/>
      </c>
      <c r="Q24" s="53" t="str">
        <f>IF(AND('Mapa final'!$AJ$27="Alta",'Mapa final'!$AL$27="Menor"),CONCATENATE("R2C",'Mapa final'!$S$27),"")</f>
        <v/>
      </c>
      <c r="R24" s="54" t="str">
        <f>IF(AND('Mapa final'!$AJ$28="Alta",'Mapa final'!$AL$28="Menor"),CONCATENATE("R2C",'Mapa final'!$S$28),"")</f>
        <v/>
      </c>
      <c r="S24" s="54" t="str">
        <f>IF(AND('Mapa final'!$AJ$29="Alta",'Mapa final'!$AL$29="Menor"),CONCATENATE("R2C",'Mapa final'!$S$29),"")</f>
        <v/>
      </c>
      <c r="T24" s="54" t="str">
        <f>IF(AND('Mapa final'!$AJ$30="Alta",'Mapa final'!$AL$30="Menor"),CONCATENATE("R2C",'Mapa final'!$S$30),"")</f>
        <v/>
      </c>
      <c r="U24" s="54" t="str">
        <f>IF(AND('Mapa final'!$AJ$31="Alta",'Mapa final'!$AL$31="Menor"),CONCATENATE("R2C",'Mapa final'!$S$31),"")</f>
        <v/>
      </c>
      <c r="V24" s="55" t="str">
        <f>IF(AND('Mapa final'!$AJ$32="Alta",'Mapa final'!$AL$32="Menor"),CONCATENATE("R2C",'Mapa final'!$S$32),"")</f>
        <v/>
      </c>
      <c r="W24" s="38" t="str">
        <f>IF(AND('Mapa final'!$AJ$27="Alta",'Mapa final'!$AL$27="Moderado"),CONCATENATE("R2C",'Mapa final'!$S$27),"")</f>
        <v/>
      </c>
      <c r="X24" s="39" t="str">
        <f>IF(AND('Mapa final'!$AJ$28="Alta",'Mapa final'!$AL$28="Moderado"),CONCATENATE("R2C",'Mapa final'!$S$28),"")</f>
        <v/>
      </c>
      <c r="Y24" s="39" t="str">
        <f>IF(AND('Mapa final'!$AJ$29="Alta",'Mapa final'!$AL$29="Moderado"),CONCATENATE("R2C",'Mapa final'!$S$29),"")</f>
        <v/>
      </c>
      <c r="Z24" s="39" t="str">
        <f>IF(AND('Mapa final'!$AJ$30="Alta",'Mapa final'!$AL$30="Moderado"),CONCATENATE("R2C",'Mapa final'!$S$30),"")</f>
        <v/>
      </c>
      <c r="AA24" s="39" t="str">
        <f>IF(AND('Mapa final'!$AJ$31="Alta",'Mapa final'!$AL$31="Moderado"),CONCATENATE("R2C",'Mapa final'!$S$31),"")</f>
        <v/>
      </c>
      <c r="AB24" s="40" t="str">
        <f>IF(AND('Mapa final'!$AJ$32="Alta",'Mapa final'!$AL$32="Moderado"),CONCATENATE("R2C",'Mapa final'!$S$32),"")</f>
        <v/>
      </c>
      <c r="AC24" s="38" t="str">
        <f>IF(AND('Mapa final'!$AJ$27="Alta",'Mapa final'!$AL$27="Mayor"),CONCATENATE("R2C",'Mapa final'!$S$27),"")</f>
        <v/>
      </c>
      <c r="AD24" s="39" t="str">
        <f>IF(AND('Mapa final'!$AJ$28="Alta",'Mapa final'!$AL$28="Mayor"),CONCATENATE("R2C",'Mapa final'!$S$28),"")</f>
        <v/>
      </c>
      <c r="AE24" s="39" t="str">
        <f>IF(AND('Mapa final'!$AJ$29="Alta",'Mapa final'!$AL$29="Mayor"),CONCATENATE("R2C",'Mapa final'!$S$29),"")</f>
        <v/>
      </c>
      <c r="AF24" s="39" t="str">
        <f>IF(AND('Mapa final'!$AJ$30="Alta",'Mapa final'!$AL$30="Mayor"),CONCATENATE("R2C",'Mapa final'!$S$30),"")</f>
        <v/>
      </c>
      <c r="AG24" s="39" t="str">
        <f>IF(AND('Mapa final'!$AJ$31="Alta",'Mapa final'!$AL$31="Mayor"),CONCATENATE("R2C",'Mapa final'!$S$31),"")</f>
        <v/>
      </c>
      <c r="AH24" s="40" t="str">
        <f>IF(AND('Mapa final'!$AJ$32="Alta",'Mapa final'!$AL$32="Mayor"),CONCATENATE("R2C",'Mapa final'!$S$32),"")</f>
        <v/>
      </c>
      <c r="AI24" s="41" t="str">
        <f>IF(AND('Mapa final'!$AJ$27="Alta",'Mapa final'!$AL$27="Catastrófico"),CONCATENATE("R2C",'Mapa final'!$S$27),"")</f>
        <v/>
      </c>
      <c r="AJ24" s="42" t="str">
        <f>IF(AND('Mapa final'!$AJ$28="Alta",'Mapa final'!$AL$28="Catastrófico"),CONCATENATE("R2C",'Mapa final'!$S$28),"")</f>
        <v/>
      </c>
      <c r="AK24" s="42" t="str">
        <f>IF(AND('Mapa final'!$AJ$29="Alta",'Mapa final'!$AL$29="Catastrófico"),CONCATENATE("R2C",'Mapa final'!$S$29),"")</f>
        <v/>
      </c>
      <c r="AL24" s="42" t="str">
        <f>IF(AND('Mapa final'!$AJ$30="Alta",'Mapa final'!$AL$30="Catastrófico"),CONCATENATE("R2C",'Mapa final'!$S$30),"")</f>
        <v/>
      </c>
      <c r="AM24" s="42" t="str">
        <f>IF(AND('Mapa final'!$AJ$31="Alta",'Mapa final'!$AL$31="Catastrófico"),CONCATENATE("R2C",'Mapa final'!$S$31),"")</f>
        <v/>
      </c>
      <c r="AN24" s="43" t="str">
        <f>IF(AND('Mapa final'!$AJ$32="Alta",'Mapa final'!$AL$32="Catastrófico"),CONCATENATE("R2C",'Mapa final'!$S$32),"")</f>
        <v/>
      </c>
      <c r="AO24" s="69"/>
      <c r="AP24" s="477"/>
      <c r="AQ24" s="478"/>
      <c r="AR24" s="478"/>
      <c r="AS24" s="478"/>
      <c r="AT24" s="478"/>
      <c r="AU24" s="47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373"/>
      <c r="D25" s="373"/>
      <c r="E25" s="374"/>
      <c r="F25" s="468"/>
      <c r="G25" s="469"/>
      <c r="H25" s="469"/>
      <c r="I25" s="469"/>
      <c r="J25" s="469"/>
      <c r="K25" s="53" t="str">
        <f>IF(AND('Mapa final'!$AJ$33="Alta",'Mapa final'!$AL$33="Leve"),CONCATENATE("R2C",'Mapa final'!$S$33),"")</f>
        <v/>
      </c>
      <c r="L25" s="54" t="str">
        <f>IF(AND('Mapa final'!$AJ$34="Alta",'Mapa final'!$AL$34="Leve"),CONCATENATE("R2C",'Mapa final'!$S$34),"")</f>
        <v/>
      </c>
      <c r="M25" s="54" t="str">
        <f>IF(AND('Mapa final'!$AJ$35="Alta",'Mapa final'!$AL$35="Leve"),CONCATENATE("R2C",'Mapa final'!$S$35),"")</f>
        <v/>
      </c>
      <c r="N25" s="54" t="str">
        <f>IF(AND('Mapa final'!$AJ$36="Alta",'Mapa final'!$AL$36="Leve"),CONCATENATE("R2C",'Mapa final'!$S$36),"")</f>
        <v/>
      </c>
      <c r="O25" s="54" t="str">
        <f>IF(AND('Mapa final'!$AJ$37="Alta",'Mapa final'!$AL$37="Leve"),CONCATENATE("R2C",'Mapa final'!$S$37),"")</f>
        <v/>
      </c>
      <c r="P25" s="55" t="str">
        <f>IF(AND('Mapa final'!$AJ$38="Alta",'Mapa final'!$AL$38="Leve"),CONCATENATE("R2C",'Mapa final'!$S$38),"")</f>
        <v/>
      </c>
      <c r="Q25" s="53" t="str">
        <f>IF(AND('Mapa final'!$AJ$33="Alta",'Mapa final'!$AL$33="Menor"),CONCATENATE("R2C",'Mapa final'!$S$33),"")</f>
        <v/>
      </c>
      <c r="R25" s="54" t="str">
        <f>IF(AND('Mapa final'!$AJ$34="Alta",'Mapa final'!$AL$34="Menor"),CONCATENATE("R2C",'Mapa final'!$S$34),"")</f>
        <v/>
      </c>
      <c r="S25" s="54" t="str">
        <f>IF(AND('Mapa final'!$AJ$35="Alta",'Mapa final'!$AL$35="Menor"),CONCATENATE("R2C",'Mapa final'!$S$35),"")</f>
        <v/>
      </c>
      <c r="T25" s="54" t="str">
        <f>IF(AND('Mapa final'!$AJ$36="Alta",'Mapa final'!$AL$36="Menor"),CONCATENATE("R2C",'Mapa final'!$S$36),"")</f>
        <v/>
      </c>
      <c r="U25" s="54" t="str">
        <f>IF(AND('Mapa final'!$AJ$37="Alta",'Mapa final'!$AL$37="LMenor"),CONCATENATE("R2C",'Mapa final'!$S$37),"")</f>
        <v/>
      </c>
      <c r="V25" s="55" t="str">
        <f>IF(AND('Mapa final'!$AJ$38="Alta",'Mapa final'!$AL$38="Menor"),CONCATENATE("R2C",'Mapa final'!$S$38),"")</f>
        <v/>
      </c>
      <c r="W25" s="38" t="str">
        <f>IF(AND('Mapa final'!$AJ$33="Alta",'Mapa final'!$AL$33="Moderado"),CONCATENATE("R2C",'Mapa final'!$S$33),"")</f>
        <v/>
      </c>
      <c r="X25" s="39" t="str">
        <f>IF(AND('Mapa final'!$AJ$34="Alta",'Mapa final'!$AL$34="Moderado"),CONCATENATE("R2C",'Mapa final'!$S$34),"")</f>
        <v/>
      </c>
      <c r="Y25" s="39" t="str">
        <f>IF(AND('Mapa final'!$AJ$35="Alta",'Mapa final'!$AL$35="Moderado"),CONCATENATE("R2C",'Mapa final'!$S$35),"")</f>
        <v/>
      </c>
      <c r="Z25" s="39" t="str">
        <f>IF(AND('Mapa final'!$AJ$36="Alta",'Mapa final'!$AL$36="Moderado"),CONCATENATE("R2C",'Mapa final'!$S$36),"")</f>
        <v/>
      </c>
      <c r="AA25" s="39" t="str">
        <f>IF(AND('Mapa final'!$AJ$37="Alta",'Mapa final'!$AL$37="Moderado"),CONCATENATE("R2C",'Mapa final'!$S$37),"")</f>
        <v/>
      </c>
      <c r="AB25" s="40" t="str">
        <f>IF(AND('Mapa final'!$AJ$38="Alta",'Mapa final'!$AL$38="Moderado"),CONCATENATE("R2C",'Mapa final'!$S$38),"")</f>
        <v/>
      </c>
      <c r="AC25" s="38" t="str">
        <f>IF(AND('Mapa final'!$AJ$33="Alta",'Mapa final'!$AL$33="Mayor"),CONCATENATE("R2C",'Mapa final'!$S$33),"")</f>
        <v/>
      </c>
      <c r="AD25" s="39" t="str">
        <f>IF(AND('Mapa final'!$AJ$34="Alta",'Mapa final'!$AL$34="Mayor"),CONCATENATE("R2C",'Mapa final'!$S$34),"")</f>
        <v/>
      </c>
      <c r="AE25" s="39" t="str">
        <f>IF(AND('Mapa final'!$AJ$35="Alta",'Mapa final'!$AL$35="Mayor"),CONCATENATE("R2C",'Mapa final'!$S$35),"")</f>
        <v/>
      </c>
      <c r="AF25" s="39" t="str">
        <f>IF(AND('Mapa final'!$AJ$36="Alta",'Mapa final'!$AL$36="Mayor"),CONCATENATE("R2C",'Mapa final'!$S$36),"")</f>
        <v/>
      </c>
      <c r="AG25" s="39" t="str">
        <f>IF(AND('Mapa final'!$AJ$37="Alta",'Mapa final'!$AL$37="Mayor"),CONCATENATE("R2C",'Mapa final'!$S$37),"")</f>
        <v/>
      </c>
      <c r="AH25" s="40" t="str">
        <f>IF(AND('Mapa final'!$AJ$38="Alta",'Mapa final'!$AL$38="Mayor"),CONCATENATE("R2C",'Mapa final'!$S$38),"")</f>
        <v/>
      </c>
      <c r="AI25" s="41" t="str">
        <f>IF(AND('Mapa final'!$AJ$33="Alta",'Mapa final'!$AL$33="Catastrófico"),CONCATENATE("R2C",'Mapa final'!$S$33),"")</f>
        <v/>
      </c>
      <c r="AJ25" s="42" t="str">
        <f>IF(AND('Mapa final'!$AJ$34="Alta",'Mapa final'!$AL$34="Catastrófico"),CONCATENATE("R2C",'Mapa final'!$S$34),"")</f>
        <v/>
      </c>
      <c r="AK25" s="42" t="str">
        <f>IF(AND('Mapa final'!$AJ$35="Alta",'Mapa final'!$AL$35="Catastrófico"),CONCATENATE("R2C",'Mapa final'!$S$35),"")</f>
        <v/>
      </c>
      <c r="AL25" s="42" t="str">
        <f>IF(AND('Mapa final'!$AJ$36="Alta",'Mapa final'!$AL$36="Catastrófico"),CONCATENATE("R2C",'Mapa final'!$S$36),"")</f>
        <v/>
      </c>
      <c r="AM25" s="42" t="str">
        <f>IF(AND('Mapa final'!$AJ$37="Alta",'Mapa final'!$AL$37="LCatastrófico"),CONCATENATE("R2C",'Mapa final'!$S$37),"")</f>
        <v/>
      </c>
      <c r="AN25" s="43" t="str">
        <f>IF(AND('Mapa final'!$AJ$38="Alta",'Mapa final'!$AL$38="Catastrófico"),CONCATENATE("R2C",'Mapa final'!$S$38),"")</f>
        <v/>
      </c>
      <c r="AO25" s="69"/>
      <c r="AP25" s="477"/>
      <c r="AQ25" s="478"/>
      <c r="AR25" s="478"/>
      <c r="AS25" s="478"/>
      <c r="AT25" s="478"/>
      <c r="AU25" s="47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373"/>
      <c r="D26" s="373"/>
      <c r="E26" s="374"/>
      <c r="F26" s="468"/>
      <c r="G26" s="469"/>
      <c r="H26" s="469"/>
      <c r="I26" s="469"/>
      <c r="J26" s="469"/>
      <c r="K26" s="53" t="str">
        <f>IF(AND('Mapa final'!$AJ$39="Alta",'Mapa final'!$AL$39="Leve"),CONCATENATE("R2C",'Mapa final'!$S$39),"")</f>
        <v/>
      </c>
      <c r="L26" s="54" t="str">
        <f>IF(AND('Mapa final'!$AJ$40="Alta",'Mapa final'!$AL$40="Leve"),CONCATENATE("R2C",'Mapa final'!$S$40),"")</f>
        <v/>
      </c>
      <c r="M26" s="54" t="str">
        <f>IF(AND('Mapa final'!$AJ$41="Alta",'Mapa final'!$AL$41="Leve"),CONCATENATE("R2C",'Mapa final'!$S$41),"")</f>
        <v/>
      </c>
      <c r="N26" s="54" t="str">
        <f>IF(AND('Mapa final'!$AJ$42="Alta",'Mapa final'!$AL$42="Leve"),CONCATENATE("R2C",'Mapa final'!$S$42),"")</f>
        <v/>
      </c>
      <c r="O26" s="54" t="str">
        <f>IF(AND('Mapa final'!$AJ$43="Alta",'Mapa final'!$AL$43="Leve"),CONCATENATE("R2C",'Mapa final'!$S$43),"")</f>
        <v/>
      </c>
      <c r="P26" s="55" t="str">
        <f>IF(AND('Mapa final'!$AJ$44="Alta",'Mapa final'!$AL$44="Leve"),CONCATENATE("R2C",'Mapa final'!$S$44),"")</f>
        <v/>
      </c>
      <c r="Q26" s="53" t="str">
        <f>IF(AND('Mapa final'!$AJ$39="Alta",'Mapa final'!$AL$39="Menor"),CONCATENATE("R2C",'Mapa final'!$S$39),"")</f>
        <v/>
      </c>
      <c r="R26" s="54" t="str">
        <f>IF(AND('Mapa final'!$AJ$40="Alta",'Mapa final'!$AL$40="Menor"),CONCATENATE("R2C",'Mapa final'!$S$40),"")</f>
        <v/>
      </c>
      <c r="S26" s="54" t="str">
        <f>IF(AND('Mapa final'!$AJ$41="Alta",'Mapa final'!$AL$41="Menor"),CONCATENATE("R2C",'Mapa final'!$S$41),"")</f>
        <v/>
      </c>
      <c r="T26" s="54" t="str">
        <f>IF(AND('Mapa final'!$AJ$42="Alta",'Mapa final'!$AL$42="Menor"),CONCATENATE("R2C",'Mapa final'!$S$42),"")</f>
        <v/>
      </c>
      <c r="U26" s="54" t="str">
        <f>IF(AND('Mapa final'!$AJ$43="Alta",'Mapa final'!$AL$43="Menor"),CONCATENATE("R2C",'Mapa final'!$S$43),"")</f>
        <v/>
      </c>
      <c r="V26" s="55" t="str">
        <f>IF(AND('Mapa final'!$AJ$44="Alta",'Mapa final'!$AL$44="Menor"),CONCATENATE("R2C",'Mapa final'!$S$44),"")</f>
        <v/>
      </c>
      <c r="W26" s="38" t="str">
        <f>IF(AND('Mapa final'!$AJ$39="Alta",'Mapa final'!$AL$39="Moderado"),CONCATENATE("R2C",'Mapa final'!$S$39),"")</f>
        <v/>
      </c>
      <c r="X26" s="39" t="str">
        <f>IF(AND('Mapa final'!$AJ$40="Alta",'Mapa final'!$AL$40="Moderado"),CONCATENATE("R2C",'Mapa final'!$S$40),"")</f>
        <v/>
      </c>
      <c r="Y26" s="39" t="str">
        <f>IF(AND('Mapa final'!$AJ$41="Alta",'Mapa final'!$AL$41="Moderado"),CONCATENATE("R2C",'Mapa final'!$S$41),"")</f>
        <v/>
      </c>
      <c r="Z26" s="39" t="str">
        <f>IF(AND('Mapa final'!$AJ$42="Alta",'Mapa final'!$AL$42="Moderado"),CONCATENATE("R2C",'Mapa final'!$S$42),"")</f>
        <v/>
      </c>
      <c r="AA26" s="39" t="str">
        <f>IF(AND('Mapa final'!$AJ$43="Alta",'Mapa final'!$AL$43="Moderado"),CONCATENATE("R2C",'Mapa final'!$S$43),"")</f>
        <v/>
      </c>
      <c r="AB26" s="40" t="str">
        <f>IF(AND('Mapa final'!$AJ$44="Alta",'Mapa final'!$AL$44="Moderado"),CONCATENATE("R2C",'Mapa final'!$S$44),"")</f>
        <v/>
      </c>
      <c r="AC26" s="38" t="str">
        <f>IF(AND('Mapa final'!$AJ$39="Alta",'Mapa final'!$AL$39="Mayor"),CONCATENATE("R2C",'Mapa final'!$S$39),"")</f>
        <v/>
      </c>
      <c r="AD26" s="39" t="str">
        <f>IF(AND('Mapa final'!$AJ$40="Alta",'Mapa final'!$AL$40="Mayor"),CONCATENATE("R2C",'Mapa final'!$S$40),"")</f>
        <v/>
      </c>
      <c r="AE26" s="39" t="str">
        <f>IF(AND('Mapa final'!$AJ$41="Alta",'Mapa final'!$AL$41="Mayor"),CONCATENATE("R2C",'Mapa final'!$S$41),"")</f>
        <v/>
      </c>
      <c r="AF26" s="39" t="str">
        <f>IF(AND('Mapa final'!$AJ$42="Alta",'Mapa final'!$AL$42="Mayor"),CONCATENATE("R2C",'Mapa final'!$S$42),"")</f>
        <v/>
      </c>
      <c r="AG26" s="39" t="str">
        <f>IF(AND('Mapa final'!$AJ$43="Alta",'Mapa final'!$AL$43="Mayor"),CONCATENATE("R2C",'Mapa final'!$S$43),"")</f>
        <v/>
      </c>
      <c r="AH26" s="40" t="str">
        <f>IF(AND('Mapa final'!$AJ$44="Alta",'Mapa final'!$AL$44="Mayor"),CONCATENATE("R2C",'Mapa final'!$S$44),"")</f>
        <v/>
      </c>
      <c r="AI26" s="41" t="str">
        <f>IF(AND('Mapa final'!$AJ$39="Alta",'Mapa final'!$AL$39="Catastrófico"),CONCATENATE("R2C",'Mapa final'!$S$39),"")</f>
        <v/>
      </c>
      <c r="AJ26" s="42" t="str">
        <f>IF(AND('Mapa final'!$AJ$40="Alta",'Mapa final'!$AL$40="Catastrófico"),CONCATENATE("R2C",'Mapa final'!$S$40),"")</f>
        <v/>
      </c>
      <c r="AK26" s="42" t="str">
        <f>IF(AND('Mapa final'!$AJ$41="Alta",'Mapa final'!$AL$41="Catastrófico"),CONCATENATE("R2C",'Mapa final'!$S$41),"")</f>
        <v/>
      </c>
      <c r="AL26" s="42" t="str">
        <f>IF(AND('Mapa final'!$AJ$42="Alta",'Mapa final'!$AL$42="Catastrófico"),CONCATENATE("R2C",'Mapa final'!$S$42),"")</f>
        <v/>
      </c>
      <c r="AM26" s="42" t="str">
        <f>IF(AND('Mapa final'!$AJ$43="Alta",'Mapa final'!$AL$43="Catastrófico"),CONCATENATE("R2C",'Mapa final'!$S$43),"")</f>
        <v/>
      </c>
      <c r="AN26" s="43" t="str">
        <f>IF(AND('Mapa final'!$AJ$44="Alta",'Mapa final'!$AL$44="Catastrófico"),CONCATENATE("R2C",'Mapa final'!$S$44),"")</f>
        <v/>
      </c>
      <c r="AO26" s="69"/>
      <c r="AP26" s="477"/>
      <c r="AQ26" s="478"/>
      <c r="AR26" s="478"/>
      <c r="AS26" s="478"/>
      <c r="AT26" s="478"/>
      <c r="AU26" s="47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373"/>
      <c r="D27" s="373"/>
      <c r="E27" s="374"/>
      <c r="F27" s="468"/>
      <c r="G27" s="469"/>
      <c r="H27" s="469"/>
      <c r="I27" s="469"/>
      <c r="J27" s="469"/>
      <c r="K27" s="53" t="str">
        <f>IF(AND('Mapa final'!$AJ$45="Alta",'Mapa final'!$AL$45="Leve"),CONCATENATE("R2C",'Mapa final'!$S$45),"")</f>
        <v/>
      </c>
      <c r="L27" s="54" t="str">
        <f>IF(AND('Mapa final'!$AJ$46="Alta",'Mapa final'!$AL$46="Leve"),CONCATENATE("R2C",'Mapa final'!$S$46),"")</f>
        <v/>
      </c>
      <c r="M27" s="54" t="str">
        <f>IF(AND('Mapa final'!$AJ$47="Alta",'Mapa final'!$AL$47="Leve"),CONCATENATE("R2C",'Mapa final'!$S$47),"")</f>
        <v/>
      </c>
      <c r="N27" s="54" t="str">
        <f>IF(AND('Mapa final'!$AJ$48="Alta",'Mapa final'!$AL$48="Leve"),CONCATENATE("R2C",'Mapa final'!$S$48),"")</f>
        <v/>
      </c>
      <c r="O27" s="54" t="str">
        <f>IF(AND('Mapa final'!$AJ$49="Alta",'Mapa final'!$AL$49="Leve"),CONCATENATE("R2C",'Mapa final'!$S$49),"")</f>
        <v/>
      </c>
      <c r="P27" s="55" t="str">
        <f>IF(AND('Mapa final'!$AJ$60="Alta",'Mapa final'!$AL$50="Leve"),CONCATENATE("R2C",'Mapa final'!$S$50),"")</f>
        <v/>
      </c>
      <c r="Q27" s="53" t="str">
        <f>IF(AND('Mapa final'!$AJ$45="Alta",'Mapa final'!$AL$45="Menor"),CONCATENATE("R2C",'Mapa final'!$S$45),"")</f>
        <v/>
      </c>
      <c r="R27" s="54" t="str">
        <f>IF(AND('Mapa final'!$AJ$46="Alta",'Mapa final'!$AL$46="Menor"),CONCATENATE("R2C",'Mapa final'!$S$46),"")</f>
        <v/>
      </c>
      <c r="S27" s="54" t="str">
        <f>IF(AND('Mapa final'!$AJ$47="Alta",'Mapa final'!$AL$47="Menor"),CONCATENATE("R2C",'Mapa final'!$S$47),"")</f>
        <v/>
      </c>
      <c r="T27" s="54" t="str">
        <f>IF(AND('Mapa final'!$AJ$48="Alta",'Mapa final'!$AL$48="Menor"),CONCATENATE("R2C",'Mapa final'!$S$48),"")</f>
        <v/>
      </c>
      <c r="U27" s="54" t="str">
        <f>IF(AND('Mapa final'!$AJ$49="Alta",'Mapa final'!$AL$49="Menor"),CONCATENATE("R2C",'Mapa final'!$S$49),"")</f>
        <v/>
      </c>
      <c r="V27" s="55" t="str">
        <f>IF(AND('Mapa final'!$AJ$60="Alta",'Mapa final'!$AL$50="Menor"),CONCATENATE("R2C",'Mapa final'!$S$50),"")</f>
        <v/>
      </c>
      <c r="W27" s="38" t="str">
        <f>IF(AND('Mapa final'!$AJ$45="Alta",'Mapa final'!$AL$45="Moderado"),CONCATENATE("R2C",'Mapa final'!$S$45),"")</f>
        <v/>
      </c>
      <c r="X27" s="39" t="str">
        <f>IF(AND('Mapa final'!$AJ$46="Alta",'Mapa final'!$AL$46="Moderado"),CONCATENATE("R2C",'Mapa final'!$S$46),"")</f>
        <v/>
      </c>
      <c r="Y27" s="39" t="str">
        <f>IF(AND('Mapa final'!$AJ$47="Alta",'Mapa final'!$AL$47="Moderado"),CONCATENATE("R2C",'Mapa final'!$S$47),"")</f>
        <v/>
      </c>
      <c r="Z27" s="39" t="str">
        <f>IF(AND('Mapa final'!$AJ$48="Alta",'Mapa final'!$AL$48="Moderado"),CONCATENATE("R2C",'Mapa final'!$S$48),"")</f>
        <v/>
      </c>
      <c r="AA27" s="39" t="str">
        <f>IF(AND('Mapa final'!$AJ$49="Alta",'Mapa final'!$AL$49="Moderado"),CONCATENATE("R2C",'Mapa final'!$S$49),"")</f>
        <v/>
      </c>
      <c r="AB27" s="40" t="str">
        <f>IF(AND('Mapa final'!$AJ$60="Alta",'Mapa final'!$AL$50="Moderado"),CONCATENATE("R2C",'Mapa final'!$S$50),"")</f>
        <v/>
      </c>
      <c r="AC27" s="38" t="str">
        <f>IF(AND('Mapa final'!$AJ$45="Alta",'Mapa final'!$AL$45="Mayor"),CONCATENATE("R2C",'Mapa final'!$S$45),"")</f>
        <v/>
      </c>
      <c r="AD27" s="39" t="str">
        <f>IF(AND('Mapa final'!$AJ$46="Alta",'Mapa final'!$AL$46="Mayor"),CONCATENATE("R2C",'Mapa final'!$S$46),"")</f>
        <v/>
      </c>
      <c r="AE27" s="39" t="str">
        <f>IF(AND('Mapa final'!$AJ$47="Alta",'Mapa final'!$AL$47="Mayor"),CONCATENATE("R2C",'Mapa final'!$S$47),"")</f>
        <v/>
      </c>
      <c r="AF27" s="39" t="str">
        <f>IF(AND('Mapa final'!$AJ$48="Alta",'Mapa final'!$AL$48="Mayor"),CONCATENATE("R2C",'Mapa final'!$S$48),"")</f>
        <v/>
      </c>
      <c r="AG27" s="39" t="str">
        <f>IF(AND('Mapa final'!$AJ$49="Alta",'Mapa final'!$AL$49="Mayor"),CONCATENATE("R2C",'Mapa final'!$S$49),"")</f>
        <v/>
      </c>
      <c r="AH27" s="40" t="str">
        <f>IF(AND('Mapa final'!$AJ$60="Alta",'Mapa final'!$AL$50="Mayor"),CONCATENATE("R2C",'Mapa final'!$S$50),"")</f>
        <v/>
      </c>
      <c r="AI27" s="41" t="str">
        <f>IF(AND('Mapa final'!$AJ$45="Alta",'Mapa final'!$AL$45="Catastrófico"),CONCATENATE("R2C",'Mapa final'!$S$45),"")</f>
        <v/>
      </c>
      <c r="AJ27" s="42" t="str">
        <f>IF(AND('Mapa final'!$AJ$46="Alta",'Mapa final'!$AL$46="Catastrófico"),CONCATENATE("R2C",'Mapa final'!$S$46),"")</f>
        <v/>
      </c>
      <c r="AK27" s="42" t="str">
        <f>IF(AND('Mapa final'!$AJ$47="Alta",'Mapa final'!$AL$47="Catastrófico"),CONCATENATE("R2C",'Mapa final'!$S$47),"")</f>
        <v/>
      </c>
      <c r="AL27" s="42" t="str">
        <f>IF(AND('Mapa final'!$AJ$48="Alta",'Mapa final'!$AL$48="Catastrófico"),CONCATENATE("R2C",'Mapa final'!$S$48),"")</f>
        <v/>
      </c>
      <c r="AM27" s="42" t="str">
        <f>IF(AND('Mapa final'!$AJ$49="Alta",'Mapa final'!$AL$49="Catastrófico"),CONCATENATE("R2C",'Mapa final'!$S$49),"")</f>
        <v/>
      </c>
      <c r="AN27" s="43" t="str">
        <f>IF(AND('Mapa final'!$AJ$60="Alta",'Mapa final'!$AL$50="Catastrófico"),CONCATENATE("R2C",'Mapa final'!$S$50),"")</f>
        <v/>
      </c>
      <c r="AO27" s="69"/>
      <c r="AP27" s="477"/>
      <c r="AQ27" s="478"/>
      <c r="AR27" s="478"/>
      <c r="AS27" s="478"/>
      <c r="AT27" s="478"/>
      <c r="AU27" s="47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373"/>
      <c r="D28" s="373"/>
      <c r="E28" s="374"/>
      <c r="F28" s="468"/>
      <c r="G28" s="469"/>
      <c r="H28" s="469"/>
      <c r="I28" s="469"/>
      <c r="J28" s="469"/>
      <c r="K28" s="53" t="str">
        <f>IF(AND('Mapa final'!$AJ$51="Alta",'Mapa final'!$AL$51="Leve"),CONCATENATE("R2C",'Mapa final'!$S$51),"")</f>
        <v/>
      </c>
      <c r="L28" s="54" t="str">
        <f>IF(AND('Mapa final'!$AJ$52="Alta",'Mapa final'!$AL$52="Leve"),CONCATENATE("R2C",'Mapa final'!$S$52),"")</f>
        <v/>
      </c>
      <c r="M28" s="54" t="str">
        <f>IF(AND('Mapa final'!$AJ$53="Alta",'Mapa final'!$AL$53="Leve"),CONCATENATE("R2C",'Mapa final'!$S$53),"")</f>
        <v/>
      </c>
      <c r="N28" s="54" t="str">
        <f>IF(AND('Mapa final'!$AJ$54="Alta",'Mapa final'!$AL$54="Leve"),CONCATENATE("R2C",'Mapa final'!$S$54),"")</f>
        <v/>
      </c>
      <c r="O28" s="54" t="str">
        <f>IF(AND('Mapa final'!$AJ$55="Alta",'Mapa final'!$AL$55="Leve"),CONCATENATE("R2C",'Mapa final'!$S$55),"")</f>
        <v/>
      </c>
      <c r="P28" s="55" t="str">
        <f>IF(AND('Mapa final'!$AJ$56="Alta",'Mapa final'!$AL$56="Leve"),CONCATENATE("R2C",'Mapa final'!$S$56),"")</f>
        <v/>
      </c>
      <c r="Q28" s="53" t="str">
        <f>IF(AND('Mapa final'!$AJ$51="Alta",'Mapa final'!$AL$51="Menor"),CONCATENATE("R2C",'Mapa final'!$S$51),"")</f>
        <v/>
      </c>
      <c r="R28" s="54" t="str">
        <f>IF(AND('Mapa final'!$AJ$52="Alta",'Mapa final'!$AL$52="Menor"),CONCATENATE("R2C",'Mapa final'!$S$52),"")</f>
        <v/>
      </c>
      <c r="S28" s="54" t="str">
        <f>IF(AND('Mapa final'!$AJ$53="Alta",'Mapa final'!$AL$53="Menor"),CONCATENATE("R2C",'Mapa final'!$S$53),"")</f>
        <v/>
      </c>
      <c r="T28" s="54" t="str">
        <f>IF(AND('Mapa final'!$AJ$54="Alta",'Mapa final'!$AL$54="Menor"),CONCATENATE("R2C",'Mapa final'!$S$54),"")</f>
        <v/>
      </c>
      <c r="U28" s="54" t="str">
        <f>IF(AND('Mapa final'!$AJ$55="Alta",'Mapa final'!$AL$55="Menor"),CONCATENATE("R2C",'Mapa final'!$S$55),"")</f>
        <v/>
      </c>
      <c r="V28" s="55" t="str">
        <f>IF(AND('Mapa final'!$AJ$56="Alta",'Mapa final'!$AL$56="Menor"),CONCATENATE("R2C",'Mapa final'!$S$56),"")</f>
        <v/>
      </c>
      <c r="W28" s="38" t="str">
        <f>IF(AND('Mapa final'!$AJ$51="Alta",'Mapa final'!$AL$51="Moderado"),CONCATENATE("R2C",'Mapa final'!$S$51),"")</f>
        <v/>
      </c>
      <c r="X28" s="39" t="str">
        <f>IF(AND('Mapa final'!$AJ$52="Alta",'Mapa final'!$AL$52="Moderado"),CONCATENATE("R2C",'Mapa final'!$S$52),"")</f>
        <v/>
      </c>
      <c r="Y28" s="39" t="str">
        <f>IF(AND('Mapa final'!$AJ$53="Alta",'Mapa final'!$AL$53="Moderado"),CONCATENATE("R2C",'Mapa final'!$S$53),"")</f>
        <v/>
      </c>
      <c r="Z28" s="39" t="str">
        <f>IF(AND('Mapa final'!$AJ$54="Alta",'Mapa final'!$AL$54="Moderado"),CONCATENATE("R2C",'Mapa final'!$S$54),"")</f>
        <v/>
      </c>
      <c r="AA28" s="39" t="str">
        <f>IF(AND('Mapa final'!$AJ$55="Alta",'Mapa final'!$AL$55="Moderado"),CONCATENATE("R2C",'Mapa final'!$S$55),"")</f>
        <v/>
      </c>
      <c r="AB28" s="40" t="str">
        <f>IF(AND('Mapa final'!$AJ$56="Alta",'Mapa final'!$AL$56="Moderado"),CONCATENATE("R2C",'Mapa final'!$S$56),"")</f>
        <v/>
      </c>
      <c r="AC28" s="38" t="str">
        <f>IF(AND('Mapa final'!$AJ$51="Alta",'Mapa final'!$AL$51="Mayor"),CONCATENATE("R2C",'Mapa final'!$S$51),"")</f>
        <v/>
      </c>
      <c r="AD28" s="39" t="str">
        <f>IF(AND('Mapa final'!$AJ$52="Alta",'Mapa final'!$AL$52="Mayor"),CONCATENATE("R2C",'Mapa final'!$S$52),"")</f>
        <v/>
      </c>
      <c r="AE28" s="39" t="str">
        <f>IF(AND('Mapa final'!$AJ$53="Alta",'Mapa final'!$AL$53="Mayor"),CONCATENATE("R2C",'Mapa final'!$S$53),"")</f>
        <v/>
      </c>
      <c r="AF28" s="39" t="str">
        <f>IF(AND('Mapa final'!$AJ$54="Alta",'Mapa final'!$AL$54="Mayor"),CONCATENATE("R2C",'Mapa final'!$S$54),"")</f>
        <v/>
      </c>
      <c r="AG28" s="39" t="str">
        <f>IF(AND('Mapa final'!$AJ$55="Alta",'Mapa final'!$AL$55="Mayor"),CONCATENATE("R2C",'Mapa final'!$S$55),"")</f>
        <v/>
      </c>
      <c r="AH28" s="40" t="str">
        <f>IF(AND('Mapa final'!$AJ$56="Alta",'Mapa final'!$AL$56="Mayor"),CONCATENATE("R2C",'Mapa final'!$S$56),"")</f>
        <v/>
      </c>
      <c r="AI28" s="41" t="str">
        <f>IF(AND('Mapa final'!$AJ$51="Alta",'Mapa final'!$AL$51="Catastrófico"),CONCATENATE("R2C",'Mapa final'!$S$51),"")</f>
        <v/>
      </c>
      <c r="AJ28" s="42" t="str">
        <f>IF(AND('Mapa final'!$AJ$52="Alta",'Mapa final'!$AL$52="Catastrófico"),CONCATENATE("R2C",'Mapa final'!$S$52),"")</f>
        <v/>
      </c>
      <c r="AK28" s="42" t="str">
        <f>IF(AND('Mapa final'!$AJ$53="Alta",'Mapa final'!$AL$53="Catastrófico"),CONCATENATE("R2C",'Mapa final'!$S$53),"")</f>
        <v/>
      </c>
      <c r="AL28" s="42" t="str">
        <f>IF(AND('Mapa final'!$AJ$54="Alta",'Mapa final'!$AL$54="Catastrófico"),CONCATENATE("R2C",'Mapa final'!$S$54),"")</f>
        <v/>
      </c>
      <c r="AM28" s="42" t="str">
        <f>IF(AND('Mapa final'!$AJ$55="Alta",'Mapa final'!$AL$55="Catastrófico"),CONCATENATE("R2C",'Mapa final'!$S$55),"")</f>
        <v/>
      </c>
      <c r="AN28" s="43" t="str">
        <f>IF(AND('Mapa final'!$AJ$56="Alta",'Mapa final'!$AL$56="Catastrófico"),CONCATENATE("R2C",'Mapa final'!$S$56),"")</f>
        <v/>
      </c>
      <c r="AO28" s="69"/>
      <c r="AP28" s="477"/>
      <c r="AQ28" s="478"/>
      <c r="AR28" s="478"/>
      <c r="AS28" s="478"/>
      <c r="AT28" s="478"/>
      <c r="AU28" s="47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373"/>
      <c r="D29" s="373"/>
      <c r="E29" s="374"/>
      <c r="F29" s="468"/>
      <c r="G29" s="469"/>
      <c r="H29" s="469"/>
      <c r="I29" s="469"/>
      <c r="J29" s="469"/>
      <c r="K29" s="53" t="str">
        <f>IF(AND('Mapa final'!$AJ$57="Alta",'Mapa final'!$AL$57="Leve"),CONCATENATE("R2C",'Mapa final'!$S$57),"")</f>
        <v/>
      </c>
      <c r="L29" s="54" t="str">
        <f>IF(AND('Mapa final'!$AJ$58="Alta",'Mapa final'!$AL$58="Leve"),CONCATENATE("R2C",'Mapa final'!$S$58),"")</f>
        <v/>
      </c>
      <c r="M29" s="54" t="str">
        <f>IF(AND('Mapa final'!$AJ$59="Alta",'Mapa final'!$AL$59="Leve"),CONCATENATE("R2C",'Mapa final'!$S$59),"")</f>
        <v/>
      </c>
      <c r="N29" s="54" t="str">
        <f>IF(AND('Mapa final'!$AJ$60="Alta",'Mapa final'!$AL$60="Leve"),CONCATENATE("R2C",'Mapa final'!$S$60),"")</f>
        <v/>
      </c>
      <c r="O29" s="54" t="str">
        <f>IF(AND('Mapa final'!$AJ$61="Alta",'Mapa final'!$AL$61="Leve"),CONCATENATE("R2C",'Mapa final'!$S$61),"")</f>
        <v/>
      </c>
      <c r="P29" s="55" t="str">
        <f>IF(AND('Mapa final'!$AJ$62="Alta",'Mapa final'!$AL$62="Leve"),CONCATENATE("R2C",'Mapa final'!$S$62),"")</f>
        <v/>
      </c>
      <c r="Q29" s="53" t="str">
        <f>IF(AND('Mapa final'!$AJ$57="Alta",'Mapa final'!$AL$57="Menor"),CONCATENATE("R2C",'Mapa final'!$S$57),"")</f>
        <v/>
      </c>
      <c r="R29" s="54" t="str">
        <f>IF(AND('Mapa final'!$AJ$58="Alta",'Mapa final'!$AL$58="Menor"),CONCATENATE("R2C",'Mapa final'!$S$58),"")</f>
        <v/>
      </c>
      <c r="S29" s="54" t="str">
        <f>IF(AND('Mapa final'!$AJ$59="Alta",'Mapa final'!$AL$59="Menor"),CONCATENATE("R2C",'Mapa final'!$S$59),"")</f>
        <v/>
      </c>
      <c r="T29" s="54" t="str">
        <f>IF(AND('Mapa final'!$AJ$60="Alta",'Mapa final'!$AL$60="Menor"),CONCATENATE("R2C",'Mapa final'!$S$60),"")</f>
        <v/>
      </c>
      <c r="U29" s="54" t="str">
        <f>IF(AND('Mapa final'!$AJ$61="Alta",'Mapa final'!$AL$61="Menor"),CONCATENATE("R2C",'Mapa final'!$S$61),"")</f>
        <v/>
      </c>
      <c r="V29" s="55" t="str">
        <f>IF(AND('Mapa final'!$AJ$62="Alta",'Mapa final'!$AL$62="Menor"),CONCATENATE("R2C",'Mapa final'!$S$62),"")</f>
        <v/>
      </c>
      <c r="W29" s="38" t="str">
        <f>IF(AND('Mapa final'!$AJ$57="Alta",'Mapa final'!$AL$57="Moderado"),CONCATENATE("R2C",'Mapa final'!$S$57),"")</f>
        <v/>
      </c>
      <c r="X29" s="39" t="str">
        <f>IF(AND('Mapa final'!$AJ$58="Alta",'Mapa final'!$AL$58="Moderado"),CONCATENATE("R2C",'Mapa final'!$S$58),"")</f>
        <v/>
      </c>
      <c r="Y29" s="39" t="str">
        <f>IF(AND('Mapa final'!$AJ$59="Alta",'Mapa final'!$AL$59="Moderado"),CONCATENATE("R2C",'Mapa final'!$S$59),"")</f>
        <v/>
      </c>
      <c r="Z29" s="39" t="str">
        <f>IF(AND('Mapa final'!$AJ$60="Alta",'Mapa final'!$AL$60="Moderado"),CONCATENATE("R2C",'Mapa final'!$S$60),"")</f>
        <v/>
      </c>
      <c r="AA29" s="39" t="str">
        <f>IF(AND('Mapa final'!$AJ$61="Alta",'Mapa final'!$AL$61="Moderado"),CONCATENATE("R2C",'Mapa final'!$S$61),"")</f>
        <v/>
      </c>
      <c r="AB29" s="40" t="str">
        <f>IF(AND('Mapa final'!$AJ$62="Alta",'Mapa final'!$AL$62="Moderado"),CONCATENATE("R2C",'Mapa final'!$S$62),"")</f>
        <v/>
      </c>
      <c r="AC29" s="38" t="str">
        <f>IF(AND('Mapa final'!$AJ$57="Alta",'Mapa final'!$AL$57="Mayor"),CONCATENATE("R2C",'Mapa final'!$S$57),"")</f>
        <v/>
      </c>
      <c r="AD29" s="39" t="str">
        <f>IF(AND('Mapa final'!$AJ$58="Alta",'Mapa final'!$AL$58="Mayor"),CONCATENATE("R2C",'Mapa final'!$S$58),"")</f>
        <v/>
      </c>
      <c r="AE29" s="39" t="str">
        <f>IF(AND('Mapa final'!$AJ$59="Alta",'Mapa final'!$AL$59="Mayor"),CONCATENATE("R2C",'Mapa final'!$S$59),"")</f>
        <v/>
      </c>
      <c r="AF29" s="39" t="str">
        <f>IF(AND('Mapa final'!$AJ$60="Alta",'Mapa final'!$AL$60="Mayor"),CONCATENATE("R2C",'Mapa final'!$S$60),"")</f>
        <v/>
      </c>
      <c r="AG29" s="39" t="str">
        <f>IF(AND('Mapa final'!$AJ$61="Alta",'Mapa final'!$AL$61="Mayor"),CONCATENATE("R2C",'Mapa final'!$S$61),"")</f>
        <v/>
      </c>
      <c r="AH29" s="40" t="str">
        <f>IF(AND('Mapa final'!$AJ$62="Alta",'Mapa final'!$AL$62="Mayor"),CONCATENATE("R2C",'Mapa final'!$S$62),"")</f>
        <v/>
      </c>
      <c r="AI29" s="41" t="str">
        <f>IF(AND('Mapa final'!$AJ$57="Alta",'Mapa final'!$AL$57="Catastrófico"),CONCATENATE("R2C",'Mapa final'!$S$57),"")</f>
        <v/>
      </c>
      <c r="AJ29" s="42" t="str">
        <f>IF(AND('Mapa final'!$AJ$58="Alta",'Mapa final'!$AL$58="Catastrófico"),CONCATENATE("R2C",'Mapa final'!$S$58),"")</f>
        <v/>
      </c>
      <c r="AK29" s="42" t="str">
        <f>IF(AND('Mapa final'!$AJ$59="Alta",'Mapa final'!$AL$59="Catastrófico"),CONCATENATE("R2C",'Mapa final'!$S$59),"")</f>
        <v/>
      </c>
      <c r="AL29" s="42" t="str">
        <f>IF(AND('Mapa final'!$AJ$60="Alta",'Mapa final'!$AL$60="Catastrófico"),CONCATENATE("R2C",'Mapa final'!$S$60),"")</f>
        <v/>
      </c>
      <c r="AM29" s="42" t="str">
        <f>IF(AND('Mapa final'!$AJ$61="Alta",'Mapa final'!$AL$61="Catastrófico"),CONCATENATE("R2C",'Mapa final'!$S$61),"")</f>
        <v/>
      </c>
      <c r="AN29" s="43" t="str">
        <f>IF(AND('Mapa final'!$AJ$62="Alta",'Mapa final'!$AL$62="Catastrófico"),CONCATENATE("R2C",'Mapa final'!$S$62),"")</f>
        <v/>
      </c>
      <c r="AO29" s="69"/>
      <c r="AP29" s="477"/>
      <c r="AQ29" s="478"/>
      <c r="AR29" s="478"/>
      <c r="AS29" s="478"/>
      <c r="AT29" s="478"/>
      <c r="AU29" s="47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373"/>
      <c r="D30" s="373"/>
      <c r="E30" s="374"/>
      <c r="F30" s="468"/>
      <c r="G30" s="469"/>
      <c r="H30" s="469"/>
      <c r="I30" s="469"/>
      <c r="J30" s="469"/>
      <c r="K30" s="53" t="str">
        <f>IF(AND('Mapa final'!$AJ$63="Alta",'Mapa final'!$AL$63="Leve"),CONCATENATE("R2C",'Mapa final'!$S$63),"")</f>
        <v/>
      </c>
      <c r="L30" s="54" t="str">
        <f>IF(AND('Mapa final'!$AJ$64="Alta",'Mapa final'!$AL$64="Leve"),CONCATENATE("R2C",'Mapa final'!$S$64),"")</f>
        <v/>
      </c>
      <c r="M30" s="54" t="str">
        <f>IF(AND('Mapa final'!$AJ$65="Alta",'Mapa final'!$AL$65="Leve"),CONCATENATE("R2C",'Mapa final'!$S$65),"")</f>
        <v/>
      </c>
      <c r="N30" s="54" t="str">
        <f>IF(AND('Mapa final'!$AJ$66="Alta",'Mapa final'!$AL$66="Leve"),CONCATENATE("R2C",'Mapa final'!$S$66),"")</f>
        <v/>
      </c>
      <c r="O30" s="54" t="str">
        <f>IF(AND('Mapa final'!$AJ$67="Alta",'Mapa final'!$AL$67="Leve"),CONCATENATE("R2C",'Mapa final'!$S$67),"")</f>
        <v/>
      </c>
      <c r="P30" s="55" t="str">
        <f>IF(AND('Mapa final'!$AJ$68="Alta",'Mapa final'!$AL$68="Leve"),CONCATENATE("R2C",'Mapa final'!$S$68),"")</f>
        <v/>
      </c>
      <c r="Q30" s="53" t="str">
        <f>IF(AND('Mapa final'!$AJ$63="Alta",'Mapa final'!$AL$63="Menor"),CONCATENATE("R2C",'Mapa final'!$S$63),"")</f>
        <v/>
      </c>
      <c r="R30" s="54" t="str">
        <f>IF(AND('Mapa final'!$AJ$64="Alta",'Mapa final'!$AL$64="Menor"),CONCATENATE("R2C",'Mapa final'!$S$64),"")</f>
        <v/>
      </c>
      <c r="S30" s="54" t="str">
        <f>IF(AND('Mapa final'!$AJ$65="Alta",'Mapa final'!$AL$65="Menor"),CONCATENATE("R2C",'Mapa final'!$S$65),"")</f>
        <v/>
      </c>
      <c r="T30" s="54" t="str">
        <f>IF(AND('Mapa final'!$AJ$66="Alta",'Mapa final'!$AL$66="Menor"),CONCATENATE("R2C",'Mapa final'!$S$66),"")</f>
        <v/>
      </c>
      <c r="U30" s="54" t="str">
        <f>IF(AND('Mapa final'!$AJ$67="Alta",'Mapa final'!$AL$67="Menor"),CONCATENATE("R2C",'Mapa final'!$S$67),"")</f>
        <v/>
      </c>
      <c r="V30" s="55" t="str">
        <f>IF(AND('Mapa final'!$AJ$68="Alta",'Mapa final'!$AL$68="Menor"),CONCATENATE("R2C",'Mapa final'!$S$68),"")</f>
        <v/>
      </c>
      <c r="W30" s="38" t="str">
        <f>IF(AND('Mapa final'!$AJ$63="Alta",'Mapa final'!$AL$63="Moderado"),CONCATENATE("R2C",'Mapa final'!$S$63),"")</f>
        <v/>
      </c>
      <c r="X30" s="39" t="str">
        <f>IF(AND('Mapa final'!$AJ$64="Alta",'Mapa final'!$AL$64="Moderado"),CONCATENATE("R2C",'Mapa final'!$S$64),"")</f>
        <v/>
      </c>
      <c r="Y30" s="39" t="str">
        <f>IF(AND('Mapa final'!$AJ$65="Alta",'Mapa final'!$AL$65="Moderado"),CONCATENATE("R2C",'Mapa final'!$S$65),"")</f>
        <v/>
      </c>
      <c r="Z30" s="39" t="str">
        <f>IF(AND('Mapa final'!$AJ$66="Alta",'Mapa final'!$AL$66="Moderado"),CONCATENATE("R2C",'Mapa final'!$S$66),"")</f>
        <v/>
      </c>
      <c r="AA30" s="39" t="str">
        <f>IF(AND('Mapa final'!$AJ$67="Alta",'Mapa final'!$AL$67="Moderado"),CONCATENATE("R2C",'Mapa final'!$S$67),"")</f>
        <v/>
      </c>
      <c r="AB30" s="40" t="str">
        <f>IF(AND('Mapa final'!$AJ$68="Alta",'Mapa final'!$AL$68="Moderado"),CONCATENATE("R2C",'Mapa final'!$S$68),"")</f>
        <v/>
      </c>
      <c r="AC30" s="38" t="str">
        <f>IF(AND('Mapa final'!$AJ$63="Alta",'Mapa final'!$AL$63="Mayor"),CONCATENATE("R2C",'Mapa final'!$S$63),"")</f>
        <v/>
      </c>
      <c r="AD30" s="39" t="str">
        <f>IF(AND('Mapa final'!$AJ$64="Alta",'Mapa final'!$AL$64="Mayor"),CONCATENATE("R2C",'Mapa final'!$S$64),"")</f>
        <v/>
      </c>
      <c r="AE30" s="39" t="str">
        <f>IF(AND('Mapa final'!$AJ$65="Alta",'Mapa final'!$AL$65="Mayor"),CONCATENATE("R2C",'Mapa final'!$S$65),"")</f>
        <v/>
      </c>
      <c r="AF30" s="39" t="str">
        <f>IF(AND('Mapa final'!$AJ$66="Alta",'Mapa final'!$AL$66="Mayor"),CONCATENATE("R2C",'Mapa final'!$S$66),"")</f>
        <v/>
      </c>
      <c r="AG30" s="39" t="str">
        <f>IF(AND('Mapa final'!$AJ$67="Alta",'Mapa final'!$AL$67="Mayor"),CONCATENATE("R2C",'Mapa final'!$S$67),"")</f>
        <v/>
      </c>
      <c r="AH30" s="40" t="str">
        <f>IF(AND('Mapa final'!$AJ$68="Alta",'Mapa final'!$AL$68="Mayor"),CONCATENATE("R2C",'Mapa final'!$S$68),"")</f>
        <v/>
      </c>
      <c r="AI30" s="41" t="str">
        <f>IF(AND('Mapa final'!$AJ$63="Alta",'Mapa final'!$AL$63="Catastrófico"),CONCATENATE("R2C",'Mapa final'!$S$63),"")</f>
        <v/>
      </c>
      <c r="AJ30" s="42" t="str">
        <f>IF(AND('Mapa final'!$AJ$64="Alta",'Mapa final'!$AL$64="Catastrófico"),CONCATENATE("R2C",'Mapa final'!$S$64),"")</f>
        <v/>
      </c>
      <c r="AK30" s="42" t="str">
        <f>IF(AND('Mapa final'!$AJ$65="Alta",'Mapa final'!$AL$65="Catastrófico"),CONCATENATE("R2C",'Mapa final'!$S$65),"")</f>
        <v/>
      </c>
      <c r="AL30" s="42" t="str">
        <f>IF(AND('Mapa final'!$AJ$66="Alta",'Mapa final'!$AL$66="Catastrófico"),CONCATENATE("R2C",'Mapa final'!$S$66),"")</f>
        <v/>
      </c>
      <c r="AM30" s="42" t="str">
        <f>IF(AND('Mapa final'!$AJ$67="Alta",'Mapa final'!$AL$67="Catastrófico"),CONCATENATE("R2C",'Mapa final'!$S$67),"")</f>
        <v/>
      </c>
      <c r="AN30" s="43" t="str">
        <f>IF(AND('Mapa final'!$AJ$68="Alta",'Mapa final'!$AL$68="Catastrófico"),CONCATENATE("R2C",'Mapa final'!$S$68),"")</f>
        <v/>
      </c>
      <c r="AO30" s="69"/>
      <c r="AP30" s="477"/>
      <c r="AQ30" s="478"/>
      <c r="AR30" s="478"/>
      <c r="AS30" s="478"/>
      <c r="AT30" s="478"/>
      <c r="AU30" s="47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373"/>
      <c r="D31" s="373"/>
      <c r="E31" s="374"/>
      <c r="F31" s="471"/>
      <c r="G31" s="472"/>
      <c r="H31" s="472"/>
      <c r="I31" s="472"/>
      <c r="J31" s="472"/>
      <c r="K31" s="56" t="str">
        <f>IF(AND('Mapa final'!$AJ$69="Alta",'Mapa final'!$AL$69="Leve"),CONCATENATE("R2C",'Mapa final'!$S$69),"")</f>
        <v/>
      </c>
      <c r="L31" s="57" t="str">
        <f>IF(AND('Mapa final'!$AJ$70="Alta",'Mapa final'!$AL$70="Leve"),CONCATENATE("R2C",'Mapa final'!$S$70),"")</f>
        <v/>
      </c>
      <c r="M31" s="57" t="str">
        <f>IF(AND('Mapa final'!$AJ$71="Alta",'Mapa final'!$AL$71="Leve"),CONCATENATE("R2C",'Mapa final'!$S$71),"")</f>
        <v/>
      </c>
      <c r="N31" s="57" t="str">
        <f>IF(AND('Mapa final'!$AJ$72="Alta",'Mapa final'!$AL$72="Leve"),CONCATENATE("R2C",'Mapa final'!$S$72),"")</f>
        <v/>
      </c>
      <c r="O31" s="57" t="str">
        <f>IF(AND('Mapa final'!$AJ$74="Alta",'Mapa final'!$AL$74="Leve"),CONCATENATE("R2C",'Mapa final'!$S$74),"")</f>
        <v/>
      </c>
      <c r="P31" s="58" t="str">
        <f>IF(AND('Mapa final'!$AJ$75="Alta",'Mapa final'!$AL$75="Leve"),CONCATENATE("R2C",'Mapa final'!$S$75),"")</f>
        <v/>
      </c>
      <c r="Q31" s="56" t="str">
        <f>IF(AND('Mapa final'!$AJ$69="Alta",'Mapa final'!$AL$69="Menor"),CONCATENATE("R2C",'Mapa final'!$S$69),"")</f>
        <v/>
      </c>
      <c r="R31" s="57" t="str">
        <f>IF(AND('Mapa final'!$AJ$70="Alta",'Mapa final'!$AL$70="Menor"),CONCATENATE("R2C",'Mapa final'!$S$70),"")</f>
        <v/>
      </c>
      <c r="S31" s="57" t="str">
        <f>IF(AND('Mapa final'!$AJ$71="Alta",'Mapa final'!$AL$71="Menor"),CONCATENATE("R2C",'Mapa final'!$S$71),"")</f>
        <v/>
      </c>
      <c r="T31" s="57" t="str">
        <f>IF(AND('Mapa final'!$AJ$72="Alta",'Mapa final'!$AL$72="Menor"),CONCATENATE("R2C",'Mapa final'!$S$72),"")</f>
        <v/>
      </c>
      <c r="U31" s="57" t="str">
        <f>IF(AND('Mapa final'!$AJ$74="Alta",'Mapa final'!$AL$74="Menor"),CONCATENATE("R2C",'Mapa final'!$S$74),"")</f>
        <v/>
      </c>
      <c r="V31" s="58" t="str">
        <f>IF(AND('Mapa final'!$AJ$75="Alta",'Mapa final'!$AL$75="Menor"),CONCATENATE("R2C",'Mapa final'!$S$75),"")</f>
        <v/>
      </c>
      <c r="W31" s="44" t="str">
        <f>IF(AND('Mapa final'!$AJ$69="Alta",'Mapa final'!$AL$69="Moderado"),CONCATENATE("R2C",'Mapa final'!$S$69),"")</f>
        <v/>
      </c>
      <c r="X31" s="45" t="str">
        <f>IF(AND('Mapa final'!$AJ$70="Alta",'Mapa final'!$AL$70="Moderado"),CONCATENATE("R2C",'Mapa final'!$S$70),"")</f>
        <v/>
      </c>
      <c r="Y31" s="45" t="str">
        <f>IF(AND('Mapa final'!$AJ$71="Alta",'Mapa final'!$AL$71="Moderado"),CONCATENATE("R2C",'Mapa final'!$S$71),"")</f>
        <v/>
      </c>
      <c r="Z31" s="45" t="str">
        <f>IF(AND('Mapa final'!$AJ$72="Alta",'Mapa final'!$AL$72="Moderado"),CONCATENATE("R2C",'Mapa final'!$S$72),"")</f>
        <v/>
      </c>
      <c r="AA31" s="45" t="str">
        <f>IF(AND('Mapa final'!$AJ$74="Alta",'Mapa final'!$AL$74="Moderado"),CONCATENATE("R2C",'Mapa final'!$S$74),"")</f>
        <v/>
      </c>
      <c r="AB31" s="46" t="str">
        <f>IF(AND('Mapa final'!$AJ$75="Alta",'Mapa final'!$AL$75="Moderado"),CONCATENATE("R2C",'Mapa final'!$S$75),"")</f>
        <v/>
      </c>
      <c r="AC31" s="44" t="str">
        <f>IF(AND('Mapa final'!$AJ$69="Alta",'Mapa final'!$AL$69="Mayor"),CONCATENATE("R2C",'Mapa final'!$S$69),"")</f>
        <v/>
      </c>
      <c r="AD31" s="45" t="str">
        <f>IF(AND('Mapa final'!$AJ$70="Alta",'Mapa final'!$AL$70="Mayor"),CONCATENATE("R2C",'Mapa final'!$S$70),"")</f>
        <v/>
      </c>
      <c r="AE31" s="45" t="str">
        <f>IF(AND('Mapa final'!$AJ$71="Alta",'Mapa final'!$AL$71="Mayor"),CONCATENATE("R2C",'Mapa final'!$S$71),"")</f>
        <v/>
      </c>
      <c r="AF31" s="45" t="str">
        <f>IF(AND('Mapa final'!$AJ$72="Alta",'Mapa final'!$AL$72="Mayor"),CONCATENATE("R2C",'Mapa final'!$S$72),"")</f>
        <v/>
      </c>
      <c r="AG31" s="45" t="str">
        <f>IF(AND('Mapa final'!$AJ$74="Alta",'Mapa final'!$AL$74="Mayor"),CONCATENATE("R2C",'Mapa final'!$S$74),"")</f>
        <v/>
      </c>
      <c r="AH31" s="46" t="str">
        <f>IF(AND('Mapa final'!$AJ$75="Alta",'Mapa final'!$AL$75="Mayor"),CONCATENATE("R2C",'Mapa final'!$S$75),"")</f>
        <v/>
      </c>
      <c r="AI31" s="47" t="str">
        <f>IF(AND('Mapa final'!$AJ$69="Alta",'Mapa final'!$AL$69="Catastrófico"),CONCATENATE("R2C",'Mapa final'!$S$69),"")</f>
        <v/>
      </c>
      <c r="AJ31" s="48" t="str">
        <f>IF(AND('Mapa final'!$AJ$70="Alta",'Mapa final'!$AL$70="Catastrófico"),CONCATENATE("R2C",'Mapa final'!$S$70),"")</f>
        <v/>
      </c>
      <c r="AK31" s="48" t="str">
        <f>IF(AND('Mapa final'!$AJ$71="Alta",'Mapa final'!$AL$71="Catastrófico"),CONCATENATE("R2C",'Mapa final'!$S$71),"")</f>
        <v/>
      </c>
      <c r="AL31" s="48" t="str">
        <f>IF(AND('Mapa final'!$AJ$72="Alta",'Mapa final'!$AL$72="Catastrófico"),CONCATENATE("R2C",'Mapa final'!$S$72),"")</f>
        <v/>
      </c>
      <c r="AM31" s="48" t="str">
        <f>IF(AND('Mapa final'!$AJ$74="Alta",'Mapa final'!$AL$74="Catastrófico"),CONCATENATE("R2C",'Mapa final'!$S$74),"")</f>
        <v/>
      </c>
      <c r="AN31" s="49" t="str">
        <f>IF(AND('Mapa final'!$AJ$75="Muy Alta",'Mapa final'!$AL$75="Catastrófico"),CONCATENATE("R2C",'Mapa final'!$S$75),"")</f>
        <v/>
      </c>
      <c r="AO31" s="69"/>
      <c r="AP31" s="480"/>
      <c r="AQ31" s="481"/>
      <c r="AR31" s="481"/>
      <c r="AS31" s="481"/>
      <c r="AT31" s="481"/>
      <c r="AU31" s="482"/>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373"/>
      <c r="D32" s="373"/>
      <c r="E32" s="374"/>
      <c r="F32" s="465" t="s">
        <v>116</v>
      </c>
      <c r="G32" s="466"/>
      <c r="H32" s="466"/>
      <c r="I32" s="466"/>
      <c r="J32" s="467"/>
      <c r="K32" s="50" t="str">
        <f ca="1">IF(AND('Mapa final'!$AJ$15="Media",'Mapa final'!$AL$15="Leve"),CONCATENATE("R2C",'Mapa final'!$S$15),"")</f>
        <v/>
      </c>
      <c r="L32" s="51" t="str">
        <f ca="1">IF(AND('Mapa final'!$AJ$16="Media",'Mapa final'!$AL$16="Leve"),CONCATENATE("R2C",'Mapa final'!$S$16),"")</f>
        <v/>
      </c>
      <c r="M32" s="51" t="str">
        <f ca="1">IF(AND('Mapa final'!$AJ$17="Media",'Mapa final'!$AL$17="Leve"),CONCATENATE("R2C",'Mapa final'!$S$17),"")</f>
        <v/>
      </c>
      <c r="N32" s="51" t="str">
        <f>IF(AND('Mapa final'!$AJ$18="Media",'Mapa final'!$AL$18="Leve"),CONCATENATE("R2C",'Mapa final'!$S$18),"")</f>
        <v/>
      </c>
      <c r="O32" s="51" t="str">
        <f>IF(AND('Mapa final'!$AJ$19="Media",'Mapa final'!$AL$19="Leve"),CONCATENATE("R2C",'Mapa final'!$S$19),"")</f>
        <v/>
      </c>
      <c r="P32" s="52" t="str">
        <f>IF(AND('Mapa final'!$AJ$20="Media",'Mapa final'!$AL$20="Leve"),CONCATENATE("R2C",'Mapa final'!$S$20),"")</f>
        <v/>
      </c>
      <c r="Q32" s="50" t="str">
        <f ca="1">IF(AND('Mapa final'!$AJ$15="Media",'Mapa final'!$AL$15="Menor"),CONCATENATE("R2C",'Mapa final'!$S$15),"")</f>
        <v/>
      </c>
      <c r="R32" s="51" t="str">
        <f ca="1">IF(AND('Mapa final'!$AJ$16="Media",'Mapa final'!$AL$16="Menore"),CONCATENATE("R2C",'Mapa final'!$S$16),"")</f>
        <v/>
      </c>
      <c r="S32" s="51" t="str">
        <f ca="1">IF(AND('Mapa final'!$AJ$17="Media",'Mapa final'!$AL$17="Menor"),CONCATENATE("R2C",'Mapa final'!$S$17),"")</f>
        <v/>
      </c>
      <c r="T32" s="51" t="str">
        <f>IF(AND('Mapa final'!$AJ$18="Media",'Mapa final'!$AL$18="Menor"),CONCATENATE("R2C",'Mapa final'!$S$18),"")</f>
        <v/>
      </c>
      <c r="U32" s="51" t="str">
        <f>IF(AND('Mapa final'!$AJ$19="Media",'Mapa final'!$AL$19="Menor"),CONCATENATE("R2C",'Mapa final'!$S$19),"")</f>
        <v/>
      </c>
      <c r="V32" s="52" t="str">
        <f>IF(AND('Mapa final'!$AJ$20="Media",'Mapa final'!$AL$20="Menor"),CONCATENATE("R2C",'Mapa final'!$S$20),"")</f>
        <v/>
      </c>
      <c r="W32" s="50" t="str">
        <f ca="1">IF(AND('Mapa final'!$AJ$15="Media",'Mapa final'!$AL$15="Moderado"),CONCATENATE("R2C",'Mapa final'!$S$15),"")</f>
        <v/>
      </c>
      <c r="X32" s="51" t="str">
        <f ca="1">IF(AND('Mapa final'!$AJ$16="Media",'Mapa final'!$AL$16="Moderado"),CONCATENATE("R2C",'Mapa final'!$S$16),"")</f>
        <v/>
      </c>
      <c r="Y32" s="51"/>
      <c r="Z32" s="51" t="str">
        <f>IF(AND('Mapa final'!$AJ$18="Media",'Mapa final'!$AL$18="Moderado"),CONCATENATE("R2C",'Mapa final'!$S$18),"")</f>
        <v/>
      </c>
      <c r="AA32" s="51" t="str">
        <f>IF(AND('Mapa final'!$AJ$19="Media",'Mapa final'!$AL$19="Moderado"),CONCATENATE("R2C",'Mapa final'!$S$19),"")</f>
        <v/>
      </c>
      <c r="AB32" s="52" t="str">
        <f>IF(AND('Mapa final'!$AJ$20="Media",'Mapa final'!$AL$20="Moderado"),CONCATENATE("R2C",'Mapa final'!$S$20),"")</f>
        <v/>
      </c>
      <c r="AC32" s="32" t="str">
        <f ca="1">IF(AND('Mapa final'!$AJ$15="Media",'Mapa final'!$AL$15="Mayor"),CONCATENATE("R2C",'Mapa final'!$S$15),"")</f>
        <v/>
      </c>
      <c r="AD32" s="33" t="str">
        <f ca="1">IF(AND('Mapa final'!$AJ$16="Media",'Mapa final'!$AL$16="Mayor"),CONCATENATE("R2C",'Mapa final'!$S$16),"")</f>
        <v/>
      </c>
      <c r="AE32" s="33" t="str">
        <f ca="1">IF(AND('Mapa final'!$AJ$17="Media",'Mapa final'!$AL$17="Mayor"),CONCATENATE("R2C",'Mapa final'!$S$17),"")</f>
        <v/>
      </c>
      <c r="AF32" s="33" t="str">
        <f>IF(AND('Mapa final'!$AJ$18="Media",'Mapa final'!$AL$18="Mayor"),CONCATENATE("R2C",'Mapa final'!$S$18),"")</f>
        <v/>
      </c>
      <c r="AG32" s="33" t="str">
        <f>IF(AND('Mapa final'!$AJ$19="Media",'Mapa final'!$AL$19="Mayor"),CONCATENATE("R2C",'Mapa final'!$S$19),"")</f>
        <v/>
      </c>
      <c r="AH32" s="34" t="str">
        <f>IF(AND('Mapa final'!$AJ$20="Media",'Mapa final'!$AL$20="Mayor"),CONCATENATE("R2C",'Mapa final'!$S$20),"")</f>
        <v/>
      </c>
      <c r="AI32" s="35" t="str">
        <f ca="1">IF(AND('Mapa final'!$AJ$15="Media",'Mapa final'!$AL$15="Catastrófico"),CONCATENATE("R2C",'Mapa final'!$S$15),"")</f>
        <v/>
      </c>
      <c r="AJ32" s="36" t="str">
        <f ca="1">IF(AND('Mapa final'!$AJ$16="Media",'Mapa final'!$AL$16="Catastrófico"),CONCATENATE("R2C",'Mapa final'!$S$16),"")</f>
        <v/>
      </c>
      <c r="AK32" s="36" t="str">
        <f ca="1">IF(AND('Mapa final'!$AJ$17="Media",'Mapa final'!$AL$17="Catastrófico"),CONCATENATE("R2C",'Mapa final'!$S$17),"")</f>
        <v/>
      </c>
      <c r="AL32" s="36" t="str">
        <f>IF(AND('Mapa final'!$AJ$18="Media",'Mapa final'!$AL$18="Catastrófico"),CONCATENATE("R2C",'Mapa final'!$S$18),"")</f>
        <v/>
      </c>
      <c r="AM32" s="36" t="str">
        <f>IF(AND('Mapa final'!$AJ$19="Media",'Mapa final'!$AL$19="Catastrófico"),CONCATENATE("R2C",'Mapa final'!$S$19),"")</f>
        <v/>
      </c>
      <c r="AN32" s="37" t="str">
        <f>IF(AND('Mapa final'!$AJ$20="Media",'Mapa final'!$AL$20="Catastrófico"),CONCATENATE("R2C",'Mapa final'!$S$20),"")</f>
        <v/>
      </c>
      <c r="AO32" s="69"/>
      <c r="AP32" s="506" t="s">
        <v>80</v>
      </c>
      <c r="AQ32" s="507"/>
      <c r="AR32" s="507"/>
      <c r="AS32" s="507"/>
      <c r="AT32" s="507"/>
      <c r="AU32" s="508"/>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373"/>
      <c r="D33" s="373"/>
      <c r="E33" s="374"/>
      <c r="F33" s="483"/>
      <c r="G33" s="469"/>
      <c r="H33" s="469"/>
      <c r="I33" s="469"/>
      <c r="J33" s="470"/>
      <c r="K33" s="53" t="str">
        <f>IF(AND('Mapa final'!$AJ$21="Media",'Mapa final'!$AL$21="Leve"),CONCATENATE("R2C",'Mapa final'!$S$21),"")</f>
        <v/>
      </c>
      <c r="L33" s="54" t="str">
        <f>IF(AND('Mapa final'!$AJ$22="Media",'Mapa final'!$AL$22="Leve"),CONCATENATE("R2C",'Mapa final'!$S$22),"")</f>
        <v/>
      </c>
      <c r="M33" s="54" t="str">
        <f>IF(AND('Mapa final'!$AJ$23="Media",'Mapa final'!$AL$23="Leve"),CONCATENATE("R2C",'Mapa final'!$S$23),"")</f>
        <v/>
      </c>
      <c r="N33" s="54" t="str">
        <f>IF(AND('Mapa final'!$AJ$24="Media",'Mapa final'!$AL$24="Leve"),CONCATENATE("R2C",'Mapa final'!$S$24),"")</f>
        <v/>
      </c>
      <c r="O33" s="54" t="str">
        <f>IF(AND('Mapa final'!$AJ$25="Media",'Mapa final'!$AL$25="Leve"),CONCATENATE("R2C",'Mapa final'!$S$25),"")</f>
        <v/>
      </c>
      <c r="P33" s="55" t="str">
        <f>IF(AND('Mapa final'!$AJ$26="Media",'Mapa final'!$AL$26="Leve"),CONCATENATE("R2C",'Mapa final'!$S$26),"")</f>
        <v/>
      </c>
      <c r="Q33" s="53" t="str">
        <f>IF(AND('Mapa final'!$AJ$21="Media",'Mapa final'!$AL$21="Menor"),CONCATENATE("R2C",'Mapa final'!$S$21),"")</f>
        <v/>
      </c>
      <c r="R33" s="54" t="str">
        <f>IF(AND('Mapa final'!$AJ$22="Media",'Mapa final'!$AL$22="Menor"),CONCATENATE("R2C",'Mapa final'!$S$22),"")</f>
        <v/>
      </c>
      <c r="S33" s="54" t="str">
        <f>IF(AND('Mapa final'!$AJ$23="Media",'Mapa final'!$AL$23="Menor"),CONCATENATE("R2C",'Mapa final'!$S$23),"")</f>
        <v/>
      </c>
      <c r="T33" s="54" t="str">
        <f>IF(AND('Mapa final'!$AJ$24="Media",'Mapa final'!$AL$24="Menor"),CONCATENATE("R2C",'Mapa final'!$S$24),"")</f>
        <v/>
      </c>
      <c r="U33" s="54" t="str">
        <f>IF(AND('Mapa final'!$AJ$25="Media",'Mapa final'!$AL$25="Menor"),CONCATENATE("R2C",'Mapa final'!$S$25),"")</f>
        <v/>
      </c>
      <c r="V33" s="55" t="str">
        <f>IF(AND('Mapa final'!$AJ$26="Media",'Mapa final'!$AL$26="Menor"),CONCATENATE("R2C",'Mapa final'!$S$26),"")</f>
        <v/>
      </c>
      <c r="W33" s="53" t="str">
        <f>IF(AND('Mapa final'!$AJ$21="Media",'Mapa final'!$AL$21="Moderado"),CONCATENATE("R2C",'Mapa final'!$S$21),"")</f>
        <v/>
      </c>
      <c r="X33" s="54" t="str">
        <f>IF(AND('Mapa final'!$AJ$22="Media",'Mapa final'!$AL$22="Moderado"),CONCATENATE("R2C",'Mapa final'!$S$22),"")</f>
        <v/>
      </c>
      <c r="Y33" s="54" t="str">
        <f>IF(AND('Mapa final'!$AJ$23="Media",'Mapa final'!$AL$23="Moderado"),CONCATENATE("R2C",'Mapa final'!$S$23),"")</f>
        <v/>
      </c>
      <c r="Z33" s="54" t="str">
        <f>IF(AND('Mapa final'!$AJ$24="Media",'Mapa final'!$AL$24="Moderado"),CONCATENATE("R2C",'Mapa final'!$S$24),"")</f>
        <v/>
      </c>
      <c r="AA33" s="54" t="str">
        <f>IF(AND('Mapa final'!$AJ$25="Media",'Mapa final'!$AL$25="Moderado"),CONCATENATE("R2C",'Mapa final'!$S$25),"")</f>
        <v/>
      </c>
      <c r="AB33" s="55" t="str">
        <f>IF(AND('Mapa final'!$AJ$26="Media",'Mapa final'!$AL$26="Moderado"),CONCATENATE("R2C",'Mapa final'!$S$26),"")</f>
        <v/>
      </c>
      <c r="AC33" s="38" t="str">
        <f>IF(AND('Mapa final'!$AJ$21="Media",'Mapa final'!$AL$21="Mayor"),CONCATENATE("R2C",'Mapa final'!$S$21),"")</f>
        <v/>
      </c>
      <c r="AD33" s="39" t="str">
        <f>IF(AND('Mapa final'!$AJ$22="Muy Alta",'Mapa final'!$AL$22="Mayor"),CONCATENATE("R2C",'Mapa final'!$S$22),"")</f>
        <v/>
      </c>
      <c r="AE33" s="39" t="str">
        <f>IF(AND('Mapa final'!$AJ$23="Media",'Mapa final'!$AL$23="Mayor"),CONCATENATE("R2C",'Mapa final'!$S$23),"")</f>
        <v/>
      </c>
      <c r="AF33" s="39" t="str">
        <f>IF(AND('Mapa final'!$AJ$24="Media",'Mapa final'!$AL$24="Mayor"),CONCATENATE("R2C",'Mapa final'!$S$24),"")</f>
        <v/>
      </c>
      <c r="AG33" s="39" t="str">
        <f>IF(AND('Mapa final'!$AJ$25="Media",'Mapa final'!$AL$25="Mayor"),CONCATENATE("R2C",'Mapa final'!$S$25),"")</f>
        <v/>
      </c>
      <c r="AH33" s="40" t="str">
        <f>IF(AND('Mapa final'!$AJ$26="Media",'Mapa final'!$AL$26="Mayor"),CONCATENATE("R2C",'Mapa final'!$S$26),"")</f>
        <v/>
      </c>
      <c r="AI33" s="41" t="str">
        <f>IF(AND('Mapa final'!$AJ$21="Media",'Mapa final'!$AL$21="Catastrófico"),CONCATENATE("R2C",'Mapa final'!$S$21),"")</f>
        <v/>
      </c>
      <c r="AJ33" s="42" t="str">
        <f>IF(AND('Mapa final'!$AJ$22="Media",'Mapa final'!$AL$22="Catastrófico"),CONCATENATE("R2C",'Mapa final'!$S$22),"")</f>
        <v/>
      </c>
      <c r="AK33" s="42" t="str">
        <f>IF(AND('Mapa final'!$AJ$23="Media",'Mapa final'!$AL$23="Catastrófico"),CONCATENATE("R2C",'Mapa final'!$S$23),"")</f>
        <v/>
      </c>
      <c r="AL33" s="42" t="str">
        <f>IF(AND('Mapa final'!$AJ$24="Media",'Mapa final'!$AL$24="Catastrófico"),CONCATENATE("R2C",'Mapa final'!$S$24),"")</f>
        <v/>
      </c>
      <c r="AM33" s="42" t="str">
        <f>IF(AND('Mapa final'!$AJ$25="Media",'Mapa final'!$AL$25="Catastrófico"),CONCATENATE("R2C",'Mapa final'!$S$25),"")</f>
        <v/>
      </c>
      <c r="AN33" s="43" t="str">
        <f>IF(AND('Mapa final'!$AJ$26="Media",'Mapa final'!$AL$26="Catastrófico"),CONCATENATE("R2C",'Mapa final'!$S$26),"")</f>
        <v/>
      </c>
      <c r="AO33" s="69"/>
      <c r="AP33" s="509"/>
      <c r="AQ33" s="510"/>
      <c r="AR33" s="510"/>
      <c r="AS33" s="510"/>
      <c r="AT33" s="510"/>
      <c r="AU33" s="511"/>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373"/>
      <c r="D34" s="373"/>
      <c r="E34" s="374"/>
      <c r="F34" s="468"/>
      <c r="G34" s="469"/>
      <c r="H34" s="469"/>
      <c r="I34" s="469"/>
      <c r="J34" s="470"/>
      <c r="K34" s="53" t="str">
        <f>IF(AND('Mapa final'!$AJ$27="Media",'Mapa final'!$AL$27="Leve"),CONCATENATE("R2C",'Mapa final'!$S$27),"")</f>
        <v/>
      </c>
      <c r="L34" s="54" t="str">
        <f>IF(AND('Mapa final'!$AJ$28="Media",'Mapa final'!$AL$28="Leve"),CONCATENATE("R2C",'Mapa final'!$S$28),"")</f>
        <v/>
      </c>
      <c r="M34" s="54" t="str">
        <f>IF(AND('Mapa final'!$AJ$29="Media",'Mapa final'!$AL$29="Leve"),CONCATENATE("R2C",'Mapa final'!$S$29),"")</f>
        <v/>
      </c>
      <c r="N34" s="54" t="str">
        <f>IF(AND('Mapa final'!$AJ$30="Media",'Mapa final'!$AL$30="Leve"),CONCATENATE("R2C",'Mapa final'!$S$30),"")</f>
        <v/>
      </c>
      <c r="O34" s="54" t="str">
        <f>IF(AND('Mapa final'!$AJ$31="Media",'Mapa final'!$AL$31="Leve"),CONCATENATE("R2C",'Mapa final'!$S$31),"")</f>
        <v/>
      </c>
      <c r="P34" s="55" t="str">
        <f>IF(AND('Mapa final'!$AJ$32="Media",'Mapa final'!$AL$32="Leve"),CONCATENATE("R2C",'Mapa final'!$S$32),"")</f>
        <v/>
      </c>
      <c r="Q34" s="53" t="str">
        <f>IF(AND('Mapa final'!$AJ$27="Media",'Mapa final'!$AL$27="Menor"),CONCATENATE("R2C",'Mapa final'!$S$27),"")</f>
        <v/>
      </c>
      <c r="R34" s="54" t="str">
        <f>IF(AND('Mapa final'!$AJ$28="Media",'Mapa final'!$AL$28="Menor"),CONCATENATE("R2C",'Mapa final'!$S$28),"")</f>
        <v/>
      </c>
      <c r="S34" s="54" t="str">
        <f>IF(AND('Mapa final'!$AJ$29="Media",'Mapa final'!$AL$29="Menor"),CONCATENATE("R2C",'Mapa final'!$S$29),"")</f>
        <v/>
      </c>
      <c r="T34" s="54" t="str">
        <f>IF(AND('Mapa final'!$AJ$30="Media",'Mapa final'!$AL$30="Menor"),CONCATENATE("R2C",'Mapa final'!$S$30),"")</f>
        <v/>
      </c>
      <c r="U34" s="54" t="str">
        <f>IF(AND('Mapa final'!$AJ$31="Media",'Mapa final'!$AL$31="Menor"),CONCATENATE("R2C",'Mapa final'!$S$31),"")</f>
        <v/>
      </c>
      <c r="V34" s="55" t="str">
        <f>IF(AND('Mapa final'!$AJ$32="Media",'Mapa final'!$AL$32="Menor"),CONCATENATE("R2C",'Mapa final'!$S$32),"")</f>
        <v/>
      </c>
      <c r="W34" s="53" t="str">
        <f>IF(AND('Mapa final'!$AJ$27="Media",'Mapa final'!$AL$27="Moderado"),CONCATENATE("R2C",'Mapa final'!$S$27),"")</f>
        <v/>
      </c>
      <c r="X34" s="54" t="str">
        <f>IF(AND('Mapa final'!$AJ$28="Media",'Mapa final'!$AL$28="Moderado"),CONCATENATE("R2C",'Mapa final'!$S$28),"")</f>
        <v/>
      </c>
      <c r="Y34" s="54" t="str">
        <f>IF(AND('Mapa final'!$AJ$29="Media",'Mapa final'!$AL$29="Moderado"),CONCATENATE("R2C",'Mapa final'!$S$29),"")</f>
        <v/>
      </c>
      <c r="Z34" s="54" t="str">
        <f>IF(AND('Mapa final'!$AJ$30="Media",'Mapa final'!$AL$30="Moderado"),CONCATENATE("R2C",'Mapa final'!$S$30),"")</f>
        <v/>
      </c>
      <c r="AA34" s="54" t="str">
        <f>IF(AND('Mapa final'!$AJ$31="Media",'Mapa final'!$AL$31="Moderado"),CONCATENATE("R2C",'Mapa final'!$S$31),"")</f>
        <v/>
      </c>
      <c r="AB34" s="55" t="str">
        <f>IF(AND('Mapa final'!$AJ$32="Media",'Mapa final'!$AL$32="Moderado"),CONCATENATE("R2C",'Mapa final'!$S$32),"")</f>
        <v/>
      </c>
      <c r="AC34" s="38" t="str">
        <f>IF(AND('Mapa final'!$AJ$27="Media",'Mapa final'!$AL$27="Mayor"),CONCATENATE("R2C",'Mapa final'!$S$27),"")</f>
        <v/>
      </c>
      <c r="AD34" s="39" t="str">
        <f>IF(AND('Mapa final'!$AJ$28="Media",'Mapa final'!$AL$28="Mayor"),CONCATENATE("R2C",'Mapa final'!$S$28),"")</f>
        <v/>
      </c>
      <c r="AE34" s="39" t="str">
        <f>IF(AND('Mapa final'!$AJ$29="Media",'Mapa final'!$AL$29="Mayor"),CONCATENATE("R2C",'Mapa final'!$S$29),"")</f>
        <v/>
      </c>
      <c r="AF34" s="39" t="str">
        <f>IF(AND('Mapa final'!$AJ$30="Media",'Mapa final'!$AL$30="Mayor"),CONCATENATE("R2C",'Mapa final'!$S$30),"")</f>
        <v/>
      </c>
      <c r="AG34" s="39" t="str">
        <f>IF(AND('Mapa final'!$AJ$31="Media",'Mapa final'!$AL$31="Mayor"),CONCATENATE("R2C",'Mapa final'!$S$31),"")</f>
        <v/>
      </c>
      <c r="AH34" s="40" t="str">
        <f>IF(AND('Mapa final'!$AJ$32="Media",'Mapa final'!$AL$32="Mayor"),CONCATENATE("R2C",'Mapa final'!$S$32),"")</f>
        <v/>
      </c>
      <c r="AI34" s="41" t="str">
        <f>IF(AND('Mapa final'!$AJ$27="Media",'Mapa final'!$AL$27="Catastrófico"),CONCATENATE("R2C",'Mapa final'!$S$27),"")</f>
        <v/>
      </c>
      <c r="AJ34" s="42" t="str">
        <f>IF(AND('Mapa final'!$AJ$28="Media",'Mapa final'!$AL$28="Catastrófico"),CONCATENATE("R2C",'Mapa final'!$S$28),"")</f>
        <v/>
      </c>
      <c r="AK34" s="42" t="str">
        <f>IF(AND('Mapa final'!$AJ$29="Media",'Mapa final'!$AL$29="Catastrófico"),CONCATENATE("R2C",'Mapa final'!$S$29),"")</f>
        <v/>
      </c>
      <c r="AL34" s="42" t="str">
        <f>IF(AND('Mapa final'!$AJ$30="Media",'Mapa final'!$AL$30="Catastrófico"),CONCATENATE("R2C",'Mapa final'!$S$30),"")</f>
        <v/>
      </c>
      <c r="AM34" s="42" t="str">
        <f>IF(AND('Mapa final'!$AJ$31="Media",'Mapa final'!$AL$31="Catastrófico"),CONCATENATE("R2C",'Mapa final'!$S$31),"")</f>
        <v/>
      </c>
      <c r="AN34" s="43" t="str">
        <f>IF(AND('Mapa final'!$AJ$32="Media",'Mapa final'!$AL$32="Catastrófico"),CONCATENATE("R2C",'Mapa final'!$S$32),"")</f>
        <v/>
      </c>
      <c r="AO34" s="69"/>
      <c r="AP34" s="509"/>
      <c r="AQ34" s="510"/>
      <c r="AR34" s="510"/>
      <c r="AS34" s="510"/>
      <c r="AT34" s="510"/>
      <c r="AU34" s="511"/>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373"/>
      <c r="D35" s="373"/>
      <c r="E35" s="374"/>
      <c r="F35" s="468"/>
      <c r="G35" s="469"/>
      <c r="H35" s="469"/>
      <c r="I35" s="469"/>
      <c r="J35" s="470"/>
      <c r="K35" s="53" t="str">
        <f>IF(AND('Mapa final'!$AJ$33="Media",'Mapa final'!$AL$33="Leve"),CONCATENATE("R2C",'Mapa final'!$S$33),"")</f>
        <v/>
      </c>
      <c r="L35" s="54" t="str">
        <f>IF(AND('Mapa final'!$AJ$34="Media",'Mapa final'!$AL$34="Leve"),CONCATENATE("R2C",'Mapa final'!$S$34),"")</f>
        <v/>
      </c>
      <c r="M35" s="54" t="str">
        <f>IF(AND('Mapa final'!$AJ$35="Media",'Mapa final'!$AL$35="Leve"),CONCATENATE("R2C",'Mapa final'!$S$35),"")</f>
        <v/>
      </c>
      <c r="N35" s="54" t="str">
        <f>IF(AND('Mapa final'!$AJ$36="Media",'Mapa final'!$AL$36="Leve"),CONCATENATE("R2C",'Mapa final'!$S$36),"")</f>
        <v/>
      </c>
      <c r="O35" s="54" t="str">
        <f>IF(AND('Mapa final'!$AJ$37="Media",'Mapa final'!$AL$37="Leve"),CONCATENATE("R2C",'Mapa final'!$S$37),"")</f>
        <v/>
      </c>
      <c r="P35" s="55" t="str">
        <f>IF(AND('Mapa final'!$AJ$38="Media",'Mapa final'!$AL$38="Leve"),CONCATENATE("R2C",'Mapa final'!$S$38),"")</f>
        <v/>
      </c>
      <c r="Q35" s="53" t="str">
        <f>IF(AND('Mapa final'!$AJ$33="Media",'Mapa final'!$AL$33="Menor"),CONCATENATE("R2C",'Mapa final'!$S$33),"")</f>
        <v/>
      </c>
      <c r="R35" s="54" t="str">
        <f>IF(AND('Mapa final'!$AJ$34="Media",'Mapa final'!$AL$34="Menor"),CONCATENATE("R2C",'Mapa final'!$S$34),"")</f>
        <v/>
      </c>
      <c r="S35" s="54" t="str">
        <f>IF(AND('Mapa final'!$AJ$35="Media",'Mapa final'!$AL$35="Menor"),CONCATENATE("R2C",'Mapa final'!$S$35),"")</f>
        <v/>
      </c>
      <c r="T35" s="54" t="str">
        <f>IF(AND('Mapa final'!$AJ$36="Media",'Mapa final'!$AL$36="Menor"),CONCATENATE("R2C",'Mapa final'!$S$36),"")</f>
        <v/>
      </c>
      <c r="U35" s="54" t="str">
        <f>IF(AND('Mapa final'!$AJ$37="Media",'Mapa final'!$AL$37="LMenor"),CONCATENATE("R2C",'Mapa final'!$S$37),"")</f>
        <v/>
      </c>
      <c r="V35" s="55" t="str">
        <f>IF(AND('Mapa final'!$AJ$38="Media",'Mapa final'!$AL$38="Menor"),CONCATENATE("R2C",'Mapa final'!$S$38),"")</f>
        <v/>
      </c>
      <c r="W35" s="53" t="str">
        <f>IF(AND('Mapa final'!$AJ$33="Media",'Mapa final'!$AL$33="Moderado"),CONCATENATE("R2C",'Mapa final'!$S$33),"")</f>
        <v/>
      </c>
      <c r="X35" s="54" t="str">
        <f>IF(AND('Mapa final'!$AJ$34="Media",'Mapa final'!$AL$34="Moderado"),CONCATENATE("R2C",'Mapa final'!$S$34),"")</f>
        <v/>
      </c>
      <c r="Y35" s="54" t="str">
        <f>IF(AND('Mapa final'!$AJ$35="Media",'Mapa final'!$AL$35="Moderado"),CONCATENATE("R2C",'Mapa final'!$S$35),"")</f>
        <v/>
      </c>
      <c r="Z35" s="54" t="str">
        <f>IF(AND('Mapa final'!$AJ$36="Media",'Mapa final'!$AL$36="Moderado"),CONCATENATE("R2C",'Mapa final'!$S$36),"")</f>
        <v/>
      </c>
      <c r="AA35" s="54" t="str">
        <f>IF(AND('Mapa final'!$AJ$37="Media",'Mapa final'!$AL$37="Moderado"),CONCATENATE("R2C",'Mapa final'!$S$37),"")</f>
        <v/>
      </c>
      <c r="AB35" s="55" t="str">
        <f>IF(AND('Mapa final'!$AJ$38="Media",'Mapa final'!$AL$38="Moderado"),CONCATENATE("R2C",'Mapa final'!$S$38),"")</f>
        <v/>
      </c>
      <c r="AC35" s="38" t="str">
        <f>IF(AND('Mapa final'!$AJ$33="Media",'Mapa final'!$AL$33="Mayor"),CONCATENATE("R2C",'Mapa final'!$S$33),"")</f>
        <v/>
      </c>
      <c r="AD35" s="39" t="str">
        <f>IF(AND('Mapa final'!$AJ$34="Media",'Mapa final'!$AL$34="Mayor"),CONCATENATE("R2C",'Mapa final'!$S$34),"")</f>
        <v/>
      </c>
      <c r="AE35" s="39" t="str">
        <f>IF(AND('Mapa final'!$AJ$35="Media",'Mapa final'!$AL$35="Mayor"),CONCATENATE("R2C",'Mapa final'!$S$35),"")</f>
        <v/>
      </c>
      <c r="AF35" s="39" t="str">
        <f>IF(AND('Mapa final'!$AJ$36="Media",'Mapa final'!$AL$36="Mayor"),CONCATENATE("R2C",'Mapa final'!$S$36),"")</f>
        <v/>
      </c>
      <c r="AG35" s="39" t="str">
        <f>IF(AND('Mapa final'!$AJ$37="Media",'Mapa final'!$AL$37="Mayor"),CONCATENATE("R2C",'Mapa final'!$S$37),"")</f>
        <v/>
      </c>
      <c r="AH35" s="40" t="str">
        <f>IF(AND('Mapa final'!$AJ$38="Media",'Mapa final'!$AL$38="Mayor"),CONCATENATE("R2C",'Mapa final'!$S$38),"")</f>
        <v/>
      </c>
      <c r="AI35" s="41" t="str">
        <f>IF(AND('Mapa final'!$AJ$33="Media",'Mapa final'!$AL$33="Catastrófico"),CONCATENATE("R2C",'Mapa final'!$S$33),"")</f>
        <v/>
      </c>
      <c r="AJ35" s="42" t="str">
        <f>IF(AND('Mapa final'!$AJ$34="Media",'Mapa final'!$AL$34="Catastrófico"),CONCATENATE("R2C",'Mapa final'!$S$34),"")</f>
        <v/>
      </c>
      <c r="AK35" s="42" t="str">
        <f>IF(AND('Mapa final'!$AJ$35="Media",'Mapa final'!$AL$35="Catastrófico"),CONCATENATE("R2C",'Mapa final'!$S$35),"")</f>
        <v/>
      </c>
      <c r="AL35" s="42" t="str">
        <f>IF(AND('Mapa final'!$AJ$36="Media",'Mapa final'!$AL$36="Catastrófico"),CONCATENATE("R2C",'Mapa final'!$S$36),"")</f>
        <v/>
      </c>
      <c r="AM35" s="42" t="str">
        <f>IF(AND('Mapa final'!$AJ$37="Media",'Mapa final'!$AL$37="LCatastrófico"),CONCATENATE("R2C",'Mapa final'!$S$37),"")</f>
        <v/>
      </c>
      <c r="AN35" s="43" t="str">
        <f>IF(AND('Mapa final'!$AJ$38="Media",'Mapa final'!$AL$38="Catastrófico"),CONCATENATE("R2C",'Mapa final'!$S$38),"")</f>
        <v/>
      </c>
      <c r="AO35" s="69"/>
      <c r="AP35" s="509"/>
      <c r="AQ35" s="510"/>
      <c r="AR35" s="510"/>
      <c r="AS35" s="510"/>
      <c r="AT35" s="510"/>
      <c r="AU35" s="511"/>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373"/>
      <c r="D36" s="373"/>
      <c r="E36" s="374"/>
      <c r="F36" s="468"/>
      <c r="G36" s="469"/>
      <c r="H36" s="469"/>
      <c r="I36" s="469"/>
      <c r="J36" s="470"/>
      <c r="K36" s="53" t="str">
        <f>IF(AND('Mapa final'!$AJ$39="Media",'Mapa final'!$AL$39="Leve"),CONCATENATE("R2C",'Mapa final'!$S$39),"")</f>
        <v/>
      </c>
      <c r="L36" s="54" t="str">
        <f>IF(AND('Mapa final'!$AJ$40="Media",'Mapa final'!$AL$40="Leve"),CONCATENATE("R2C",'Mapa final'!$S$40),"")</f>
        <v/>
      </c>
      <c r="M36" s="54" t="str">
        <f>IF(AND('Mapa final'!$AJ$41="Media",'Mapa final'!$AL$41="Leve"),CONCATENATE("R2C",'Mapa final'!$S$41),"")</f>
        <v/>
      </c>
      <c r="N36" s="54" t="str">
        <f>IF(AND('Mapa final'!$AJ$42="Media",'Mapa final'!$AL$42="Leve"),CONCATENATE("R2C",'Mapa final'!$S$42),"")</f>
        <v/>
      </c>
      <c r="O36" s="54" t="str">
        <f>IF(AND('Mapa final'!$AJ$43="Media",'Mapa final'!$AL$43="Leve"),CONCATENATE("R2C",'Mapa final'!$S$43),"")</f>
        <v/>
      </c>
      <c r="P36" s="55" t="str">
        <f>IF(AND('Mapa final'!$AJ$44="Media",'Mapa final'!$AL$44="Leve"),CONCATENATE("R2C",'Mapa final'!$S$44),"")</f>
        <v/>
      </c>
      <c r="Q36" s="53" t="str">
        <f>IF(AND('Mapa final'!$AJ$39="Media",'Mapa final'!$AL$39="Menor"),CONCATENATE("R2C",'Mapa final'!$S$39),"")</f>
        <v/>
      </c>
      <c r="R36" s="54" t="str">
        <f>IF(AND('Mapa final'!$AJ$40="Media",'Mapa final'!$AL$40="Menor"),CONCATENATE("R2C",'Mapa final'!$S$40),"")</f>
        <v/>
      </c>
      <c r="S36" s="54" t="str">
        <f>IF(AND('Mapa final'!$AJ$41="Media",'Mapa final'!$AL$41="Menor"),CONCATENATE("R2C",'Mapa final'!$S$41),"")</f>
        <v/>
      </c>
      <c r="T36" s="54" t="str">
        <f>IF(AND('Mapa final'!$AJ$42="Media",'Mapa final'!$AL$42="Menor"),CONCATENATE("R2C",'Mapa final'!$S$42),"")</f>
        <v/>
      </c>
      <c r="U36" s="54" t="str">
        <f>IF(AND('Mapa final'!$AJ$43="Media",'Mapa final'!$AL$43="Menor"),CONCATENATE("R2C",'Mapa final'!$S$43),"")</f>
        <v/>
      </c>
      <c r="V36" s="55" t="str">
        <f>IF(AND('Mapa final'!$AJ$44="Media",'Mapa final'!$AL$44="Menor"),CONCATENATE("R2C",'Mapa final'!$S$44),"")</f>
        <v/>
      </c>
      <c r="W36" s="53" t="str">
        <f>IF(AND('Mapa final'!$AJ$39="Media",'Mapa final'!$AL$39="Moderado"),CONCATENATE("R2C",'Mapa final'!$S$39),"")</f>
        <v/>
      </c>
      <c r="X36" s="54" t="str">
        <f>IF(AND('Mapa final'!$AJ$40="Media",'Mapa final'!$AL$40="Moderado"),CONCATENATE("R2C",'Mapa final'!$S$40),"")</f>
        <v/>
      </c>
      <c r="Y36" s="54" t="str">
        <f>IF(AND('Mapa final'!$AJ$41="Media",'Mapa final'!$AL$41="Moderado"),CONCATENATE("R2C",'Mapa final'!$S$41),"")</f>
        <v/>
      </c>
      <c r="Z36" s="54" t="str">
        <f>IF(AND('Mapa final'!$AJ$42="Media",'Mapa final'!$AL$42="Moderado"),CONCATENATE("R2C",'Mapa final'!$S$42),"")</f>
        <v/>
      </c>
      <c r="AA36" s="54" t="str">
        <f>IF(AND('Mapa final'!$AJ$43="Media",'Mapa final'!$AL$43="Moderado"),CONCATENATE("R2C",'Mapa final'!$S$43),"")</f>
        <v/>
      </c>
      <c r="AB36" s="55" t="str">
        <f>IF(AND('Mapa final'!$AJ$44="Media",'Mapa final'!$AL$44="Moderado"),CONCATENATE("R2C",'Mapa final'!$S$44),"")</f>
        <v/>
      </c>
      <c r="AC36" s="38" t="str">
        <f>IF(AND('Mapa final'!$AJ$39="Media",'Mapa final'!$AL$39="Mayor"),CONCATENATE("R2C",'Mapa final'!$S$39),"")</f>
        <v/>
      </c>
      <c r="AD36" s="39" t="str">
        <f>IF(AND('Mapa final'!$AJ$40="Media",'Mapa final'!$AL$40="Mayor"),CONCATENATE("R2C",'Mapa final'!$S$40),"")</f>
        <v/>
      </c>
      <c r="AE36" s="39" t="str">
        <f>IF(AND('Mapa final'!$AJ$41="Media",'Mapa final'!$AL$41="Mayor"),CONCATENATE("R2C",'Mapa final'!$S$41),"")</f>
        <v/>
      </c>
      <c r="AF36" s="39" t="str">
        <f>IF(AND('Mapa final'!$AJ$42="Media",'Mapa final'!$AL$42="Mayor"),CONCATENATE("R2C",'Mapa final'!$S$42),"")</f>
        <v/>
      </c>
      <c r="AG36" s="39" t="str">
        <f>IF(AND('Mapa final'!$AJ$43="Media",'Mapa final'!$AL$43="Mayor"),CONCATENATE("R2C",'Mapa final'!$S$43),"")</f>
        <v/>
      </c>
      <c r="AH36" s="40" t="str">
        <f>IF(AND('Mapa final'!$AJ$44="Media",'Mapa final'!$AL$44="Mayor"),CONCATENATE("R2C",'Mapa final'!$S$44),"")</f>
        <v/>
      </c>
      <c r="AI36" s="41" t="str">
        <f>IF(AND('Mapa final'!$AJ$39="Media",'Mapa final'!$AL$39="Catastrófico"),CONCATENATE("R2C",'Mapa final'!$S$39),"")</f>
        <v/>
      </c>
      <c r="AJ36" s="42" t="str">
        <f>IF(AND('Mapa final'!$AJ$40="Media",'Mapa final'!$AL$40="Catastrófico"),CONCATENATE("R2C",'Mapa final'!$S$40),"")</f>
        <v/>
      </c>
      <c r="AK36" s="42" t="str">
        <f>IF(AND('Mapa final'!$AJ$41="Media",'Mapa final'!$AL$41="Catastrófico"),CONCATENATE("R2C",'Mapa final'!$S$41),"")</f>
        <v/>
      </c>
      <c r="AL36" s="42" t="str">
        <f>IF(AND('Mapa final'!$AJ$42="Media",'Mapa final'!$AL$42="Catastrófico"),CONCATENATE("R2C",'Mapa final'!$S$42),"")</f>
        <v/>
      </c>
      <c r="AM36" s="42" t="str">
        <f>IF(AND('Mapa final'!$AJ$43="Media",'Mapa final'!$AL$43="Catastrófico"),CONCATENATE("R2C",'Mapa final'!$S$43),"")</f>
        <v/>
      </c>
      <c r="AN36" s="43" t="str">
        <f>IF(AND('Mapa final'!$AJ$44="Media",'Mapa final'!$AL$44="Catastrófico"),CONCATENATE("R2C",'Mapa final'!$S$44),"")</f>
        <v/>
      </c>
      <c r="AO36" s="69"/>
      <c r="AP36" s="509"/>
      <c r="AQ36" s="510"/>
      <c r="AR36" s="510"/>
      <c r="AS36" s="510"/>
      <c r="AT36" s="510"/>
      <c r="AU36" s="511"/>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373"/>
      <c r="D37" s="373"/>
      <c r="E37" s="374"/>
      <c r="F37" s="468"/>
      <c r="G37" s="469"/>
      <c r="H37" s="469"/>
      <c r="I37" s="469"/>
      <c r="J37" s="470"/>
      <c r="K37" s="53" t="str">
        <f>IF(AND('Mapa final'!$AJ$45="Media",'Mapa final'!$AL$45="Leve"),CONCATENATE("R2C",'Mapa final'!$S$45),"")</f>
        <v/>
      </c>
      <c r="L37" s="54" t="str">
        <f>IF(AND('Mapa final'!$AJ$46="Media",'Mapa final'!$AL$46="Leve"),CONCATENATE("R2C",'Mapa final'!$S$46),"")</f>
        <v/>
      </c>
      <c r="M37" s="54" t="str">
        <f>IF(AND('Mapa final'!$AJ$47="Media",'Mapa final'!$AL$47="Leve"),CONCATENATE("R2C",'Mapa final'!$S$47),"")</f>
        <v/>
      </c>
      <c r="N37" s="54" t="str">
        <f>IF(AND('Mapa final'!$AJ$48="Media",'Mapa final'!$AL$48="Leve"),CONCATENATE("R2C",'Mapa final'!$S$48),"")</f>
        <v/>
      </c>
      <c r="O37" s="54" t="str">
        <f>IF(AND('Mapa final'!$AJ$49="Media",'Mapa final'!$AL$49="Leve"),CONCATENATE("R2C",'Mapa final'!$S$49),"")</f>
        <v/>
      </c>
      <c r="P37" s="55" t="str">
        <f>IF(AND('Mapa final'!$AJ$60="Media",'Mapa final'!$AL$50="Leve"),CONCATENATE("R2C",'Mapa final'!$S$50),"")</f>
        <v/>
      </c>
      <c r="Q37" s="53" t="str">
        <f>IF(AND('Mapa final'!$AJ$45="Media",'Mapa final'!$AL$45="Menor"),CONCATENATE("R2C",'Mapa final'!$S$45),"")</f>
        <v/>
      </c>
      <c r="R37" s="54" t="str">
        <f>IF(AND('Mapa final'!$AJ$46="Media",'Mapa final'!$AL$46="Menor"),CONCATENATE("R2C",'Mapa final'!$S$46),"")</f>
        <v/>
      </c>
      <c r="S37" s="54" t="str">
        <f>IF(AND('Mapa final'!$AJ$47="Media",'Mapa final'!$AL$47="Menor"),CONCATENATE("R2C",'Mapa final'!$S$47),"")</f>
        <v/>
      </c>
      <c r="T37" s="54" t="str">
        <f>IF(AND('Mapa final'!$AJ$48="Media",'Mapa final'!$AL$48="Menor"),CONCATENATE("R2C",'Mapa final'!$S$48),"")</f>
        <v/>
      </c>
      <c r="U37" s="54" t="str">
        <f>IF(AND('Mapa final'!$AJ$49="Media",'Mapa final'!$AL$49="Menor"),CONCATENATE("R2C",'Mapa final'!$S$49),"")</f>
        <v/>
      </c>
      <c r="V37" s="55" t="str">
        <f>IF(AND('Mapa final'!$AJ$60="Media",'Mapa final'!$AL$50="Menor"),CONCATENATE("R2C",'Mapa final'!$S$50),"")</f>
        <v/>
      </c>
      <c r="W37" s="53" t="str">
        <f>IF(AND('Mapa final'!$AJ$45="Media",'Mapa final'!$AL$45="Moderado"),CONCATENATE("R2C",'Mapa final'!$S$45),"")</f>
        <v/>
      </c>
      <c r="X37" s="54" t="str">
        <f>IF(AND('Mapa final'!$AJ$46="Media",'Mapa final'!$AL$46="Moderado"),CONCATENATE("R2C",'Mapa final'!$S$46),"")</f>
        <v/>
      </c>
      <c r="Y37" s="54" t="str">
        <f>IF(AND('Mapa final'!$AJ$47="Media",'Mapa final'!$AL$47="Moderado"),CONCATENATE("R2C",'Mapa final'!$S$47),"")</f>
        <v/>
      </c>
      <c r="Z37" s="54" t="str">
        <f>IF(AND('Mapa final'!$AJ$48="Media",'Mapa final'!$AL$48="Moderado"),CONCATENATE("R2C",'Mapa final'!$S$48),"")</f>
        <v/>
      </c>
      <c r="AA37" s="54" t="str">
        <f>IF(AND('Mapa final'!$AJ$49="Media",'Mapa final'!$AL$49="Moderado"),CONCATENATE("R2C",'Mapa final'!$S$49),"")</f>
        <v/>
      </c>
      <c r="AB37" s="55" t="str">
        <f>IF(AND('Mapa final'!$AJ$60="Media",'Mapa final'!$AL$50="Moderado"),CONCATENATE("R2C",'Mapa final'!$S$50),"")</f>
        <v/>
      </c>
      <c r="AC37" s="38" t="str">
        <f>IF(AND('Mapa final'!$AJ$45="Media",'Mapa final'!$AL$45="Mayor"),CONCATENATE("R2C",'Mapa final'!$S$45),"")</f>
        <v/>
      </c>
      <c r="AD37" s="39" t="str">
        <f>IF(AND('Mapa final'!$AJ$46="Media",'Mapa final'!$AL$46="Mayor"),CONCATENATE("R2C",'Mapa final'!$S$46),"")</f>
        <v/>
      </c>
      <c r="AE37" s="39" t="str">
        <f>IF(AND('Mapa final'!$AJ$47="Media",'Mapa final'!$AL$47="Mayor"),CONCATENATE("R2C",'Mapa final'!$S$47),"")</f>
        <v/>
      </c>
      <c r="AF37" s="39" t="str">
        <f>IF(AND('Mapa final'!$AJ$48="Media",'Mapa final'!$AL$48="Mayor"),CONCATENATE("R2C",'Mapa final'!$S$48),"")</f>
        <v/>
      </c>
      <c r="AG37" s="39" t="str">
        <f>IF(AND('Mapa final'!$AJ$49="Media",'Mapa final'!$AL$49="Mayor"),CONCATENATE("R2C",'Mapa final'!$S$49),"")</f>
        <v/>
      </c>
      <c r="AH37" s="40" t="str">
        <f>IF(AND('Mapa final'!$AJ$60="Media",'Mapa final'!$AL$50="Mayor"),CONCATENATE("R2C",'Mapa final'!$S$50),"")</f>
        <v/>
      </c>
      <c r="AI37" s="41" t="str">
        <f>IF(AND('Mapa final'!$AJ$45="Media",'Mapa final'!$AL$45="Catastrófico"),CONCATENATE("R2C",'Mapa final'!$S$45),"")</f>
        <v/>
      </c>
      <c r="AJ37" s="42" t="str">
        <f>IF(AND('Mapa final'!$AJ$46="Media",'Mapa final'!$AL$46="Catastrófico"),CONCATENATE("R2C",'Mapa final'!$S$46),"")</f>
        <v/>
      </c>
      <c r="AK37" s="42" t="str">
        <f>IF(AND('Mapa final'!$AJ$47="Media",'Mapa final'!$AL$47="Catastrófico"),CONCATENATE("R2C",'Mapa final'!$S$47),"")</f>
        <v/>
      </c>
      <c r="AL37" s="42" t="str">
        <f>IF(AND('Mapa final'!$AJ$48="Media",'Mapa final'!$AL$48="Catastrófico"),CONCATENATE("R2C",'Mapa final'!$S$48),"")</f>
        <v/>
      </c>
      <c r="AM37" s="42" t="str">
        <f>IF(AND('Mapa final'!$AJ$49="Media",'Mapa final'!$AL$49="Catastrófico"),CONCATENATE("R2C",'Mapa final'!$S$49),"")</f>
        <v/>
      </c>
      <c r="AN37" s="43" t="str">
        <f>IF(AND('Mapa final'!$AJ$60="Media",'Mapa final'!$AL$50="Catastrófico"),CONCATENATE("R2C",'Mapa final'!$S$50),"")</f>
        <v/>
      </c>
      <c r="AO37" s="69"/>
      <c r="AP37" s="509"/>
      <c r="AQ37" s="510"/>
      <c r="AR37" s="510"/>
      <c r="AS37" s="510"/>
      <c r="AT37" s="510"/>
      <c r="AU37" s="511"/>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373"/>
      <c r="D38" s="373"/>
      <c r="E38" s="374"/>
      <c r="F38" s="468"/>
      <c r="G38" s="469"/>
      <c r="H38" s="469"/>
      <c r="I38" s="469"/>
      <c r="J38" s="470"/>
      <c r="K38" s="53" t="str">
        <f>IF(AND('Mapa final'!$AJ$51="Media",'Mapa final'!$AL$51="Leve"),CONCATENATE("R2C",'Mapa final'!$S$51),"")</f>
        <v/>
      </c>
      <c r="L38" s="54" t="str">
        <f>IF(AND('Mapa final'!$AJ$52="Media",'Mapa final'!$AL$52="Leve"),CONCATENATE("R2C",'Mapa final'!$S$52),"")</f>
        <v/>
      </c>
      <c r="M38" s="54" t="str">
        <f>IF(AND('Mapa final'!$AJ$53="Media",'Mapa final'!$AL$53="Leve"),CONCATENATE("R2C",'Mapa final'!$S$53),"")</f>
        <v/>
      </c>
      <c r="N38" s="54" t="str">
        <f>IF(AND('Mapa final'!$AJ$54="Media",'Mapa final'!$AL$54="Leve"),CONCATENATE("R2C",'Mapa final'!$S$54),"")</f>
        <v/>
      </c>
      <c r="O38" s="54" t="str">
        <f>IF(AND('Mapa final'!$AJ$55="Media",'Mapa final'!$AL$55="Leve"),CONCATENATE("R2C",'Mapa final'!$S$55),"")</f>
        <v/>
      </c>
      <c r="P38" s="55" t="str">
        <f>IF(AND('Mapa final'!$AJ$56="Media",'Mapa final'!$AL$56="Leve"),CONCATENATE("R2C",'Mapa final'!$S$56),"")</f>
        <v/>
      </c>
      <c r="Q38" s="53" t="str">
        <f>IF(AND('Mapa final'!$AJ$51="Media",'Mapa final'!$AL$51="Menor"),CONCATENATE("R2C",'Mapa final'!$S$51),"")</f>
        <v/>
      </c>
      <c r="R38" s="54" t="str">
        <f>IF(AND('Mapa final'!$AJ$52="Media",'Mapa final'!$AL$52="Menor"),CONCATENATE("R2C",'Mapa final'!$S$52),"")</f>
        <v/>
      </c>
      <c r="S38" s="54" t="str">
        <f>IF(AND('Mapa final'!$AJ$53="Media",'Mapa final'!$AL$53="Menor"),CONCATENATE("R2C",'Mapa final'!$S$53),"")</f>
        <v/>
      </c>
      <c r="T38" s="54" t="str">
        <f>IF(AND('Mapa final'!$AJ$54="Media",'Mapa final'!$AL$54="Menor"),CONCATENATE("R2C",'Mapa final'!$S$54),"")</f>
        <v/>
      </c>
      <c r="U38" s="54" t="str">
        <f>IF(AND('Mapa final'!$AJ$55="Media",'Mapa final'!$AL$55="Menor"),CONCATENATE("R2C",'Mapa final'!$S$55),"")</f>
        <v/>
      </c>
      <c r="V38" s="55" t="str">
        <f>IF(AND('Mapa final'!$AJ$56="Media",'Mapa final'!$AL$56="Menor"),CONCATENATE("R2C",'Mapa final'!$S$56),"")</f>
        <v/>
      </c>
      <c r="W38" s="53" t="str">
        <f>IF(AND('Mapa final'!$AJ$51="Media",'Mapa final'!$AL$51="Moderado"),CONCATENATE("R2C",'Mapa final'!$S$51),"")</f>
        <v/>
      </c>
      <c r="X38" s="54" t="str">
        <f>IF(AND('Mapa final'!$AJ$52="Media",'Mapa final'!$AL$52="Moderado"),CONCATENATE("R2C",'Mapa final'!$S$52),"")</f>
        <v/>
      </c>
      <c r="Y38" s="54" t="str">
        <f>IF(AND('Mapa final'!$AJ$53="Media",'Mapa final'!$AL$53="Moderado"),CONCATENATE("R2C",'Mapa final'!$S$53),"")</f>
        <v/>
      </c>
      <c r="Z38" s="54" t="str">
        <f>IF(AND('Mapa final'!$AJ$54="Media",'Mapa final'!$AL$54="Moderado"),CONCATENATE("R2C",'Mapa final'!$S$54),"")</f>
        <v/>
      </c>
      <c r="AA38" s="54" t="str">
        <f>IF(AND('Mapa final'!$AJ$55="Media",'Mapa final'!$AL$55="Moderado"),CONCATENATE("R2C",'Mapa final'!$S$55),"")</f>
        <v/>
      </c>
      <c r="AB38" s="55" t="str">
        <f>IF(AND('Mapa final'!$AJ$56="Media",'Mapa final'!$AL$56="Moderado"),CONCATENATE("R2C",'Mapa final'!$S$56),"")</f>
        <v/>
      </c>
      <c r="AC38" s="38" t="str">
        <f>IF(AND('Mapa final'!$AJ$51="Media",'Mapa final'!$AL$51="Mayor"),CONCATENATE("R2C",'Mapa final'!$S$51),"")</f>
        <v/>
      </c>
      <c r="AD38" s="39" t="str">
        <f>IF(AND('Mapa final'!$AJ$52="Media",'Mapa final'!$AL$52="Mayor"),CONCATENATE("R2C",'Mapa final'!$S$52),"")</f>
        <v/>
      </c>
      <c r="AE38" s="39" t="str">
        <f>IF(AND('Mapa final'!$AJ$53="Media",'Mapa final'!$AL$53="Mayor"),CONCATENATE("R2C",'Mapa final'!$S$53),"")</f>
        <v/>
      </c>
      <c r="AF38" s="39" t="str">
        <f>IF(AND('Mapa final'!$AJ$54="Media",'Mapa final'!$AL$54="Mayor"),CONCATENATE("R2C",'Mapa final'!$S$54),"")</f>
        <v/>
      </c>
      <c r="AG38" s="39" t="str">
        <f>IF(AND('Mapa final'!$AJ$55="Media",'Mapa final'!$AL$55="Mayor"),CONCATENATE("R2C",'Mapa final'!$S$55),"")</f>
        <v/>
      </c>
      <c r="AH38" s="40" t="str">
        <f>IF(AND('Mapa final'!$AJ$56="Media",'Mapa final'!$AL$56="Mayor"),CONCATENATE("R2C",'Mapa final'!$S$56),"")</f>
        <v/>
      </c>
      <c r="AI38" s="41" t="str">
        <f>IF(AND('Mapa final'!$AJ$51="Media",'Mapa final'!$AL$51="Catastrófico"),CONCATENATE("R2C",'Mapa final'!$S$51),"")</f>
        <v/>
      </c>
      <c r="AJ38" s="42" t="str">
        <f>IF(AND('Mapa final'!$AJ$52="Media",'Mapa final'!$AL$52="Catastrófico"),CONCATENATE("R2C",'Mapa final'!$S$52),"")</f>
        <v/>
      </c>
      <c r="AK38" s="42" t="str">
        <f>IF(AND('Mapa final'!$AJ$53="Media",'Mapa final'!$AL$53="Catastrófico"),CONCATENATE("R2C",'Mapa final'!$S$53),"")</f>
        <v/>
      </c>
      <c r="AL38" s="42" t="str">
        <f>IF(AND('Mapa final'!$AJ$54="Media",'Mapa final'!$AL$54="Catastrófico"),CONCATENATE("R2C",'Mapa final'!$S$54),"")</f>
        <v/>
      </c>
      <c r="AM38" s="42" t="str">
        <f>IF(AND('Mapa final'!$AJ$55="Media",'Mapa final'!$AL$55="Catastrófico"),CONCATENATE("R2C",'Mapa final'!$S$55),"")</f>
        <v/>
      </c>
      <c r="AN38" s="43" t="str">
        <f>IF(AND('Mapa final'!$AJ$56="Media",'Mapa final'!$AL$56="Catastrófico"),CONCATENATE("R2C",'Mapa final'!$S$56),"")</f>
        <v/>
      </c>
      <c r="AO38" s="69"/>
      <c r="AP38" s="509"/>
      <c r="AQ38" s="510"/>
      <c r="AR38" s="510"/>
      <c r="AS38" s="510"/>
      <c r="AT38" s="510"/>
      <c r="AU38" s="511"/>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373"/>
      <c r="D39" s="373"/>
      <c r="E39" s="374"/>
      <c r="F39" s="468"/>
      <c r="G39" s="469"/>
      <c r="H39" s="469"/>
      <c r="I39" s="469"/>
      <c r="J39" s="470"/>
      <c r="K39" s="53" t="str">
        <f>IF(AND('Mapa final'!$AJ$57="Media",'Mapa final'!$AL$57="Leve"),CONCATENATE("R2C",'Mapa final'!$S$57),"")</f>
        <v/>
      </c>
      <c r="L39" s="54" t="str">
        <f>IF(AND('Mapa final'!$AJ$58="Media",'Mapa final'!$AL$58="Leve"),CONCATENATE("R2C",'Mapa final'!$S$58),"")</f>
        <v/>
      </c>
      <c r="M39" s="54" t="str">
        <f>IF(AND('Mapa final'!$AJ$59="Media",'Mapa final'!$AL$59="Leve"),CONCATENATE("R2C",'Mapa final'!$S$59),"")</f>
        <v/>
      </c>
      <c r="N39" s="54" t="str">
        <f>IF(AND('Mapa final'!$AJ$60="Media",'Mapa final'!$AL$60="Leve"),CONCATENATE("R2C",'Mapa final'!$S$60),"")</f>
        <v/>
      </c>
      <c r="O39" s="54" t="str">
        <f>IF(AND('Mapa final'!$AJ$61="Media",'Mapa final'!$AL$61="Leve"),CONCATENATE("R2C",'Mapa final'!$S$61),"")</f>
        <v/>
      </c>
      <c r="P39" s="55" t="str">
        <f>IF(AND('Mapa final'!$AJ$62="Media",'Mapa final'!$AL$62="Leve"),CONCATENATE("R2C",'Mapa final'!$S$62),"")</f>
        <v/>
      </c>
      <c r="Q39" s="53" t="str">
        <f>IF(AND('Mapa final'!$AJ$57="Media",'Mapa final'!$AL$57="Menor"),CONCATENATE("R2C",'Mapa final'!$S$57),"")</f>
        <v/>
      </c>
      <c r="R39" s="54" t="str">
        <f>IF(AND('Mapa final'!$AJ$58="Media",'Mapa final'!$AL$58="Menor"),CONCATENATE("R2C",'Mapa final'!$S$58),"")</f>
        <v/>
      </c>
      <c r="S39" s="54" t="str">
        <f>IF(AND('Mapa final'!$AJ$59="Media",'Mapa final'!$AL$59="Menor"),CONCATENATE("R2C",'Mapa final'!$S$59),"")</f>
        <v/>
      </c>
      <c r="T39" s="54" t="str">
        <f>IF(AND('Mapa final'!$AJ$60="Media",'Mapa final'!$AL$60="Menor"),CONCATENATE("R2C",'Mapa final'!$S$60),"")</f>
        <v/>
      </c>
      <c r="U39" s="54" t="str">
        <f>IF(AND('Mapa final'!$AJ$61="Media",'Mapa final'!$AL$61="Menor"),CONCATENATE("R2C",'Mapa final'!$S$61),"")</f>
        <v/>
      </c>
      <c r="V39" s="55" t="str">
        <f>IF(AND('Mapa final'!$AJ$62="Media",'Mapa final'!$AL$62="Menor"),CONCATENATE("R2C",'Mapa final'!$S$62),"")</f>
        <v/>
      </c>
      <c r="W39" s="53" t="str">
        <f>IF(AND('Mapa final'!$AJ$57="Media",'Mapa final'!$AL$57="Moderado"),CONCATENATE("R2C",'Mapa final'!$S$57),"")</f>
        <v/>
      </c>
      <c r="X39" s="54" t="str">
        <f>IF(AND('Mapa final'!$AJ$58="Media",'Mapa final'!$AL$58="Moderado"),CONCATENATE("R2C",'Mapa final'!$S$58),"")</f>
        <v/>
      </c>
      <c r="Y39" s="54" t="str">
        <f>IF(AND('Mapa final'!$AJ$59="Media",'Mapa final'!$AL$59="Moderado"),CONCATENATE("R2C",'Mapa final'!$S$59),"")</f>
        <v/>
      </c>
      <c r="Z39" s="54" t="str">
        <f>IF(AND('Mapa final'!$AJ$60="Media",'Mapa final'!$AL$60="Moderado"),CONCATENATE("R2C",'Mapa final'!$S$60),"")</f>
        <v/>
      </c>
      <c r="AA39" s="54" t="str">
        <f>IF(AND('Mapa final'!$AJ$61="Media",'Mapa final'!$AL$61="Moderado"),CONCATENATE("R2C",'Mapa final'!$S$61),"")</f>
        <v/>
      </c>
      <c r="AB39" s="55" t="str">
        <f>IF(AND('Mapa final'!$AJ$62="Media",'Mapa final'!$AL$62="Moderado"),CONCATENATE("R2C",'Mapa final'!$S$62),"")</f>
        <v/>
      </c>
      <c r="AC39" s="38" t="str">
        <f>IF(AND('Mapa final'!$AJ$57="Media",'Mapa final'!$AL$57="Mayor"),CONCATENATE("R2C",'Mapa final'!$S$57),"")</f>
        <v/>
      </c>
      <c r="AD39" s="39" t="str">
        <f>IF(AND('Mapa final'!$AJ$58="Media",'Mapa final'!$AL$58="Mayor"),CONCATENATE("R2C",'Mapa final'!$S$58),"")</f>
        <v/>
      </c>
      <c r="AE39" s="39" t="str">
        <f>IF(AND('Mapa final'!$AJ$59="Media",'Mapa final'!$AL$59="Mayor"),CONCATENATE("R2C",'Mapa final'!$S$59),"")</f>
        <v/>
      </c>
      <c r="AF39" s="39" t="str">
        <f>IF(AND('Mapa final'!$AJ$60="Media",'Mapa final'!$AL$60="Mayor"),CONCATENATE("R2C",'Mapa final'!$S$60),"")</f>
        <v/>
      </c>
      <c r="AG39" s="39" t="str">
        <f>IF(AND('Mapa final'!$AJ$61="Media",'Mapa final'!$AL$61="Mayor"),CONCATENATE("R2C",'Mapa final'!$S$61),"")</f>
        <v/>
      </c>
      <c r="AH39" s="40" t="str">
        <f>IF(AND('Mapa final'!$AJ$62="Media",'Mapa final'!$AL$62="Mayor"),CONCATENATE("R2C",'Mapa final'!$S$62),"")</f>
        <v/>
      </c>
      <c r="AI39" s="41" t="str">
        <f>IF(AND('Mapa final'!$AJ$57="Media",'Mapa final'!$AL$57="Catastrófico"),CONCATENATE("R2C",'Mapa final'!$S$57),"")</f>
        <v/>
      </c>
      <c r="AJ39" s="42" t="str">
        <f>IF(AND('Mapa final'!$AJ$58="Media",'Mapa final'!$AL$58="Catastrófico"),CONCATENATE("R2C",'Mapa final'!$S$58),"")</f>
        <v/>
      </c>
      <c r="AK39" s="42" t="str">
        <f>IF(AND('Mapa final'!$AJ$59="Media",'Mapa final'!$AL$59="Catastrófico"),CONCATENATE("R2C",'Mapa final'!$S$59),"")</f>
        <v/>
      </c>
      <c r="AL39" s="42" t="str">
        <f>IF(AND('Mapa final'!$AJ$60="Media",'Mapa final'!$AL$60="Catastrófico"),CONCATENATE("R2C",'Mapa final'!$S$60),"")</f>
        <v/>
      </c>
      <c r="AM39" s="42" t="str">
        <f>IF(AND('Mapa final'!$AJ$61="Media",'Mapa final'!$AL$61="Catastrófico"),CONCATENATE("R2C",'Mapa final'!$S$61),"")</f>
        <v/>
      </c>
      <c r="AN39" s="43" t="str">
        <f>IF(AND('Mapa final'!$AJ$62="Media",'Mapa final'!$AL$62="Catastrófico"),CONCATENATE("R2C",'Mapa final'!$S$62),"")</f>
        <v/>
      </c>
      <c r="AO39" s="69"/>
      <c r="AP39" s="509"/>
      <c r="AQ39" s="510"/>
      <c r="AR39" s="510"/>
      <c r="AS39" s="510"/>
      <c r="AT39" s="510"/>
      <c r="AU39" s="511"/>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373"/>
      <c r="D40" s="373"/>
      <c r="E40" s="374"/>
      <c r="F40" s="468"/>
      <c r="G40" s="469"/>
      <c r="H40" s="469"/>
      <c r="I40" s="469"/>
      <c r="J40" s="470"/>
      <c r="K40" s="53" t="str">
        <f>IF(AND('Mapa final'!$AJ$63="Media",'Mapa final'!$AL$63="Leve"),CONCATENATE("R2C",'Mapa final'!$S$63),"")</f>
        <v/>
      </c>
      <c r="L40" s="54" t="str">
        <f>IF(AND('Mapa final'!$AJ$64="Media",'Mapa final'!$AL$64="Leve"),CONCATENATE("R2C",'Mapa final'!$S$64),"")</f>
        <v/>
      </c>
      <c r="M40" s="54" t="str">
        <f>IF(AND('Mapa final'!$AJ$65="Media",'Mapa final'!$AL$65="Leve"),CONCATENATE("R2C",'Mapa final'!$S$65),"")</f>
        <v/>
      </c>
      <c r="N40" s="54" t="str">
        <f>IF(AND('Mapa final'!$AJ$66="Media",'Mapa final'!$AL$66="Leve"),CONCATENATE("R2C",'Mapa final'!$S$66),"")</f>
        <v/>
      </c>
      <c r="O40" s="54" t="str">
        <f>IF(AND('Mapa final'!$AJ$67="Media",'Mapa final'!$AL$67="Leve"),CONCATENATE("R2C",'Mapa final'!$S$67),"")</f>
        <v/>
      </c>
      <c r="P40" s="55" t="str">
        <f>IF(AND('Mapa final'!$AJ$68="Media",'Mapa final'!$AL$68="Leve"),CONCATENATE("R2C",'Mapa final'!$S$68),"")</f>
        <v/>
      </c>
      <c r="Q40" s="53" t="str">
        <f>IF(AND('Mapa final'!$AJ$63="Media",'Mapa final'!$AL$63="Menor"),CONCATENATE("R2C",'Mapa final'!$S$63),"")</f>
        <v/>
      </c>
      <c r="R40" s="54" t="str">
        <f>IF(AND('Mapa final'!$AJ$64="Media",'Mapa final'!$AL$64="Menor"),CONCATENATE("R2C",'Mapa final'!$S$64),"")</f>
        <v/>
      </c>
      <c r="S40" s="54" t="str">
        <f>IF(AND('Mapa final'!$AJ$65="Media",'Mapa final'!$AL$65="Menor"),CONCATENATE("R2C",'Mapa final'!$S$65),"")</f>
        <v/>
      </c>
      <c r="T40" s="54" t="str">
        <f>IF(AND('Mapa final'!$AJ$66="Media",'Mapa final'!$AL$66="Menor"),CONCATENATE("R2C",'Mapa final'!$S$66),"")</f>
        <v/>
      </c>
      <c r="U40" s="54" t="str">
        <f>IF(AND('Mapa final'!$AJ$67="Media",'Mapa final'!$AL$67="Menor"),CONCATENATE("R2C",'Mapa final'!$S$67),"")</f>
        <v/>
      </c>
      <c r="V40" s="55" t="str">
        <f>IF(AND('Mapa final'!$AJ$68="Media",'Mapa final'!$AL$68="Menor"),CONCATENATE("R2C",'Mapa final'!$S$68),"")</f>
        <v/>
      </c>
      <c r="W40" s="53" t="str">
        <f>IF(AND('Mapa final'!$AJ$63="Media",'Mapa final'!$AL$63="Moderado"),CONCATENATE("R2C",'Mapa final'!$S$63),"")</f>
        <v/>
      </c>
      <c r="X40" s="54" t="str">
        <f>IF(AND('Mapa final'!$AJ$64="Media",'Mapa final'!$AL$64="Moderado"),CONCATENATE("R2C",'Mapa final'!$S$64),"")</f>
        <v/>
      </c>
      <c r="Y40" s="54" t="str">
        <f>IF(AND('Mapa final'!$AJ$65="Media",'Mapa final'!$AL$65="Moderado"),CONCATENATE("R2C",'Mapa final'!$S$65),"")</f>
        <v/>
      </c>
      <c r="Z40" s="54" t="str">
        <f>IF(AND('Mapa final'!$AJ$66="Media",'Mapa final'!$AL$66="Moderado"),CONCATENATE("R2C",'Mapa final'!$S$66),"")</f>
        <v/>
      </c>
      <c r="AA40" s="54" t="str">
        <f>IF(AND('Mapa final'!$AJ$67="Media",'Mapa final'!$AL$67="Moderado"),CONCATENATE("R2C",'Mapa final'!$S$67),"")</f>
        <v/>
      </c>
      <c r="AB40" s="55" t="str">
        <f>IF(AND('Mapa final'!$AJ$68="Media",'Mapa final'!$AL$68="Moderado"),CONCATENATE("R2C",'Mapa final'!$S$68),"")</f>
        <v/>
      </c>
      <c r="AC40" s="38" t="str">
        <f>IF(AND('Mapa final'!$AJ$63="Media",'Mapa final'!$AL$63="Mayor"),CONCATENATE("R2C",'Mapa final'!$S$63),"")</f>
        <v/>
      </c>
      <c r="AD40" s="39" t="str">
        <f>IF(AND('Mapa final'!$AJ$64="Media",'Mapa final'!$AL$64="Mayor"),CONCATENATE("R2C",'Mapa final'!$S$64),"")</f>
        <v/>
      </c>
      <c r="AE40" s="39" t="str">
        <f>IF(AND('Mapa final'!$AJ$65="Media",'Mapa final'!$AL$65="Mayor"),CONCATENATE("R2C",'Mapa final'!$S$65),"")</f>
        <v/>
      </c>
      <c r="AF40" s="39" t="str">
        <f>IF(AND('Mapa final'!$AJ$66="Media",'Mapa final'!$AL$66="Mayor"),CONCATENATE("R2C",'Mapa final'!$S$66),"")</f>
        <v/>
      </c>
      <c r="AG40" s="39" t="str">
        <f>IF(AND('Mapa final'!$AJ$67="Media",'Mapa final'!$AL$67="Mayor"),CONCATENATE("R2C",'Mapa final'!$S$67),"")</f>
        <v/>
      </c>
      <c r="AH40" s="40" t="str">
        <f>IF(AND('Mapa final'!$AJ$68="Media",'Mapa final'!$AL$68="Mayor"),CONCATENATE("R2C",'Mapa final'!$S$68),"")</f>
        <v/>
      </c>
      <c r="AI40" s="41" t="str">
        <f>IF(AND('Mapa final'!$AJ$63="Media",'Mapa final'!$AL$63="Catastrófico"),CONCATENATE("R2C",'Mapa final'!$S$63),"")</f>
        <v/>
      </c>
      <c r="AJ40" s="42" t="str">
        <f>IF(AND('Mapa final'!$AJ$64="Media",'Mapa final'!$AL$64="Catastrófico"),CONCATENATE("R2C",'Mapa final'!$S$64),"")</f>
        <v/>
      </c>
      <c r="AK40" s="42" t="str">
        <f>IF(AND('Mapa final'!$AJ$65="Media",'Mapa final'!$AL$65="Catastrófico"),CONCATENATE("R2C",'Mapa final'!$S$65),"")</f>
        <v/>
      </c>
      <c r="AL40" s="42" t="str">
        <f>IF(AND('Mapa final'!$AJ$66="Media",'Mapa final'!$AL$66="Catastrófico"),CONCATENATE("R2C",'Mapa final'!$S$66),"")</f>
        <v/>
      </c>
      <c r="AM40" s="42" t="str">
        <f>IF(AND('Mapa final'!$AJ$67="Media",'Mapa final'!$AL$67="Catastrófico"),CONCATENATE("R2C",'Mapa final'!$S$67),"")</f>
        <v/>
      </c>
      <c r="AN40" s="43" t="str">
        <f>IF(AND('Mapa final'!$AJ$68="Media",'Mapa final'!$AL$68="Catastrófico"),CONCATENATE("R2C",'Mapa final'!$S$68),"")</f>
        <v/>
      </c>
      <c r="AO40" s="69"/>
      <c r="AP40" s="509"/>
      <c r="AQ40" s="510"/>
      <c r="AR40" s="510"/>
      <c r="AS40" s="510"/>
      <c r="AT40" s="510"/>
      <c r="AU40" s="511"/>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373"/>
      <c r="D41" s="373"/>
      <c r="E41" s="374"/>
      <c r="F41" s="471"/>
      <c r="G41" s="472"/>
      <c r="H41" s="472"/>
      <c r="I41" s="472"/>
      <c r="J41" s="473"/>
      <c r="K41" s="53" t="str">
        <f>IF(AND('Mapa final'!$AJ$69="Media",'Mapa final'!$AL$69="Leve"),CONCATENATE("R2C",'Mapa final'!$S$69),"")</f>
        <v/>
      </c>
      <c r="L41" s="54" t="str">
        <f>IF(AND('Mapa final'!$AJ$70="Media",'Mapa final'!$AL$70="Leve"),CONCATENATE("R2C",'Mapa final'!$S$70),"")</f>
        <v/>
      </c>
      <c r="M41" s="54" t="str">
        <f>IF(AND('Mapa final'!$AJ$71="Media",'Mapa final'!$AL$71="Leve"),CONCATENATE("R2C",'Mapa final'!$S$71),"")</f>
        <v/>
      </c>
      <c r="N41" s="54" t="str">
        <f>IF(AND('Mapa final'!$AJ$72="Media",'Mapa final'!$AL$72="Leve"),CONCATENATE("R2C",'Mapa final'!$S$72),"")</f>
        <v/>
      </c>
      <c r="O41" s="54" t="str">
        <f>IF(AND('Mapa final'!$AJ$74="Media",'Mapa final'!$AL$74="Leve"),CONCATENATE("R2C",'Mapa final'!$S$74),"")</f>
        <v/>
      </c>
      <c r="P41" s="55" t="str">
        <f>IF(AND('Mapa final'!$AJ$75="Media",'Mapa final'!$AL$75="Leve"),CONCATENATE("R2C",'Mapa final'!$S$75),"")</f>
        <v/>
      </c>
      <c r="Q41" s="53" t="str">
        <f>IF(AND('Mapa final'!$AJ$69="Media",'Mapa final'!$AL$69="Menor"),CONCATENATE("R2C",'Mapa final'!$S$69),"")</f>
        <v/>
      </c>
      <c r="R41" s="54" t="str">
        <f>IF(AND('Mapa final'!$AJ$70="Media",'Mapa final'!$AL$70="Menor"),CONCATENATE("R2C",'Mapa final'!$S$70),"")</f>
        <v/>
      </c>
      <c r="S41" s="54" t="str">
        <f>IF(AND('Mapa final'!$AJ$71="Media",'Mapa final'!$AL$71="Menor"),CONCATENATE("R2C",'Mapa final'!$S$71),"")</f>
        <v/>
      </c>
      <c r="T41" s="54" t="str">
        <f>IF(AND('Mapa final'!$AJ$72="Media",'Mapa final'!$AL$72="Menor"),CONCATENATE("R2C",'Mapa final'!$S$72),"")</f>
        <v/>
      </c>
      <c r="U41" s="54" t="str">
        <f>IF(AND('Mapa final'!$AJ$74="Media",'Mapa final'!$AL$74="Menor"),CONCATENATE("R2C",'Mapa final'!$S$74),"")</f>
        <v/>
      </c>
      <c r="V41" s="55" t="str">
        <f>IF(AND('Mapa final'!$AJ$75="Media",'Mapa final'!$AL$75="Menor"),CONCATENATE("R2C",'Mapa final'!$S$75),"")</f>
        <v/>
      </c>
      <c r="W41" s="53" t="str">
        <f>IF(AND('Mapa final'!$AJ$69="Media",'Mapa final'!$AL$69="Moderado"),CONCATENATE("R2C",'Mapa final'!$S$69),"")</f>
        <v/>
      </c>
      <c r="X41" s="54" t="str">
        <f>IF(AND('Mapa final'!$AJ$70="Media",'Mapa final'!$AL$70="Moderado"),CONCATENATE("R2C",'Mapa final'!$S$70),"")</f>
        <v/>
      </c>
      <c r="Y41" s="54" t="str">
        <f>IF(AND('Mapa final'!$AJ$71="Media",'Mapa final'!$AL$71="Moderado"),CONCATENATE("R2C",'Mapa final'!$S$71),"")</f>
        <v/>
      </c>
      <c r="Z41" s="54" t="str">
        <f>IF(AND('Mapa final'!$AJ$72="Media",'Mapa final'!$AL$72="Moderado"),CONCATENATE("R2C",'Mapa final'!$S$72),"")</f>
        <v/>
      </c>
      <c r="AA41" s="54" t="str">
        <f>IF(AND('Mapa final'!$AJ$74="Media",'Mapa final'!$AL$74="Moderado"),CONCATENATE("R2C",'Mapa final'!$S$74),"")</f>
        <v/>
      </c>
      <c r="AB41" s="55" t="str">
        <f>IF(AND('Mapa final'!$AJ$75="Media",'Mapa final'!$AL$75="Moderado"),CONCATENATE("R2C",'Mapa final'!$S$75),"")</f>
        <v/>
      </c>
      <c r="AC41" s="44" t="str">
        <f>IF(AND('Mapa final'!$AJ$69="Media",'Mapa final'!$AL$69="Mayor"),CONCATENATE("R2C",'Mapa final'!$S$69),"")</f>
        <v/>
      </c>
      <c r="AD41" s="45" t="str">
        <f>IF(AND('Mapa final'!$AJ$70="Media",'Mapa final'!$AL$70="Mayor"),CONCATENATE("R2C",'Mapa final'!$S$70),"")</f>
        <v/>
      </c>
      <c r="AE41" s="45" t="str">
        <f>IF(AND('Mapa final'!$AJ$71="Media",'Mapa final'!$AL$71="Mayor"),CONCATENATE("R2C",'Mapa final'!$S$71),"")</f>
        <v/>
      </c>
      <c r="AF41" s="45" t="str">
        <f>IF(AND('Mapa final'!$AJ$72="Media",'Mapa final'!$AL$72="Mayor"),CONCATENATE("R2C",'Mapa final'!$S$72),"")</f>
        <v/>
      </c>
      <c r="AG41" s="45" t="str">
        <f>IF(AND('Mapa final'!$AJ$74="Media",'Mapa final'!$AL$74="Mayor"),CONCATENATE("R2C",'Mapa final'!$S$74),"")</f>
        <v/>
      </c>
      <c r="AH41" s="46" t="str">
        <f>IF(AND('Mapa final'!$AJ$75="Media",'Mapa final'!$AL$75="Mayor"),CONCATENATE("R2C",'Mapa final'!$S$75),"")</f>
        <v/>
      </c>
      <c r="AI41" s="47" t="str">
        <f>IF(AND('Mapa final'!$AJ$69="Media",'Mapa final'!$AL$69="Catastrófico"),CONCATENATE("R2C",'Mapa final'!$S$69),"")</f>
        <v/>
      </c>
      <c r="AJ41" s="48" t="str">
        <f>IF(AND('Mapa final'!$AJ$70="Media",'Mapa final'!$AL$70="Catastrófico"),CONCATENATE("R2C",'Mapa final'!$S$70),"")</f>
        <v/>
      </c>
      <c r="AK41" s="48" t="str">
        <f>IF(AND('Mapa final'!$AJ$71="Media",'Mapa final'!$AL$71="Catastrófico"),CONCATENATE("R2C",'Mapa final'!$S$71),"")</f>
        <v/>
      </c>
      <c r="AL41" s="48" t="str">
        <f>IF(AND('Mapa final'!$AJ$72="Media",'Mapa final'!$AL$72="Catastrófico"),CONCATENATE("R2C",'Mapa final'!$S$72),"")</f>
        <v/>
      </c>
      <c r="AM41" s="48" t="str">
        <f>IF(AND('Mapa final'!$AJ$74="Media",'Mapa final'!$AL$74="Catastrófico"),CONCATENATE("R2C",'Mapa final'!$S$74),"")</f>
        <v/>
      </c>
      <c r="AN41" s="49" t="str">
        <f>IF(AND('Mapa final'!$AJ$75="Muy Alta",'Mapa final'!$AL$75="Catastrófico"),CONCATENATE("R2C",'Mapa final'!$S$75),"")</f>
        <v/>
      </c>
      <c r="AO41" s="69"/>
      <c r="AP41" s="512"/>
      <c r="AQ41" s="513"/>
      <c r="AR41" s="513"/>
      <c r="AS41" s="513"/>
      <c r="AT41" s="513"/>
      <c r="AU41" s="514"/>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373"/>
      <c r="D42" s="373"/>
      <c r="E42" s="374"/>
      <c r="F42" s="465" t="s">
        <v>113</v>
      </c>
      <c r="G42" s="466"/>
      <c r="H42" s="466"/>
      <c r="I42" s="466"/>
      <c r="J42" s="466"/>
      <c r="K42" s="59" t="str">
        <f ca="1">IF(AND('Mapa final'!$AJ$15="Baja",'Mapa final'!$AL$15="Leve"),CONCATENATE("R2C",'Mapa final'!$S$15),"")</f>
        <v/>
      </c>
      <c r="L42" s="60" t="str">
        <f ca="1">IF(AND('Mapa final'!$AJ$16="Baja",'Mapa final'!$AL$16="Leve"),CONCATENATE("R2C",'Mapa final'!$S$16),"")</f>
        <v/>
      </c>
      <c r="M42" s="60" t="str">
        <f ca="1">IF(AND('Mapa final'!$AJ$17="Baja",'Mapa final'!$AL$17="Leve"),CONCATENATE("R2C",'Mapa final'!$S$17),"")</f>
        <v/>
      </c>
      <c r="N42" s="60" t="str">
        <f>IF(AND('Mapa final'!$AJ$18="Baja",'Mapa final'!$AL$18="Leve"),CONCATENATE("R2C",'Mapa final'!$S$18),"")</f>
        <v/>
      </c>
      <c r="O42" s="60" t="str">
        <f>IF(AND('Mapa final'!$AJ$19="Baja",'Mapa final'!$AL$19="Leve"),CONCATENATE("R2C",'Mapa final'!$S$19),"")</f>
        <v/>
      </c>
      <c r="P42" s="61" t="str">
        <f>IF(AND('Mapa final'!$AJ$20="Baja",'Mapa final'!$AL$20="Leve"),CONCATENATE("R2C",'Mapa final'!$S$20),"")</f>
        <v/>
      </c>
      <c r="Q42" s="50" t="str">
        <f ca="1">IF(AND('Mapa final'!$AJ$15="Baja",'Mapa final'!$AL$15="Menor"),CONCATENATE("R2C",'Mapa final'!$S$15),"")</f>
        <v/>
      </c>
      <c r="R42" s="51" t="str">
        <f ca="1">IF(AND('Mapa final'!$AJ$16="Baja",'Mapa final'!$AL$16="Menore"),CONCATENATE("R2C",'Mapa final'!$S$16),"")</f>
        <v/>
      </c>
      <c r="S42" s="51" t="str">
        <f ca="1">IF(AND('Mapa final'!$AJ$17="Baja",'Mapa final'!$AL$17="Menor"),CONCATENATE("R2C",'Mapa final'!$S$17),"")</f>
        <v/>
      </c>
      <c r="T42" s="51" t="str">
        <f>IF(AND('Mapa final'!$AJ$18="Baja",'Mapa final'!$AL$18="Menor"),CONCATENATE("R2C",'Mapa final'!$S$18),"")</f>
        <v/>
      </c>
      <c r="U42" s="51" t="str">
        <f>IF(AND('Mapa final'!$AJ$19="Baja",'Mapa final'!$AL$19="Menor"),CONCATENATE("R2C",'Mapa final'!$S$19),"")</f>
        <v/>
      </c>
      <c r="V42" s="52" t="str">
        <f>IF(AND('Mapa final'!$AJ$20="Baja",'Mapa final'!$AL$20="Menor"),CONCATENATE("R2C",'Mapa final'!$S$20),"")</f>
        <v/>
      </c>
      <c r="W42" s="50" t="str">
        <f ca="1">IF(AND('Mapa final'!$AJ$15="Baja",'Mapa final'!$AL$15="Moderado"),CONCATENATE("R2C",'Mapa final'!$D$15),"")</f>
        <v>R2C1</v>
      </c>
      <c r="X42" s="51" t="str">
        <f ca="1">IF(AND('Mapa final'!$AJ$16="Baja",'Mapa final'!$AL$16="Moderado"),CONCATENATE("R2C",'Mapa final'!$D$16),"")</f>
        <v>R2C2</v>
      </c>
      <c r="Y42" s="51"/>
      <c r="Z42" s="51" t="str">
        <f>IF(AND('Mapa final'!$AJ$18="Baja",'Mapa final'!$AL$18="Moderado"),CONCATENATE("R2C",'Mapa final'!$S$18),"")</f>
        <v/>
      </c>
      <c r="AA42" s="51" t="str">
        <f>IF(AND('Mapa final'!$AJ$19="Baja",'Mapa final'!$AL$19="Moderado"),CONCATENATE("R2C",'Mapa final'!$S$19),"")</f>
        <v/>
      </c>
      <c r="AB42" s="52" t="str">
        <f>IF(AND('Mapa final'!$AJ$20="Baja",'Mapa final'!$AL$20="Moderado"),CONCATENATE("R2C",'Mapa final'!$S$20),"")</f>
        <v/>
      </c>
      <c r="AC42" s="32" t="str">
        <f ca="1">IF(AND('Mapa final'!$AJ$15="Baja",'Mapa final'!$AL$15="Mayor"),CONCATENATE("R2C",'Mapa final'!$S$15),"")</f>
        <v/>
      </c>
      <c r="AD42" s="33" t="str">
        <f ca="1">IF(AND('Mapa final'!$AJ$16="Baja",'Mapa final'!$AL$16="Mayor"),CONCATENATE("R2C",'Mapa final'!$S$16),"")</f>
        <v/>
      </c>
      <c r="AE42" s="33" t="str">
        <f ca="1">IF(AND('Mapa final'!$AJ$17="Baja",'Mapa final'!$AL$17="Mayor"),CONCATENATE("R2C",'Mapa final'!$S$17),"")</f>
        <v/>
      </c>
      <c r="AF42" s="33" t="str">
        <f>IF(AND('Mapa final'!$AJ$18="Baja",'Mapa final'!$AL$18="Mayor"),CONCATENATE("R2C",'Mapa final'!$S$18),"")</f>
        <v/>
      </c>
      <c r="AG42" s="33" t="str">
        <f>IF(AND('Mapa final'!$AJ$19="Baja",'Mapa final'!$AL$19="Mayor"),CONCATENATE("R2C",'Mapa final'!$S$19),"")</f>
        <v/>
      </c>
      <c r="AH42" s="34" t="str">
        <f>IF(AND('Mapa final'!$AJ$20="Baja",'Mapa final'!$AL$20="Mayor"),CONCATENATE("R2C",'Mapa final'!$S$20),"")</f>
        <v/>
      </c>
      <c r="AI42" s="35" t="str">
        <f ca="1">IF(AND('Mapa final'!$AJ$15="Baja",'Mapa final'!$AL$15="Catastrófico"),CONCATENATE("R2C",'Mapa final'!$S$15),"")</f>
        <v/>
      </c>
      <c r="AJ42" s="36" t="str">
        <f ca="1">IF(AND('Mapa final'!$AJ$16="Baja",'Mapa final'!$AL$16="Catastrófico"),CONCATENATE("R2C",'Mapa final'!$S$16),"")</f>
        <v/>
      </c>
      <c r="AK42" s="36" t="str">
        <f ca="1">IF(AND('Mapa final'!$AJ$17="Baja",'Mapa final'!$AL$17="Catastrófico"),CONCATENATE("R2C",'Mapa final'!$S$17),"")</f>
        <v/>
      </c>
      <c r="AL42" s="36" t="str">
        <f>IF(AND('Mapa final'!$AJ$18="Baja",'Mapa final'!$AL$18="Catastrófico"),CONCATENATE("R2C",'Mapa final'!$S$18),"")</f>
        <v/>
      </c>
      <c r="AM42" s="36" t="str">
        <f>IF(AND('Mapa final'!$AJ$19="Baja",'Mapa final'!$AL$19="Catastrófico"),CONCATENATE("R2C",'Mapa final'!$S$19),"")</f>
        <v/>
      </c>
      <c r="AN42" s="37" t="str">
        <f>IF(AND('Mapa final'!$AJ$20="Baja",'Mapa final'!$AL$20="Catastrófico"),CONCATENATE("R2C",'Mapa final'!$S$20),"")</f>
        <v/>
      </c>
      <c r="AO42" s="69"/>
      <c r="AP42" s="497" t="s">
        <v>81</v>
      </c>
      <c r="AQ42" s="498"/>
      <c r="AR42" s="498"/>
      <c r="AS42" s="498"/>
      <c r="AT42" s="498"/>
      <c r="AU42" s="49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373"/>
      <c r="D43" s="373"/>
      <c r="E43" s="374"/>
      <c r="F43" s="483"/>
      <c r="G43" s="469"/>
      <c r="H43" s="469"/>
      <c r="I43" s="469"/>
      <c r="J43" s="469"/>
      <c r="K43" s="62" t="str">
        <f>IF(AND('Mapa final'!$AJ$21="Baja",'Mapa final'!$AL$21="Leve"),CONCATENATE("R2C",'Mapa final'!$S$21),"")</f>
        <v/>
      </c>
      <c r="L43" s="63" t="str">
        <f>IF(AND('Mapa final'!$AJ$22="Baja",'Mapa final'!$AL$22="Leve"),CONCATENATE("R2C",'Mapa final'!$S$22),"")</f>
        <v/>
      </c>
      <c r="M43" s="63" t="str">
        <f>IF(AND('Mapa final'!$AJ$23="Baja",'Mapa final'!$AL$23="Leve"),CONCATENATE("R2C",'Mapa final'!$S$23),"")</f>
        <v/>
      </c>
      <c r="N43" s="63" t="str">
        <f>IF(AND('Mapa final'!$AJ$24="Baja",'Mapa final'!$AL$24="Leve"),CONCATENATE("R2C",'Mapa final'!$S$24),"")</f>
        <v/>
      </c>
      <c r="O43" s="63" t="str">
        <f>IF(AND('Mapa final'!$AJ$25="Baja",'Mapa final'!$AL$25="Leve"),CONCATENATE("R2C",'Mapa final'!$S$25),"")</f>
        <v/>
      </c>
      <c r="P43" s="64" t="str">
        <f>IF(AND('Mapa final'!$AJ$26="Baja",'Mapa final'!$AL$26="Leve"),CONCATENATE("R2C",'Mapa final'!$S$26),"")</f>
        <v/>
      </c>
      <c r="Q43" s="53" t="str">
        <f>IF(AND('Mapa final'!$AJ$21="Baja",'Mapa final'!$AL$21="Menor"),CONCATENATE("R2C",'Mapa final'!$S$21),"")</f>
        <v/>
      </c>
      <c r="R43" s="54" t="str">
        <f>IF(AND('Mapa final'!$AJ$22="Baja",'Mapa final'!$AL$22="Menor"),CONCATENATE("R2C",'Mapa final'!$S$22),"")</f>
        <v/>
      </c>
      <c r="S43" s="54" t="str">
        <f>IF(AND('Mapa final'!$AJ$23="Baja",'Mapa final'!$AL$23="Menor"),CONCATENATE("R2C",'Mapa final'!$S$23),"")</f>
        <v/>
      </c>
      <c r="T43" s="54" t="str">
        <f>IF(AND('Mapa final'!$AJ$24="Baja",'Mapa final'!$AL$24="Menor"),CONCATENATE("R2C",'Mapa final'!$S$24),"")</f>
        <v/>
      </c>
      <c r="U43" s="54" t="str">
        <f>IF(AND('Mapa final'!$AJ$25="Baja",'Mapa final'!$AL$25="Menor"),CONCATENATE("R2C",'Mapa final'!$S$25),"")</f>
        <v/>
      </c>
      <c r="V43" s="55" t="str">
        <f>IF(AND('Mapa final'!$AJ$26="Baja",'Mapa final'!$AL$26="Menor"),CONCATENATE("R2C",'Mapa final'!$S$26),"")</f>
        <v/>
      </c>
      <c r="W43" s="53" t="str">
        <f>IF(AND('Mapa final'!$AJ$21="Baja",'Mapa final'!$AL$21="Moderado"),CONCATENATE("R2C",'Mapa final'!$S$21),"")</f>
        <v/>
      </c>
      <c r="X43" s="54" t="str">
        <f>IF(AND('Mapa final'!$AJ$22="Baja",'Mapa final'!$AL$22="Moderado"),CONCATENATE("R2C",'Mapa final'!$S$22),"")</f>
        <v/>
      </c>
      <c r="Y43" s="54" t="str">
        <f>IF(AND('Mapa final'!$AJ$23="Baja",'Mapa final'!$AL$23="Moderado"),CONCATENATE("R2C",'Mapa final'!$S$23),"")</f>
        <v/>
      </c>
      <c r="Z43" s="54" t="str">
        <f>IF(AND('Mapa final'!$AJ$24="Baja",'Mapa final'!$AL$24="Moderado"),CONCATENATE("R2C",'Mapa final'!$S$24),"")</f>
        <v/>
      </c>
      <c r="AA43" s="54" t="str">
        <f>IF(AND('Mapa final'!$AJ$25="Baja",'Mapa final'!$AL$25="Moderado"),CONCATENATE("R2C",'Mapa final'!$S$25),"")</f>
        <v/>
      </c>
      <c r="AB43" s="55" t="str">
        <f>IF(AND('Mapa final'!$AJ$26="Baja",'Mapa final'!$AL$26="Moderado"),CONCATENATE("R2C",'Mapa final'!$S$26),"")</f>
        <v/>
      </c>
      <c r="AC43" s="38" t="str">
        <f>IF(AND('Mapa final'!$AJ$21="Baja",'Mapa final'!$AL$21="Mayor"),CONCATENATE("R2C",'Mapa final'!$S$21),"")</f>
        <v/>
      </c>
      <c r="AD43" s="39" t="str">
        <f>IF(AND('Mapa final'!$AJ$22="Baja",'Mapa final'!$AL$22="Mayor"),CONCATENATE("R2C",'Mapa final'!$S$22),"")</f>
        <v/>
      </c>
      <c r="AE43" s="39" t="str">
        <f>IF(AND('Mapa final'!$AJ$23="Baja",'Mapa final'!$AL$23="Mayor"),CONCATENATE("R2C",'Mapa final'!$S$23),"")</f>
        <v/>
      </c>
      <c r="AF43" s="39" t="str">
        <f>IF(AND('Mapa final'!$AJ$24="Baja",'Mapa final'!$AL$24="Mayor"),CONCATENATE("R2C",'Mapa final'!$S$24),"")</f>
        <v/>
      </c>
      <c r="AG43" s="39" t="str">
        <f>IF(AND('Mapa final'!$AJ$25="Baja",'Mapa final'!$AL$25="Mayor"),CONCATENATE("R2C",'Mapa final'!$S$25),"")</f>
        <v/>
      </c>
      <c r="AH43" s="40" t="str">
        <f>IF(AND('Mapa final'!$AJ$26="Baja",'Mapa final'!$AL$26="Mayor"),CONCATENATE("R2C",'Mapa final'!$S$26),"")</f>
        <v/>
      </c>
      <c r="AI43" s="41" t="str">
        <f>IF(AND('Mapa final'!$AJ$21="Baja",'Mapa final'!$AL$21="Catastrófico"),CONCATENATE("R2C",'Mapa final'!$S$21),"")</f>
        <v/>
      </c>
      <c r="AJ43" s="42" t="str">
        <f>IF(AND('Mapa final'!$AJ$22="Baja",'Mapa final'!$AL$22="Catastrófico"),CONCATENATE("R2C",'Mapa final'!$S$22),"")</f>
        <v/>
      </c>
      <c r="AK43" s="42" t="str">
        <f>IF(AND('Mapa final'!$AJ$23="Baja",'Mapa final'!$AL$23="Catastrófico"),CONCATENATE("R2C",'Mapa final'!$S$23),"")</f>
        <v/>
      </c>
      <c r="AL43" s="42" t="str">
        <f>IF(AND('Mapa final'!$AJ$24="Baja",'Mapa final'!$AL$24="Catastrófico"),CONCATENATE("R2C",'Mapa final'!$S$24),"")</f>
        <v/>
      </c>
      <c r="AM43" s="42" t="str">
        <f>IF(AND('Mapa final'!$AJ$25="Baja",'Mapa final'!$AL$25="Catastrófico"),CONCATENATE("R2C",'Mapa final'!$S$25),"")</f>
        <v/>
      </c>
      <c r="AN43" s="43" t="str">
        <f>IF(AND('Mapa final'!$AJ$26="Baja",'Mapa final'!$AL$26="Catastrófico"),CONCATENATE("R2C",'Mapa final'!$S$26),"")</f>
        <v/>
      </c>
      <c r="AO43" s="69"/>
      <c r="AP43" s="500"/>
      <c r="AQ43" s="501"/>
      <c r="AR43" s="501"/>
      <c r="AS43" s="501"/>
      <c r="AT43" s="501"/>
      <c r="AU43" s="502"/>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373"/>
      <c r="D44" s="373"/>
      <c r="E44" s="374"/>
      <c r="F44" s="468"/>
      <c r="G44" s="469"/>
      <c r="H44" s="469"/>
      <c r="I44" s="469"/>
      <c r="J44" s="469"/>
      <c r="K44" s="62" t="str">
        <f>IF(AND('Mapa final'!$AJ$27="Baja",'Mapa final'!$AL$27="Leve"),CONCATENATE("R2C",'Mapa final'!$S$27),"")</f>
        <v/>
      </c>
      <c r="L44" s="63" t="str">
        <f>IF(AND('Mapa final'!$AJ$28="Baja",'Mapa final'!$AL$28="Leve"),CONCATENATE("R2C",'Mapa final'!$S$28),"")</f>
        <v/>
      </c>
      <c r="M44" s="63" t="str">
        <f>IF(AND('Mapa final'!$AJ$29="Baja",'Mapa final'!$AL$29="Leve"),CONCATENATE("R2C",'Mapa final'!$S$29),"")</f>
        <v/>
      </c>
      <c r="N44" s="63" t="str">
        <f>IF(AND('Mapa final'!$AJ$30="Baja",'Mapa final'!$AL$30="Leve"),CONCATENATE("R2C",'Mapa final'!$S$30),"")</f>
        <v/>
      </c>
      <c r="O44" s="63" t="str">
        <f>IF(AND('Mapa final'!$AJ$31="Baja",'Mapa final'!$AL$31="Leve"),CONCATENATE("R2C",'Mapa final'!$S$31),"")</f>
        <v/>
      </c>
      <c r="P44" s="64" t="str">
        <f>IF(AND('Mapa final'!$AJ$32="Baja",'Mapa final'!$AL$32="Leve"),CONCATENATE("R2C",'Mapa final'!$S$32),"")</f>
        <v/>
      </c>
      <c r="Q44" s="53" t="str">
        <f>IF(AND('Mapa final'!$AJ$27="Baja",'Mapa final'!$AL$27="Menor"),CONCATENATE("R2C",'Mapa final'!$S$27),"")</f>
        <v/>
      </c>
      <c r="R44" s="54" t="str">
        <f>IF(AND('Mapa final'!$AJ$28="Baja",'Mapa final'!$AL$28="Menor"),CONCATENATE("R2C",'Mapa final'!$S$28),"")</f>
        <v/>
      </c>
      <c r="S44" s="54" t="str">
        <f>IF(AND('Mapa final'!$AJ$29="Baja",'Mapa final'!$AL$29="Menor"),CONCATENATE("R2C",'Mapa final'!$S$29),"")</f>
        <v/>
      </c>
      <c r="T44" s="54" t="str">
        <f>IF(AND('Mapa final'!$AJ$30="Baja",'Mapa final'!$AL$30="Menor"),CONCATENATE("R2C",'Mapa final'!$S$30),"")</f>
        <v/>
      </c>
      <c r="U44" s="54" t="str">
        <f>IF(AND('Mapa final'!$AJ$31="Baja",'Mapa final'!$AL$31="Menor"),CONCATENATE("R2C",'Mapa final'!$S$31),"")</f>
        <v/>
      </c>
      <c r="V44" s="55" t="str">
        <f>IF(AND('Mapa final'!$AJ$32="Baja",'Mapa final'!$AL$32="Menor"),CONCATENATE("R2C",'Mapa final'!$S$32),"")</f>
        <v/>
      </c>
      <c r="W44" s="53" t="str">
        <f>IF(AND('Mapa final'!$AJ$27="Baja",'Mapa final'!$AL$27="Moderado"),CONCATENATE("R2C",'Mapa final'!$S$27),"")</f>
        <v/>
      </c>
      <c r="X44" s="54" t="str">
        <f>IF(AND('Mapa final'!$AJ$28="Baja",'Mapa final'!$AL$28="Moderado"),CONCATENATE("R2C",'Mapa final'!$S$28),"")</f>
        <v/>
      </c>
      <c r="Y44" s="54" t="str">
        <f>IF(AND('Mapa final'!$AJ$29="Baja",'Mapa final'!$AL$29="Moderado"),CONCATENATE("R2C",'Mapa final'!$S$29),"")</f>
        <v/>
      </c>
      <c r="Z44" s="54" t="str">
        <f>IF(AND('Mapa final'!$AJ$30="Baja",'Mapa final'!$AL$30="Moderado"),CONCATENATE("R2C",'Mapa final'!$S$30),"")</f>
        <v/>
      </c>
      <c r="AA44" s="54" t="str">
        <f>IF(AND('Mapa final'!$AJ$31="Baja",'Mapa final'!$AL$31="Moderado"),CONCATENATE("R2C",'Mapa final'!$S$31),"")</f>
        <v/>
      </c>
      <c r="AB44" s="55" t="str">
        <f>IF(AND('Mapa final'!$AJ$32="Baja",'Mapa final'!$AL$32="Moderado"),CONCATENATE("R2C",'Mapa final'!$S$32),"")</f>
        <v/>
      </c>
      <c r="AC44" s="38" t="str">
        <f>IF(AND('Mapa final'!$AJ$27="Baja",'Mapa final'!$AL$27="Mayor"),CONCATENATE("R2C",'Mapa final'!$S$27),"")</f>
        <v/>
      </c>
      <c r="AD44" s="39" t="str">
        <f>IF(AND('Mapa final'!$AJ$28="Baja",'Mapa final'!$AL$28="Mayor"),CONCATENATE("R2C",'Mapa final'!$S$28),"")</f>
        <v/>
      </c>
      <c r="AE44" s="39" t="str">
        <f>IF(AND('Mapa final'!$AJ$29="Baja",'Mapa final'!$AL$29="Mayor"),CONCATENATE("R2C",'Mapa final'!$S$29),"")</f>
        <v/>
      </c>
      <c r="AF44" s="39" t="str">
        <f>IF(AND('Mapa final'!$AJ$30="Baja",'Mapa final'!$AL$30="Mayor"),CONCATENATE("R2C",'Mapa final'!$S$30),"")</f>
        <v/>
      </c>
      <c r="AG44" s="39" t="str">
        <f>IF(AND('Mapa final'!$AJ$31="Baja",'Mapa final'!$AL$31="Mayor"),CONCATENATE("R2C",'Mapa final'!$S$31),"")</f>
        <v/>
      </c>
      <c r="AH44" s="40" t="str">
        <f>IF(AND('Mapa final'!$AJ$32="Baja",'Mapa final'!$AL$32="Mayor"),CONCATENATE("R2C",'Mapa final'!$S$32),"")</f>
        <v/>
      </c>
      <c r="AI44" s="41" t="str">
        <f>IF(AND('Mapa final'!$AJ$27="Baja",'Mapa final'!$AL$27="Catastrófico"),CONCATENATE("R2C",'Mapa final'!$S$27),"")</f>
        <v/>
      </c>
      <c r="AJ44" s="42" t="str">
        <f>IF(AND('Mapa final'!$AJ$28="Baja",'Mapa final'!$AL$28="Catastrófico"),CONCATENATE("R2C",'Mapa final'!$S$28),"")</f>
        <v/>
      </c>
      <c r="AK44" s="42" t="str">
        <f>IF(AND('Mapa final'!$AJ$29="Baja",'Mapa final'!$AL$29="Catastrófico"),CONCATENATE("R2C",'Mapa final'!$S$29),"")</f>
        <v/>
      </c>
      <c r="AL44" s="42" t="str">
        <f>IF(AND('Mapa final'!$AJ$30="Baja",'Mapa final'!$AL$30="Catastrófico"),CONCATENATE("R2C",'Mapa final'!$S$30),"")</f>
        <v/>
      </c>
      <c r="AM44" s="42" t="str">
        <f>IF(AND('Mapa final'!$AJ$31="Baja",'Mapa final'!$AL$31="Catastrófico"),CONCATENATE("R2C",'Mapa final'!$S$31),"")</f>
        <v/>
      </c>
      <c r="AN44" s="43" t="str">
        <f>IF(AND('Mapa final'!$AJ$32="Baja",'Mapa final'!$AL$32="Catastrófico"),CONCATENATE("R2C",'Mapa final'!$S$32),"")</f>
        <v/>
      </c>
      <c r="AO44" s="69"/>
      <c r="AP44" s="500"/>
      <c r="AQ44" s="501"/>
      <c r="AR44" s="501"/>
      <c r="AS44" s="501"/>
      <c r="AT44" s="501"/>
      <c r="AU44" s="502"/>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373"/>
      <c r="D45" s="373"/>
      <c r="E45" s="374"/>
      <c r="F45" s="468"/>
      <c r="G45" s="469"/>
      <c r="H45" s="469"/>
      <c r="I45" s="469"/>
      <c r="J45" s="469"/>
      <c r="K45" s="62" t="str">
        <f>IF(AND('Mapa final'!$AJ$33="Baja",'Mapa final'!$AL$33="Leve"),CONCATENATE("R2C",'Mapa final'!$S$33),"")</f>
        <v/>
      </c>
      <c r="L45" s="63" t="str">
        <f>IF(AND('Mapa final'!$AJ$34="Baja",'Mapa final'!$AL$34="Leve"),CONCATENATE("R2C",'Mapa final'!$S$34),"")</f>
        <v/>
      </c>
      <c r="M45" s="63" t="str">
        <f>IF(AND('Mapa final'!$AJ$35="Baja",'Mapa final'!$AL$35="Leve"),CONCATENATE("R2C",'Mapa final'!$S$35),"")</f>
        <v/>
      </c>
      <c r="N45" s="63" t="str">
        <f>IF(AND('Mapa final'!$AJ$36="Baja",'Mapa final'!$AL$36="Leve"),CONCATENATE("R2C",'Mapa final'!$S$36),"")</f>
        <v/>
      </c>
      <c r="O45" s="63" t="str">
        <f>IF(AND('Mapa final'!$AJ$37="Baja",'Mapa final'!$AL$37="Leve"),CONCATENATE("R2C",'Mapa final'!$S$37),"")</f>
        <v/>
      </c>
      <c r="P45" s="64" t="str">
        <f>IF(AND('Mapa final'!$AJ$38="Baja",'Mapa final'!$AL$38="Leve"),CONCATENATE("R2C",'Mapa final'!$S$38),"")</f>
        <v/>
      </c>
      <c r="Q45" s="53" t="str">
        <f>IF(AND('Mapa final'!$AJ$33="Baja",'Mapa final'!$AL$33="Menor"),CONCATENATE("R2C",'Mapa final'!$S$33),"")</f>
        <v/>
      </c>
      <c r="R45" s="54" t="str">
        <f>IF(AND('Mapa final'!$AJ$34="Baja",'Mapa final'!$AL$34="Menor"),CONCATENATE("R2C",'Mapa final'!$S$34),"")</f>
        <v/>
      </c>
      <c r="S45" s="54" t="str">
        <f>IF(AND('Mapa final'!$AJ$35="Baja",'Mapa final'!$AL$35="Menor"),CONCATENATE("R2C",'Mapa final'!$S$35),"")</f>
        <v/>
      </c>
      <c r="T45" s="54" t="str">
        <f>IF(AND('Mapa final'!$AJ$36="Baja",'Mapa final'!$AL$36="Menor"),CONCATENATE("R2C",'Mapa final'!$S$36),"")</f>
        <v/>
      </c>
      <c r="U45" s="54" t="str">
        <f>IF(AND('Mapa final'!$AJ$37="Baja",'Mapa final'!$AL$37="LMenor"),CONCATENATE("R2C",'Mapa final'!$S$37),"")</f>
        <v/>
      </c>
      <c r="V45" s="55" t="str">
        <f>IF(AND('Mapa final'!$AJ$38="Baja",'Mapa final'!$AL$38="Menor"),CONCATENATE("R2C",'Mapa final'!$S$38),"")</f>
        <v/>
      </c>
      <c r="W45" s="53" t="str">
        <f>IF(AND('Mapa final'!$AJ$33="Baja",'Mapa final'!$AL$33="Moderado"),CONCATENATE("R2C",'Mapa final'!$S$33),"")</f>
        <v/>
      </c>
      <c r="X45" s="54" t="str">
        <f>IF(AND('Mapa final'!$AJ$34="Baja",'Mapa final'!$AL$34="Moderado"),CONCATENATE("R2C",'Mapa final'!$S$34),"")</f>
        <v/>
      </c>
      <c r="Y45" s="54" t="str">
        <f>IF(AND('Mapa final'!$AJ$35="Baja",'Mapa final'!$AL$35="Moderado"),CONCATENATE("R2C",'Mapa final'!$S$35),"")</f>
        <v/>
      </c>
      <c r="Z45" s="54" t="str">
        <f>IF(AND('Mapa final'!$AJ$36="Baja",'Mapa final'!$AL$36="Moderado"),CONCATENATE("R2C",'Mapa final'!$S$36),"")</f>
        <v/>
      </c>
      <c r="AA45" s="54" t="str">
        <f>IF(AND('Mapa final'!$AJ$37="Baja",'Mapa final'!$AL$37="Moderado"),CONCATENATE("R2C",'Mapa final'!$S$37),"")</f>
        <v/>
      </c>
      <c r="AB45" s="55" t="str">
        <f>IF(AND('Mapa final'!$AJ$38="Baja",'Mapa final'!$AL$38="Moderado"),CONCATENATE("R2C",'Mapa final'!$S$38),"")</f>
        <v/>
      </c>
      <c r="AC45" s="38" t="str">
        <f>IF(AND('Mapa final'!$AJ$33="Baja",'Mapa final'!$AL$33="Mayor"),CONCATENATE("R2C",'Mapa final'!$S$33),"")</f>
        <v/>
      </c>
      <c r="AD45" s="39" t="str">
        <f>IF(AND('Mapa final'!$AJ$34="Baja",'Mapa final'!$AL$34="Mayor"),CONCATENATE("R2C",'Mapa final'!$S$34),"")</f>
        <v/>
      </c>
      <c r="AE45" s="39" t="str">
        <f>IF(AND('Mapa final'!$AJ$35="Baja",'Mapa final'!$AL$35="Mayor"),CONCATENATE("R2C",'Mapa final'!$S$35),"")</f>
        <v/>
      </c>
      <c r="AF45" s="39" t="str">
        <f>IF(AND('Mapa final'!$AJ$36="Baja",'Mapa final'!$AL$36="Mayor"),CONCATENATE("R2C",'Mapa final'!$S$36),"")</f>
        <v/>
      </c>
      <c r="AG45" s="39" t="str">
        <f>IF(AND('Mapa final'!$AJ$37="Baja",'Mapa final'!$AL$37="Mayor"),CONCATENATE("R2C",'Mapa final'!$S$37),"")</f>
        <v/>
      </c>
      <c r="AH45" s="40" t="str">
        <f>IF(AND('Mapa final'!$AJ$38="Baja",'Mapa final'!$AL$38="Mayor"),CONCATENATE("R2C",'Mapa final'!$S$38),"")</f>
        <v/>
      </c>
      <c r="AI45" s="41" t="str">
        <f>IF(AND('Mapa final'!$AJ$33="Baja",'Mapa final'!$AL$33="Catastrófico"),CONCATENATE("R2C",'Mapa final'!$S$33),"")</f>
        <v/>
      </c>
      <c r="AJ45" s="42" t="str">
        <f>IF(AND('Mapa final'!$AJ$34="Baja",'Mapa final'!$AL$34="Catastrófico"),CONCATENATE("R2C",'Mapa final'!$S$34),"")</f>
        <v/>
      </c>
      <c r="AK45" s="42" t="str">
        <f>IF(AND('Mapa final'!$AJ$35="Baja",'Mapa final'!$AL$35="Catastrófico"),CONCATENATE("R2C",'Mapa final'!$S$35),"")</f>
        <v/>
      </c>
      <c r="AL45" s="42" t="str">
        <f>IF(AND('Mapa final'!$AJ$36="Baja",'Mapa final'!$AL$36="Catastrófico"),CONCATENATE("R2C",'Mapa final'!$S$36),"")</f>
        <v/>
      </c>
      <c r="AM45" s="42" t="str">
        <f>IF(AND('Mapa final'!$AJ$37="Baja",'Mapa final'!$AL$37="LCatastrófico"),CONCATENATE("R2C",'Mapa final'!$S$37),"")</f>
        <v/>
      </c>
      <c r="AN45" s="43" t="str">
        <f>IF(AND('Mapa final'!$AJ$38="Baja",'Mapa final'!$AL$38="Catastrófico"),CONCATENATE("R2C",'Mapa final'!$S$38),"")</f>
        <v/>
      </c>
      <c r="AO45" s="69"/>
      <c r="AP45" s="500"/>
      <c r="AQ45" s="501"/>
      <c r="AR45" s="501"/>
      <c r="AS45" s="501"/>
      <c r="AT45" s="501"/>
      <c r="AU45" s="502"/>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373"/>
      <c r="D46" s="373"/>
      <c r="E46" s="374"/>
      <c r="F46" s="468"/>
      <c r="G46" s="469"/>
      <c r="H46" s="469"/>
      <c r="I46" s="469"/>
      <c r="J46" s="469"/>
      <c r="K46" s="62" t="str">
        <f>IF(AND('Mapa final'!$AJ$39="Baja",'Mapa final'!$AL$39="Leve"),CONCATENATE("R2C",'Mapa final'!$S$39),"")</f>
        <v/>
      </c>
      <c r="L46" s="63" t="str">
        <f>IF(AND('Mapa final'!$AJ$40="Baja",'Mapa final'!$AL$40="Leve"),CONCATENATE("R2C",'Mapa final'!$S$40),"")</f>
        <v/>
      </c>
      <c r="M46" s="63" t="str">
        <f>IF(AND('Mapa final'!$AJ$41="Baja",'Mapa final'!$AL$41="Leve"),CONCATENATE("R2C",'Mapa final'!$S$41),"")</f>
        <v/>
      </c>
      <c r="N46" s="63" t="str">
        <f>IF(AND('Mapa final'!$AJ$42="Baja",'Mapa final'!$AL$42="Leve"),CONCATENATE("R2C",'Mapa final'!$S$42),"")</f>
        <v/>
      </c>
      <c r="O46" s="63" t="str">
        <f>IF(AND('Mapa final'!$AJ$43="Baja",'Mapa final'!$AL$43="Leve"),CONCATENATE("R2C",'Mapa final'!$S$43),"")</f>
        <v/>
      </c>
      <c r="P46" s="64" t="str">
        <f>IF(AND('Mapa final'!$AJ$44="Baja",'Mapa final'!$AL$44="Leve"),CONCATENATE("R2C",'Mapa final'!$S$44),"")</f>
        <v/>
      </c>
      <c r="Q46" s="53" t="str">
        <f>IF(AND('Mapa final'!$AJ$39="Baja",'Mapa final'!$AL$39="Menor"),CONCATENATE("R2C",'Mapa final'!$S$39),"")</f>
        <v/>
      </c>
      <c r="R46" s="54" t="str">
        <f>IF(AND('Mapa final'!$AJ$40="Baja",'Mapa final'!$AL$40="Menor"),CONCATENATE("R2C",'Mapa final'!$S$40),"")</f>
        <v/>
      </c>
      <c r="S46" s="54" t="str">
        <f>IF(AND('Mapa final'!$AJ$41="Baja",'Mapa final'!$AL$41="Menor"),CONCATENATE("R2C",'Mapa final'!$S$41),"")</f>
        <v/>
      </c>
      <c r="T46" s="54" t="str">
        <f>IF(AND('Mapa final'!$AJ$42="Baja",'Mapa final'!$AL$42="Menor"),CONCATENATE("R2C",'Mapa final'!$S$42),"")</f>
        <v/>
      </c>
      <c r="U46" s="54" t="str">
        <f>IF(AND('Mapa final'!$AJ$43="Baja",'Mapa final'!$AL$43="Menor"),CONCATENATE("R2C",'Mapa final'!$S$43),"")</f>
        <v/>
      </c>
      <c r="V46" s="55" t="str">
        <f>IF(AND('Mapa final'!$AJ$44="Baja",'Mapa final'!$AL$44="Menor"),CONCATENATE("R2C",'Mapa final'!$S$44),"")</f>
        <v/>
      </c>
      <c r="W46" s="53" t="str">
        <f>IF(AND('Mapa final'!$AJ$39="Baja",'Mapa final'!$AL$39="Moderado"),CONCATENATE("R2C",'Mapa final'!$S$39),"")</f>
        <v/>
      </c>
      <c r="X46" s="54" t="str">
        <f>IF(AND('Mapa final'!$AJ$40="Baja",'Mapa final'!$AL$40="Moderado"),CONCATENATE("R2C",'Mapa final'!$S$40),"")</f>
        <v/>
      </c>
      <c r="Y46" s="54" t="str">
        <f>IF(AND('Mapa final'!$AJ$41="Baja",'Mapa final'!$AL$41="Moderado"),CONCATENATE("R2C",'Mapa final'!$S$41),"")</f>
        <v/>
      </c>
      <c r="Z46" s="54" t="str">
        <f>IF(AND('Mapa final'!$AJ$42="Baja",'Mapa final'!$AL$42="Moderado"),CONCATENATE("R2C",'Mapa final'!$S$42),"")</f>
        <v/>
      </c>
      <c r="AA46" s="54" t="str">
        <f>IF(AND('Mapa final'!$AJ$43="Baja",'Mapa final'!$AL$43="Moderado"),CONCATENATE("R2C",'Mapa final'!$S$43),"")</f>
        <v/>
      </c>
      <c r="AB46" s="55" t="str">
        <f>IF(AND('Mapa final'!$AJ$44="Baja",'Mapa final'!$AL$44="Moderado"),CONCATENATE("R2C",'Mapa final'!$S$44),"")</f>
        <v/>
      </c>
      <c r="AC46" s="38" t="str">
        <f>IF(AND('Mapa final'!$AJ$39="Baja",'Mapa final'!$AL$39="Mayor"),CONCATENATE("R2C",'Mapa final'!$S$39),"")</f>
        <v/>
      </c>
      <c r="AD46" s="39" t="str">
        <f>IF(AND('Mapa final'!$AJ$40="Baja",'Mapa final'!$AL$40="Mayor"),CONCATENATE("R2C",'Mapa final'!$S$40),"")</f>
        <v/>
      </c>
      <c r="AE46" s="39" t="str">
        <f>IF(AND('Mapa final'!$AJ$41="Baja",'Mapa final'!$AL$41="Mayor"),CONCATENATE("R2C",'Mapa final'!$S$41),"")</f>
        <v/>
      </c>
      <c r="AF46" s="39" t="str">
        <f>IF(AND('Mapa final'!$AJ$42="Baja",'Mapa final'!$AL$42="Mayor"),CONCATENATE("R2C",'Mapa final'!$S$42),"")</f>
        <v/>
      </c>
      <c r="AG46" s="39" t="str">
        <f>IF(AND('Mapa final'!$AJ$43="Baja",'Mapa final'!$AL$43="Mayor"),CONCATENATE("R2C",'Mapa final'!$S$43),"")</f>
        <v/>
      </c>
      <c r="AH46" s="40" t="str">
        <f>IF(AND('Mapa final'!$AJ$44="Baja",'Mapa final'!$AL$44="Mayor"),CONCATENATE("R2C",'Mapa final'!$S$44),"")</f>
        <v/>
      </c>
      <c r="AI46" s="41" t="str">
        <f>IF(AND('Mapa final'!$AJ$39="Baja",'Mapa final'!$AL$39="Catastrófico"),CONCATENATE("R2C",'Mapa final'!$S$39),"")</f>
        <v/>
      </c>
      <c r="AJ46" s="42" t="str">
        <f>IF(AND('Mapa final'!$AJ$40="Baja",'Mapa final'!$AL$40="Catastrófico"),CONCATENATE("R2C",'Mapa final'!$S$40),"")</f>
        <v/>
      </c>
      <c r="AK46" s="42" t="str">
        <f>IF(AND('Mapa final'!$AJ$41="Baja",'Mapa final'!$AL$41="Catastrófico"),CONCATENATE("R2C",'Mapa final'!$S$41),"")</f>
        <v/>
      </c>
      <c r="AL46" s="42" t="str">
        <f>IF(AND('Mapa final'!$AJ$42="Baja",'Mapa final'!$AL$42="Catastrófico"),CONCATENATE("R2C",'Mapa final'!$S$42),"")</f>
        <v/>
      </c>
      <c r="AM46" s="42" t="str">
        <f>IF(AND('Mapa final'!$AJ$43="Baja",'Mapa final'!$AL$43="Catastrófico"),CONCATENATE("R2C",'Mapa final'!$S$43),"")</f>
        <v/>
      </c>
      <c r="AN46" s="43" t="str">
        <f>IF(AND('Mapa final'!$AJ$44="Baja",'Mapa final'!$AL$44="Catastrófico"),CONCATENATE("R2C",'Mapa final'!$S$44),"")</f>
        <v/>
      </c>
      <c r="AO46" s="69"/>
      <c r="AP46" s="500"/>
      <c r="AQ46" s="501"/>
      <c r="AR46" s="501"/>
      <c r="AS46" s="501"/>
      <c r="AT46" s="501"/>
      <c r="AU46" s="502"/>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373"/>
      <c r="D47" s="373"/>
      <c r="E47" s="374"/>
      <c r="F47" s="468"/>
      <c r="G47" s="469"/>
      <c r="H47" s="469"/>
      <c r="I47" s="469"/>
      <c r="J47" s="469"/>
      <c r="K47" s="62" t="str">
        <f>IF(AND('Mapa final'!$AJ$45="Baja",'Mapa final'!$AL$45="Leve"),CONCATENATE("R2C",'Mapa final'!$S$45),"")</f>
        <v/>
      </c>
      <c r="L47" s="63" t="str">
        <f>IF(AND('Mapa final'!$AJ$46="Baja",'Mapa final'!$AL$46="Leve"),CONCATENATE("R2C",'Mapa final'!$S$46),"")</f>
        <v/>
      </c>
      <c r="M47" s="63" t="str">
        <f>IF(AND('Mapa final'!$AJ$47="Baja",'Mapa final'!$AL$47="Leve"),CONCATENATE("R2C",'Mapa final'!$S$47),"")</f>
        <v/>
      </c>
      <c r="N47" s="63" t="str">
        <f>IF(AND('Mapa final'!$AJ$48="Baja",'Mapa final'!$AL$48="Leve"),CONCATENATE("R2C",'Mapa final'!$S$48),"")</f>
        <v/>
      </c>
      <c r="O47" s="63" t="str">
        <f>IF(AND('Mapa final'!$AJ$49="Baja",'Mapa final'!$AL$49="Leve"),CONCATENATE("R2C",'Mapa final'!$S$49),"")</f>
        <v/>
      </c>
      <c r="P47" s="64" t="str">
        <f>IF(AND('Mapa final'!$AJ$60="Baja",'Mapa final'!$AL$50="Leve"),CONCATENATE("R2C",'Mapa final'!$S$50),"")</f>
        <v/>
      </c>
      <c r="Q47" s="53" t="str">
        <f>IF(AND('Mapa final'!$AJ$45="Baja",'Mapa final'!$AL$45="Menor"),CONCATENATE("R2C",'Mapa final'!$S$45),"")</f>
        <v/>
      </c>
      <c r="R47" s="54" t="str">
        <f>IF(AND('Mapa final'!$AJ$46="Baja",'Mapa final'!$AL$46="Menor"),CONCATENATE("R2C",'Mapa final'!$S$46),"")</f>
        <v/>
      </c>
      <c r="S47" s="54" t="str">
        <f>IF(AND('Mapa final'!$AJ$47="Baja",'Mapa final'!$AL$47="Menor"),CONCATENATE("R2C",'Mapa final'!$S$47),"")</f>
        <v/>
      </c>
      <c r="T47" s="54" t="str">
        <f>IF(AND('Mapa final'!$AJ$48="Baja",'Mapa final'!$AL$48="Menor"),CONCATENATE("R2C",'Mapa final'!$S$48),"")</f>
        <v/>
      </c>
      <c r="U47" s="54" t="str">
        <f>IF(AND('Mapa final'!$AJ$49="Baja",'Mapa final'!$AL$49="Menor"),CONCATENATE("R2C",'Mapa final'!$S$49),"")</f>
        <v/>
      </c>
      <c r="V47" s="55" t="str">
        <f>IF(AND('Mapa final'!$AJ$60="Baja",'Mapa final'!$AL$50="Menor"),CONCATENATE("R2C",'Mapa final'!$S$50),"")</f>
        <v/>
      </c>
      <c r="W47" s="53" t="str">
        <f>IF(AND('Mapa final'!$AJ$45="Baja",'Mapa final'!$AL$45="Moderado"),CONCATENATE("R2C",'Mapa final'!$S$45),"")</f>
        <v/>
      </c>
      <c r="X47" s="54" t="str">
        <f>IF(AND('Mapa final'!$AJ$46="Baja",'Mapa final'!$AL$46="Moderado"),CONCATENATE("R2C",'Mapa final'!$S$46),"")</f>
        <v/>
      </c>
      <c r="Y47" s="54" t="str">
        <f>IF(AND('Mapa final'!$AJ$47="Baja",'Mapa final'!$AL$47="Moderado"),CONCATENATE("R2C",'Mapa final'!$S$47),"")</f>
        <v/>
      </c>
      <c r="Z47" s="54" t="str">
        <f>IF(AND('Mapa final'!$AJ$48="Baja",'Mapa final'!$AL$48="Moderado"),CONCATENATE("R2C",'Mapa final'!$S$48),"")</f>
        <v/>
      </c>
      <c r="AA47" s="54" t="str">
        <f>IF(AND('Mapa final'!$AJ$49="Baja",'Mapa final'!$AL$49="Moderado"),CONCATENATE("R2C",'Mapa final'!$S$49),"")</f>
        <v/>
      </c>
      <c r="AB47" s="55" t="str">
        <f>IF(AND('Mapa final'!$AJ$60="Baja",'Mapa final'!$AL$50="Moderado"),CONCATENATE("R2C",'Mapa final'!$S$50),"")</f>
        <v/>
      </c>
      <c r="AC47" s="38" t="str">
        <f>IF(AND('Mapa final'!$AJ$45="Baja",'Mapa final'!$AL$45="Mayor"),CONCATENATE("R2C",'Mapa final'!$S$45),"")</f>
        <v/>
      </c>
      <c r="AD47" s="39" t="str">
        <f>IF(AND('Mapa final'!$AJ$46="Baja",'Mapa final'!$AL$46="Mayor"),CONCATENATE("R2C",'Mapa final'!$S$46),"")</f>
        <v/>
      </c>
      <c r="AE47" s="39" t="str">
        <f>IF(AND('Mapa final'!$AJ$47="Baja",'Mapa final'!$AL$47="Mayor"),CONCATENATE("R2C",'Mapa final'!$S$47),"")</f>
        <v/>
      </c>
      <c r="AF47" s="39" t="str">
        <f>IF(AND('Mapa final'!$AJ$48="Baja",'Mapa final'!$AL$48="Mayor"),CONCATENATE("R2C",'Mapa final'!$S$48),"")</f>
        <v/>
      </c>
      <c r="AG47" s="39" t="str">
        <f>IF(AND('Mapa final'!$AJ$49="Baja",'Mapa final'!$AL$49="Mayor"),CONCATENATE("R2C",'Mapa final'!$S$49),"")</f>
        <v/>
      </c>
      <c r="AH47" s="40" t="str">
        <f>IF(AND('Mapa final'!$AJ$60="Baja",'Mapa final'!$AL$50="Mayor"),CONCATENATE("R2C",'Mapa final'!$S$50),"")</f>
        <v/>
      </c>
      <c r="AI47" s="41" t="str">
        <f>IF(AND('Mapa final'!$AJ$45="Baja",'Mapa final'!$AL$45="Catastrófico"),CONCATENATE("R2C",'Mapa final'!$S$45),"")</f>
        <v/>
      </c>
      <c r="AJ47" s="42" t="str">
        <f>IF(AND('Mapa final'!$AJ$46="Baja",'Mapa final'!$AL$46="Catastrófico"),CONCATENATE("R2C",'Mapa final'!$S$46),"")</f>
        <v/>
      </c>
      <c r="AK47" s="42" t="str">
        <f>IF(AND('Mapa final'!$AJ$47="Baja",'Mapa final'!$AL$47="Catastrófico"),CONCATENATE("R2C",'Mapa final'!$S$47),"")</f>
        <v/>
      </c>
      <c r="AL47" s="42" t="str">
        <f>IF(AND('Mapa final'!$AJ$48="Baja",'Mapa final'!$AL$48="Catastrófico"),CONCATENATE("R2C",'Mapa final'!$S$48),"")</f>
        <v/>
      </c>
      <c r="AM47" s="42" t="str">
        <f>IF(AND('Mapa final'!$AJ$49="Baja",'Mapa final'!$AL$49="Catastrófico"),CONCATENATE("R2C",'Mapa final'!$S$49),"")</f>
        <v/>
      </c>
      <c r="AN47" s="43" t="str">
        <f>IF(AND('Mapa final'!$AJ$60="Baja",'Mapa final'!$AL$50="Catastrófico"),CONCATENATE("R2C",'Mapa final'!$S$50),"")</f>
        <v/>
      </c>
      <c r="AO47" s="69"/>
      <c r="AP47" s="500"/>
      <c r="AQ47" s="501"/>
      <c r="AR47" s="501"/>
      <c r="AS47" s="501"/>
      <c r="AT47" s="501"/>
      <c r="AU47" s="502"/>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373"/>
      <c r="D48" s="373"/>
      <c r="E48" s="374"/>
      <c r="F48" s="468"/>
      <c r="G48" s="469"/>
      <c r="H48" s="469"/>
      <c r="I48" s="469"/>
      <c r="J48" s="469"/>
      <c r="K48" s="62" t="str">
        <f>IF(AND('Mapa final'!$AJ$51="Baja",'Mapa final'!$AL$51="Leve"),CONCATENATE("R2C",'Mapa final'!$S$51),"")</f>
        <v/>
      </c>
      <c r="L48" s="63" t="str">
        <f>IF(AND('Mapa final'!$AJ$52="Baja",'Mapa final'!$AL$52="Leve"),CONCATENATE("R2C",'Mapa final'!$S$52),"")</f>
        <v/>
      </c>
      <c r="M48" s="63" t="str">
        <f>IF(AND('Mapa final'!$AJ$53="Baja",'Mapa final'!$AL$53="Leve"),CONCATENATE("R2C",'Mapa final'!$S$53),"")</f>
        <v/>
      </c>
      <c r="N48" s="63" t="str">
        <f>IF(AND('Mapa final'!$AJ$54="Baja",'Mapa final'!$AL$54="Leve"),CONCATENATE("R2C",'Mapa final'!$S$54),"")</f>
        <v/>
      </c>
      <c r="O48" s="63" t="str">
        <f>IF(AND('Mapa final'!$AJ$55="Baja",'Mapa final'!$AL$55="Leve"),CONCATENATE("R2C",'Mapa final'!$S$55),"")</f>
        <v/>
      </c>
      <c r="P48" s="64" t="str">
        <f>IF(AND('Mapa final'!$AJ$56="Baja",'Mapa final'!$AL$56="Leve"),CONCATENATE("R2C",'Mapa final'!$S$56),"")</f>
        <v/>
      </c>
      <c r="Q48" s="53" t="str">
        <f>IF(AND('Mapa final'!$AJ$51="Baja",'Mapa final'!$AL$51="Menor"),CONCATENATE("R2C",'Mapa final'!$S$51),"")</f>
        <v/>
      </c>
      <c r="R48" s="54" t="str">
        <f>IF(AND('Mapa final'!$AJ$52="Baja",'Mapa final'!$AL$52="Menor"),CONCATENATE("R2C",'Mapa final'!$S$52),"")</f>
        <v/>
      </c>
      <c r="S48" s="54" t="str">
        <f>IF(AND('Mapa final'!$AJ$53="Baja",'Mapa final'!$AL$53="Menor"),CONCATENATE("R2C",'Mapa final'!$S$53),"")</f>
        <v/>
      </c>
      <c r="T48" s="54" t="str">
        <f>IF(AND('Mapa final'!$AJ$54="Baja",'Mapa final'!$AL$54="Menor"),CONCATENATE("R2C",'Mapa final'!$S$54),"")</f>
        <v/>
      </c>
      <c r="U48" s="54" t="str">
        <f>IF(AND('Mapa final'!$AJ$55="Baja",'Mapa final'!$AL$55="Menor"),CONCATENATE("R2C",'Mapa final'!$S$55),"")</f>
        <v/>
      </c>
      <c r="V48" s="55" t="str">
        <f>IF(AND('Mapa final'!$AJ$56="Baja",'Mapa final'!$AL$56="Menor"),CONCATENATE("R2C",'Mapa final'!$S$56),"")</f>
        <v/>
      </c>
      <c r="W48" s="53" t="str">
        <f>IF(AND('Mapa final'!$AJ$51="Baja",'Mapa final'!$AL$51="Moderado"),CONCATENATE("R2C",'Mapa final'!$S$51),"")</f>
        <v/>
      </c>
      <c r="X48" s="54" t="str">
        <f>IF(AND('Mapa final'!$AJ$52="Baja",'Mapa final'!$AL$52="Moderado"),CONCATENATE("R2C",'Mapa final'!$S$52),"")</f>
        <v/>
      </c>
      <c r="Y48" s="54" t="str">
        <f>IF(AND('Mapa final'!$AJ$53="Baja",'Mapa final'!$AL$53="Moderado"),CONCATENATE("R2C",'Mapa final'!$S$53),"")</f>
        <v/>
      </c>
      <c r="Z48" s="54" t="str">
        <f>IF(AND('Mapa final'!$AJ$54="Baja",'Mapa final'!$AL$54="Moderado"),CONCATENATE("R2C",'Mapa final'!$S$54),"")</f>
        <v/>
      </c>
      <c r="AA48" s="54" t="str">
        <f>IF(AND('Mapa final'!$AJ$55="Baja",'Mapa final'!$AL$55="Moderado"),CONCATENATE("R2C",'Mapa final'!$S$55),"")</f>
        <v/>
      </c>
      <c r="AB48" s="55" t="str">
        <f>IF(AND('Mapa final'!$AJ$56="Baja",'Mapa final'!$AL$56="Moderado"),CONCATENATE("R2C",'Mapa final'!$S$56),"")</f>
        <v/>
      </c>
      <c r="AC48" s="38" t="str">
        <f>IF(AND('Mapa final'!$AJ$51="Baja",'Mapa final'!$AL$51="Mayor"),CONCATENATE("R2C",'Mapa final'!$S$51),"")</f>
        <v/>
      </c>
      <c r="AD48" s="39" t="str">
        <f>IF(AND('Mapa final'!$AJ$52="Baja",'Mapa final'!$AL$52="Mayor"),CONCATENATE("R2C",'Mapa final'!$S$52),"")</f>
        <v/>
      </c>
      <c r="AE48" s="39" t="str">
        <f>IF(AND('Mapa final'!$AJ$53="Baja",'Mapa final'!$AL$53="Mayor"),CONCATENATE("R2C",'Mapa final'!$S$53),"")</f>
        <v/>
      </c>
      <c r="AF48" s="39" t="str">
        <f>IF(AND('Mapa final'!$AJ$54="Baja",'Mapa final'!$AL$54="Mayor"),CONCATENATE("R2C",'Mapa final'!$S$54),"")</f>
        <v/>
      </c>
      <c r="AG48" s="39" t="str">
        <f>IF(AND('Mapa final'!$AJ$55="Baja",'Mapa final'!$AL$55="Mayor"),CONCATENATE("R2C",'Mapa final'!$S$55),"")</f>
        <v/>
      </c>
      <c r="AH48" s="40" t="str">
        <f>IF(AND('Mapa final'!$AJ$56="Baja",'Mapa final'!$AL$56="Mayor"),CONCATENATE("R2C",'Mapa final'!$S$56),"")</f>
        <v/>
      </c>
      <c r="AI48" s="41" t="str">
        <f>IF(AND('Mapa final'!$AJ$51="Baja",'Mapa final'!$AL$51="Catastrófico"),CONCATENATE("R2C",'Mapa final'!$S$51),"")</f>
        <v/>
      </c>
      <c r="AJ48" s="42" t="str">
        <f>IF(AND('Mapa final'!$AJ$52="Baja",'Mapa final'!$AL$52="Catastrófico"),CONCATENATE("R2C",'Mapa final'!$S$52),"")</f>
        <v/>
      </c>
      <c r="AK48" s="42" t="str">
        <f>IF(AND('Mapa final'!$AJ$53="Baja",'Mapa final'!$AL$53="Catastrófico"),CONCATENATE("R2C",'Mapa final'!$S$53),"")</f>
        <v/>
      </c>
      <c r="AL48" s="42" t="str">
        <f>IF(AND('Mapa final'!$AJ$54="Baja",'Mapa final'!$AL$54="Catastrófico"),CONCATENATE("R2C",'Mapa final'!$S$54),"")</f>
        <v/>
      </c>
      <c r="AM48" s="42" t="str">
        <f>IF(AND('Mapa final'!$AJ$55="Baja",'Mapa final'!$AL$55="Catastrófico"),CONCATENATE("R2C",'Mapa final'!$S$55),"")</f>
        <v/>
      </c>
      <c r="AN48" s="43" t="str">
        <f>IF(AND('Mapa final'!$AJ$56="Baja",'Mapa final'!$AL$56="Catastrófico"),CONCATENATE("R2C",'Mapa final'!$S$56),"")</f>
        <v/>
      </c>
      <c r="AO48" s="69"/>
      <c r="AP48" s="500"/>
      <c r="AQ48" s="501"/>
      <c r="AR48" s="501"/>
      <c r="AS48" s="501"/>
      <c r="AT48" s="501"/>
      <c r="AU48" s="502"/>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373"/>
      <c r="D49" s="373"/>
      <c r="E49" s="374"/>
      <c r="F49" s="468"/>
      <c r="G49" s="469"/>
      <c r="H49" s="469"/>
      <c r="I49" s="469"/>
      <c r="J49" s="469"/>
      <c r="K49" s="62" t="str">
        <f>IF(AND('Mapa final'!$AJ$57="Baja",'Mapa final'!$AL$57="Leve"),CONCATENATE("R2C",'Mapa final'!$S$57),"")</f>
        <v/>
      </c>
      <c r="L49" s="63" t="str">
        <f>IF(AND('Mapa final'!$AJ$58="Baja",'Mapa final'!$AL$58="Leve"),CONCATENATE("R2C",'Mapa final'!$S$58),"")</f>
        <v/>
      </c>
      <c r="M49" s="63" t="str">
        <f>IF(AND('Mapa final'!$AJ$59="Baja",'Mapa final'!$AL$59="Leve"),CONCATENATE("R2C",'Mapa final'!$S$59),"")</f>
        <v/>
      </c>
      <c r="N49" s="63" t="str">
        <f>IF(AND('Mapa final'!$AJ$60="Baja",'Mapa final'!$AL$60="Leve"),CONCATENATE("R2C",'Mapa final'!$S$60),"")</f>
        <v/>
      </c>
      <c r="O49" s="63" t="str">
        <f>IF(AND('Mapa final'!$AJ$61="Baja",'Mapa final'!$AL$61="Leve"),CONCATENATE("R2C",'Mapa final'!$S$61),"")</f>
        <v/>
      </c>
      <c r="P49" s="64" t="str">
        <f>IF(AND('Mapa final'!$AJ$62="Baja",'Mapa final'!$AL$62="Leve"),CONCATENATE("R2C",'Mapa final'!$S$62),"")</f>
        <v/>
      </c>
      <c r="Q49" s="53" t="str">
        <f>IF(AND('Mapa final'!$AJ$57="Baja",'Mapa final'!$AL$57="Menor"),CONCATENATE("R2C",'Mapa final'!$S$57),"")</f>
        <v/>
      </c>
      <c r="R49" s="54" t="str">
        <f>IF(AND('Mapa final'!$AJ$58="Baja",'Mapa final'!$AL$58="Menor"),CONCATENATE("R2C",'Mapa final'!$S$58),"")</f>
        <v/>
      </c>
      <c r="S49" s="54" t="str">
        <f>IF(AND('Mapa final'!$AJ$59="Baja",'Mapa final'!$AL$59="Menor"),CONCATENATE("R2C",'Mapa final'!$S$59),"")</f>
        <v/>
      </c>
      <c r="T49" s="54" t="str">
        <f>IF(AND('Mapa final'!$AJ$60="Baja",'Mapa final'!$AL$60="Menor"),CONCATENATE("R2C",'Mapa final'!$S$60),"")</f>
        <v/>
      </c>
      <c r="U49" s="54" t="str">
        <f>IF(AND('Mapa final'!$AJ$61="Baja",'Mapa final'!$AL$61="Menor"),CONCATENATE("R2C",'Mapa final'!$S$61),"")</f>
        <v/>
      </c>
      <c r="V49" s="55" t="str">
        <f>IF(AND('Mapa final'!$AJ$62="Baja",'Mapa final'!$AL$62="Menor"),CONCATENATE("R2C",'Mapa final'!$S$62),"")</f>
        <v/>
      </c>
      <c r="W49" s="53" t="str">
        <f>IF(AND('Mapa final'!$AJ$57="Baja",'Mapa final'!$AL$57="Moderado"),CONCATENATE("R2C",'Mapa final'!$S$57),"")</f>
        <v/>
      </c>
      <c r="X49" s="54" t="str">
        <f>IF(AND('Mapa final'!$AJ$58="Baja",'Mapa final'!$AL$58="Moderado"),CONCATENATE("R2C",'Mapa final'!$S$58),"")</f>
        <v/>
      </c>
      <c r="Y49" s="54" t="str">
        <f>IF(AND('Mapa final'!$AJ$59="Baja",'Mapa final'!$AL$59="Moderado"),CONCATENATE("R2C",'Mapa final'!$S$59),"")</f>
        <v/>
      </c>
      <c r="Z49" s="54" t="str">
        <f>IF(AND('Mapa final'!$AJ$60="Baja",'Mapa final'!$AL$60="Moderado"),CONCATENATE("R2C",'Mapa final'!$S$60),"")</f>
        <v/>
      </c>
      <c r="AA49" s="54" t="str">
        <f>IF(AND('Mapa final'!$AJ$61="Baja",'Mapa final'!$AL$61="Moderado"),CONCATENATE("R2C",'Mapa final'!$S$61),"")</f>
        <v/>
      </c>
      <c r="AB49" s="55" t="str">
        <f>IF(AND('Mapa final'!$AJ$62="Baja",'Mapa final'!$AL$62="Moderado"),CONCATENATE("R2C",'Mapa final'!$S$62),"")</f>
        <v/>
      </c>
      <c r="AC49" s="38" t="str">
        <f>IF(AND('Mapa final'!$AJ$57="Baja",'Mapa final'!$AL$57="Mayor"),CONCATENATE("R2C",'Mapa final'!$S$57),"")</f>
        <v/>
      </c>
      <c r="AD49" s="39" t="str">
        <f>IF(AND('Mapa final'!$AJ$58="Baja",'Mapa final'!$AL$58="Mayor"),CONCATENATE("R2C",'Mapa final'!$S$58),"")</f>
        <v/>
      </c>
      <c r="AE49" s="39" t="str">
        <f>IF(AND('Mapa final'!$AJ$59="Baja",'Mapa final'!$AL$59="Mayor"),CONCATENATE("R2C",'Mapa final'!$S$59),"")</f>
        <v/>
      </c>
      <c r="AF49" s="39" t="str">
        <f>IF(AND('Mapa final'!$AJ$60="Baja",'Mapa final'!$AL$60="Mayor"),CONCATENATE("R2C",'Mapa final'!$S$60),"")</f>
        <v/>
      </c>
      <c r="AG49" s="39" t="str">
        <f>IF(AND('Mapa final'!$AJ$61="Baja",'Mapa final'!$AL$61="Mayor"),CONCATENATE("R2C",'Mapa final'!$S$61),"")</f>
        <v/>
      </c>
      <c r="AH49" s="40" t="str">
        <f>IF(AND('Mapa final'!$AJ$62="Baja",'Mapa final'!$AL$62="Mayor"),CONCATENATE("R2C",'Mapa final'!$S$62),"")</f>
        <v/>
      </c>
      <c r="AI49" s="41" t="str">
        <f>IF(AND('Mapa final'!$AJ$57="Baja",'Mapa final'!$AL$57="Catastrófico"),CONCATENATE("R2C",'Mapa final'!$S$57),"")</f>
        <v/>
      </c>
      <c r="AJ49" s="42" t="str">
        <f>IF(AND('Mapa final'!$AJ$58="Baja",'Mapa final'!$AL$58="Catastrófico"),CONCATENATE("R2C",'Mapa final'!$S$58),"")</f>
        <v/>
      </c>
      <c r="AK49" s="42" t="str">
        <f>IF(AND('Mapa final'!$AJ$59="Baja",'Mapa final'!$AL$59="Catastrófico"),CONCATENATE("R2C",'Mapa final'!$S$59),"")</f>
        <v/>
      </c>
      <c r="AL49" s="42" t="str">
        <f>IF(AND('Mapa final'!$AJ$60="Baja",'Mapa final'!$AL$60="Catastrófico"),CONCATENATE("R2C",'Mapa final'!$S$60),"")</f>
        <v/>
      </c>
      <c r="AM49" s="42" t="str">
        <f>IF(AND('Mapa final'!$AJ$61="Baja",'Mapa final'!$AL$61="Catastrófico"),CONCATENATE("R2C",'Mapa final'!$S$61),"")</f>
        <v/>
      </c>
      <c r="AN49" s="43" t="str">
        <f>IF(AND('Mapa final'!$AJ$62="Baja",'Mapa final'!$AL$62="Catastrófico"),CONCATENATE("R2C",'Mapa final'!$S$62),"")</f>
        <v/>
      </c>
      <c r="AO49" s="69"/>
      <c r="AP49" s="500"/>
      <c r="AQ49" s="501"/>
      <c r="AR49" s="501"/>
      <c r="AS49" s="501"/>
      <c r="AT49" s="501"/>
      <c r="AU49" s="502"/>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373"/>
      <c r="D50" s="373"/>
      <c r="E50" s="374"/>
      <c r="F50" s="468"/>
      <c r="G50" s="469"/>
      <c r="H50" s="469"/>
      <c r="I50" s="469"/>
      <c r="J50" s="469"/>
      <c r="K50" s="62" t="str">
        <f>IF(AND('Mapa final'!$AJ$63="Baja",'Mapa final'!$AL$63="Leve"),CONCATENATE("R2C",'Mapa final'!$S$63),"")</f>
        <v/>
      </c>
      <c r="L50" s="63" t="str">
        <f>IF(AND('Mapa final'!$AJ$64="Baja",'Mapa final'!$AL$64="Leve"),CONCATENATE("R2C",'Mapa final'!$S$64),"")</f>
        <v/>
      </c>
      <c r="M50" s="63" t="str">
        <f>IF(AND('Mapa final'!$AJ$65="Baja",'Mapa final'!$AL$65="Leve"),CONCATENATE("R2C",'Mapa final'!$S$65),"")</f>
        <v/>
      </c>
      <c r="N50" s="63" t="str">
        <f>IF(AND('Mapa final'!$AJ$66="Baja",'Mapa final'!$AL$66="Leve"),CONCATENATE("R2C",'Mapa final'!$S$66),"")</f>
        <v/>
      </c>
      <c r="O50" s="63" t="str">
        <f>IF(AND('Mapa final'!$AJ$67="Baja",'Mapa final'!$AL$67="Leve"),CONCATENATE("R2C",'Mapa final'!$S$67),"")</f>
        <v/>
      </c>
      <c r="P50" s="64" t="str">
        <f>IF(AND('Mapa final'!$AJ$68="Baja",'Mapa final'!$AL$68="Leve"),CONCATENATE("R2C",'Mapa final'!$S$68),"")</f>
        <v/>
      </c>
      <c r="Q50" s="53" t="str">
        <f>IF(AND('Mapa final'!$AJ$63="Baja",'Mapa final'!$AL$63="Menor"),CONCATENATE("R2C",'Mapa final'!$S$63),"")</f>
        <v/>
      </c>
      <c r="R50" s="54" t="str">
        <f>IF(AND('Mapa final'!$AJ$64="Baja",'Mapa final'!$AL$64="Menor"),CONCATENATE("R2C",'Mapa final'!$S$64),"")</f>
        <v/>
      </c>
      <c r="S50" s="54" t="str">
        <f>IF(AND('Mapa final'!$AJ$65="Baja",'Mapa final'!$AL$65="Menor"),CONCATENATE("R2C",'Mapa final'!$S$65),"")</f>
        <v/>
      </c>
      <c r="T50" s="54" t="str">
        <f>IF(AND('Mapa final'!$AJ$66="Baja",'Mapa final'!$AL$66="Menor"),CONCATENATE("R2C",'Mapa final'!$S$66),"")</f>
        <v/>
      </c>
      <c r="U50" s="54" t="str">
        <f>IF(AND('Mapa final'!$AJ$67="Baja",'Mapa final'!$AL$67="Menor"),CONCATENATE("R2C",'Mapa final'!$S$67),"")</f>
        <v/>
      </c>
      <c r="V50" s="55" t="str">
        <f>IF(AND('Mapa final'!$AJ$68="Baja",'Mapa final'!$AL$68="Menor"),CONCATENATE("R2C",'Mapa final'!$S$68),"")</f>
        <v/>
      </c>
      <c r="W50" s="53" t="str">
        <f>IF(AND('Mapa final'!$AJ$63="Baja",'Mapa final'!$AL$63="Moderado"),CONCATENATE("R2C",'Mapa final'!$S$63),"")</f>
        <v/>
      </c>
      <c r="X50" s="54" t="str">
        <f>IF(AND('Mapa final'!$AJ$64="Baja",'Mapa final'!$AL$64="Moderado"),CONCATENATE("R2C",'Mapa final'!$S$64),"")</f>
        <v/>
      </c>
      <c r="Y50" s="54" t="str">
        <f>IF(AND('Mapa final'!$AJ$65="Baja",'Mapa final'!$AL$65="Moderado"),CONCATENATE("R2C",'Mapa final'!$S$65),"")</f>
        <v/>
      </c>
      <c r="Z50" s="54" t="str">
        <f>IF(AND('Mapa final'!$AJ$66="Baja",'Mapa final'!$AL$66="Moderado"),CONCATENATE("R2C",'Mapa final'!$S$66),"")</f>
        <v/>
      </c>
      <c r="AA50" s="54" t="str">
        <f>IF(AND('Mapa final'!$AJ$67="Baja",'Mapa final'!$AL$67="Moderado"),CONCATENATE("R2C",'Mapa final'!$S$67),"")</f>
        <v/>
      </c>
      <c r="AB50" s="55" t="str">
        <f>IF(AND('Mapa final'!$AJ$68="Baja",'Mapa final'!$AL$68="Moderado"),CONCATENATE("R2C",'Mapa final'!$S$68),"")</f>
        <v/>
      </c>
      <c r="AC50" s="38" t="str">
        <f>IF(AND('Mapa final'!$AJ$63="Baja",'Mapa final'!$AL$63="Mayor"),CONCATENATE("R2C",'Mapa final'!$S$63),"")</f>
        <v/>
      </c>
      <c r="AD50" s="39" t="str">
        <f>IF(AND('Mapa final'!$AJ$64="Baja",'Mapa final'!$AL$64="Mayor"),CONCATENATE("R2C",'Mapa final'!$S$64),"")</f>
        <v/>
      </c>
      <c r="AE50" s="39" t="str">
        <f>IF(AND('Mapa final'!$AJ$65="Baja",'Mapa final'!$AL$65="Mayor"),CONCATENATE("R2C",'Mapa final'!$S$65),"")</f>
        <v/>
      </c>
      <c r="AF50" s="39" t="str">
        <f>IF(AND('Mapa final'!$AJ$66="Baja",'Mapa final'!$AL$66="Mayor"),CONCATENATE("R2C",'Mapa final'!$S$66),"")</f>
        <v/>
      </c>
      <c r="AG50" s="39" t="str">
        <f>IF(AND('Mapa final'!$AJ$67="Baja",'Mapa final'!$AL$67="Mayor"),CONCATENATE("R2C",'Mapa final'!$S$67),"")</f>
        <v/>
      </c>
      <c r="AH50" s="40" t="str">
        <f>IF(AND('Mapa final'!$AJ$68="Baja",'Mapa final'!$AL$68="Mayor"),CONCATENATE("R2C",'Mapa final'!$S$68),"")</f>
        <v/>
      </c>
      <c r="AI50" s="41" t="str">
        <f>IF(AND('Mapa final'!$AJ$63="Baja",'Mapa final'!$AL$63="Catastrófico"),CONCATENATE("R2C",'Mapa final'!$S$63),"")</f>
        <v/>
      </c>
      <c r="AJ50" s="42" t="str">
        <f>IF(AND('Mapa final'!$AJ$64="Baja",'Mapa final'!$AL$64="Catastrófico"),CONCATENATE("R2C",'Mapa final'!$S$64),"")</f>
        <v/>
      </c>
      <c r="AK50" s="42" t="str">
        <f>IF(AND('Mapa final'!$AJ$65="Baja",'Mapa final'!$AL$65="Catastrófico"),CONCATENATE("R2C",'Mapa final'!$S$65),"")</f>
        <v/>
      </c>
      <c r="AL50" s="42" t="str">
        <f>IF(AND('Mapa final'!$AJ$66="Baja",'Mapa final'!$AL$66="Catastrófico"),CONCATENATE("R2C",'Mapa final'!$S$66),"")</f>
        <v/>
      </c>
      <c r="AM50" s="42" t="str">
        <f>IF(AND('Mapa final'!$AJ$67="Baja",'Mapa final'!$AL$67="Catastrófico"),CONCATENATE("R2C",'Mapa final'!$S$67),"")</f>
        <v/>
      </c>
      <c r="AN50" s="43" t="str">
        <f>IF(AND('Mapa final'!$AJ$68="Baja",'Mapa final'!$AL$68="Catastrófico"),CONCATENATE("R2C",'Mapa final'!$S$68),"")</f>
        <v/>
      </c>
      <c r="AO50" s="69"/>
      <c r="AP50" s="500"/>
      <c r="AQ50" s="501"/>
      <c r="AR50" s="501"/>
      <c r="AS50" s="501"/>
      <c r="AT50" s="501"/>
      <c r="AU50" s="502"/>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373"/>
      <c r="D51" s="373"/>
      <c r="E51" s="374"/>
      <c r="F51" s="471"/>
      <c r="G51" s="472"/>
      <c r="H51" s="472"/>
      <c r="I51" s="472"/>
      <c r="J51" s="472"/>
      <c r="K51" s="65" t="str">
        <f>IF(AND('Mapa final'!$AJ$69="Baja",'Mapa final'!$AL$69="Leve"),CONCATENATE("R2C",'Mapa final'!$S$69),"")</f>
        <v/>
      </c>
      <c r="L51" s="66" t="str">
        <f>IF(AND('Mapa final'!$AJ$70="Baja",'Mapa final'!$AL$70="Leve"),CONCATENATE("R2C",'Mapa final'!$S$70),"")</f>
        <v/>
      </c>
      <c r="M51" s="66" t="str">
        <f>IF(AND('Mapa final'!$AJ$71="Baja",'Mapa final'!$AL$71="Leve"),CONCATENATE("R2C",'Mapa final'!$S$71),"")</f>
        <v/>
      </c>
      <c r="N51" s="66" t="str">
        <f>IF(AND('Mapa final'!$AJ$72="Baja",'Mapa final'!$AL$72="Leve"),CONCATENATE("R2C",'Mapa final'!$S$72),"")</f>
        <v/>
      </c>
      <c r="O51" s="66" t="str">
        <f>IF(AND('Mapa final'!$AJ$74="Baja",'Mapa final'!$AL$74="Leve"),CONCATENATE("R2C",'Mapa final'!$S$74),"")</f>
        <v/>
      </c>
      <c r="P51" s="67" t="str">
        <f>IF(AND('Mapa final'!$AJ$75="Baja",'Mapa final'!$AL$75="Leve"),CONCATENATE("R2C",'Mapa final'!$S$75),"")</f>
        <v/>
      </c>
      <c r="Q51" s="53" t="str">
        <f>IF(AND('Mapa final'!$AJ$69="Baja",'Mapa final'!$AL$69="Menor"),CONCATENATE("R2C",'Mapa final'!$S$69),"")</f>
        <v/>
      </c>
      <c r="R51" s="54" t="str">
        <f>IF(AND('Mapa final'!$AJ$70="Baja",'Mapa final'!$AL$70="Menor"),CONCATENATE("R2C",'Mapa final'!$S$70),"")</f>
        <v/>
      </c>
      <c r="S51" s="54" t="str">
        <f>IF(AND('Mapa final'!$AJ$71="Baja",'Mapa final'!$AL$71="Menor"),CONCATENATE("R2C",'Mapa final'!$S$71),"")</f>
        <v/>
      </c>
      <c r="T51" s="54" t="str">
        <f>IF(AND('Mapa final'!$AJ$72="Baja",'Mapa final'!$AL$72="Menor"),CONCATENATE("R2C",'Mapa final'!$S$72),"")</f>
        <v/>
      </c>
      <c r="U51" s="54" t="str">
        <f>IF(AND('Mapa final'!$AJ$74="Baja",'Mapa final'!$AL$74="Menor"),CONCATENATE("R2C",'Mapa final'!$S$74),"")</f>
        <v/>
      </c>
      <c r="V51" s="55" t="str">
        <f>IF(AND('Mapa final'!$AJ$75="Baja",'Mapa final'!$AL$75="Menor"),CONCATENATE("R2C",'Mapa final'!$S$75),"")</f>
        <v/>
      </c>
      <c r="W51" s="56" t="str">
        <f>IF(AND('Mapa final'!$AJ$69="Baja",'Mapa final'!$AL$69="Moderado"),CONCATENATE("R2C",'Mapa final'!$S$69),"")</f>
        <v/>
      </c>
      <c r="X51" s="57" t="str">
        <f>IF(AND('Mapa final'!$AJ$70="Baja",'Mapa final'!$AL$70="Moderado"),CONCATENATE("R2C",'Mapa final'!$S$70),"")</f>
        <v/>
      </c>
      <c r="Y51" s="57" t="str">
        <f>IF(AND('Mapa final'!$AJ$71="Baja",'Mapa final'!$AL$71="Moderado"),CONCATENATE("R2C",'Mapa final'!$S$71),"")</f>
        <v/>
      </c>
      <c r="Z51" s="57" t="str">
        <f>IF(AND('Mapa final'!$AJ$72="Baja",'Mapa final'!$AL$72="Moderado"),CONCATENATE("R2C",'Mapa final'!$S$72),"")</f>
        <v/>
      </c>
      <c r="AA51" s="57" t="str">
        <f>IF(AND('Mapa final'!$AJ$74="Baja",'Mapa final'!$AL$74="Moderado"),CONCATENATE("R2C",'Mapa final'!$S$74),"")</f>
        <v/>
      </c>
      <c r="AB51" s="58" t="str">
        <f>IF(AND('Mapa final'!$AJ$75="Baja",'Mapa final'!$AL$75="Moderado"),CONCATENATE("R2C",'Mapa final'!$S$75),"")</f>
        <v/>
      </c>
      <c r="AC51" s="44" t="str">
        <f>IF(AND('Mapa final'!$AJ$69="Baja",'Mapa final'!$AL$69="Mayor"),CONCATENATE("R2C",'Mapa final'!$S$69),"")</f>
        <v/>
      </c>
      <c r="AD51" s="45" t="str">
        <f>IF(AND('Mapa final'!$AJ$70="Baja",'Mapa final'!$AL$70="Mayor"),CONCATENATE("R2C",'Mapa final'!$S$70),"")</f>
        <v/>
      </c>
      <c r="AE51" s="45" t="str">
        <f>IF(AND('Mapa final'!$AJ$71="Baja",'Mapa final'!$AL$71="Mayor"),CONCATENATE("R2C",'Mapa final'!$S$71),"")</f>
        <v/>
      </c>
      <c r="AF51" s="45" t="str">
        <f>IF(AND('Mapa final'!$AJ$72="Baja",'Mapa final'!$AL$72="Mayor"),CONCATENATE("R2C",'Mapa final'!$S$72),"")</f>
        <v/>
      </c>
      <c r="AG51" s="45" t="str">
        <f>IF(AND('Mapa final'!$AJ$74="Baja",'Mapa final'!$AL$74="Mayor"),CONCATENATE("R2C",'Mapa final'!$S$74),"")</f>
        <v/>
      </c>
      <c r="AH51" s="46" t="str">
        <f>IF(AND('Mapa final'!$AJ$75="Baja",'Mapa final'!$AL$75="Mayor"),CONCATENATE("R2C",'Mapa final'!$S$75),"")</f>
        <v/>
      </c>
      <c r="AI51" s="47" t="str">
        <f>IF(AND('Mapa final'!$AJ$69="Baja",'Mapa final'!$AL$69="Catastrófico"),CONCATENATE("R2C",'Mapa final'!$S$69),"")</f>
        <v/>
      </c>
      <c r="AJ51" s="48" t="str">
        <f>IF(AND('Mapa final'!$AJ$70="Baja",'Mapa final'!$AL$70="Catastrófico"),CONCATENATE("R2C",'Mapa final'!$S$70),"")</f>
        <v/>
      </c>
      <c r="AK51" s="48" t="str">
        <f>IF(AND('Mapa final'!$AJ$71="Baja",'Mapa final'!$AL$71="Catastrófico"),CONCATENATE("R2C",'Mapa final'!$S$71),"")</f>
        <v/>
      </c>
      <c r="AL51" s="48" t="str">
        <f>IF(AND('Mapa final'!$AJ$72="Baja",'Mapa final'!$AL$72="Catastrófico"),CONCATENATE("R2C",'Mapa final'!$S$72),"")</f>
        <v/>
      </c>
      <c r="AM51" s="48" t="str">
        <f>IF(AND('Mapa final'!$AJ$74="Baja",'Mapa final'!$AL$74="Catastrófico"),CONCATENATE("R2C",'Mapa final'!$S$74),"")</f>
        <v/>
      </c>
      <c r="AN51" s="49" t="str">
        <f>IF(AND('Mapa final'!$AJ$75="Baja",'Mapa final'!$AL$75="Catastrófico"),CONCATENATE("R2C",'Mapa final'!$S$75),"")</f>
        <v/>
      </c>
      <c r="AO51" s="69"/>
      <c r="AP51" s="503"/>
      <c r="AQ51" s="504"/>
      <c r="AR51" s="504"/>
      <c r="AS51" s="504"/>
      <c r="AT51" s="504"/>
      <c r="AU51" s="505"/>
    </row>
    <row r="52" spans="2:81" ht="41.25" customHeight="1" x14ac:dyDescent="0.35">
      <c r="B52" s="69"/>
      <c r="C52" s="373"/>
      <c r="D52" s="373"/>
      <c r="E52" s="374"/>
      <c r="F52" s="465" t="s">
        <v>112</v>
      </c>
      <c r="G52" s="466"/>
      <c r="H52" s="466"/>
      <c r="I52" s="466"/>
      <c r="J52" s="467"/>
      <c r="K52" s="59" t="str">
        <f ca="1">IF(AND('Mapa final'!$AJ$15="Muy Baja",'Mapa final'!$AL$15="Leve"),CONCATENATE("R2C",'Mapa final'!$S$15),"")</f>
        <v/>
      </c>
      <c r="L52" s="60" t="str">
        <f ca="1">IF(AND('Mapa final'!$AJ$16="Muy Baja",'Mapa final'!$AL$16="Leve"),CONCATENATE("R2C",'Mapa final'!$S$16),"")</f>
        <v/>
      </c>
      <c r="M52" s="60" t="str">
        <f ca="1">IF(AND('Mapa final'!$AJ$17="Muy Baja",'Mapa final'!$AL$17="Leve"),CONCATENATE("R2C",'Mapa final'!$S$17),"")</f>
        <v/>
      </c>
      <c r="N52" s="60" t="str">
        <f>IF(AND('Mapa final'!$AJ$18="Muy Baja",'Mapa final'!$AL$18="Leve"),CONCATENATE("R2C",'Mapa final'!$D$17),"")</f>
        <v>R2C3</v>
      </c>
      <c r="O52" s="60" t="str">
        <f>IF(AND('Mapa final'!$AJ$19="Muy Baja",'Mapa final'!$AL$19="Leve"),CONCATENATE("R2C",'Mapa final'!$S$19),"")</f>
        <v/>
      </c>
      <c r="P52" s="61" t="str">
        <f>IF(AND('Mapa final'!$AJ$20="Muy Baja",'Mapa final'!$AL$20="Leve"),CONCATENATE("R2C",'Mapa final'!$S$20),"")</f>
        <v/>
      </c>
      <c r="Q52" s="59" t="str">
        <f ca="1">IF(AND('Mapa final'!$AJ$15="Muy Baja",'Mapa final'!$AL$15="Menor"),CONCATENATE("R2C",'Mapa final'!$S$15),"")</f>
        <v/>
      </c>
      <c r="R52" s="60" t="str">
        <f ca="1">IF(AND('Mapa final'!$AJ$16="Muy Baja",'Mapa final'!$AL$16="Menore"),CONCATENATE("R2C",'Mapa final'!$S$16),"")</f>
        <v/>
      </c>
      <c r="S52" s="60" t="str">
        <f ca="1">IF(AND('Mapa final'!$AJ$17="Muy Baja",'Mapa final'!$AL$17="Menor"),CONCATENATE("R2C",'Mapa final'!$S$17),"")</f>
        <v/>
      </c>
      <c r="T52" s="60" t="str">
        <f>IF(AND('Mapa final'!$AJ$18="Muy Baja",'Mapa final'!$AL$18="Menor"),CONCATENATE("R2C",'Mapa final'!$S$18),"")</f>
        <v/>
      </c>
      <c r="U52" s="60" t="str">
        <f>IF(AND('Mapa final'!$AJ$19="Muy Baja",'Mapa final'!$AL$19="Menor"),CONCATENATE("R2C",'Mapa final'!$S$19),"")</f>
        <v/>
      </c>
      <c r="V52" s="61" t="str">
        <f>IF(AND('Mapa final'!$AJ$20="Muy Baja",'Mapa final'!$AL$20="Menor"),CONCATENATE("R2C",'Mapa final'!$S$20),"")</f>
        <v/>
      </c>
      <c r="W52" s="50" t="str">
        <f ca="1">IF(AND('Mapa final'!$AJ$15="Muy Baja",'Mapa final'!$AL$15="Moderado"),CONCATENATE("R2C",'Mapa final'!$S$15),"")</f>
        <v/>
      </c>
      <c r="X52" s="68" t="str">
        <f ca="1">IF(AND('Mapa final'!$AJ$16="Muy Baja",'Mapa final'!$AL$16="Moderado"),CONCATENATE("R2C",'Mapa final'!$S$16),"")</f>
        <v/>
      </c>
      <c r="Y52" s="51"/>
      <c r="Z52" s="51" t="str">
        <f>IF(AND('Mapa final'!$AJ$18="Muy Baja",'Mapa final'!$AL$18="Moderado"),CONCATENATE("R2C",'Mapa final'!$S$18),"")</f>
        <v/>
      </c>
      <c r="AA52" s="51" t="str">
        <f>IF(AND('Mapa final'!$AJ$19="Muy Baja",'Mapa final'!$AL$19="Moderado"),CONCATENATE("R2C",'Mapa final'!$S$19),"")</f>
        <v/>
      </c>
      <c r="AB52" s="52" t="str">
        <f>IF(AND('Mapa final'!$AJ$20="Muy Baja",'Mapa final'!$AL$20="Moderado"),CONCATENATE("R2C",'Mapa final'!$S$20),"")</f>
        <v/>
      </c>
      <c r="AC52" s="32" t="str">
        <f ca="1">IF(AND('Mapa final'!$AJ$15="Muy Baja",'Mapa final'!$AL$15="Mayor"),CONCATENATE("R2C",'Mapa final'!$S$15),"")</f>
        <v/>
      </c>
      <c r="AD52" s="33" t="str">
        <f ca="1">IF(AND('Mapa final'!$AJ$16="Muy Baja",'Mapa final'!$AL$16="Mayor"),CONCATENATE("R2C",'Mapa final'!$S$16),"")</f>
        <v/>
      </c>
      <c r="AE52" s="33" t="str">
        <f ca="1">IF(AND('Mapa final'!$AJ$17="Muy Baja",'Mapa final'!$AL$17="Mayor"),CONCATENATE("R2C",'Mapa final'!$S$17),"")</f>
        <v/>
      </c>
      <c r="AF52" s="33" t="str">
        <f>IF(AND('Mapa final'!$AJ$18="Muy Baja",'Mapa final'!$AL$18="Mayor"),CONCATENATE("R2C",'Mapa final'!$S$18),"")</f>
        <v/>
      </c>
      <c r="AG52" s="33" t="str">
        <f>IF(AND('Mapa final'!$AJ$19="Muy Baja",'Mapa final'!$AL$19="Mayor"),CONCATENATE("R2C",'Mapa final'!$S$19),"")</f>
        <v/>
      </c>
      <c r="AH52" s="34" t="str">
        <f>IF(AND('Mapa final'!$AJ$20="Muy Baja",'Mapa final'!$AL$20="Mayor"),CONCATENATE("R2C",'Mapa final'!$S$20),"")</f>
        <v/>
      </c>
      <c r="AI52" s="35" t="str">
        <f ca="1">IF(AND('Mapa final'!$AJ$15="Muy Baja",'Mapa final'!$AL$15="Catastrófico"),CONCATENATE("R2C",'Mapa final'!$S$15),"")</f>
        <v/>
      </c>
      <c r="AJ52" s="36" t="str">
        <f ca="1">IF(AND('Mapa final'!$AJ$16="Muy Baja",'Mapa final'!$AL$16="Catastrófico"),CONCATENATE("R2C",'Mapa final'!$S$16),"")</f>
        <v/>
      </c>
      <c r="AK52" s="36" t="str">
        <f ca="1">IF(AND('Mapa final'!$AJ$17="Muy Baja",'Mapa final'!$AL$17="Catastrófico"),CONCATENATE("R2C",'Mapa final'!$S$17),"")</f>
        <v/>
      </c>
      <c r="AL52" s="36" t="str">
        <f>IF(AND('Mapa final'!$AJ$18="Muy Baja",'Mapa final'!$AL$18="Catastrófico"),CONCATENATE("R2C",'Mapa final'!$S$18),"")</f>
        <v/>
      </c>
      <c r="AM52" s="36" t="str">
        <f>IF(AND('Mapa final'!$AJ$19="Muy Baja",'Mapa final'!$AL$19="Catastrófico"),CONCATENATE("R2C",'Mapa final'!$S$19),"")</f>
        <v/>
      </c>
      <c r="AN52" s="37" t="str">
        <f>IF(AND('Mapa final'!$AJ$20="Muy Baja",'Mapa final'!$AL$20="Catastrófico"),CONCATENATE("R2C",'Mapa final'!$S$20),"")</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373"/>
      <c r="D53" s="373"/>
      <c r="E53" s="374"/>
      <c r="F53" s="483"/>
      <c r="G53" s="469"/>
      <c r="H53" s="469"/>
      <c r="I53" s="469"/>
      <c r="J53" s="470"/>
      <c r="K53" s="62" t="str">
        <f>IF(AND('Mapa final'!$AJ$21="Muy Baja",'Mapa final'!$AL$21="Leve"),CONCATENATE("R2C",'Mapa final'!$S$21),"")</f>
        <v/>
      </c>
      <c r="L53" s="63" t="str">
        <f>IF(AND('Mapa final'!$AJ$22="Muy Baja",'Mapa final'!$AL$22="Leve"),CONCATENATE("R2C",'Mapa final'!$S$22),"")</f>
        <v/>
      </c>
      <c r="M53" s="63" t="str">
        <f>IF(AND('Mapa final'!$AJ$23="Muy Baja",'Mapa final'!$AL$23="Leve"),CONCATENATE("R2C",'Mapa final'!$S$23),"")</f>
        <v/>
      </c>
      <c r="N53" s="63" t="str">
        <f>IF(AND('Mapa final'!$AJ$24="Muy Baja",'Mapa final'!$AL$24="Leve"),CONCATENATE("R2C",'Mapa final'!$S$24),"")</f>
        <v/>
      </c>
      <c r="O53" s="63" t="str">
        <f>IF(AND('Mapa final'!$AJ$25="Muy Baja",'Mapa final'!$AL$25="Leve"),CONCATENATE("R2C",'Mapa final'!$S$25),"")</f>
        <v/>
      </c>
      <c r="P53" s="64" t="str">
        <f>IF(AND('Mapa final'!$AJ$26="Muy Baja",'Mapa final'!$AL$26="Leve"),CONCATENATE("R2C",'Mapa final'!$S$26),"")</f>
        <v/>
      </c>
      <c r="Q53" s="62" t="str">
        <f>IF(AND('Mapa final'!$AJ$21="Muy Baja",'Mapa final'!$AL$21="Menor"),CONCATENATE("R2C",'Mapa final'!$S$21),"")</f>
        <v/>
      </c>
      <c r="R53" s="63" t="str">
        <f>IF(AND('Mapa final'!$AJ$22="Muy Baja",'Mapa final'!$AL$22="Menor"),CONCATENATE("R2C",'Mapa final'!$S$22),"")</f>
        <v/>
      </c>
      <c r="S53" s="63" t="str">
        <f>IF(AND('Mapa final'!$AJ$23="Muy Baja",'Mapa final'!$AL$23="Menor"),CONCATENATE("R2C",'Mapa final'!$S$23),"")</f>
        <v/>
      </c>
      <c r="T53" s="63" t="str">
        <f>IF(AND('Mapa final'!$AJ$24="Muy Baja",'Mapa final'!$AL$24="Menor"),CONCATENATE("R2C",'Mapa final'!$S$24),"")</f>
        <v/>
      </c>
      <c r="U53" s="63" t="str">
        <f>IF(AND('Mapa final'!$AJ$25="Muy Baja",'Mapa final'!$AL$25="Menor"),CONCATENATE("R2C",'Mapa final'!$S$25),"")</f>
        <v/>
      </c>
      <c r="V53" s="64" t="str">
        <f>IF(AND('Mapa final'!$AJ$26="Muy Baja",'Mapa final'!$AL$26="Menor"),CONCATENATE("R2C",'Mapa final'!$S$26),"")</f>
        <v/>
      </c>
      <c r="W53" s="53" t="str">
        <f>IF(AND('Mapa final'!$AJ$21="Muy Baja",'Mapa final'!$AL$21="Moderado"),CONCATENATE("R2C",'Mapa final'!$S$21),"")</f>
        <v/>
      </c>
      <c r="X53" s="54" t="str">
        <f>IF(AND('Mapa final'!$AJ$22="Muy Baja",'Mapa final'!$AL$22="Moderado"),CONCATENATE("R2C",'Mapa final'!$S$22),"")</f>
        <v/>
      </c>
      <c r="Y53" s="54" t="str">
        <f>IF(AND('Mapa final'!$AJ$23="Muy Baja",'Mapa final'!$AL$23="Moderado"),CONCATENATE("R2C",'Mapa final'!$S$23),"")</f>
        <v/>
      </c>
      <c r="Z53" s="54" t="str">
        <f>IF(AND('Mapa final'!$AJ$24="Muy Baja",'Mapa final'!$AL$24="Moderado"),CONCATENATE("R2C",'Mapa final'!$S$24),"")</f>
        <v/>
      </c>
      <c r="AA53" s="54" t="str">
        <f>IF(AND('Mapa final'!$AJ$25="Muy Baja",'Mapa final'!$AL$25="Moderado"),CONCATENATE("R2C",'Mapa final'!$S$25),"")</f>
        <v/>
      </c>
      <c r="AB53" s="55" t="str">
        <f>IF(AND('Mapa final'!$AJ$26="Muy Baja",'Mapa final'!$AL$26="Moderado"),CONCATENATE("R2C",'Mapa final'!$S$26),"")</f>
        <v/>
      </c>
      <c r="AC53" s="38" t="str">
        <f>IF(AND('Mapa final'!$AJ$21="Muy Baja",'Mapa final'!$AL$21="Mayor"),CONCATENATE("R2C",'Mapa final'!$S$21),"")</f>
        <v/>
      </c>
      <c r="AD53" s="39" t="str">
        <f>IF(AND('Mapa final'!$AJ$22="Muy Baja",'Mapa final'!$AL$22="Mayor"),CONCATENATE("R2C",'Mapa final'!$S$22),"")</f>
        <v/>
      </c>
      <c r="AE53" s="39" t="str">
        <f>IF(AND('Mapa final'!$AJ$23="Muy Baja",'Mapa final'!$AL$23="Mayor"),CONCATENATE("R2C",'Mapa final'!$S$23),"")</f>
        <v/>
      </c>
      <c r="AF53" s="39" t="str">
        <f>IF(AND('Mapa final'!$AJ$24="Muy Baja",'Mapa final'!$AL$24="Mayor"),CONCATENATE("R2C",'Mapa final'!$S$24),"")</f>
        <v/>
      </c>
      <c r="AG53" s="39" t="str">
        <f>IF(AND('Mapa final'!$AJ$25="Muy Baja",'Mapa final'!$AL$25="Mayor"),CONCATENATE("R2C",'Mapa final'!$S$25),"")</f>
        <v/>
      </c>
      <c r="AH53" s="40" t="str">
        <f>IF(AND('Mapa final'!$AJ$26="Muy Baja",'Mapa final'!$AL$26="Mayor"),CONCATENATE("R2C",'Mapa final'!$S$26),"")</f>
        <v/>
      </c>
      <c r="AI53" s="41" t="str">
        <f>IF(AND('Mapa final'!$AJ$21="Muy Baja",'Mapa final'!$AL$21="Catastrófico"),CONCATENATE("R2C",'Mapa final'!$S$21),"")</f>
        <v/>
      </c>
      <c r="AJ53" s="42" t="str">
        <f>IF(AND('Mapa final'!$AJ$22="Muy Baja",'Mapa final'!$AL$22="Catastrófico"),CONCATENATE("R2C",'Mapa final'!$S$22),"")</f>
        <v/>
      </c>
      <c r="AK53" s="42" t="str">
        <f>IF(AND('Mapa final'!$AJ$23="Muy Baja",'Mapa final'!$AL$23="Catastrófico"),CONCATENATE("R2C",'Mapa final'!$S$23),"")</f>
        <v/>
      </c>
      <c r="AL53" s="42" t="str">
        <f>IF(AND('Mapa final'!$AJ$24="Muy Baja",'Mapa final'!$AL$24="Catastrófico"),CONCATENATE("R2C",'Mapa final'!$S$24),"")</f>
        <v/>
      </c>
      <c r="AM53" s="42" t="str">
        <f>IF(AND('Mapa final'!$AJ$25="Muy Baja",'Mapa final'!$AL$25="Catastrófico"),CONCATENATE("R2C",'Mapa final'!$S$25),"")</f>
        <v/>
      </c>
      <c r="AN53" s="43" t="str">
        <f>IF(AND('Mapa final'!$AJ$26="Muy Baja",'Mapa final'!$AL$26="Catastrófico"),CONCATENATE("R2C",'Mapa final'!$S$26),"")</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373"/>
      <c r="D54" s="373"/>
      <c r="E54" s="374"/>
      <c r="F54" s="483"/>
      <c r="G54" s="469"/>
      <c r="H54" s="469"/>
      <c r="I54" s="469"/>
      <c r="J54" s="470"/>
      <c r="K54" s="62" t="str">
        <f>IF(AND('Mapa final'!$AJ$27="Muy Baja",'Mapa final'!$AL$27="Leve"),CONCATENATE("R2C",'Mapa final'!$S$27),"")</f>
        <v/>
      </c>
      <c r="L54" s="63" t="str">
        <f>IF(AND('Mapa final'!$AJ$28="Muy Baja",'Mapa final'!$AL$28="Leve"),CONCATENATE("R2C",'Mapa final'!$S$28),"")</f>
        <v/>
      </c>
      <c r="M54" s="63" t="str">
        <f>IF(AND('Mapa final'!$AJ$29="Muy Baja",'Mapa final'!$AL$29="Leve"),CONCATENATE("R2C",'Mapa final'!$S$29),"")</f>
        <v/>
      </c>
      <c r="N54" s="63" t="str">
        <f>IF(AND('Mapa final'!$AJ$30="Muy Baja",'Mapa final'!$AL$30="Leve"),CONCATENATE("R2C",'Mapa final'!$S$30),"")</f>
        <v/>
      </c>
      <c r="O54" s="63" t="str">
        <f>IF(AND('Mapa final'!$AJ$31="Muy Baja",'Mapa final'!$AL$31="Leve"),CONCATENATE("R2C",'Mapa final'!$S$31),"")</f>
        <v/>
      </c>
      <c r="P54" s="64" t="str">
        <f>IF(AND('Mapa final'!$AJ$32="Muy Baja",'Mapa final'!$AL$32="Leve"),CONCATENATE("R2C",'Mapa final'!$S$32),"")</f>
        <v/>
      </c>
      <c r="Q54" s="62" t="str">
        <f>IF(AND('Mapa final'!$AJ$27="Muy Baja",'Mapa final'!$AL$27="Menor"),CONCATENATE("R2C",'Mapa final'!$S$27),"")</f>
        <v/>
      </c>
      <c r="R54" s="63" t="str">
        <f>IF(AND('Mapa final'!$AJ$28="Muy Baja",'Mapa final'!$AL$28="Menor"),CONCATENATE("R2C",'Mapa final'!$S$28),"")</f>
        <v/>
      </c>
      <c r="S54" s="63" t="str">
        <f>IF(AND('Mapa final'!$AJ$29="Muy Baja",'Mapa final'!$AL$29="Menor"),CONCATENATE("R2C",'Mapa final'!$S$29),"")</f>
        <v/>
      </c>
      <c r="T54" s="63" t="str">
        <f>IF(AND('Mapa final'!$AJ$30="Muy Baja",'Mapa final'!$AL$30="Menor"),CONCATENATE("R2C",'Mapa final'!$S$30),"")</f>
        <v/>
      </c>
      <c r="U54" s="63" t="str">
        <f>IF(AND('Mapa final'!$AJ$31="Muy Baja",'Mapa final'!$AL$31="Menor"),CONCATENATE("R2C",'Mapa final'!$S$31),"")</f>
        <v/>
      </c>
      <c r="V54" s="64" t="str">
        <f>IF(AND('Mapa final'!$AJ$32="Muy Baja",'Mapa final'!$AL$32="Menor"),CONCATENATE("R2C",'Mapa final'!$S$32),"")</f>
        <v/>
      </c>
      <c r="W54" s="53" t="str">
        <f>IF(AND('Mapa final'!$AJ$27="Muy Baja",'Mapa final'!$AL$27="Moderado"),CONCATENATE("R2C",'Mapa final'!$S$27),"")</f>
        <v/>
      </c>
      <c r="X54" s="54" t="str">
        <f>IF(AND('Mapa final'!$AJ$28="Muy Baja",'Mapa final'!$AL$28="Moderado"),CONCATENATE("R2C",'Mapa final'!$S$28),"")</f>
        <v/>
      </c>
      <c r="Y54" s="54" t="str">
        <f>IF(AND('Mapa final'!$AJ$29="Muy Baja",'Mapa final'!$AL$29="Moderado"),CONCATENATE("R2C",'Mapa final'!$S$29),"")</f>
        <v/>
      </c>
      <c r="Z54" s="54" t="str">
        <f>IF(AND('Mapa final'!$AJ$30="Muy Baja",'Mapa final'!$AL$30="Moderado"),CONCATENATE("R2C",'Mapa final'!$S$30),"")</f>
        <v/>
      </c>
      <c r="AA54" s="54" t="str">
        <f>IF(AND('Mapa final'!$AJ$31="Muy Baja",'Mapa final'!$AL$31="Moderado"),CONCATENATE("R2C",'Mapa final'!$S$31),"")</f>
        <v/>
      </c>
      <c r="AB54" s="55" t="str">
        <f>IF(AND('Mapa final'!$AJ$32="Muy Baja",'Mapa final'!$AL$32="Moderado"),CONCATENATE("R2C",'Mapa final'!$S$32),"")</f>
        <v/>
      </c>
      <c r="AC54" s="38" t="str">
        <f>IF(AND('Mapa final'!$AJ$27="Muy Baja",'Mapa final'!$AL$27="Mayor"),CONCATENATE("R2C",'Mapa final'!$S$27),"")</f>
        <v/>
      </c>
      <c r="AD54" s="39" t="str">
        <f>IF(AND('Mapa final'!$AJ$28="Muy Baja",'Mapa final'!$AL$28="Mayor"),CONCATENATE("R2C",'Mapa final'!$S$28),"")</f>
        <v/>
      </c>
      <c r="AE54" s="39" t="str">
        <f>IF(AND('Mapa final'!$AJ$29="Muy Baja",'Mapa final'!$AL$29="Mayor"),CONCATENATE("R2C",'Mapa final'!$S$29),"")</f>
        <v/>
      </c>
      <c r="AF54" s="39" t="str">
        <f>IF(AND('Mapa final'!$AJ$30="Muy Baja",'Mapa final'!$AL$30="Mayor"),CONCATENATE("R2C",'Mapa final'!$S$30),"")</f>
        <v/>
      </c>
      <c r="AG54" s="39" t="str">
        <f>IF(AND('Mapa final'!$AJ$31="Muy Baja",'Mapa final'!$AL$31="Mayor"),CONCATENATE("R2C",'Mapa final'!$S$31),"")</f>
        <v/>
      </c>
      <c r="AH54" s="40" t="str">
        <f>IF(AND('Mapa final'!$AJ$32="Muy Baja",'Mapa final'!$AL$32="Mayor"),CONCATENATE("R2C",'Mapa final'!$S$32),"")</f>
        <v/>
      </c>
      <c r="AI54" s="41" t="str">
        <f>IF(AND('Mapa final'!$AJ$27="Muy Baja",'Mapa final'!$AL$27="Catastrófico"),CONCATENATE("R2C",'Mapa final'!$S$27),"")</f>
        <v/>
      </c>
      <c r="AJ54" s="42" t="str">
        <f>IF(AND('Mapa final'!$AJ$28="Muy Baja",'Mapa final'!$AL$28="Catastrófico"),CONCATENATE("R2C",'Mapa final'!$S$28),"")</f>
        <v/>
      </c>
      <c r="AK54" s="42" t="str">
        <f>IF(AND('Mapa final'!$AJ$29="Muy Baja",'Mapa final'!$AL$29="Catastrófico"),CONCATENATE("R2C",'Mapa final'!$S$29),"")</f>
        <v/>
      </c>
      <c r="AL54" s="42" t="str">
        <f>IF(AND('Mapa final'!$AJ$30="Muy Baja",'Mapa final'!$AL$30="Catastrófico"),CONCATENATE("R2C",'Mapa final'!$S$30),"")</f>
        <v/>
      </c>
      <c r="AM54" s="42" t="str">
        <f>IF(AND('Mapa final'!$AJ$31="Muy Baja",'Mapa final'!$AL$31="Catastrófico"),CONCATENATE("R2C",'Mapa final'!$S$31),"")</f>
        <v/>
      </c>
      <c r="AN54" s="43" t="str">
        <f>IF(AND('Mapa final'!$AJ$32="Muy Baja",'Mapa final'!$AL$32="Catastrófico"),CONCATENATE("R2C",'Mapa final'!$S$32),"")</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373"/>
      <c r="D55" s="373"/>
      <c r="E55" s="374"/>
      <c r="F55" s="468"/>
      <c r="G55" s="469"/>
      <c r="H55" s="469"/>
      <c r="I55" s="469"/>
      <c r="J55" s="470"/>
      <c r="K55" s="62" t="str">
        <f>IF(AND('Mapa final'!$AJ$33="Muy Baja",'Mapa final'!$AL$33="Leve"),CONCATENATE("R2C",'Mapa final'!$S$33),"")</f>
        <v/>
      </c>
      <c r="L55" s="63" t="str">
        <f>IF(AND('Mapa final'!$AJ$34="Muy Baja",'Mapa final'!$AL$34="Leve"),CONCATENATE("R2C",'Mapa final'!$S$34),"")</f>
        <v/>
      </c>
      <c r="M55" s="63" t="str">
        <f>IF(AND('Mapa final'!$AJ$35="Muy Baja",'Mapa final'!$AL$35="Leve"),CONCATENATE("R2C",'Mapa final'!$S$35),"")</f>
        <v/>
      </c>
      <c r="N55" s="63" t="str">
        <f>IF(AND('Mapa final'!$AJ$36="Muy Baja",'Mapa final'!$AL$36="Leve"),CONCATENATE("R2C",'Mapa final'!$S$36),"")</f>
        <v/>
      </c>
      <c r="O55" s="63" t="str">
        <f>IF(AND('Mapa final'!$AJ$37="Muy Baja",'Mapa final'!$AL$37="Leve"),CONCATENATE("R2C",'Mapa final'!$S$37),"")</f>
        <v/>
      </c>
      <c r="P55" s="64" t="str">
        <f>IF(AND('Mapa final'!$AJ$38="Muy Baja",'Mapa final'!$AL$38="Leve"),CONCATENATE("R2C",'Mapa final'!$S$38),"")</f>
        <v/>
      </c>
      <c r="Q55" s="62" t="str">
        <f>IF(AND('Mapa final'!$AJ$33="Muy Baja",'Mapa final'!$AL$33="Menor"),CONCATENATE("R2C",'Mapa final'!$S$33),"")</f>
        <v/>
      </c>
      <c r="R55" s="63" t="str">
        <f>IF(AND('Mapa final'!$AJ$34="Muy Baja",'Mapa final'!$AL$34="Menor"),CONCATENATE("R2C",'Mapa final'!$S$34),"")</f>
        <v/>
      </c>
      <c r="S55" s="63" t="str">
        <f>IF(AND('Mapa final'!$AJ$35="Muy Baja",'Mapa final'!$AL$35="Menor"),CONCATENATE("R2C",'Mapa final'!$S$35),"")</f>
        <v/>
      </c>
      <c r="T55" s="63" t="str">
        <f>IF(AND('Mapa final'!$AJ$36="Muy Baja",'Mapa final'!$AL$36="Menor"),CONCATENATE("R2C",'Mapa final'!$S$36),"")</f>
        <v/>
      </c>
      <c r="U55" s="63" t="str">
        <f>IF(AND('Mapa final'!$AJ$37="Muy Baja",'Mapa final'!$AL$37="LMenor"),CONCATENATE("R2C",'Mapa final'!$S$37),"")</f>
        <v/>
      </c>
      <c r="V55" s="64" t="str">
        <f>IF(AND('Mapa final'!$AJ$38="Muy Baja",'Mapa final'!$AL$38="Menor"),CONCATENATE("R2C",'Mapa final'!$S$38),"")</f>
        <v/>
      </c>
      <c r="W55" s="53" t="str">
        <f>IF(AND('Mapa final'!$AJ$33="Muy Baja",'Mapa final'!$AL$33="Moderado"),CONCATENATE("R2C",'Mapa final'!$S$33),"")</f>
        <v/>
      </c>
      <c r="X55" s="54" t="str">
        <f>IF(AND('Mapa final'!$AJ$34="Muy Baja",'Mapa final'!$AL$34="Moderado"),CONCATENATE("R2C",'Mapa final'!$S$34),"")</f>
        <v/>
      </c>
      <c r="Y55" s="54" t="str">
        <f>IF(AND('Mapa final'!$AJ$35="Muy Baja",'Mapa final'!$AL$35="Moderado"),CONCATENATE("R2C",'Mapa final'!$S$35),"")</f>
        <v/>
      </c>
      <c r="Z55" s="54" t="str">
        <f>IF(AND('Mapa final'!$AJ$36="Muy Baja",'Mapa final'!$AL$36="Moderado"),CONCATENATE("R2C",'Mapa final'!$S$36),"")</f>
        <v/>
      </c>
      <c r="AA55" s="54" t="str">
        <f>IF(AND('Mapa final'!$AJ$37="Muy Baja",'Mapa final'!$AL$37="Moderado"),CONCATENATE("R2C",'Mapa final'!$S$37),"")</f>
        <v/>
      </c>
      <c r="AB55" s="55" t="str">
        <f>IF(AND('Mapa final'!$AJ$38="Muy Baja",'Mapa final'!$AL$38="Moderado"),CONCATENATE("R2C",'Mapa final'!$S$38),"")</f>
        <v/>
      </c>
      <c r="AC55" s="38" t="str">
        <f>IF(AND('Mapa final'!$AJ$33="Muy Baja",'Mapa final'!$AL$33="Mayor"),CONCATENATE("R2C",'Mapa final'!$S$33),"")</f>
        <v/>
      </c>
      <c r="AD55" s="39" t="str">
        <f>IF(AND('Mapa final'!$AJ$34="Muy Baja",'Mapa final'!$AL$34="Mayor"),CONCATENATE("R2C",'Mapa final'!$S$34),"")</f>
        <v/>
      </c>
      <c r="AE55" s="39" t="str">
        <f>IF(AND('Mapa final'!$AJ$35="Muy Baja",'Mapa final'!$AL$35="Mayor"),CONCATENATE("R2C",'Mapa final'!$S$35),"")</f>
        <v/>
      </c>
      <c r="AF55" s="39" t="str">
        <f>IF(AND('Mapa final'!$AJ$36="Muy Baja",'Mapa final'!$AL$36="Mayor"),CONCATENATE("R2C",'Mapa final'!$S$36),"")</f>
        <v/>
      </c>
      <c r="AG55" s="39" t="str">
        <f>IF(AND('Mapa final'!$AJ$37="Muy Baja",'Mapa final'!$AL$37="Mayor"),CONCATENATE("R2C",'Mapa final'!$S$37),"")</f>
        <v/>
      </c>
      <c r="AH55" s="40" t="str">
        <f>IF(AND('Mapa final'!$AJ$38="Muy Baja",'Mapa final'!$AL$38="Mayor"),CONCATENATE("R2C",'Mapa final'!$S$38),"")</f>
        <v/>
      </c>
      <c r="AI55" s="41" t="str">
        <f>IF(AND('Mapa final'!$AJ$33="Muy Baja",'Mapa final'!$AL$33="Catastrófico"),CONCATENATE("R2C",'Mapa final'!$S$33),"")</f>
        <v/>
      </c>
      <c r="AJ55" s="42" t="str">
        <f>IF(AND('Mapa final'!$AJ$34="Muy Baja",'Mapa final'!$AL$34="Catastrófico"),CONCATENATE("R2C",'Mapa final'!$S$34),"")</f>
        <v/>
      </c>
      <c r="AK55" s="42" t="str">
        <f>IF(AND('Mapa final'!$AJ$35="Muy Baja",'Mapa final'!$AL$35="Catastrófico"),CONCATENATE("R2C",'Mapa final'!$S$35),"")</f>
        <v/>
      </c>
      <c r="AL55" s="42" t="str">
        <f>IF(AND('Mapa final'!$AJ$36="Muy Baja",'Mapa final'!$AL$36="Catastrófico"),CONCATENATE("R2C",'Mapa final'!$S$36),"")</f>
        <v/>
      </c>
      <c r="AM55" s="42" t="str">
        <f>IF(AND('Mapa final'!$AJ$37="Muy Baja",'Mapa final'!$AL$37="LCatastrófico"),CONCATENATE("R2C",'Mapa final'!$S$37),"")</f>
        <v/>
      </c>
      <c r="AN55" s="43" t="str">
        <f>IF(AND('Mapa final'!$AJ$38="Muy Baja",'Mapa final'!$AL$38="Catastrófico"),CONCATENATE("R2C",'Mapa final'!$S$38),"")</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373"/>
      <c r="D56" s="373"/>
      <c r="E56" s="374"/>
      <c r="F56" s="468"/>
      <c r="G56" s="469"/>
      <c r="H56" s="469"/>
      <c r="I56" s="469"/>
      <c r="J56" s="470"/>
      <c r="K56" s="62" t="str">
        <f>IF(AND('Mapa final'!$AJ$39="Muy Baja",'Mapa final'!$AL$39="Leve"),CONCATENATE("R2C",'Mapa final'!$S$39),"")</f>
        <v/>
      </c>
      <c r="L56" s="63" t="str">
        <f>IF(AND('Mapa final'!$AJ$40="Muy Baja",'Mapa final'!$AL$40="Leve"),CONCATENATE("R2C",'Mapa final'!$S$40),"")</f>
        <v/>
      </c>
      <c r="M56" s="63" t="str">
        <f>IF(AND('Mapa final'!$AJ$41="Muy Baja",'Mapa final'!$AL$41="Leve"),CONCATENATE("R2C",'Mapa final'!$S$41),"")</f>
        <v/>
      </c>
      <c r="N56" s="63" t="str">
        <f>IF(AND('Mapa final'!$AJ$42="Muy Baja",'Mapa final'!$AL$42="Leve"),CONCATENATE("R2C",'Mapa final'!$S$42),"")</f>
        <v/>
      </c>
      <c r="O56" s="63" t="str">
        <f>IF(AND('Mapa final'!$AJ$43="Muy Baja",'Mapa final'!$AL$43="Leve"),CONCATENATE("R2C",'Mapa final'!$S$43),"")</f>
        <v/>
      </c>
      <c r="P56" s="64" t="str">
        <f>IF(AND('Mapa final'!$AJ$44="Muy Baja",'Mapa final'!$AL$44="Leve"),CONCATENATE("R2C",'Mapa final'!$S$44),"")</f>
        <v/>
      </c>
      <c r="Q56" s="62" t="str">
        <f>IF(AND('Mapa final'!$AJ$39="Muy Baja",'Mapa final'!$AL$39="Menor"),CONCATENATE("R2C",'Mapa final'!$S$39),"")</f>
        <v/>
      </c>
      <c r="R56" s="63" t="str">
        <f>IF(AND('Mapa final'!$AJ$40="Muy Baja",'Mapa final'!$AL$40="Menor"),CONCATENATE("R2C",'Mapa final'!$S$40),"")</f>
        <v/>
      </c>
      <c r="S56" s="63" t="str">
        <f>IF(AND('Mapa final'!$AJ$41="Muy Baja",'Mapa final'!$AL$41="Menor"),CONCATENATE("R2C",'Mapa final'!$S$41),"")</f>
        <v/>
      </c>
      <c r="T56" s="63" t="str">
        <f>IF(AND('Mapa final'!$AJ$42="Muy Baja",'Mapa final'!$AL$42="Menor"),CONCATENATE("R2C",'Mapa final'!$S$42),"")</f>
        <v/>
      </c>
      <c r="U56" s="63" t="str">
        <f>IF(AND('Mapa final'!$AJ$43="Muy Baja",'Mapa final'!$AL$43="Menor"),CONCATENATE("R2C",'Mapa final'!$S$43),"")</f>
        <v/>
      </c>
      <c r="V56" s="64" t="str">
        <f>IF(AND('Mapa final'!$AJ$44="Muy Baja",'Mapa final'!$AL$44="Menor"),CONCATENATE("R2C",'Mapa final'!$S$44),"")</f>
        <v/>
      </c>
      <c r="W56" s="53" t="str">
        <f>IF(AND('Mapa final'!$AJ$39="Muy Baja",'Mapa final'!$AL$39="Moderado"),CONCATENATE("R2C",'Mapa final'!$S$39),"")</f>
        <v/>
      </c>
      <c r="X56" s="54" t="str">
        <f>IF(AND('Mapa final'!$AJ$40="Muy Baja",'Mapa final'!$AL$40="Moderado"),CONCATENATE("R2C",'Mapa final'!$S$40),"")</f>
        <v/>
      </c>
      <c r="Y56" s="54" t="str">
        <f>IF(AND('Mapa final'!$AJ$41="Muy Baja",'Mapa final'!$AL$41="Moderado"),CONCATENATE("R2C",'Mapa final'!$S$41),"")</f>
        <v/>
      </c>
      <c r="Z56" s="54" t="str">
        <f>IF(AND('Mapa final'!$AJ$42="Muy Baja",'Mapa final'!$AL$42="Moderado"),CONCATENATE("R2C",'Mapa final'!$S$42),"")</f>
        <v/>
      </c>
      <c r="AA56" s="54" t="str">
        <f>IF(AND('Mapa final'!$AJ$43="Muy Baja",'Mapa final'!$AL$43="Moderado"),CONCATENATE("R2C",'Mapa final'!$S$43),"")</f>
        <v/>
      </c>
      <c r="AB56" s="55" t="str">
        <f>IF(AND('Mapa final'!$AJ$44="Muy Baja",'Mapa final'!$AL$44="Moderado"),CONCATENATE("R2C",'Mapa final'!$S$44),"")</f>
        <v/>
      </c>
      <c r="AC56" s="38" t="str">
        <f>IF(AND('Mapa final'!$AJ$39="Muy Baja",'Mapa final'!$AL$39="Mayor"),CONCATENATE("R2C",'Mapa final'!$S$39),"")</f>
        <v/>
      </c>
      <c r="AD56" s="39" t="str">
        <f>IF(AND('Mapa final'!$AJ$40="Muy Baja",'Mapa final'!$AL$40="Mayor"),CONCATENATE("R2C",'Mapa final'!$S$40),"")</f>
        <v/>
      </c>
      <c r="AE56" s="39" t="str">
        <f>IF(AND('Mapa final'!$AJ$41="Muy Baja",'Mapa final'!$AL$41="Mayor"),CONCATENATE("R2C",'Mapa final'!$S$41),"")</f>
        <v/>
      </c>
      <c r="AF56" s="39" t="str">
        <f>IF(AND('Mapa final'!$AJ$42="Muy Baja",'Mapa final'!$AL$42="Mayor"),CONCATENATE("R2C",'Mapa final'!$S$42),"")</f>
        <v/>
      </c>
      <c r="AG56" s="39" t="str">
        <f>IF(AND('Mapa final'!$AJ$43="Muy Baja",'Mapa final'!$AL$43="Mayor"),CONCATENATE("R2C",'Mapa final'!$S$43),"")</f>
        <v/>
      </c>
      <c r="AH56" s="40" t="str">
        <f>IF(AND('Mapa final'!$AJ$44="Muy Baja",'Mapa final'!$AL$44="Mayor"),CONCATENATE("R2C",'Mapa final'!$S$44),"")</f>
        <v/>
      </c>
      <c r="AI56" s="41" t="str">
        <f>IF(AND('Mapa final'!$AJ$39="Muy Baja",'Mapa final'!$AL$39="Catastrófico"),CONCATENATE("R2C",'Mapa final'!$S$39),"")</f>
        <v/>
      </c>
      <c r="AJ56" s="42" t="str">
        <f>IF(AND('Mapa final'!$AJ$40="Muy Baja",'Mapa final'!$AL$40="Catastrófico"),CONCATENATE("R2C",'Mapa final'!$S$40),"")</f>
        <v/>
      </c>
      <c r="AK56" s="42" t="str">
        <f>IF(AND('Mapa final'!$AJ$41="Muy Baja",'Mapa final'!$AL$41="Catastrófico"),CONCATENATE("R2C",'Mapa final'!$S$41),"")</f>
        <v/>
      </c>
      <c r="AL56" s="42" t="str">
        <f>IF(AND('Mapa final'!$AJ$42="Muy Baja",'Mapa final'!$AL$42="Catastrófico"),CONCATENATE("R2C",'Mapa final'!$S$42),"")</f>
        <v/>
      </c>
      <c r="AM56" s="42" t="str">
        <f>IF(AND('Mapa final'!$AJ$43="Muy Baja",'Mapa final'!$AL$43="Catastrófico"),CONCATENATE("R2C",'Mapa final'!$S$43),"")</f>
        <v/>
      </c>
      <c r="AN56" s="43" t="str">
        <f>IF(AND('Mapa final'!$AJ$44="Muy Baja",'Mapa final'!$AL$44="Catastrófico"),CONCATENATE("R2C",'Mapa final'!$S$44),"")</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373"/>
      <c r="D57" s="373"/>
      <c r="E57" s="374"/>
      <c r="F57" s="468"/>
      <c r="G57" s="469"/>
      <c r="H57" s="469"/>
      <c r="I57" s="469"/>
      <c r="J57" s="470"/>
      <c r="K57" s="62" t="str">
        <f>IF(AND('Mapa final'!$AJ$45="Muy Baja",'Mapa final'!$AL$45="Leve"),CONCATENATE("R2C",'Mapa final'!$S$45),"")</f>
        <v/>
      </c>
      <c r="L57" s="63" t="str">
        <f>IF(AND('Mapa final'!$AJ$46="Muy Baja",'Mapa final'!$AL$46="Leve"),CONCATENATE("R2C",'Mapa final'!$S$46),"")</f>
        <v/>
      </c>
      <c r="M57" s="63" t="str">
        <f>IF(AND('Mapa final'!$AJ$47="Muy Baja",'Mapa final'!$AL$47="Leve"),CONCATENATE("R2C",'Mapa final'!$S$47),"")</f>
        <v/>
      </c>
      <c r="N57" s="63" t="str">
        <f>IF(AND('Mapa final'!$AJ$48="Muy Baja",'Mapa final'!$AL$48="Leve"),CONCATENATE("R2C",'Mapa final'!$S$48),"")</f>
        <v/>
      </c>
      <c r="O57" s="63" t="str">
        <f>IF(AND('Mapa final'!$AJ$49="Muy Baja",'Mapa final'!$AL$49="Leve"),CONCATENATE("R2C",'Mapa final'!$S$49),"")</f>
        <v/>
      </c>
      <c r="P57" s="64" t="str">
        <f>IF(AND('Mapa final'!$AJ$60="Muy Baja",'Mapa final'!$AL$50="Leve"),CONCATENATE("R2C",'Mapa final'!$S$50),"")</f>
        <v/>
      </c>
      <c r="Q57" s="62" t="str">
        <f>IF(AND('Mapa final'!$AJ$45="Muy Baja",'Mapa final'!$AL$45="Menor"),CONCATENATE("R2C",'Mapa final'!$S$45),"")</f>
        <v/>
      </c>
      <c r="R57" s="63" t="str">
        <f>IF(AND('Mapa final'!$AJ$46="Muy Baja",'Mapa final'!$AL$46="Menor"),CONCATENATE("R2C",'Mapa final'!$S$46),"")</f>
        <v/>
      </c>
      <c r="S57" s="63" t="str">
        <f>IF(AND('Mapa final'!$AJ$47="Muy Baja",'Mapa final'!$AL$47="Menor"),CONCATENATE("R2C",'Mapa final'!$S$47),"")</f>
        <v/>
      </c>
      <c r="T57" s="63" t="str">
        <f>IF(AND('Mapa final'!$AJ$48="Muy Baja",'Mapa final'!$AL$48="Menor"),CONCATENATE("R2C",'Mapa final'!$S$48),"")</f>
        <v/>
      </c>
      <c r="U57" s="63" t="str">
        <f>IF(AND('Mapa final'!$AJ$49="Muy Baja",'Mapa final'!$AL$49="Menor"),CONCATENATE("R2C",'Mapa final'!$S$49),"")</f>
        <v/>
      </c>
      <c r="V57" s="64" t="str">
        <f>IF(AND('Mapa final'!$AJ$60="Muy Baja",'Mapa final'!$AL$50="Menor"),CONCATENATE("R2C",'Mapa final'!$S$50),"")</f>
        <v/>
      </c>
      <c r="W57" s="53" t="str">
        <f>IF(AND('Mapa final'!$AJ$45="Muy Baja",'Mapa final'!$AL$45="Moderado"),CONCATENATE("R2C",'Mapa final'!$S$45),"")</f>
        <v/>
      </c>
      <c r="X57" s="54" t="str">
        <f>IF(AND('Mapa final'!$AJ$46="Muy Baja",'Mapa final'!$AL$46="Moderado"),CONCATENATE("R2C",'Mapa final'!$S$46),"")</f>
        <v/>
      </c>
      <c r="Y57" s="54" t="str">
        <f>IF(AND('Mapa final'!$AJ$47="Muy Baja",'Mapa final'!$AL$47="Moderado"),CONCATENATE("R2C",'Mapa final'!$S$47),"")</f>
        <v/>
      </c>
      <c r="Z57" s="54" t="str">
        <f>IF(AND('Mapa final'!$AJ$48="Muy Baja",'Mapa final'!$AL$48="Moderado"),CONCATENATE("R2C",'Mapa final'!$S$48),"")</f>
        <v/>
      </c>
      <c r="AA57" s="54" t="str">
        <f>IF(AND('Mapa final'!$AJ$49="Muy Baja",'Mapa final'!$AL$49="Moderado"),CONCATENATE("R2C",'Mapa final'!$S$49),"")</f>
        <v/>
      </c>
      <c r="AB57" s="55" t="str">
        <f>IF(AND('Mapa final'!$AJ$60="Muy Baja",'Mapa final'!$AL$50="Moderado"),CONCATENATE("R2C",'Mapa final'!$S$50),"")</f>
        <v/>
      </c>
      <c r="AC57" s="38" t="str">
        <f>IF(AND('Mapa final'!$AJ$45="Muy Baja",'Mapa final'!$AL$45="Mayor"),CONCATENATE("R2C",'Mapa final'!$S$45),"")</f>
        <v/>
      </c>
      <c r="AD57" s="39" t="str">
        <f>IF(AND('Mapa final'!$AJ$46="Muy Baja",'Mapa final'!$AL$46="Mayor"),CONCATENATE("R2C",'Mapa final'!$S$46),"")</f>
        <v/>
      </c>
      <c r="AE57" s="39" t="str">
        <f>IF(AND('Mapa final'!$AJ$47="Muy Baja",'Mapa final'!$AL$47="Mayor"),CONCATENATE("R2C",'Mapa final'!$S$47),"")</f>
        <v/>
      </c>
      <c r="AF57" s="39" t="str">
        <f>IF(AND('Mapa final'!$AJ$48="Muy Baja",'Mapa final'!$AL$48="Mayor"),CONCATENATE("R2C",'Mapa final'!$S$48),"")</f>
        <v/>
      </c>
      <c r="AG57" s="39" t="str">
        <f>IF(AND('Mapa final'!$AJ$49="Muy Baja",'Mapa final'!$AL$49="Mayor"),CONCATENATE("R2C",'Mapa final'!$S$49),"")</f>
        <v/>
      </c>
      <c r="AH57" s="40" t="str">
        <f>IF(AND('Mapa final'!$AJ$60="Muy Baja",'Mapa final'!$AL$50="Mayor"),CONCATENATE("R2C",'Mapa final'!$S$50),"")</f>
        <v/>
      </c>
      <c r="AI57" s="41" t="str">
        <f>IF(AND('Mapa final'!$AJ$45="Muy Baja",'Mapa final'!$AL$45="Catastrófico"),CONCATENATE("R2C",'Mapa final'!$S$45),"")</f>
        <v/>
      </c>
      <c r="AJ57" s="42" t="str">
        <f>IF(AND('Mapa final'!$AJ$46="Muy Baja",'Mapa final'!$AL$46="Catastrófico"),CONCATENATE("R2C",'Mapa final'!$S$46),"")</f>
        <v/>
      </c>
      <c r="AK57" s="42" t="str">
        <f>IF(AND('Mapa final'!$AJ$47="Muy Baja",'Mapa final'!$AL$47="Catastrófico"),CONCATENATE("R2C",'Mapa final'!$S$47),"")</f>
        <v/>
      </c>
      <c r="AL57" s="42" t="str">
        <f>IF(AND('Mapa final'!$AJ$48="Muy Baja",'Mapa final'!$AL$48="Catastrófico"),CONCATENATE("R2C",'Mapa final'!$S$48),"")</f>
        <v/>
      </c>
      <c r="AM57" s="42" t="str">
        <f>IF(AND('Mapa final'!$AJ$49="Muy Baja",'Mapa final'!$AL$49="Catastrófico"),CONCATENATE("R2C",'Mapa final'!$S$49),"")</f>
        <v/>
      </c>
      <c r="AN57" s="43" t="str">
        <f>IF(AND('Mapa final'!$AJ$60="Muy Baja",'Mapa final'!$AL$50="Catastrófico"),CONCATENATE("R2C",'Mapa final'!$S$50),"")</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373"/>
      <c r="D58" s="373"/>
      <c r="E58" s="374"/>
      <c r="F58" s="468"/>
      <c r="G58" s="469"/>
      <c r="H58" s="469"/>
      <c r="I58" s="469"/>
      <c r="J58" s="470"/>
      <c r="K58" s="62" t="str">
        <f>IF(AND('Mapa final'!$AJ$51="Muy Baja",'Mapa final'!$AL$51="Leve"),CONCATENATE("R2C",'Mapa final'!$S$51),"")</f>
        <v/>
      </c>
      <c r="L58" s="63" t="str">
        <f>IF(AND('Mapa final'!$AJ$52="Muy Baja",'Mapa final'!$AL$52="Leve"),CONCATENATE("R2C",'Mapa final'!$S$52),"")</f>
        <v/>
      </c>
      <c r="M58" s="63" t="str">
        <f>IF(AND('Mapa final'!$AJ$53="Muy Baja",'Mapa final'!$AL$53="Leve"),CONCATENATE("R2C",'Mapa final'!$S$53),"")</f>
        <v/>
      </c>
      <c r="N58" s="63" t="str">
        <f>IF(AND('Mapa final'!$AJ$54="Muy Baja",'Mapa final'!$AL$54="Leve"),CONCATENATE("R2C",'Mapa final'!$S$54),"")</f>
        <v/>
      </c>
      <c r="O58" s="63" t="str">
        <f>IF(AND('Mapa final'!$AJ$55="Muy Baja",'Mapa final'!$AL$55="Leve"),CONCATENATE("R2C",'Mapa final'!$S$55),"")</f>
        <v/>
      </c>
      <c r="P58" s="64" t="str">
        <f>IF(AND('Mapa final'!$AJ$56="Muy Baja",'Mapa final'!$AL$56="Leve"),CONCATENATE("R2C",'Mapa final'!$S$56),"")</f>
        <v/>
      </c>
      <c r="Q58" s="62" t="str">
        <f>IF(AND('Mapa final'!$AJ$51="Muy Baja",'Mapa final'!$AL$51="Menor"),CONCATENATE("R2C",'Mapa final'!$S$51),"")</f>
        <v/>
      </c>
      <c r="R58" s="63" t="str">
        <f>IF(AND('Mapa final'!$AJ$52="Muy Baja",'Mapa final'!$AL$52="Menor"),CONCATENATE("R2C",'Mapa final'!$S$52),"")</f>
        <v/>
      </c>
      <c r="S58" s="63" t="str">
        <f>IF(AND('Mapa final'!$AJ$53="Muy Baja",'Mapa final'!$AL$53="Menor"),CONCATENATE("R2C",'Mapa final'!$S$53),"")</f>
        <v/>
      </c>
      <c r="T58" s="63" t="str">
        <f>IF(AND('Mapa final'!$AJ$54="Muy Baja",'Mapa final'!$AL$54="Menor"),CONCATENATE("R2C",'Mapa final'!$S$54),"")</f>
        <v/>
      </c>
      <c r="U58" s="63" t="str">
        <f>IF(AND('Mapa final'!$AJ$55="Muy Baja",'Mapa final'!$AL$55="Menor"),CONCATENATE("R2C",'Mapa final'!$S$55),"")</f>
        <v/>
      </c>
      <c r="V58" s="64" t="str">
        <f>IF(AND('Mapa final'!$AJ$56="Muy Baja",'Mapa final'!$AL$56="Menor"),CONCATENATE("R2C",'Mapa final'!$S$56),"")</f>
        <v/>
      </c>
      <c r="W58" s="53" t="str">
        <f>IF(AND('Mapa final'!$AJ$51="Muy Baja",'Mapa final'!$AL$51="Moderado"),CONCATENATE("R2C",'Mapa final'!$S$51),"")</f>
        <v/>
      </c>
      <c r="X58" s="54" t="str">
        <f>IF(AND('Mapa final'!$AJ$52="Muy Baja",'Mapa final'!$AL$52="Moderado"),CONCATENATE("R2C",'Mapa final'!$S$52),"")</f>
        <v/>
      </c>
      <c r="Y58" s="54" t="str">
        <f>IF(AND('Mapa final'!$AJ$53="Muy Baja",'Mapa final'!$AL$53="Moderado"),CONCATENATE("R2C",'Mapa final'!$S$53),"")</f>
        <v/>
      </c>
      <c r="Z58" s="54" t="str">
        <f>IF(AND('Mapa final'!$AJ$54="Muy Baja",'Mapa final'!$AL$54="Moderado"),CONCATENATE("R2C",'Mapa final'!$S$54),"")</f>
        <v/>
      </c>
      <c r="AA58" s="54" t="str">
        <f>IF(AND('Mapa final'!$AJ$55="Muy Baja",'Mapa final'!$AL$55="Moderado"),CONCATENATE("R2C",'Mapa final'!$S$55),"")</f>
        <v/>
      </c>
      <c r="AB58" s="55" t="str">
        <f>IF(AND('Mapa final'!$AJ$56="Muy Baja",'Mapa final'!$AL$56="Moderado"),CONCATENATE("R2C",'Mapa final'!$S$56),"")</f>
        <v/>
      </c>
      <c r="AC58" s="38" t="str">
        <f>IF(AND('Mapa final'!$AJ$51="Muy Baja",'Mapa final'!$AL$51="Mayor"),CONCATENATE("R2C",'Mapa final'!$S$51),"")</f>
        <v/>
      </c>
      <c r="AD58" s="39" t="str">
        <f>IF(AND('Mapa final'!$AJ$52="Muy Baja",'Mapa final'!$AL$52="Mayor"),CONCATENATE("R2C",'Mapa final'!$S$52),"")</f>
        <v/>
      </c>
      <c r="AE58" s="39" t="str">
        <f>IF(AND('Mapa final'!$AJ$53="Muy Baja",'Mapa final'!$AL$53="Mayor"),CONCATENATE("R2C",'Mapa final'!$S$53),"")</f>
        <v/>
      </c>
      <c r="AF58" s="39" t="str">
        <f>IF(AND('Mapa final'!$AJ$54="Muy Baja",'Mapa final'!$AL$54="Mayor"),CONCATENATE("R2C",'Mapa final'!$S$54),"")</f>
        <v/>
      </c>
      <c r="AG58" s="39" t="str">
        <f>IF(AND('Mapa final'!$AJ$55="Muy Baja",'Mapa final'!$AL$55="Mayor"),CONCATENATE("R2C",'Mapa final'!$S$55),"")</f>
        <v/>
      </c>
      <c r="AH58" s="40" t="str">
        <f>IF(AND('Mapa final'!$AJ$56="Muy Baja",'Mapa final'!$AL$56="Mayor"),CONCATENATE("R2C",'Mapa final'!$S$56),"")</f>
        <v/>
      </c>
      <c r="AI58" s="41" t="str">
        <f>IF(AND('Mapa final'!$AJ$51="Muy Baja",'Mapa final'!$AL$51="Catastrófico"),CONCATENATE("R2C",'Mapa final'!$S$51),"")</f>
        <v/>
      </c>
      <c r="AJ58" s="42" t="str">
        <f>IF(AND('Mapa final'!$AJ$52="Muy Baja",'Mapa final'!$AL$52="Catastrófico"),CONCATENATE("R2C",'Mapa final'!$S$52),"")</f>
        <v/>
      </c>
      <c r="AK58" s="42" t="str">
        <f>IF(AND('Mapa final'!$AJ$53="Muy Baja",'Mapa final'!$AL$53="Catastrófico"),CONCATENATE("R2C",'Mapa final'!$S$53),"")</f>
        <v/>
      </c>
      <c r="AL58" s="42" t="str">
        <f>IF(AND('Mapa final'!$AJ$54="Muy Baja",'Mapa final'!$AL$54="Catastrófico"),CONCATENATE("R2C",'Mapa final'!$S$54),"")</f>
        <v/>
      </c>
      <c r="AM58" s="42" t="str">
        <f>IF(AND('Mapa final'!$AJ$55="Muy Baja",'Mapa final'!$AL$55="Catastrófico"),CONCATENATE("R2C",'Mapa final'!$S$55),"")</f>
        <v/>
      </c>
      <c r="AN58" s="43" t="str">
        <f>IF(AND('Mapa final'!$AJ$56="Muy Baja",'Mapa final'!$AL$56="Catastrófico"),CONCATENATE("R2C",'Mapa final'!$S$56),"")</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373"/>
      <c r="D59" s="373"/>
      <c r="E59" s="374"/>
      <c r="F59" s="468"/>
      <c r="G59" s="469"/>
      <c r="H59" s="469"/>
      <c r="I59" s="469"/>
      <c r="J59" s="470"/>
      <c r="K59" s="62" t="str">
        <f>IF(AND('Mapa final'!$AJ$57="Muy Baja",'Mapa final'!$AL$57="Leve"),CONCATENATE("R2C",'Mapa final'!$S$57),"")</f>
        <v/>
      </c>
      <c r="L59" s="63" t="str">
        <f>IF(AND('Mapa final'!$AJ$58="Muy Baja",'Mapa final'!$AL$58="Leve"),CONCATENATE("R2C",'Mapa final'!$S$58),"")</f>
        <v/>
      </c>
      <c r="M59" s="63" t="str">
        <f>IF(AND('Mapa final'!$AJ$59="Muy Baja",'Mapa final'!$AL$59="Leve"),CONCATENATE("R2C",'Mapa final'!$S$59),"")</f>
        <v/>
      </c>
      <c r="N59" s="63" t="str">
        <f>IF(AND('Mapa final'!$AJ$60="Muy Baja",'Mapa final'!$AL$60="Leve"),CONCATENATE("R2C",'Mapa final'!$S$60),"")</f>
        <v/>
      </c>
      <c r="O59" s="63" t="str">
        <f>IF(AND('Mapa final'!$AJ$61="Muy Baja",'Mapa final'!$AL$61="Leve"),CONCATENATE("R2C",'Mapa final'!$S$61),"")</f>
        <v/>
      </c>
      <c r="P59" s="64" t="str">
        <f>IF(AND('Mapa final'!$AJ$62="Muy Baja",'Mapa final'!$AL$62="Leve"),CONCATENATE("R2C",'Mapa final'!$S$62),"")</f>
        <v/>
      </c>
      <c r="Q59" s="62" t="str">
        <f>IF(AND('Mapa final'!$AJ$57="Muy Baja",'Mapa final'!$AL$57="Menor"),CONCATENATE("R2C",'Mapa final'!$S$57),"")</f>
        <v/>
      </c>
      <c r="R59" s="63" t="str">
        <f>IF(AND('Mapa final'!$AJ$58="Muy Baja",'Mapa final'!$AL$58="Menor"),CONCATENATE("R2C",'Mapa final'!$S$58),"")</f>
        <v/>
      </c>
      <c r="S59" s="63" t="str">
        <f>IF(AND('Mapa final'!$AJ$59="Muy Baja",'Mapa final'!$AL$59="Menor"),CONCATENATE("R2C",'Mapa final'!$S$59),"")</f>
        <v/>
      </c>
      <c r="T59" s="63" t="str">
        <f>IF(AND('Mapa final'!$AJ$60="Muy Baja",'Mapa final'!$AL$60="Menor"),CONCATENATE("R2C",'Mapa final'!$S$60),"")</f>
        <v/>
      </c>
      <c r="U59" s="63" t="str">
        <f>IF(AND('Mapa final'!$AJ$61="Muy Baja",'Mapa final'!$AL$61="Menor"),CONCATENATE("R2C",'Mapa final'!$S$61),"")</f>
        <v/>
      </c>
      <c r="V59" s="64" t="str">
        <f>IF(AND('Mapa final'!$AJ$62="Muy Baja",'Mapa final'!$AL$62="Menor"),CONCATENATE("R2C",'Mapa final'!$S$62),"")</f>
        <v/>
      </c>
      <c r="W59" s="53" t="str">
        <f>IF(AND('Mapa final'!$AJ$57="Muy Baja",'Mapa final'!$AL$57="Moderado"),CONCATENATE("R2C",'Mapa final'!$S$57),"")</f>
        <v/>
      </c>
      <c r="X59" s="54" t="str">
        <f>IF(AND('Mapa final'!$AJ$58="Muy Baja",'Mapa final'!$AL$58="Moderado"),CONCATENATE("R2C",'Mapa final'!$S$58),"")</f>
        <v/>
      </c>
      <c r="Y59" s="54" t="str">
        <f>IF(AND('Mapa final'!$AJ$59="Muy Baja",'Mapa final'!$AL$59="Moderado"),CONCATENATE("R2C",'Mapa final'!$S$59),"")</f>
        <v/>
      </c>
      <c r="Z59" s="54" t="str">
        <f>IF(AND('Mapa final'!$AJ$60="Muy Baja",'Mapa final'!$AL$60="Moderado"),CONCATENATE("R2C",'Mapa final'!$S$60),"")</f>
        <v/>
      </c>
      <c r="AA59" s="54" t="str">
        <f>IF(AND('Mapa final'!$AJ$61="Muy Baja",'Mapa final'!$AL$61="Moderado"),CONCATENATE("R2C",'Mapa final'!$S$61),"")</f>
        <v/>
      </c>
      <c r="AB59" s="55" t="str">
        <f>IF(AND('Mapa final'!$AJ$62="Muy Baja",'Mapa final'!$AL$62="Moderado"),CONCATENATE("R2C",'Mapa final'!$S$62),"")</f>
        <v/>
      </c>
      <c r="AC59" s="38" t="str">
        <f>IF(AND('Mapa final'!$AJ$57="Muy Baja",'Mapa final'!$AL$57="Mayor"),CONCATENATE("R2C",'Mapa final'!$S$57),"")</f>
        <v/>
      </c>
      <c r="AD59" s="39" t="str">
        <f>IF(AND('Mapa final'!$AJ$58="Muy Baja",'Mapa final'!$AL$58="Mayor"),CONCATENATE("R2C",'Mapa final'!$S$58),"")</f>
        <v/>
      </c>
      <c r="AE59" s="39" t="str">
        <f>IF(AND('Mapa final'!$AJ$59="Muy Baja",'Mapa final'!$AL$59="Mayor"),CONCATENATE("R2C",'Mapa final'!$S$59),"")</f>
        <v/>
      </c>
      <c r="AF59" s="39" t="str">
        <f>IF(AND('Mapa final'!$AJ$60="Muy Baja",'Mapa final'!$AL$60="Mayor"),CONCATENATE("R2C",'Mapa final'!$S$60),"")</f>
        <v/>
      </c>
      <c r="AG59" s="39" t="str">
        <f>IF(AND('Mapa final'!$AJ$61="Muy Baja",'Mapa final'!$AL$61="Mayor"),CONCATENATE("R2C",'Mapa final'!$S$61),"")</f>
        <v/>
      </c>
      <c r="AH59" s="40" t="str">
        <f>IF(AND('Mapa final'!$AJ$62="Muy Baja",'Mapa final'!$AL$62="Mayor"),CONCATENATE("R2C",'Mapa final'!$S$62),"")</f>
        <v/>
      </c>
      <c r="AI59" s="41" t="str">
        <f>IF(AND('Mapa final'!$AJ$57="Muy Baja",'Mapa final'!$AL$57="Catastrófico"),CONCATENATE("R2C",'Mapa final'!$S$57),"")</f>
        <v/>
      </c>
      <c r="AJ59" s="42" t="str">
        <f>IF(AND('Mapa final'!$AJ$58="Muy Baja",'Mapa final'!$AL$58="Catastrófico"),CONCATENATE("R2C",'Mapa final'!$S$58),"")</f>
        <v/>
      </c>
      <c r="AK59" s="42" t="str">
        <f>IF(AND('Mapa final'!$AJ$59="Muy Baja",'Mapa final'!$AL$59="Catastrófico"),CONCATENATE("R2C",'Mapa final'!$S$59),"")</f>
        <v/>
      </c>
      <c r="AL59" s="42" t="str">
        <f>IF(AND('Mapa final'!$AJ$60="Muy Baja",'Mapa final'!$AL$60="Catastrófico"),CONCATENATE("R2C",'Mapa final'!$S$60),"")</f>
        <v/>
      </c>
      <c r="AM59" s="42" t="str">
        <f>IF(AND('Mapa final'!$AJ$61="Muy Baja",'Mapa final'!$AL$61="Catastrófico"),CONCATENATE("R2C",'Mapa final'!$S$61),"")</f>
        <v/>
      </c>
      <c r="AN59" s="43" t="str">
        <f>IF(AND('Mapa final'!$AJ$62="Muy Baja",'Mapa final'!$AL$62="Catastrófico"),CONCATENATE("R2C",'Mapa final'!$S$62),"")</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373"/>
      <c r="D60" s="373"/>
      <c r="E60" s="374"/>
      <c r="F60" s="468"/>
      <c r="G60" s="469"/>
      <c r="H60" s="469"/>
      <c r="I60" s="469"/>
      <c r="J60" s="470"/>
      <c r="K60" s="62" t="str">
        <f>IF(AND('Mapa final'!$AJ$63="Muy Baja",'Mapa final'!$AL$63="Leve"),CONCATENATE("R2C",'Mapa final'!$S$63),"")</f>
        <v/>
      </c>
      <c r="L60" s="63" t="str">
        <f>IF(AND('Mapa final'!$AJ$64="Muy Baja",'Mapa final'!$AL$64="Leve"),CONCATENATE("R2C",'Mapa final'!$S$64),"")</f>
        <v/>
      </c>
      <c r="M60" s="63" t="str">
        <f>IF(AND('Mapa final'!$AJ$65="Muy Baja",'Mapa final'!$AL$65="Leve"),CONCATENATE("R2C",'Mapa final'!$S$65),"")</f>
        <v/>
      </c>
      <c r="N60" s="63" t="str">
        <f>IF(AND('Mapa final'!$AJ$66="Muy Baja",'Mapa final'!$AL$66="Leve"),CONCATENATE("R2C",'Mapa final'!$S$66),"")</f>
        <v/>
      </c>
      <c r="O60" s="63" t="str">
        <f>IF(AND('Mapa final'!$AJ$67="Muy Baja",'Mapa final'!$AL$67="Leve"),CONCATENATE("R2C",'Mapa final'!$S$67),"")</f>
        <v/>
      </c>
      <c r="P60" s="64" t="str">
        <f>IF(AND('Mapa final'!$AJ$68="Muy Baja",'Mapa final'!$AL$68="Leve"),CONCATENATE("R2C",'Mapa final'!$S$68),"")</f>
        <v/>
      </c>
      <c r="Q60" s="62" t="str">
        <f>IF(AND('Mapa final'!$AJ$63="Muy Baja",'Mapa final'!$AL$63="Menor"),CONCATENATE("R2C",'Mapa final'!$S$63),"")</f>
        <v/>
      </c>
      <c r="R60" s="63" t="str">
        <f>IF(AND('Mapa final'!$AJ$64="Muy Baja",'Mapa final'!$AL$64="Menor"),CONCATENATE("R2C",'Mapa final'!$S$64),"")</f>
        <v/>
      </c>
      <c r="S60" s="63" t="str">
        <f>IF(AND('Mapa final'!$AJ$65="Muy Baja",'Mapa final'!$AL$65="Menor"),CONCATENATE("R2C",'Mapa final'!$S$65),"")</f>
        <v/>
      </c>
      <c r="T60" s="63" t="str">
        <f>IF(AND('Mapa final'!$AJ$66="Muy Baja",'Mapa final'!$AL$66="Menor"),CONCATENATE("R2C",'Mapa final'!$S$66),"")</f>
        <v/>
      </c>
      <c r="U60" s="63" t="str">
        <f>IF(AND('Mapa final'!$AJ$67="Muy Baja",'Mapa final'!$AL$67="Menor"),CONCATENATE("R2C",'Mapa final'!$S$67),"")</f>
        <v/>
      </c>
      <c r="V60" s="64" t="str">
        <f>IF(AND('Mapa final'!$AJ$68="Muy Baja",'Mapa final'!$AL$68="Menor"),CONCATENATE("R2C",'Mapa final'!$S$68),"")</f>
        <v/>
      </c>
      <c r="W60" s="53" t="str">
        <f>IF(AND('Mapa final'!$AJ$63="Muy Baja",'Mapa final'!$AL$63="Moderado"),CONCATENATE("R2C",'Mapa final'!$S$63),"")</f>
        <v/>
      </c>
      <c r="X60" s="54" t="str">
        <f>IF(AND('Mapa final'!$AJ$64="Muy Baja",'Mapa final'!$AL$64="Moderado"),CONCATENATE("R2C",'Mapa final'!$S$64),"")</f>
        <v/>
      </c>
      <c r="Y60" s="54" t="str">
        <f>IF(AND('Mapa final'!$AJ$65="Muy Baja",'Mapa final'!$AL$65="Moderado"),CONCATENATE("R2C",'Mapa final'!$S$65),"")</f>
        <v/>
      </c>
      <c r="Z60" s="54" t="str">
        <f>IF(AND('Mapa final'!$AJ$66="Muy Baja",'Mapa final'!$AL$66="Moderado"),CONCATENATE("R2C",'Mapa final'!$S$66),"")</f>
        <v/>
      </c>
      <c r="AA60" s="54" t="str">
        <f>IF(AND('Mapa final'!$AJ$67="Muy Baja",'Mapa final'!$AL$67="Moderado"),CONCATENATE("R2C",'Mapa final'!$S$67),"")</f>
        <v/>
      </c>
      <c r="AB60" s="55" t="str">
        <f>IF(AND('Mapa final'!$AJ$68="Muy Baja",'Mapa final'!$AL$68="Moderado"),CONCATENATE("R2C",'Mapa final'!$S$68),"")</f>
        <v/>
      </c>
      <c r="AC60" s="38" t="str">
        <f>IF(AND('Mapa final'!$AJ$63="Muy Baja",'Mapa final'!$AL$63="Mayor"),CONCATENATE("R2C",'Mapa final'!$S$63),"")</f>
        <v/>
      </c>
      <c r="AD60" s="39" t="str">
        <f>IF(AND('Mapa final'!$AJ$64="Muy Baja",'Mapa final'!$AL$64="Mayor"),CONCATENATE("R2C",'Mapa final'!$S$64),"")</f>
        <v/>
      </c>
      <c r="AE60" s="39" t="str">
        <f>IF(AND('Mapa final'!$AJ$65="Muy Baja",'Mapa final'!$AL$65="Mayor"),CONCATENATE("R2C",'Mapa final'!$S$65),"")</f>
        <v/>
      </c>
      <c r="AF60" s="39" t="str">
        <f>IF(AND('Mapa final'!$AJ$66="Muy Baja",'Mapa final'!$AL$66="Mayor"),CONCATENATE("R2C",'Mapa final'!$S$66),"")</f>
        <v/>
      </c>
      <c r="AG60" s="39" t="str">
        <f>IF(AND('Mapa final'!$AJ$67="Muy Baja",'Mapa final'!$AL$67="Mayor"),CONCATENATE("R2C",'Mapa final'!$S$67),"")</f>
        <v/>
      </c>
      <c r="AH60" s="40" t="str">
        <f>IF(AND('Mapa final'!$AJ$68="Muy Baja",'Mapa final'!$AL$68="Mayor"),CONCATENATE("R2C",'Mapa final'!$S$68),"")</f>
        <v/>
      </c>
      <c r="AI60" s="41" t="str">
        <f>IF(AND('Mapa final'!$AJ$63="Muy Baja",'Mapa final'!$AL$63="Catastrófico"),CONCATENATE("R2C",'Mapa final'!$S$63),"")</f>
        <v/>
      </c>
      <c r="AJ60" s="42" t="str">
        <f>IF(AND('Mapa final'!$AJ$64="Muy Baja",'Mapa final'!$AL$64="Catastrófico"),CONCATENATE("R2C",'Mapa final'!$S$64),"")</f>
        <v/>
      </c>
      <c r="AK60" s="42" t="str">
        <f>IF(AND('Mapa final'!$AJ$65="Muy Baja",'Mapa final'!$AL$65="Catastrófico"),CONCATENATE("R2C",'Mapa final'!$S$65),"")</f>
        <v/>
      </c>
      <c r="AL60" s="42" t="str">
        <f>IF(AND('Mapa final'!$AJ$66="Muy Baja",'Mapa final'!$AL$66="Catastrófico"),CONCATENATE("R2C",'Mapa final'!$S$66),"")</f>
        <v/>
      </c>
      <c r="AM60" s="42" t="str">
        <f>IF(AND('Mapa final'!$AJ$67="Muy Baja",'Mapa final'!$AL$67="Catastrófico"),CONCATENATE("R2C",'Mapa final'!$S$67),"")</f>
        <v/>
      </c>
      <c r="AN60" s="43" t="str">
        <f>IF(AND('Mapa final'!$AJ$68="Muy Baja",'Mapa final'!$AL$68="Catastrófico"),CONCATENATE("R2C",'Mapa final'!$S$68),"")</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373"/>
      <c r="D61" s="373"/>
      <c r="E61" s="374"/>
      <c r="F61" s="471"/>
      <c r="G61" s="472"/>
      <c r="H61" s="472"/>
      <c r="I61" s="472"/>
      <c r="J61" s="473"/>
      <c r="K61" s="65" t="str">
        <f>IF(AND('Mapa final'!$AJ$69="Muy Baja",'Mapa final'!$AL$69="Leve"),CONCATENATE("R2C",'Mapa final'!$S$69),"")</f>
        <v/>
      </c>
      <c r="L61" s="66" t="str">
        <f>IF(AND('Mapa final'!$AJ$70="Muy Baja",'Mapa final'!$AL$70="Leve"),CONCATENATE("R2C",'Mapa final'!$S$70),"")</f>
        <v/>
      </c>
      <c r="M61" s="66" t="str">
        <f>IF(AND('Mapa final'!$AJ$71="Muy Baja",'Mapa final'!$AL$71="Leve"),CONCATENATE("R2C",'Mapa final'!$S$71),"")</f>
        <v/>
      </c>
      <c r="N61" s="66" t="str">
        <f>IF(AND('Mapa final'!$AJ$72="Muy Baja",'Mapa final'!$AL$72="Leve"),CONCATENATE("R2C",'Mapa final'!$S$72),"")</f>
        <v/>
      </c>
      <c r="O61" s="66" t="str">
        <f>IF(AND('Mapa final'!$AJ$74="Muy Baja",'Mapa final'!$AL$74="Leve"),CONCATENATE("R2C",'Mapa final'!$S$74),"")</f>
        <v/>
      </c>
      <c r="P61" s="67" t="str">
        <f>IF(AND('Mapa final'!$AJ$75="Muy Baja",'Mapa final'!$AL$75="Leve"),CONCATENATE("R2C",'Mapa final'!$S$75),"")</f>
        <v/>
      </c>
      <c r="Q61" s="65" t="str">
        <f>IF(AND('Mapa final'!$AJ$69="Muy Baja",'Mapa final'!$AL$69="Menor"),CONCATENATE("R2C",'Mapa final'!$S$69),"")</f>
        <v/>
      </c>
      <c r="R61" s="66" t="str">
        <f>IF(AND('Mapa final'!$AJ$70="Muy Baja",'Mapa final'!$AL$70="Menor"),CONCATENATE("R2C",'Mapa final'!$S$70),"")</f>
        <v/>
      </c>
      <c r="S61" s="66" t="str">
        <f>IF(AND('Mapa final'!$AJ$71="Muy Baja",'Mapa final'!$AL$71="Menor"),CONCATENATE("R2C",'Mapa final'!$S$71),"")</f>
        <v/>
      </c>
      <c r="T61" s="66" t="str">
        <f>IF(AND('Mapa final'!$AJ$72="Muy Baja",'Mapa final'!$AL$72="Menor"),CONCATENATE("R2C",'Mapa final'!$S$72),"")</f>
        <v/>
      </c>
      <c r="U61" s="66" t="str">
        <f>IF(AND('Mapa final'!$AJ$74="Muy Baja",'Mapa final'!$AL$74="Menor"),CONCATENATE("R2C",'Mapa final'!$S$74),"")</f>
        <v/>
      </c>
      <c r="V61" s="67" t="str">
        <f>IF(AND('Mapa final'!$AJ$75="Muy Baja",'Mapa final'!$AL$75="Menor"),CONCATENATE("R2C",'Mapa final'!$S$75),"")</f>
        <v/>
      </c>
      <c r="W61" s="56" t="str">
        <f>IF(AND('Mapa final'!$AJ$69="Muy Baja",'Mapa final'!$AL$69="Moderado"),CONCATENATE("R2C",'Mapa final'!$S$69),"")</f>
        <v/>
      </c>
      <c r="X61" s="57" t="str">
        <f>IF(AND('Mapa final'!$AJ$70="Muy Baja",'Mapa final'!$AL$70="Moderado"),CONCATENATE("R2C",'Mapa final'!$S$70),"")</f>
        <v/>
      </c>
      <c r="Y61" s="57" t="str">
        <f>IF(AND('Mapa final'!$AJ$71="Muy Baja",'Mapa final'!$AL$71="Moderado"),CONCATENATE("R2C",'Mapa final'!$S$71),"")</f>
        <v/>
      </c>
      <c r="Z61" s="57" t="str">
        <f>IF(AND('Mapa final'!$AJ$72="Muy Baja",'Mapa final'!$AL$72="Moderado"),CONCATENATE("R2C",'Mapa final'!$S$72),"")</f>
        <v/>
      </c>
      <c r="AA61" s="57" t="str">
        <f>IF(AND('Mapa final'!$AJ$74="Muy Baja",'Mapa final'!$AL$74="Moderado"),CONCATENATE("R2C",'Mapa final'!$S$74),"")</f>
        <v/>
      </c>
      <c r="AB61" s="58" t="str">
        <f>IF(AND('Mapa final'!$AJ$75="Muy Baja",'Mapa final'!$AL$75="Moderado"),CONCATENATE("R2C",'Mapa final'!$S$75),"")</f>
        <v/>
      </c>
      <c r="AC61" s="44" t="str">
        <f>IF(AND('Mapa final'!$AJ$69="Muy Baja",'Mapa final'!$AL$69="Mayor"),CONCATENATE("R2C",'Mapa final'!$S$69),"")</f>
        <v/>
      </c>
      <c r="AD61" s="45" t="str">
        <f>IF(AND('Mapa final'!$AJ$70="Muy Baja",'Mapa final'!$AL$70="Mayor"),CONCATENATE("R2C",'Mapa final'!$S$70),"")</f>
        <v/>
      </c>
      <c r="AE61" s="45" t="str">
        <f>IF(AND('Mapa final'!$AJ$71="Muy Baja",'Mapa final'!$AL$71="Mayor"),CONCATENATE("R2C",'Mapa final'!$S$71),"")</f>
        <v/>
      </c>
      <c r="AF61" s="45" t="str">
        <f>IF(AND('Mapa final'!$AJ$72="Muy Baja",'Mapa final'!$AL$72="Mayor"),CONCATENATE("R2C",'Mapa final'!$S$72),"")</f>
        <v/>
      </c>
      <c r="AG61" s="45" t="str">
        <f>IF(AND('Mapa final'!$AJ$74="Muy Baja",'Mapa final'!$AL$74="Mayor"),CONCATENATE("R2C",'Mapa final'!$S$74),"")</f>
        <v/>
      </c>
      <c r="AH61" s="46" t="str">
        <f>IF(AND('Mapa final'!$AJ$75="Muy Baja",'Mapa final'!$AL$75="Mayor"),CONCATENATE("R2C",'Mapa final'!$S$75),"")</f>
        <v/>
      </c>
      <c r="AI61" s="47" t="str">
        <f>IF(AND('Mapa final'!$AJ$69="Muy Baja",'Mapa final'!$AL$69="Catastrófico"),CONCATENATE("R2C",'Mapa final'!$S$69),"")</f>
        <v/>
      </c>
      <c r="AJ61" s="48" t="str">
        <f>IF(AND('Mapa final'!$AJ$70="Muy Baja",'Mapa final'!$AL$70="Catastrófico"),CONCATENATE("R2C",'Mapa final'!$S$70),"")</f>
        <v/>
      </c>
      <c r="AK61" s="48" t="str">
        <f>IF(AND('Mapa final'!$AJ$71="Muy Baja",'Mapa final'!$AL$71="Catastrófico"),CONCATENATE("R2C",'Mapa final'!$S$71),"")</f>
        <v/>
      </c>
      <c r="AL61" s="48" t="str">
        <f>IF(AND('Mapa final'!$AJ$72="Muy Baja",'Mapa final'!$AL$72="Catastrófico"),CONCATENATE("R2C",'Mapa final'!$S$72),"")</f>
        <v/>
      </c>
      <c r="AM61" s="48" t="str">
        <f>IF(AND('Mapa final'!$AJ$74="Muy Baja",'Mapa final'!$AL$74="Catastrófico"),CONCATENATE("R2C",'Mapa final'!$S$74),"")</f>
        <v/>
      </c>
      <c r="AN61" s="49" t="str">
        <f>IF(AND('Mapa final'!$AJ$75="Muy Baja",'Mapa final'!$AL$75="Catastrófico"),CONCATENATE("R2C",'Mapa final'!$S$75),"")</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65" t="s">
        <v>111</v>
      </c>
      <c r="L62" s="466"/>
      <c r="M62" s="466"/>
      <c r="N62" s="466"/>
      <c r="O62" s="466"/>
      <c r="P62" s="467"/>
      <c r="Q62" s="465" t="s">
        <v>110</v>
      </c>
      <c r="R62" s="466"/>
      <c r="S62" s="466"/>
      <c r="T62" s="466"/>
      <c r="U62" s="466"/>
      <c r="V62" s="467"/>
      <c r="W62" s="465" t="s">
        <v>109</v>
      </c>
      <c r="X62" s="466"/>
      <c r="Y62" s="466"/>
      <c r="Z62" s="466"/>
      <c r="AA62" s="466"/>
      <c r="AB62" s="467"/>
      <c r="AC62" s="465" t="s">
        <v>108</v>
      </c>
      <c r="AD62" s="516"/>
      <c r="AE62" s="466"/>
      <c r="AF62" s="466"/>
      <c r="AG62" s="466"/>
      <c r="AH62" s="467"/>
      <c r="AI62" s="465" t="s">
        <v>107</v>
      </c>
      <c r="AJ62" s="466"/>
      <c r="AK62" s="466"/>
      <c r="AL62" s="466"/>
      <c r="AM62" s="466"/>
      <c r="AN62" s="467"/>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68"/>
      <c r="L63" s="469"/>
      <c r="M63" s="469"/>
      <c r="N63" s="469"/>
      <c r="O63" s="469"/>
      <c r="P63" s="470"/>
      <c r="Q63" s="468"/>
      <c r="R63" s="469"/>
      <c r="S63" s="469"/>
      <c r="T63" s="469"/>
      <c r="U63" s="469"/>
      <c r="V63" s="470"/>
      <c r="W63" s="468"/>
      <c r="X63" s="469"/>
      <c r="Y63" s="469"/>
      <c r="Z63" s="469"/>
      <c r="AA63" s="469"/>
      <c r="AB63" s="470"/>
      <c r="AC63" s="468"/>
      <c r="AD63" s="469"/>
      <c r="AE63" s="469"/>
      <c r="AF63" s="469"/>
      <c r="AG63" s="469"/>
      <c r="AH63" s="470"/>
      <c r="AI63" s="468"/>
      <c r="AJ63" s="469"/>
      <c r="AK63" s="469"/>
      <c r="AL63" s="469"/>
      <c r="AM63" s="469"/>
      <c r="AN63" s="470"/>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68"/>
      <c r="L64" s="469"/>
      <c r="M64" s="469"/>
      <c r="N64" s="469"/>
      <c r="O64" s="469"/>
      <c r="P64" s="470"/>
      <c r="Q64" s="468"/>
      <c r="R64" s="469"/>
      <c r="S64" s="469"/>
      <c r="T64" s="469"/>
      <c r="U64" s="469"/>
      <c r="V64" s="470"/>
      <c r="W64" s="468"/>
      <c r="X64" s="469"/>
      <c r="Y64" s="469"/>
      <c r="Z64" s="469"/>
      <c r="AA64" s="469"/>
      <c r="AB64" s="470"/>
      <c r="AC64" s="468"/>
      <c r="AD64" s="469"/>
      <c r="AE64" s="469"/>
      <c r="AF64" s="469"/>
      <c r="AG64" s="469"/>
      <c r="AH64" s="470"/>
      <c r="AI64" s="468"/>
      <c r="AJ64" s="469"/>
      <c r="AK64" s="469"/>
      <c r="AL64" s="469"/>
      <c r="AM64" s="469"/>
      <c r="AN64" s="470"/>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68"/>
      <c r="L65" s="469"/>
      <c r="M65" s="469"/>
      <c r="N65" s="469"/>
      <c r="O65" s="469"/>
      <c r="P65" s="470"/>
      <c r="Q65" s="468"/>
      <c r="R65" s="469"/>
      <c r="S65" s="469"/>
      <c r="T65" s="469"/>
      <c r="U65" s="469"/>
      <c r="V65" s="470"/>
      <c r="W65" s="468"/>
      <c r="X65" s="469"/>
      <c r="Y65" s="469"/>
      <c r="Z65" s="469"/>
      <c r="AA65" s="469"/>
      <c r="AB65" s="470"/>
      <c r="AC65" s="468"/>
      <c r="AD65" s="469"/>
      <c r="AE65" s="469"/>
      <c r="AF65" s="469"/>
      <c r="AG65" s="469"/>
      <c r="AH65" s="470"/>
      <c r="AI65" s="468"/>
      <c r="AJ65" s="469"/>
      <c r="AK65" s="469"/>
      <c r="AL65" s="469"/>
      <c r="AM65" s="469"/>
      <c r="AN65" s="470"/>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68"/>
      <c r="L66" s="469"/>
      <c r="M66" s="469"/>
      <c r="N66" s="469"/>
      <c r="O66" s="469"/>
      <c r="P66" s="470"/>
      <c r="Q66" s="468"/>
      <c r="R66" s="469"/>
      <c r="S66" s="469"/>
      <c r="T66" s="469"/>
      <c r="U66" s="469"/>
      <c r="V66" s="470"/>
      <c r="W66" s="468"/>
      <c r="X66" s="469"/>
      <c r="Y66" s="469"/>
      <c r="Z66" s="469"/>
      <c r="AA66" s="469"/>
      <c r="AB66" s="470"/>
      <c r="AC66" s="468"/>
      <c r="AD66" s="469"/>
      <c r="AE66" s="469"/>
      <c r="AF66" s="469"/>
      <c r="AG66" s="469"/>
      <c r="AH66" s="470"/>
      <c r="AI66" s="468"/>
      <c r="AJ66" s="469"/>
      <c r="AK66" s="469"/>
      <c r="AL66" s="469"/>
      <c r="AM66" s="469"/>
      <c r="AN66" s="470"/>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71"/>
      <c r="L67" s="472"/>
      <c r="M67" s="472"/>
      <c r="N67" s="472"/>
      <c r="O67" s="472"/>
      <c r="P67" s="473"/>
      <c r="Q67" s="471"/>
      <c r="R67" s="472"/>
      <c r="S67" s="472"/>
      <c r="T67" s="472"/>
      <c r="U67" s="472"/>
      <c r="V67" s="473"/>
      <c r="W67" s="471"/>
      <c r="X67" s="472"/>
      <c r="Y67" s="472"/>
      <c r="Z67" s="472"/>
      <c r="AA67" s="472"/>
      <c r="AB67" s="473"/>
      <c r="AC67" s="471"/>
      <c r="AD67" s="472"/>
      <c r="AE67" s="472"/>
      <c r="AF67" s="472"/>
      <c r="AG67" s="472"/>
      <c r="AH67" s="473"/>
      <c r="AI67" s="471"/>
      <c r="AJ67" s="472"/>
      <c r="AK67" s="472"/>
      <c r="AL67" s="472"/>
      <c r="AM67" s="472"/>
      <c r="AN67" s="473"/>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A8:B8"/>
    <mergeCell ref="K62:P67"/>
    <mergeCell ref="Q62:V67"/>
    <mergeCell ref="W62:AB67"/>
    <mergeCell ref="AC62:AH67"/>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C2:J5"/>
    <mergeCell ref="K2:AN5"/>
    <mergeCell ref="AO2:AU2"/>
    <mergeCell ref="AO3:AU3"/>
    <mergeCell ref="AO4:AU4"/>
    <mergeCell ref="AO5:AU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election activeCell="C13" sqref="C13"/>
    </sheetView>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517" t="s">
        <v>244</v>
      </c>
      <c r="C2" s="520" t="s">
        <v>205</v>
      </c>
      <c r="D2" s="521"/>
      <c r="E2" s="124" t="s">
        <v>390</v>
      </c>
      <c r="F2" s="125"/>
    </row>
    <row r="3" spans="1:6" ht="15.75" customHeight="1" x14ac:dyDescent="0.25">
      <c r="B3" s="518"/>
      <c r="C3" s="234"/>
      <c r="D3" s="236"/>
      <c r="E3" s="124" t="s">
        <v>264</v>
      </c>
      <c r="F3" s="125"/>
    </row>
    <row r="4" spans="1:6" ht="16.5" customHeight="1" x14ac:dyDescent="0.25">
      <c r="B4" s="518"/>
      <c r="C4" s="234"/>
      <c r="D4" s="236"/>
      <c r="E4" s="124" t="s">
        <v>389</v>
      </c>
      <c r="F4" s="125"/>
    </row>
    <row r="5" spans="1:6" ht="15" customHeight="1" thickBot="1" x14ac:dyDescent="0.3">
      <c r="B5" s="519"/>
      <c r="C5" s="522"/>
      <c r="D5" s="523"/>
      <c r="E5" s="124" t="s">
        <v>245</v>
      </c>
      <c r="F5" s="125"/>
    </row>
    <row r="7" spans="1:6" x14ac:dyDescent="0.25">
      <c r="A7" s="524" t="s">
        <v>266</v>
      </c>
      <c r="B7" s="142" t="s">
        <v>246</v>
      </c>
      <c r="C7" s="143" t="s">
        <v>247</v>
      </c>
      <c r="D7" s="143" t="s">
        <v>248</v>
      </c>
      <c r="E7" s="143" t="s">
        <v>249</v>
      </c>
    </row>
    <row r="8" spans="1:6" ht="28.5" x14ac:dyDescent="0.25">
      <c r="A8" s="524"/>
      <c r="B8" s="126">
        <v>45687</v>
      </c>
      <c r="C8" s="127" t="s">
        <v>424</v>
      </c>
      <c r="D8" s="128" t="s">
        <v>426</v>
      </c>
      <c r="E8" s="128" t="s">
        <v>425</v>
      </c>
    </row>
    <row r="9" spans="1:6" x14ac:dyDescent="0.25">
      <c r="A9" s="524"/>
      <c r="B9" s="126"/>
      <c r="C9" s="127"/>
      <c r="D9" s="128"/>
      <c r="E9" s="128"/>
    </row>
    <row r="10" spans="1:6" x14ac:dyDescent="0.25">
      <c r="A10" s="524"/>
      <c r="B10" s="126"/>
      <c r="C10" s="127"/>
      <c r="D10" s="128"/>
      <c r="E10" s="128"/>
    </row>
    <row r="11" spans="1:6" x14ac:dyDescent="0.25">
      <c r="A11" s="524"/>
      <c r="B11" s="126"/>
      <c r="C11" s="127"/>
      <c r="D11" s="128"/>
      <c r="E11" s="128"/>
    </row>
    <row r="12" spans="1:6" x14ac:dyDescent="0.25">
      <c r="A12" s="524"/>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cp:lastModifiedBy>
  <cp:lastPrinted>2020-05-13T01:12:22Z</cp:lastPrinted>
  <dcterms:created xsi:type="dcterms:W3CDTF">2020-03-24T23:12:47Z</dcterms:created>
  <dcterms:modified xsi:type="dcterms:W3CDTF">2025-01-31T17:45:07Z</dcterms:modified>
</cp:coreProperties>
</file>