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ivotTables/pivotTable1.xml" ContentType="application/vnd.openxmlformats-officedocument.spreadsheetml.pivot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codeName="ThisWorkbook" hidePivotFieldList="1" defaultThemeVersion="124226"/>
  <mc:AlternateContent xmlns:mc="http://schemas.openxmlformats.org/markup-compatibility/2006">
    <mc:Choice Requires="x15">
      <x15ac:absPath xmlns:x15ac="http://schemas.microsoft.com/office/spreadsheetml/2010/11/ac" url="https://itceduco-my.sharepoint.com/personal/mipg_itc_edu_co/Documents/SIG/Gestión de riesgos/Matrices de riesgos 2026/Direccionamiento Institucional/"/>
    </mc:Choice>
  </mc:AlternateContent>
  <xr:revisionPtr revIDLastSave="745" documentId="8_{40A9DF85-CA35-4856-8FA9-12C035AAE35B}" xr6:coauthVersionLast="47" xr6:coauthVersionMax="47" xr10:uidLastSave="{AD1312FC-66E6-FD48-87EA-FD723BB43E53}"/>
  <bookViews>
    <workbookView xWindow="-36640" yWindow="2220" windowWidth="36200" windowHeight="20300" tabRatio="882" firstSheet="1" activeTab="1" xr2:uid="{00000000-000D-0000-FFFF-FFFF00000000}"/>
  </bookViews>
  <sheets>
    <sheet name="PORTADA " sheetId="22" r:id="rId1"/>
    <sheet name="Mapa final" sheetId="1" r:id="rId2"/>
    <sheet name="Datos" sheetId="32" state="hidden" r:id="rId3"/>
    <sheet name="Formulas" sheetId="28" state="hidden" r:id="rId4"/>
    <sheet name="CRITERIOS R CORRUPCION" sheetId="27" r:id="rId5"/>
    <sheet name="Apayo Visual " sheetId="31" r:id="rId6"/>
    <sheet name="eliminar" sheetId="30" state="hidden" r:id="rId7"/>
    <sheet name="Matriz Calor Inherente" sheetId="18" r:id="rId8"/>
    <sheet name="Matriz Calor Residual" sheetId="19" r:id="rId9"/>
    <sheet name="CAMBIOS REGISTRO" sheetId="25" state="hidden" r:id="rId10"/>
    <sheet name="SGI" sheetId="24" state="hidden" r:id="rId11"/>
    <sheet name="Intructivo" sheetId="20" r:id="rId12"/>
    <sheet name="CONTROL DE CAMBIOS REGISTRO " sheetId="23" state="hidden" r:id="rId13"/>
    <sheet name="Listas" sheetId="21" state="hidden" r:id="rId14"/>
    <sheet name="Hoja3" sheetId="29" state="hidden" r:id="rId15"/>
    <sheet name="Control de Cambios FORMATO " sheetId="26" r:id="rId16"/>
    <sheet name="Tabla probabilidad" sheetId="12" r:id="rId17"/>
    <sheet name="Tabla Impacto" sheetId="13" r:id="rId18"/>
    <sheet name="Tabla Valoración controles" sheetId="15" r:id="rId19"/>
    <sheet name="Hoja4" sheetId="34" r:id="rId20"/>
    <sheet name="Hoja2" sheetId="33" state="hidden" r:id="rId21"/>
    <sheet name="Opciones Tratamiento" sheetId="16" state="hidden" r:id="rId22"/>
    <sheet name="Hoja1" sheetId="11" state="hidden" r:id="rId23"/>
  </sheets>
  <definedNames>
    <definedName name="A_Obj1" localSheetId="9">OFFSET(#REF!,0,0,COUNTA(#REF!)-1,1)</definedName>
    <definedName name="A_Obj1" localSheetId="15">OFFSET(#REF!,0,0,COUNTA(#REF!)-1,1)</definedName>
    <definedName name="A_Obj1">OFFSET(#REF!,0,0,COUNTA(#REF!)-1,1)</definedName>
    <definedName name="A_Obj2" localSheetId="9">OFFSET(#REF!,0,0,COUNTA(#REF!)-1,1)</definedName>
    <definedName name="A_Obj2" localSheetId="15">OFFSET(#REF!,0,0,COUNTA(#REF!)-1,1)</definedName>
    <definedName name="A_Obj2">OFFSET(#REF!,0,0,COUNTA(#REF!)-1,1)</definedName>
    <definedName name="A_Obj3" localSheetId="9">OFFSET(#REF!,0,0,COUNTA(#REF!)-1,1)</definedName>
    <definedName name="A_Obj3" localSheetId="15">OFFSET(#REF!,0,0,COUNTA(#REF!)-1,1)</definedName>
    <definedName name="A_Obj3">OFFSET(#REF!,0,0,COUNTA(#REF!)-1,1)</definedName>
    <definedName name="A_Obj4" localSheetId="9">OFFSET(#REF!,0,0,COUNTA(#REF!)-1,1)</definedName>
    <definedName name="A_Obj4" localSheetId="15">OFFSET(#REF!,0,0,COUNTA(#REF!)-1,1)</definedName>
    <definedName name="A_Obj4">OFFSET(#REF!,0,0,COUNTA(#REF!)-1,1)</definedName>
    <definedName name="Acc_1" localSheetId="9">#REF!</definedName>
    <definedName name="Acc_1" localSheetId="15">#REF!</definedName>
    <definedName name="Acc_1">#REF!</definedName>
    <definedName name="Acc_2" localSheetId="9">#REF!</definedName>
    <definedName name="Acc_2" localSheetId="15">#REF!</definedName>
    <definedName name="Acc_2">#REF!</definedName>
    <definedName name="Acc_3" localSheetId="9">#REF!</definedName>
    <definedName name="Acc_3" localSheetId="15">#REF!</definedName>
    <definedName name="Acc_3">#REF!</definedName>
    <definedName name="Acc_4" localSheetId="9">#REF!</definedName>
    <definedName name="Acc_4" localSheetId="15">#REF!</definedName>
    <definedName name="Acc_4">#REF!</definedName>
    <definedName name="Acc_5" localSheetId="9">#REF!</definedName>
    <definedName name="Acc_5" localSheetId="15">#REF!</definedName>
    <definedName name="Acc_5">#REF!</definedName>
    <definedName name="Acc_6" localSheetId="9">#REF!</definedName>
    <definedName name="Acc_6" localSheetId="15">#REF!</definedName>
    <definedName name="Acc_6">#REF!</definedName>
    <definedName name="Acc_7" localSheetId="9">#REF!</definedName>
    <definedName name="Acc_7" localSheetId="15">#REF!</definedName>
    <definedName name="Acc_7">#REF!</definedName>
    <definedName name="Acc_8" localSheetId="9">#REF!</definedName>
    <definedName name="Acc_8" localSheetId="15">#REF!</definedName>
    <definedName name="Acc_8">#REF!</definedName>
    <definedName name="Acc_9" localSheetId="9">#REF!</definedName>
    <definedName name="Acc_9" localSheetId="15">#REF!</definedName>
    <definedName name="Acc_9">#REF!</definedName>
    <definedName name="_xlnm.Print_Area" localSheetId="9">'CAMBIOS REGISTRO'!$A$1:$E$23</definedName>
    <definedName name="_xlnm.Print_Area" localSheetId="15">'Control de Cambios FORMATO '!$A$1:$L$27</definedName>
    <definedName name="Causafactor3">#REF!</definedName>
    <definedName name="ControlTipo">#REF!</definedName>
    <definedName name="Criterios_Impacto">Criterios[Criterios_Impacto]</definedName>
    <definedName name="Departamentos" localSheetId="9">#REF!</definedName>
    <definedName name="Departamentos" localSheetId="15">#REF!</definedName>
    <definedName name="Departamentos">#REF!</definedName>
    <definedName name="Fuentes" localSheetId="9">#REF!</definedName>
    <definedName name="Fuentes" localSheetId="15">#REF!</definedName>
    <definedName name="Fuentes">#REF!</definedName>
    <definedName name="Indicadores" localSheetId="9">#REF!</definedName>
    <definedName name="Indicadores" localSheetId="15">#REF!</definedName>
    <definedName name="Indicadores">#REF!</definedName>
    <definedName name="No_aplica" localSheetId="15">#REF!</definedName>
    <definedName name="No_aplica">#REF!</definedName>
    <definedName name="Objetivos" localSheetId="9">OFFSET(#REF!,0,0,COUNTA(#REF!)-1,1)</definedName>
    <definedName name="Objetivos" localSheetId="15">OFFSET(#REF!,0,0,COUNTA(#REF!)-1,1)</definedName>
    <definedName name="Objetivos">OFFSET(#REF!,0,0,COUNTA(#REF!)-1,1)</definedName>
    <definedName name="OLE_LINK2" localSheetId="9">'CAMBIOS REGISTRO'!$A$1</definedName>
    <definedName name="Posibilidad">#REF!</definedName>
    <definedName name="RiesgoClase3">#REF!</definedName>
    <definedName name="SiNo">#REF!</definedName>
  </definedNames>
  <calcPr calcId="191028" iterateDelta="1E-4"/>
  <pivotCaches>
    <pivotCache cacheId="2" r:id="rId2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22" i="1" l="1"/>
  <c r="AG21" i="1"/>
  <c r="AG20" i="1"/>
  <c r="AG19" i="1"/>
  <c r="O21" i="1" l="1"/>
  <c r="P21" i="1"/>
  <c r="O19" i="1"/>
  <c r="AB16" i="1"/>
  <c r="Y16" i="1"/>
  <c r="AK16" i="1" s="1"/>
  <c r="AJ16" i="1" s="1"/>
  <c r="Y15" i="1" l="1"/>
  <c r="AB17" i="1"/>
  <c r="Y17" i="1"/>
  <c r="AK17" i="1" s="1"/>
  <c r="AJ17" i="1" s="1"/>
  <c r="P19" i="1"/>
  <c r="P15" i="1"/>
  <c r="S19" i="1"/>
  <c r="T19" i="1" s="1"/>
  <c r="S21" i="1"/>
  <c r="T21" i="1" s="1"/>
  <c r="S15" i="1"/>
  <c r="AB15" i="1"/>
  <c r="AB18" i="1"/>
  <c r="AB19" i="1"/>
  <c r="AB20" i="1"/>
  <c r="AB21" i="1"/>
  <c r="AB22" i="1"/>
  <c r="Y18" i="1"/>
  <c r="Y19" i="1"/>
  <c r="Y20" i="1"/>
  <c r="Y21" i="1"/>
  <c r="Y22" i="1"/>
  <c r="AK21" i="1" l="1"/>
  <c r="AJ21" i="1" s="1"/>
  <c r="U21" i="1"/>
  <c r="Q21" i="1"/>
  <c r="AK22" i="1"/>
  <c r="AJ22" i="1" s="1"/>
  <c r="AE51" i="19"/>
  <c r="AH21" i="1" l="1"/>
  <c r="AL21" i="1" s="1"/>
  <c r="AI21" i="1"/>
  <c r="AI22" i="1" l="1"/>
  <c r="AH22" i="1"/>
  <c r="Q15" i="1"/>
  <c r="U15" i="1"/>
  <c r="Q19" i="1"/>
  <c r="AN61" i="19"/>
  <c r="AM61" i="19"/>
  <c r="AL61" i="19"/>
  <c r="AK61" i="19"/>
  <c r="AJ61" i="19"/>
  <c r="AI61" i="19"/>
  <c r="AH61" i="19"/>
  <c r="AG61" i="19"/>
  <c r="AF61" i="19"/>
  <c r="AE61" i="19"/>
  <c r="AD61" i="19"/>
  <c r="AC61" i="19"/>
  <c r="AB61" i="19"/>
  <c r="AA61" i="19"/>
  <c r="Z61" i="19"/>
  <c r="Y61" i="19"/>
  <c r="X61" i="19"/>
  <c r="W61" i="19"/>
  <c r="V61" i="19"/>
  <c r="U61" i="19"/>
  <c r="T61" i="19"/>
  <c r="S61" i="19"/>
  <c r="R61" i="19"/>
  <c r="Q61" i="19"/>
  <c r="P61" i="19"/>
  <c r="O61" i="19"/>
  <c r="N61" i="19"/>
  <c r="M61" i="19"/>
  <c r="L61" i="19"/>
  <c r="K61" i="19"/>
  <c r="AN60" i="19"/>
  <c r="AM60" i="19"/>
  <c r="AL60" i="19"/>
  <c r="AK60" i="19"/>
  <c r="AJ60" i="19"/>
  <c r="AI60" i="19"/>
  <c r="AH60" i="19"/>
  <c r="AG60" i="19"/>
  <c r="AF60" i="19"/>
  <c r="AE60" i="19"/>
  <c r="AD60" i="19"/>
  <c r="AC60" i="19"/>
  <c r="AB60" i="19"/>
  <c r="AA60" i="19"/>
  <c r="Z60" i="19"/>
  <c r="Y60" i="19"/>
  <c r="X60" i="19"/>
  <c r="W60" i="19"/>
  <c r="V60" i="19"/>
  <c r="U60" i="19"/>
  <c r="T60" i="19"/>
  <c r="S60" i="19"/>
  <c r="R60" i="19"/>
  <c r="Q60" i="19"/>
  <c r="P60" i="19"/>
  <c r="O60" i="19"/>
  <c r="N60" i="19"/>
  <c r="M60" i="19"/>
  <c r="L60" i="19"/>
  <c r="K60" i="19"/>
  <c r="AN59" i="19"/>
  <c r="AM59" i="19"/>
  <c r="AL59" i="19"/>
  <c r="AK59" i="19"/>
  <c r="AJ59" i="19"/>
  <c r="AI59" i="19"/>
  <c r="AH59" i="19"/>
  <c r="AG59" i="19"/>
  <c r="AF59" i="19"/>
  <c r="AE59" i="19"/>
  <c r="AD59" i="19"/>
  <c r="AC59" i="19"/>
  <c r="AB59" i="19"/>
  <c r="AA59" i="19"/>
  <c r="Z59" i="19"/>
  <c r="Y59" i="19"/>
  <c r="X59" i="19"/>
  <c r="W59" i="19"/>
  <c r="V59" i="19"/>
  <c r="U59" i="19"/>
  <c r="T59" i="19"/>
  <c r="S59" i="19"/>
  <c r="R59" i="19"/>
  <c r="Q59" i="19"/>
  <c r="P59" i="19"/>
  <c r="O59" i="19"/>
  <c r="N59" i="19"/>
  <c r="M59" i="19"/>
  <c r="L59" i="19"/>
  <c r="K59" i="19"/>
  <c r="AN58" i="19"/>
  <c r="AM58" i="19"/>
  <c r="AL58" i="19"/>
  <c r="AK58" i="19"/>
  <c r="AJ58" i="19"/>
  <c r="AI58" i="19"/>
  <c r="AH58" i="19"/>
  <c r="AG58" i="19"/>
  <c r="AF58" i="19"/>
  <c r="AE58" i="19"/>
  <c r="AD58" i="19"/>
  <c r="AC58" i="19"/>
  <c r="AB58" i="19"/>
  <c r="AA58" i="19"/>
  <c r="Z58" i="19"/>
  <c r="Y58" i="19"/>
  <c r="X58" i="19"/>
  <c r="W58" i="19"/>
  <c r="V58" i="19"/>
  <c r="U58" i="19"/>
  <c r="T58" i="19"/>
  <c r="S58" i="19"/>
  <c r="R58" i="19"/>
  <c r="Q58" i="19"/>
  <c r="P58" i="19"/>
  <c r="O58" i="19"/>
  <c r="N58" i="19"/>
  <c r="M58" i="19"/>
  <c r="L58" i="19"/>
  <c r="K58" i="19"/>
  <c r="AN57" i="19"/>
  <c r="AM57" i="19"/>
  <c r="AL57" i="19"/>
  <c r="AK57" i="19"/>
  <c r="AJ57" i="19"/>
  <c r="AI57" i="19"/>
  <c r="AH57" i="19"/>
  <c r="AG57" i="19"/>
  <c r="AF57" i="19"/>
  <c r="AE57" i="19"/>
  <c r="AD57" i="19"/>
  <c r="AC57" i="19"/>
  <c r="AB57" i="19"/>
  <c r="AA57" i="19"/>
  <c r="Z57" i="19"/>
  <c r="Y57" i="19"/>
  <c r="X57" i="19"/>
  <c r="W57" i="19"/>
  <c r="V57" i="19"/>
  <c r="U57" i="19"/>
  <c r="T57" i="19"/>
  <c r="S57" i="19"/>
  <c r="R57" i="19"/>
  <c r="Q57" i="19"/>
  <c r="P57" i="19"/>
  <c r="O57" i="19"/>
  <c r="N57" i="19"/>
  <c r="M57" i="19"/>
  <c r="L57" i="19"/>
  <c r="K57" i="19"/>
  <c r="AN56" i="19"/>
  <c r="AM56" i="19"/>
  <c r="AL56" i="19"/>
  <c r="AK56" i="19"/>
  <c r="AJ56" i="19"/>
  <c r="AI56" i="19"/>
  <c r="AH56" i="19"/>
  <c r="AG56" i="19"/>
  <c r="AF56" i="19"/>
  <c r="AE56" i="19"/>
  <c r="AD56" i="19"/>
  <c r="AC56" i="19"/>
  <c r="AB56" i="19"/>
  <c r="AA56" i="19"/>
  <c r="Z56" i="19"/>
  <c r="Y56" i="19"/>
  <c r="X56" i="19"/>
  <c r="W56" i="19"/>
  <c r="V56" i="19"/>
  <c r="U56" i="19"/>
  <c r="T56" i="19"/>
  <c r="S56" i="19"/>
  <c r="R56" i="19"/>
  <c r="Q56" i="19"/>
  <c r="P56" i="19"/>
  <c r="O56" i="19"/>
  <c r="N56" i="19"/>
  <c r="M56" i="19"/>
  <c r="L56" i="19"/>
  <c r="K56" i="19"/>
  <c r="AN55" i="19"/>
  <c r="AM55" i="19"/>
  <c r="AL55" i="19"/>
  <c r="AK55" i="19"/>
  <c r="AJ55" i="19"/>
  <c r="AI55" i="19"/>
  <c r="AH55" i="19"/>
  <c r="AG55" i="19"/>
  <c r="AF55" i="19"/>
  <c r="AE55" i="19"/>
  <c r="AD55" i="19"/>
  <c r="AC55" i="19"/>
  <c r="AB55" i="19"/>
  <c r="AA55" i="19"/>
  <c r="Z55" i="19"/>
  <c r="Y55" i="19"/>
  <c r="X55" i="19"/>
  <c r="W55" i="19"/>
  <c r="V55" i="19"/>
  <c r="U55" i="19"/>
  <c r="T55" i="19"/>
  <c r="S55" i="19"/>
  <c r="R55" i="19"/>
  <c r="Q55" i="19"/>
  <c r="P55" i="19"/>
  <c r="O55" i="19"/>
  <c r="N55" i="19"/>
  <c r="M55" i="19"/>
  <c r="L55" i="19"/>
  <c r="K55" i="19"/>
  <c r="AN54" i="19"/>
  <c r="AM54" i="19"/>
  <c r="AL54" i="19"/>
  <c r="AK54" i="19"/>
  <c r="AJ54" i="19"/>
  <c r="AI54" i="19"/>
  <c r="AH54" i="19"/>
  <c r="AG54" i="19"/>
  <c r="AF54" i="19"/>
  <c r="AE54" i="19"/>
  <c r="AD54" i="19"/>
  <c r="AC54" i="19"/>
  <c r="AB54" i="19"/>
  <c r="AA54" i="19"/>
  <c r="Z54" i="19"/>
  <c r="Y54" i="19"/>
  <c r="X54" i="19"/>
  <c r="W54" i="19"/>
  <c r="V54" i="19"/>
  <c r="U54" i="19"/>
  <c r="T54" i="19"/>
  <c r="S54" i="19"/>
  <c r="R54" i="19"/>
  <c r="Q54" i="19"/>
  <c r="P54" i="19"/>
  <c r="O54" i="19"/>
  <c r="N54" i="19"/>
  <c r="M54" i="19"/>
  <c r="L54" i="19"/>
  <c r="K54" i="19"/>
  <c r="AN53" i="19"/>
  <c r="AM53" i="19"/>
  <c r="AL53" i="19"/>
  <c r="AK53" i="19"/>
  <c r="AH53" i="19"/>
  <c r="AG53" i="19"/>
  <c r="AF53" i="19"/>
  <c r="AE53" i="19"/>
  <c r="AB53" i="19"/>
  <c r="AA53" i="19"/>
  <c r="Z53" i="19"/>
  <c r="Y53" i="19"/>
  <c r="V53" i="19"/>
  <c r="U53" i="19"/>
  <c r="T53" i="19"/>
  <c r="S53" i="19"/>
  <c r="P53" i="19"/>
  <c r="O53" i="19"/>
  <c r="N53" i="19"/>
  <c r="M53" i="19"/>
  <c r="AN51" i="19"/>
  <c r="AM51" i="19"/>
  <c r="AL51" i="19"/>
  <c r="AK51" i="19"/>
  <c r="AJ51" i="19"/>
  <c r="AI51" i="19"/>
  <c r="AH51" i="19"/>
  <c r="AG51" i="19"/>
  <c r="AF51" i="19"/>
  <c r="AD51" i="19"/>
  <c r="AC51" i="19"/>
  <c r="AB51" i="19"/>
  <c r="AA51" i="19"/>
  <c r="Z51" i="19"/>
  <c r="Y51" i="19"/>
  <c r="X51" i="19"/>
  <c r="W51" i="19"/>
  <c r="V51" i="19"/>
  <c r="U51" i="19"/>
  <c r="T51" i="19"/>
  <c r="S51" i="19"/>
  <c r="R51" i="19"/>
  <c r="Q51" i="19"/>
  <c r="P51" i="19"/>
  <c r="O51" i="19"/>
  <c r="N51" i="19"/>
  <c r="M51" i="19"/>
  <c r="L51" i="19"/>
  <c r="K51" i="19"/>
  <c r="AN50" i="19"/>
  <c r="AM50" i="19"/>
  <c r="AL50" i="19"/>
  <c r="AK50" i="19"/>
  <c r="AJ50" i="19"/>
  <c r="AI50" i="19"/>
  <c r="AH50" i="19"/>
  <c r="AG50" i="19"/>
  <c r="AF50" i="19"/>
  <c r="AE50" i="19"/>
  <c r="AD50" i="19"/>
  <c r="AC50" i="19"/>
  <c r="AB50" i="19"/>
  <c r="AA50" i="19"/>
  <c r="Z50" i="19"/>
  <c r="Y50" i="19"/>
  <c r="X50" i="19"/>
  <c r="W50" i="19"/>
  <c r="V50" i="19"/>
  <c r="U50" i="19"/>
  <c r="T50" i="19"/>
  <c r="S50" i="19"/>
  <c r="R50" i="19"/>
  <c r="Q50" i="19"/>
  <c r="P50" i="19"/>
  <c r="O50" i="19"/>
  <c r="N50" i="19"/>
  <c r="M50" i="19"/>
  <c r="L50" i="19"/>
  <c r="K50" i="19"/>
  <c r="AN49" i="19"/>
  <c r="AM49" i="19"/>
  <c r="AL49" i="19"/>
  <c r="AK49" i="19"/>
  <c r="AJ49" i="19"/>
  <c r="AI49" i="19"/>
  <c r="AH49" i="19"/>
  <c r="AG49" i="19"/>
  <c r="AF49" i="19"/>
  <c r="AE49" i="19"/>
  <c r="AD49" i="19"/>
  <c r="AC49" i="19"/>
  <c r="AB49" i="19"/>
  <c r="AA49" i="19"/>
  <c r="Z49" i="19"/>
  <c r="Y49" i="19"/>
  <c r="X49" i="19"/>
  <c r="W49" i="19"/>
  <c r="V49" i="19"/>
  <c r="U49" i="19"/>
  <c r="T49" i="19"/>
  <c r="S49" i="19"/>
  <c r="R49" i="19"/>
  <c r="Q49" i="19"/>
  <c r="P49" i="19"/>
  <c r="O49" i="19"/>
  <c r="N49" i="19"/>
  <c r="M49" i="19"/>
  <c r="L49" i="19"/>
  <c r="K49" i="19"/>
  <c r="AN48" i="19"/>
  <c r="AM48" i="19"/>
  <c r="AL48" i="19"/>
  <c r="AK48" i="19"/>
  <c r="AJ48" i="19"/>
  <c r="AI48" i="19"/>
  <c r="AH48" i="19"/>
  <c r="AG48" i="19"/>
  <c r="AF48" i="19"/>
  <c r="AE48" i="19"/>
  <c r="AD48" i="19"/>
  <c r="AC48" i="19"/>
  <c r="AB48" i="19"/>
  <c r="AA48" i="19"/>
  <c r="Z48" i="19"/>
  <c r="Y48" i="19"/>
  <c r="X48" i="19"/>
  <c r="W48" i="19"/>
  <c r="V48" i="19"/>
  <c r="U48" i="19"/>
  <c r="T48" i="19"/>
  <c r="S48" i="19"/>
  <c r="R48" i="19"/>
  <c r="Q48" i="19"/>
  <c r="P48" i="19"/>
  <c r="O48" i="19"/>
  <c r="N48" i="19"/>
  <c r="M48" i="19"/>
  <c r="L48" i="19"/>
  <c r="K48" i="19"/>
  <c r="AN47" i="19"/>
  <c r="AM47" i="19"/>
  <c r="AL47" i="19"/>
  <c r="AK47" i="19"/>
  <c r="AJ47" i="19"/>
  <c r="AI47" i="19"/>
  <c r="AH47" i="19"/>
  <c r="AG47" i="19"/>
  <c r="AF47" i="19"/>
  <c r="AE47" i="19"/>
  <c r="AD47" i="19"/>
  <c r="AC47" i="19"/>
  <c r="AB47" i="19"/>
  <c r="AA47" i="19"/>
  <c r="Z47" i="19"/>
  <c r="Y47" i="19"/>
  <c r="X47" i="19"/>
  <c r="W47" i="19"/>
  <c r="V47" i="19"/>
  <c r="U47" i="19"/>
  <c r="T47" i="19"/>
  <c r="S47" i="19"/>
  <c r="R47" i="19"/>
  <c r="Q47" i="19"/>
  <c r="P47" i="19"/>
  <c r="O47" i="19"/>
  <c r="N47" i="19"/>
  <c r="M47" i="19"/>
  <c r="L47" i="19"/>
  <c r="K47" i="19"/>
  <c r="AN46" i="19"/>
  <c r="AM46" i="19"/>
  <c r="AL46" i="19"/>
  <c r="AK46" i="19"/>
  <c r="AJ46" i="19"/>
  <c r="AI46" i="19"/>
  <c r="AH46" i="19"/>
  <c r="AG46" i="19"/>
  <c r="AF46" i="19"/>
  <c r="AE46" i="19"/>
  <c r="AD46" i="19"/>
  <c r="AC46" i="19"/>
  <c r="AB46" i="19"/>
  <c r="AA46" i="19"/>
  <c r="Z46" i="19"/>
  <c r="Y46" i="19"/>
  <c r="X46" i="19"/>
  <c r="W46" i="19"/>
  <c r="V46" i="19"/>
  <c r="U46" i="19"/>
  <c r="T46" i="19"/>
  <c r="S46" i="19"/>
  <c r="R46" i="19"/>
  <c r="Q46" i="19"/>
  <c r="P46" i="19"/>
  <c r="O46" i="19"/>
  <c r="N46" i="19"/>
  <c r="M46" i="19"/>
  <c r="L46" i="19"/>
  <c r="K46" i="19"/>
  <c r="AN45" i="19"/>
  <c r="AM45" i="19"/>
  <c r="AL45" i="19"/>
  <c r="AK45" i="19"/>
  <c r="AJ45" i="19"/>
  <c r="AI45" i="19"/>
  <c r="AH45" i="19"/>
  <c r="AG45" i="19"/>
  <c r="AF45" i="19"/>
  <c r="AE45" i="19"/>
  <c r="AD45" i="19"/>
  <c r="AC45" i="19"/>
  <c r="AB45" i="19"/>
  <c r="AA45" i="19"/>
  <c r="Z45" i="19"/>
  <c r="Y45" i="19"/>
  <c r="X45" i="19"/>
  <c r="W45" i="19"/>
  <c r="V45" i="19"/>
  <c r="U45" i="19"/>
  <c r="T45" i="19"/>
  <c r="S45" i="19"/>
  <c r="R45" i="19"/>
  <c r="Q45" i="19"/>
  <c r="P45" i="19"/>
  <c r="O45" i="19"/>
  <c r="N45" i="19"/>
  <c r="M45" i="19"/>
  <c r="L45" i="19"/>
  <c r="K45" i="19"/>
  <c r="AN44" i="19"/>
  <c r="AM44" i="19"/>
  <c r="AL44" i="19"/>
  <c r="AK44" i="19"/>
  <c r="AJ44" i="19"/>
  <c r="AI44" i="19"/>
  <c r="AH44" i="19"/>
  <c r="AG44" i="19"/>
  <c r="AF44" i="19"/>
  <c r="AE44" i="19"/>
  <c r="AD44" i="19"/>
  <c r="AC44" i="19"/>
  <c r="AB44" i="19"/>
  <c r="AA44" i="19"/>
  <c r="Z44" i="19"/>
  <c r="Y44" i="19"/>
  <c r="X44" i="19"/>
  <c r="W44" i="19"/>
  <c r="V44" i="19"/>
  <c r="U44" i="19"/>
  <c r="T44" i="19"/>
  <c r="S44" i="19"/>
  <c r="R44" i="19"/>
  <c r="Q44" i="19"/>
  <c r="P44" i="19"/>
  <c r="O44" i="19"/>
  <c r="N44" i="19"/>
  <c r="M44" i="19"/>
  <c r="L44" i="19"/>
  <c r="K44" i="19"/>
  <c r="AN43" i="19"/>
  <c r="AM43" i="19"/>
  <c r="AL43" i="19"/>
  <c r="AK43" i="19"/>
  <c r="AH43" i="19"/>
  <c r="AG43" i="19"/>
  <c r="AF43" i="19"/>
  <c r="AE43" i="19"/>
  <c r="AB43" i="19"/>
  <c r="AA43" i="19"/>
  <c r="Z43" i="19"/>
  <c r="Y43" i="19"/>
  <c r="V43" i="19"/>
  <c r="U43" i="19"/>
  <c r="T43" i="19"/>
  <c r="S43" i="19"/>
  <c r="P43" i="19"/>
  <c r="O43" i="19"/>
  <c r="N43" i="19"/>
  <c r="M43" i="19"/>
  <c r="AM41" i="19"/>
  <c r="AL41" i="19"/>
  <c r="AK41" i="19"/>
  <c r="AJ41" i="19"/>
  <c r="AI41" i="19"/>
  <c r="AH41" i="19"/>
  <c r="AG41" i="19"/>
  <c r="AF41" i="19"/>
  <c r="AE41" i="19"/>
  <c r="AD41" i="19"/>
  <c r="AC41" i="19"/>
  <c r="AB41" i="19"/>
  <c r="AA41" i="19"/>
  <c r="Z41" i="19"/>
  <c r="Y41" i="19"/>
  <c r="X41" i="19"/>
  <c r="W41" i="19"/>
  <c r="V41" i="19"/>
  <c r="U41" i="19"/>
  <c r="T41" i="19"/>
  <c r="S41" i="19"/>
  <c r="R41" i="19"/>
  <c r="Q41" i="19"/>
  <c r="P41" i="19"/>
  <c r="O41" i="19"/>
  <c r="N41" i="19"/>
  <c r="M41" i="19"/>
  <c r="L41" i="19"/>
  <c r="K41" i="19"/>
  <c r="AN40" i="19"/>
  <c r="AM40" i="19"/>
  <c r="AL40" i="19"/>
  <c r="AK40" i="19"/>
  <c r="AJ40" i="19"/>
  <c r="AI40" i="19"/>
  <c r="AH40" i="19"/>
  <c r="AG40" i="19"/>
  <c r="AF40" i="19"/>
  <c r="AE40" i="19"/>
  <c r="AD40" i="19"/>
  <c r="AC40" i="19"/>
  <c r="AB40" i="19"/>
  <c r="AA40" i="19"/>
  <c r="Z40" i="19"/>
  <c r="Y40" i="19"/>
  <c r="X40" i="19"/>
  <c r="W40" i="19"/>
  <c r="V40" i="19"/>
  <c r="U40" i="19"/>
  <c r="T40" i="19"/>
  <c r="S40" i="19"/>
  <c r="R40" i="19"/>
  <c r="Q40" i="19"/>
  <c r="P40" i="19"/>
  <c r="O40" i="19"/>
  <c r="N40" i="19"/>
  <c r="M40" i="19"/>
  <c r="L40" i="19"/>
  <c r="K40" i="19"/>
  <c r="AN39" i="19"/>
  <c r="AM39" i="19"/>
  <c r="AL39" i="19"/>
  <c r="AK39" i="19"/>
  <c r="AJ39" i="19"/>
  <c r="AI39" i="19"/>
  <c r="AH39" i="19"/>
  <c r="AG39" i="19"/>
  <c r="AF39" i="19"/>
  <c r="AE39" i="19"/>
  <c r="AD39" i="19"/>
  <c r="AC39" i="19"/>
  <c r="AB39" i="19"/>
  <c r="AA39" i="19"/>
  <c r="Z39" i="19"/>
  <c r="Y39" i="19"/>
  <c r="X39" i="19"/>
  <c r="W39" i="19"/>
  <c r="V39" i="19"/>
  <c r="U39" i="19"/>
  <c r="T39" i="19"/>
  <c r="S39" i="19"/>
  <c r="R39" i="19"/>
  <c r="Q39" i="19"/>
  <c r="P39" i="19"/>
  <c r="O39" i="19"/>
  <c r="N39" i="19"/>
  <c r="M39" i="19"/>
  <c r="L39" i="19"/>
  <c r="K39" i="19"/>
  <c r="AN38" i="19"/>
  <c r="AM38" i="19"/>
  <c r="AL38" i="19"/>
  <c r="AK38" i="19"/>
  <c r="AJ38" i="19"/>
  <c r="AI38" i="19"/>
  <c r="AH38" i="19"/>
  <c r="AG38" i="19"/>
  <c r="AF38" i="19"/>
  <c r="AE38" i="19"/>
  <c r="AD38" i="19"/>
  <c r="AC38" i="19"/>
  <c r="AB38" i="19"/>
  <c r="AA38" i="19"/>
  <c r="Z38" i="19"/>
  <c r="Y38" i="19"/>
  <c r="X38" i="19"/>
  <c r="W38" i="19"/>
  <c r="V38" i="19"/>
  <c r="U38" i="19"/>
  <c r="T38" i="19"/>
  <c r="S38" i="19"/>
  <c r="R38" i="19"/>
  <c r="Q38" i="19"/>
  <c r="P38" i="19"/>
  <c r="O38" i="19"/>
  <c r="N38" i="19"/>
  <c r="M38" i="19"/>
  <c r="L38" i="19"/>
  <c r="K38" i="19"/>
  <c r="AN37" i="19"/>
  <c r="AM37" i="19"/>
  <c r="AL37" i="19"/>
  <c r="AK37" i="19"/>
  <c r="AJ37" i="19"/>
  <c r="AI37" i="19"/>
  <c r="AH37" i="19"/>
  <c r="AG37" i="19"/>
  <c r="AF37" i="19"/>
  <c r="AE37" i="19"/>
  <c r="AD37" i="19"/>
  <c r="AC37" i="19"/>
  <c r="AB37" i="19"/>
  <c r="AA37" i="19"/>
  <c r="Z37" i="19"/>
  <c r="Y37" i="19"/>
  <c r="X37" i="19"/>
  <c r="W37" i="19"/>
  <c r="V37" i="19"/>
  <c r="U37" i="19"/>
  <c r="T37" i="19"/>
  <c r="S37" i="19"/>
  <c r="R37" i="19"/>
  <c r="Q37" i="19"/>
  <c r="P37" i="19"/>
  <c r="O37" i="19"/>
  <c r="N37" i="19"/>
  <c r="M37" i="19"/>
  <c r="L37" i="19"/>
  <c r="K37" i="19"/>
  <c r="AN36" i="19"/>
  <c r="AM36" i="19"/>
  <c r="AL36" i="19"/>
  <c r="AK36" i="19"/>
  <c r="AJ36" i="19"/>
  <c r="AI36" i="19"/>
  <c r="AH36" i="19"/>
  <c r="AG36" i="19"/>
  <c r="AF36" i="19"/>
  <c r="AE36" i="19"/>
  <c r="AD36" i="19"/>
  <c r="AC36" i="19"/>
  <c r="AB36" i="19"/>
  <c r="AA36" i="19"/>
  <c r="Z36" i="19"/>
  <c r="Y36" i="19"/>
  <c r="X36" i="19"/>
  <c r="W36" i="19"/>
  <c r="V36" i="19"/>
  <c r="U36" i="19"/>
  <c r="T36" i="19"/>
  <c r="S36" i="19"/>
  <c r="R36" i="19"/>
  <c r="Q36" i="19"/>
  <c r="P36" i="19"/>
  <c r="O36" i="19"/>
  <c r="N36" i="19"/>
  <c r="M36" i="19"/>
  <c r="L36" i="19"/>
  <c r="K36" i="19"/>
  <c r="AN35" i="19"/>
  <c r="AM35" i="19"/>
  <c r="AL35" i="19"/>
  <c r="AK35" i="19"/>
  <c r="AJ35" i="19"/>
  <c r="AI35" i="19"/>
  <c r="AH35" i="19"/>
  <c r="AG35" i="19"/>
  <c r="AF35" i="19"/>
  <c r="AE35" i="19"/>
  <c r="AD35" i="19"/>
  <c r="AC35" i="19"/>
  <c r="AB35" i="19"/>
  <c r="AA35" i="19"/>
  <c r="Z35" i="19"/>
  <c r="Y35" i="19"/>
  <c r="X35" i="19"/>
  <c r="W35" i="19"/>
  <c r="V35" i="19"/>
  <c r="U35" i="19"/>
  <c r="T35" i="19"/>
  <c r="S35" i="19"/>
  <c r="R35" i="19"/>
  <c r="Q35" i="19"/>
  <c r="P35" i="19"/>
  <c r="O35" i="19"/>
  <c r="N35" i="19"/>
  <c r="M35" i="19"/>
  <c r="L35" i="19"/>
  <c r="K35" i="19"/>
  <c r="AN34" i="19"/>
  <c r="AM34" i="19"/>
  <c r="AL34" i="19"/>
  <c r="AK34" i="19"/>
  <c r="AJ34" i="19"/>
  <c r="AI34" i="19"/>
  <c r="AH34" i="19"/>
  <c r="AG34" i="19"/>
  <c r="AF34" i="19"/>
  <c r="AE34" i="19"/>
  <c r="AD34" i="19"/>
  <c r="AC34" i="19"/>
  <c r="AB34" i="19"/>
  <c r="AA34" i="19"/>
  <c r="Z34" i="19"/>
  <c r="Y34" i="19"/>
  <c r="X34" i="19"/>
  <c r="W34" i="19"/>
  <c r="V34" i="19"/>
  <c r="U34" i="19"/>
  <c r="T34" i="19"/>
  <c r="S34" i="19"/>
  <c r="R34" i="19"/>
  <c r="Q34" i="19"/>
  <c r="P34" i="19"/>
  <c r="O34" i="19"/>
  <c r="N34" i="19"/>
  <c r="M34" i="19"/>
  <c r="L34" i="19"/>
  <c r="K34" i="19"/>
  <c r="AN33" i="19"/>
  <c r="AM33" i="19"/>
  <c r="AL33" i="19"/>
  <c r="AK33" i="19"/>
  <c r="AH33" i="19"/>
  <c r="AG33" i="19"/>
  <c r="AF33" i="19"/>
  <c r="AE33" i="19"/>
  <c r="AB33" i="19"/>
  <c r="AA33" i="19"/>
  <c r="Z33" i="19"/>
  <c r="Y33" i="19"/>
  <c r="V33" i="19"/>
  <c r="U33" i="19"/>
  <c r="T33" i="19"/>
  <c r="S33" i="19"/>
  <c r="P33" i="19"/>
  <c r="O33" i="19"/>
  <c r="N33" i="19"/>
  <c r="M33" i="19"/>
  <c r="AM31" i="19"/>
  <c r="AL31" i="19"/>
  <c r="AK31" i="19"/>
  <c r="AJ31" i="19"/>
  <c r="AI31" i="19"/>
  <c r="AH31" i="19"/>
  <c r="AG31" i="19"/>
  <c r="AF31" i="19"/>
  <c r="AE31" i="19"/>
  <c r="AD31" i="19"/>
  <c r="AC31" i="19"/>
  <c r="AB31" i="19"/>
  <c r="AA31" i="19"/>
  <c r="Z31" i="19"/>
  <c r="Y31" i="19"/>
  <c r="X31" i="19"/>
  <c r="W31" i="19"/>
  <c r="V31" i="19"/>
  <c r="U31" i="19"/>
  <c r="T31" i="19"/>
  <c r="S31" i="19"/>
  <c r="R31" i="19"/>
  <c r="Q31" i="19"/>
  <c r="P31" i="19"/>
  <c r="O31" i="19"/>
  <c r="N31" i="19"/>
  <c r="M31" i="19"/>
  <c r="L31" i="19"/>
  <c r="K31" i="19"/>
  <c r="AN30" i="19"/>
  <c r="AM30" i="19"/>
  <c r="AL30" i="19"/>
  <c r="AK30" i="19"/>
  <c r="AJ30" i="19"/>
  <c r="AI30" i="19"/>
  <c r="AH30" i="19"/>
  <c r="AG30" i="19"/>
  <c r="AF30" i="19"/>
  <c r="AE30" i="19"/>
  <c r="AD30" i="19"/>
  <c r="AC30" i="19"/>
  <c r="AB30" i="19"/>
  <c r="AA30" i="19"/>
  <c r="Z30" i="19"/>
  <c r="Y30" i="19"/>
  <c r="X30" i="19"/>
  <c r="W30" i="19"/>
  <c r="V30" i="19"/>
  <c r="U30" i="19"/>
  <c r="T30" i="19"/>
  <c r="S30" i="19"/>
  <c r="R30" i="19"/>
  <c r="Q30" i="19"/>
  <c r="P30" i="19"/>
  <c r="O30" i="19"/>
  <c r="N30" i="19"/>
  <c r="M30" i="19"/>
  <c r="L30" i="19"/>
  <c r="K30" i="19"/>
  <c r="AN29" i="19"/>
  <c r="AM29" i="19"/>
  <c r="AL29" i="19"/>
  <c r="AK29" i="19"/>
  <c r="AJ29" i="19"/>
  <c r="AI29" i="19"/>
  <c r="AH29" i="19"/>
  <c r="AG29" i="19"/>
  <c r="AF29" i="19"/>
  <c r="AE29" i="19"/>
  <c r="AD29" i="19"/>
  <c r="AC29" i="19"/>
  <c r="AB29" i="19"/>
  <c r="AA29" i="19"/>
  <c r="Z29" i="19"/>
  <c r="Y29" i="19"/>
  <c r="X29" i="19"/>
  <c r="W29" i="19"/>
  <c r="V29" i="19"/>
  <c r="U29" i="19"/>
  <c r="T29" i="19"/>
  <c r="S29" i="19"/>
  <c r="R29" i="19"/>
  <c r="Q29" i="19"/>
  <c r="P29" i="19"/>
  <c r="O29" i="19"/>
  <c r="N29" i="19"/>
  <c r="M29" i="19"/>
  <c r="L29" i="19"/>
  <c r="K29" i="19"/>
  <c r="AN28" i="19"/>
  <c r="AM28" i="19"/>
  <c r="AL28" i="19"/>
  <c r="AK28" i="19"/>
  <c r="AJ28" i="19"/>
  <c r="AI28" i="19"/>
  <c r="AH28" i="19"/>
  <c r="AG28" i="19"/>
  <c r="AF28" i="19"/>
  <c r="AE28" i="19"/>
  <c r="AD28" i="19"/>
  <c r="AC28" i="19"/>
  <c r="AB28" i="19"/>
  <c r="AA28" i="19"/>
  <c r="Z28" i="19"/>
  <c r="Y28" i="19"/>
  <c r="X28" i="19"/>
  <c r="W28" i="19"/>
  <c r="V28" i="19"/>
  <c r="U28" i="19"/>
  <c r="T28" i="19"/>
  <c r="S28" i="19"/>
  <c r="R28" i="19"/>
  <c r="Q28" i="19"/>
  <c r="P28" i="19"/>
  <c r="O28" i="19"/>
  <c r="N28" i="19"/>
  <c r="M28" i="19"/>
  <c r="L28" i="19"/>
  <c r="K28" i="19"/>
  <c r="AN27" i="19"/>
  <c r="AM27" i="19"/>
  <c r="AL27" i="19"/>
  <c r="AK27" i="19"/>
  <c r="AJ27" i="19"/>
  <c r="AI27" i="19"/>
  <c r="AH27" i="19"/>
  <c r="AG27" i="19"/>
  <c r="AF27" i="19"/>
  <c r="AE27" i="19"/>
  <c r="AD27" i="19"/>
  <c r="AC27" i="19"/>
  <c r="AB27" i="19"/>
  <c r="AA27" i="19"/>
  <c r="Z27" i="19"/>
  <c r="Y27" i="19"/>
  <c r="X27" i="19"/>
  <c r="W27" i="19"/>
  <c r="V27" i="19"/>
  <c r="U27" i="19"/>
  <c r="T27" i="19"/>
  <c r="S27" i="19"/>
  <c r="R27" i="19"/>
  <c r="Q27" i="19"/>
  <c r="P27" i="19"/>
  <c r="O27" i="19"/>
  <c r="N27" i="19"/>
  <c r="M27" i="19"/>
  <c r="L27" i="19"/>
  <c r="K27" i="19"/>
  <c r="AN26" i="19"/>
  <c r="AM26" i="19"/>
  <c r="AL26" i="19"/>
  <c r="AK26" i="19"/>
  <c r="AJ26" i="19"/>
  <c r="AI26" i="19"/>
  <c r="AH26" i="19"/>
  <c r="AG26" i="19"/>
  <c r="AF26" i="19"/>
  <c r="AE26" i="19"/>
  <c r="AD26" i="19"/>
  <c r="AC26" i="19"/>
  <c r="AB26" i="19"/>
  <c r="AA26" i="19"/>
  <c r="Z26" i="19"/>
  <c r="Y26" i="19"/>
  <c r="X26" i="19"/>
  <c r="W26" i="19"/>
  <c r="V26" i="19"/>
  <c r="U26" i="19"/>
  <c r="T26" i="19"/>
  <c r="S26" i="19"/>
  <c r="R26" i="19"/>
  <c r="Q26" i="19"/>
  <c r="P26" i="19"/>
  <c r="O26" i="19"/>
  <c r="N26" i="19"/>
  <c r="M26" i="19"/>
  <c r="L26" i="19"/>
  <c r="K26" i="19"/>
  <c r="AN25" i="19"/>
  <c r="AM25" i="19"/>
  <c r="AL25" i="19"/>
  <c r="AK25" i="19"/>
  <c r="AJ25" i="19"/>
  <c r="AI25" i="19"/>
  <c r="AH25" i="19"/>
  <c r="AG25" i="19"/>
  <c r="AF25" i="19"/>
  <c r="AE25" i="19"/>
  <c r="AD25" i="19"/>
  <c r="AC25" i="19"/>
  <c r="AB25" i="19"/>
  <c r="AA25" i="19"/>
  <c r="Z25" i="19"/>
  <c r="Y25" i="19"/>
  <c r="X25" i="19"/>
  <c r="W25" i="19"/>
  <c r="V25" i="19"/>
  <c r="U25" i="19"/>
  <c r="T25" i="19"/>
  <c r="S25" i="19"/>
  <c r="R25" i="19"/>
  <c r="Q25" i="19"/>
  <c r="P25" i="19"/>
  <c r="O25" i="19"/>
  <c r="N25" i="19"/>
  <c r="M25" i="19"/>
  <c r="L25" i="19"/>
  <c r="K25" i="19"/>
  <c r="AN24" i="19"/>
  <c r="AM24" i="19"/>
  <c r="AL24" i="19"/>
  <c r="AK24" i="19"/>
  <c r="AJ24"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AN23" i="19"/>
  <c r="AM23" i="19"/>
  <c r="AL23" i="19"/>
  <c r="AK23" i="19"/>
  <c r="AH23" i="19"/>
  <c r="AG23" i="19"/>
  <c r="AF23" i="19"/>
  <c r="AE23" i="19"/>
  <c r="AB23" i="19"/>
  <c r="AA23" i="19"/>
  <c r="Z23" i="19"/>
  <c r="Y23" i="19"/>
  <c r="V23" i="19"/>
  <c r="U23" i="19"/>
  <c r="T23" i="19"/>
  <c r="S23" i="19"/>
  <c r="P23" i="19"/>
  <c r="O23" i="19"/>
  <c r="N23" i="19"/>
  <c r="M23" i="19"/>
  <c r="AN41" i="19"/>
  <c r="AN31" i="19"/>
  <c r="AN21" i="19"/>
  <c r="AM21" i="19"/>
  <c r="AL21" i="19"/>
  <c r="AK21" i="19"/>
  <c r="AJ21" i="19"/>
  <c r="AI21" i="19"/>
  <c r="AN20" i="19"/>
  <c r="AM20" i="19"/>
  <c r="AL20" i="19"/>
  <c r="AK20" i="19"/>
  <c r="AJ20" i="19"/>
  <c r="AI20" i="19"/>
  <c r="AN19" i="19"/>
  <c r="AM19" i="19"/>
  <c r="AL19" i="19"/>
  <c r="AK19" i="19"/>
  <c r="AJ19" i="19"/>
  <c r="AI19" i="19"/>
  <c r="AN18" i="19"/>
  <c r="AM18" i="19"/>
  <c r="AL18" i="19"/>
  <c r="AK18" i="19"/>
  <c r="AJ18" i="19"/>
  <c r="AI18" i="19"/>
  <c r="AN17" i="19"/>
  <c r="AM17" i="19"/>
  <c r="AL17" i="19"/>
  <c r="AK17" i="19"/>
  <c r="AJ17" i="19"/>
  <c r="AI17" i="19"/>
  <c r="AN16" i="19"/>
  <c r="AM16" i="19"/>
  <c r="AL16" i="19"/>
  <c r="AK16" i="19"/>
  <c r="AJ16" i="19"/>
  <c r="AI16" i="19"/>
  <c r="AN15" i="19"/>
  <c r="AM15" i="19"/>
  <c r="AL15" i="19"/>
  <c r="AK15" i="19"/>
  <c r="AJ15" i="19"/>
  <c r="AI15" i="19"/>
  <c r="AN14" i="19"/>
  <c r="AM14" i="19"/>
  <c r="AL14" i="19"/>
  <c r="AK14" i="19"/>
  <c r="AJ14" i="19"/>
  <c r="AI14" i="19"/>
  <c r="Q14" i="19"/>
  <c r="AN13" i="19"/>
  <c r="AM13" i="19"/>
  <c r="AL13" i="19"/>
  <c r="AK13" i="19"/>
  <c r="AC14" i="19"/>
  <c r="AD14" i="19"/>
  <c r="AE14" i="19"/>
  <c r="AF14" i="19"/>
  <c r="AH14" i="19"/>
  <c r="AG14" i="19"/>
  <c r="AH21" i="19"/>
  <c r="AF13" i="19"/>
  <c r="AE13" i="19"/>
  <c r="AG15" i="19"/>
  <c r="AG13" i="19"/>
  <c r="AH13" i="19"/>
  <c r="AG21" i="19"/>
  <c r="AF21" i="19"/>
  <c r="AE21" i="19"/>
  <c r="AD21" i="19"/>
  <c r="AC21" i="19"/>
  <c r="AH20" i="19"/>
  <c r="AG20" i="19"/>
  <c r="AF20" i="19"/>
  <c r="AE20" i="19"/>
  <c r="AD20" i="19"/>
  <c r="AC20" i="19"/>
  <c r="AH19" i="19"/>
  <c r="AG19" i="19"/>
  <c r="AF19" i="19"/>
  <c r="AE19" i="19"/>
  <c r="AD19" i="19"/>
  <c r="AC19" i="19"/>
  <c r="AH18" i="19"/>
  <c r="AG18" i="19"/>
  <c r="AF18" i="19"/>
  <c r="AE18" i="19"/>
  <c r="AD18" i="19"/>
  <c r="AC18" i="19"/>
  <c r="AH17" i="19"/>
  <c r="AG17" i="19"/>
  <c r="AF17" i="19"/>
  <c r="AE17" i="19"/>
  <c r="AD17" i="19"/>
  <c r="AC17" i="19"/>
  <c r="AH16" i="19"/>
  <c r="AG16" i="19"/>
  <c r="AF16" i="19"/>
  <c r="AE16" i="19"/>
  <c r="AD16" i="19"/>
  <c r="AC16" i="19"/>
  <c r="AH15" i="19"/>
  <c r="AF15" i="19"/>
  <c r="AE15" i="19"/>
  <c r="AD15" i="19"/>
  <c r="AC15" i="19"/>
  <c r="W21" i="19"/>
  <c r="X21" i="19"/>
  <c r="Y21" i="19"/>
  <c r="Z21" i="19"/>
  <c r="AA21" i="19"/>
  <c r="AB21" i="19"/>
  <c r="AB20" i="19"/>
  <c r="AA20" i="19"/>
  <c r="Z20" i="19"/>
  <c r="Y20" i="19"/>
  <c r="X20" i="19"/>
  <c r="W20" i="19"/>
  <c r="W19" i="19"/>
  <c r="X19" i="19"/>
  <c r="Y19" i="19"/>
  <c r="Z19" i="19"/>
  <c r="AA19" i="19"/>
  <c r="AB19" i="19"/>
  <c r="AB18" i="19"/>
  <c r="AA18" i="19"/>
  <c r="Z18" i="19"/>
  <c r="Y18" i="19"/>
  <c r="X18" i="19"/>
  <c r="W18" i="19"/>
  <c r="W17" i="19"/>
  <c r="X17" i="19"/>
  <c r="Y17" i="19"/>
  <c r="Z17" i="19"/>
  <c r="AA17" i="19"/>
  <c r="AB17" i="19"/>
  <c r="AB16" i="19"/>
  <c r="AA16" i="19"/>
  <c r="Z16" i="19"/>
  <c r="Y16" i="19"/>
  <c r="X16" i="19"/>
  <c r="W16" i="19"/>
  <c r="W15" i="19"/>
  <c r="X15" i="19"/>
  <c r="Y15" i="19"/>
  <c r="Z15" i="19"/>
  <c r="AA15" i="19"/>
  <c r="AB15" i="19"/>
  <c r="AB14" i="19"/>
  <c r="AA14" i="19"/>
  <c r="Z14" i="19"/>
  <c r="Y14" i="19"/>
  <c r="X14" i="19"/>
  <c r="W14" i="19"/>
  <c r="Y13" i="19"/>
  <c r="Z13" i="19"/>
  <c r="AA13" i="19"/>
  <c r="AB13" i="19"/>
  <c r="V21" i="19"/>
  <c r="U21" i="19"/>
  <c r="T21" i="19"/>
  <c r="S21" i="19"/>
  <c r="R21" i="19"/>
  <c r="Q21" i="19"/>
  <c r="Q20" i="19"/>
  <c r="R20" i="19"/>
  <c r="S20" i="19"/>
  <c r="T20" i="19"/>
  <c r="U20" i="19"/>
  <c r="V20" i="19"/>
  <c r="U19" i="19"/>
  <c r="V19" i="19"/>
  <c r="T19" i="19"/>
  <c r="S19" i="19"/>
  <c r="R19" i="19"/>
  <c r="Q19" i="19"/>
  <c r="Q18" i="19"/>
  <c r="R18" i="19"/>
  <c r="S18" i="19"/>
  <c r="T18" i="19"/>
  <c r="U18" i="19"/>
  <c r="V18" i="19"/>
  <c r="V17" i="19"/>
  <c r="U17" i="19"/>
  <c r="T17" i="19"/>
  <c r="S17" i="19"/>
  <c r="R17" i="19"/>
  <c r="Q17" i="19"/>
  <c r="Q16" i="19"/>
  <c r="R16" i="19"/>
  <c r="S16" i="19"/>
  <c r="T16" i="19"/>
  <c r="U16" i="19"/>
  <c r="V16" i="19"/>
  <c r="V15" i="19"/>
  <c r="U15" i="19"/>
  <c r="T15" i="19"/>
  <c r="S15" i="19"/>
  <c r="R15" i="19"/>
  <c r="Q15" i="19"/>
  <c r="V13" i="19"/>
  <c r="V14" i="19"/>
  <c r="U14" i="19"/>
  <c r="T14" i="19"/>
  <c r="S14" i="19"/>
  <c r="R14" i="19"/>
  <c r="S13" i="19"/>
  <c r="T13" i="19"/>
  <c r="U13" i="19"/>
  <c r="P21" i="19"/>
  <c r="O21" i="19"/>
  <c r="N21" i="19"/>
  <c r="M21" i="19"/>
  <c r="L21" i="19"/>
  <c r="K21" i="19"/>
  <c r="P20" i="19"/>
  <c r="O20" i="19"/>
  <c r="N20" i="19"/>
  <c r="M20" i="19"/>
  <c r="L20" i="19"/>
  <c r="K20" i="19"/>
  <c r="P19" i="19"/>
  <c r="O19" i="19"/>
  <c r="N19" i="19"/>
  <c r="M19" i="19"/>
  <c r="L19" i="19"/>
  <c r="K19" i="19"/>
  <c r="P18" i="19"/>
  <c r="O18" i="19"/>
  <c r="N18" i="19"/>
  <c r="M18" i="19"/>
  <c r="L18" i="19"/>
  <c r="K18" i="19"/>
  <c r="P17" i="19"/>
  <c r="O17" i="19"/>
  <c r="N17" i="19"/>
  <c r="M17" i="19"/>
  <c r="L17" i="19"/>
  <c r="K17" i="19"/>
  <c r="P16" i="19"/>
  <c r="O16" i="19"/>
  <c r="N16" i="19"/>
  <c r="M16" i="19"/>
  <c r="L16" i="19"/>
  <c r="K16" i="19"/>
  <c r="P15" i="19"/>
  <c r="O15" i="19"/>
  <c r="N15" i="19"/>
  <c r="M15" i="19"/>
  <c r="L15" i="19"/>
  <c r="K15" i="19"/>
  <c r="P14" i="19"/>
  <c r="O14" i="19"/>
  <c r="N14" i="19"/>
  <c r="M14" i="19"/>
  <c r="L14" i="19"/>
  <c r="K14" i="19"/>
  <c r="P13" i="19"/>
  <c r="O13" i="19"/>
  <c r="N13" i="19"/>
  <c r="M13" i="19"/>
  <c r="L49" i="18"/>
  <c r="N49" i="18"/>
  <c r="P49" i="18"/>
  <c r="R49" i="18"/>
  <c r="T49" i="18"/>
  <c r="V49" i="18"/>
  <c r="X49" i="18"/>
  <c r="Z49" i="18"/>
  <c r="AB49" i="18"/>
  <c r="AD49" i="18"/>
  <c r="AF49" i="18"/>
  <c r="AH49" i="18"/>
  <c r="AJ49" i="18"/>
  <c r="AL49" i="18"/>
  <c r="AN49" i="18"/>
  <c r="AN47" i="18"/>
  <c r="AH47" i="18"/>
  <c r="AB47" i="18"/>
  <c r="V47" i="18"/>
  <c r="P47" i="18"/>
  <c r="N47" i="18"/>
  <c r="N45" i="18"/>
  <c r="P45" i="18"/>
  <c r="P43" i="18"/>
  <c r="N43" i="18"/>
  <c r="L41" i="18"/>
  <c r="N41" i="18"/>
  <c r="P41" i="18"/>
  <c r="R41" i="18"/>
  <c r="T41" i="18"/>
  <c r="V41" i="18"/>
  <c r="X41" i="18"/>
  <c r="Z41" i="18"/>
  <c r="AB41" i="18"/>
  <c r="AD41" i="18"/>
  <c r="AF41" i="18"/>
  <c r="AH41" i="18"/>
  <c r="AJ41" i="18"/>
  <c r="AL41" i="18"/>
  <c r="AN41" i="18"/>
  <c r="AN39" i="18"/>
  <c r="AH39" i="18"/>
  <c r="AB39" i="18"/>
  <c r="V39" i="18"/>
  <c r="P39" i="18"/>
  <c r="N39" i="18"/>
  <c r="N37" i="18"/>
  <c r="P37" i="18"/>
  <c r="P35" i="18"/>
  <c r="N35" i="18"/>
  <c r="AN33" i="18"/>
  <c r="AL33" i="18"/>
  <c r="AJ33" i="18"/>
  <c r="AH33" i="18"/>
  <c r="AF33" i="18"/>
  <c r="AD33" i="18"/>
  <c r="AB33" i="18"/>
  <c r="Z33" i="18"/>
  <c r="X33" i="18"/>
  <c r="V33" i="18"/>
  <c r="T33" i="18"/>
  <c r="R33" i="18"/>
  <c r="P33" i="18"/>
  <c r="N33" i="18"/>
  <c r="L33" i="18"/>
  <c r="N31" i="18"/>
  <c r="P31" i="18"/>
  <c r="V31" i="18"/>
  <c r="AB31" i="18"/>
  <c r="AH31" i="18"/>
  <c r="AN31" i="18"/>
  <c r="P29" i="18"/>
  <c r="N29" i="18"/>
  <c r="P27" i="18"/>
  <c r="N27" i="18"/>
  <c r="AN25" i="18"/>
  <c r="AL25" i="18"/>
  <c r="AJ25" i="18"/>
  <c r="AN23" i="18"/>
  <c r="AH25" i="18"/>
  <c r="AF25" i="18"/>
  <c r="AD25" i="18"/>
  <c r="AH23" i="18"/>
  <c r="AB25" i="18"/>
  <c r="X25" i="18"/>
  <c r="Z25" i="18"/>
  <c r="AB23" i="18"/>
  <c r="V25" i="18"/>
  <c r="T25" i="18"/>
  <c r="R25" i="18"/>
  <c r="V23" i="18"/>
  <c r="P25" i="18"/>
  <c r="N25" i="18"/>
  <c r="L25" i="18"/>
  <c r="P23" i="18"/>
  <c r="N23" i="18"/>
  <c r="P21" i="18"/>
  <c r="N21" i="18"/>
  <c r="P19" i="18"/>
  <c r="N19" i="18"/>
  <c r="AN17" i="18"/>
  <c r="AL17" i="18"/>
  <c r="AJ17" i="18"/>
  <c r="AN15" i="18"/>
  <c r="AH17" i="18"/>
  <c r="AF17" i="18"/>
  <c r="AD17" i="18"/>
  <c r="AH15" i="18"/>
  <c r="AB17" i="18"/>
  <c r="Z17" i="18"/>
  <c r="X17" i="18"/>
  <c r="AB15" i="18"/>
  <c r="V17" i="18"/>
  <c r="V15" i="18"/>
  <c r="T17" i="18"/>
  <c r="R17" i="18"/>
  <c r="L17" i="18"/>
  <c r="P17" i="18"/>
  <c r="N17" i="18"/>
  <c r="P15" i="18"/>
  <c r="N15" i="18"/>
  <c r="P13" i="18"/>
  <c r="N13" i="18"/>
  <c r="P11" i="18"/>
  <c r="N11" i="18"/>
  <c r="AG15" i="1" l="1"/>
  <c r="AH15" i="1" s="1"/>
  <c r="AG18" i="1"/>
  <c r="AI18" i="1" s="1"/>
  <c r="AG17" i="1"/>
  <c r="AG16" i="1"/>
  <c r="AI19" i="1"/>
  <c r="AI53" i="19"/>
  <c r="AN13" i="18"/>
  <c r="AN29" i="18"/>
  <c r="AN37" i="18"/>
  <c r="AN21" i="18"/>
  <c r="AN45" i="18"/>
  <c r="AI17" i="1" l="1"/>
  <c r="AH17" i="1"/>
  <c r="AL17" i="1" s="1"/>
  <c r="AI15" i="1"/>
  <c r="AI16" i="1"/>
  <c r="AH16" i="1"/>
  <c r="AL16" i="1" s="1"/>
  <c r="AH18" i="1"/>
  <c r="AI20" i="1"/>
  <c r="AH20" i="1"/>
  <c r="AH19" i="1"/>
  <c r="F29" i="27"/>
  <c r="E29" i="27"/>
  <c r="G29" i="27" s="1"/>
  <c r="P27" i="1" l="1"/>
  <c r="F221" i="13" l="1"/>
  <c r="F211" i="13"/>
  <c r="F212" i="13"/>
  <c r="F213" i="13"/>
  <c r="F214" i="13"/>
  <c r="F215" i="13"/>
  <c r="F216" i="13"/>
  <c r="F217" i="13"/>
  <c r="F218" i="13"/>
  <c r="F219" i="13"/>
  <c r="F220" i="13"/>
  <c r="F210" i="13"/>
  <c r="B221" i="13" a="1"/>
  <c r="B221" i="13" l="1"/>
  <c r="B223" i="13" l="1"/>
  <c r="B222" i="13"/>
  <c r="H210" i="13" s="1"/>
  <c r="AD53" i="19" l="1"/>
  <c r="X23" i="19"/>
  <c r="AJ13" i="19"/>
  <c r="X13" i="19"/>
  <c r="R43" i="19"/>
  <c r="R33" i="19"/>
  <c r="R53" i="19"/>
  <c r="R23" i="19"/>
  <c r="AD13" i="19"/>
  <c r="X53" i="19"/>
  <c r="AJ43" i="19"/>
  <c r="L43" i="19"/>
  <c r="L33" i="19"/>
  <c r="L53" i="19"/>
  <c r="AJ33" i="19"/>
  <c r="AJ23" i="19"/>
  <c r="L23" i="19"/>
  <c r="X33" i="19"/>
  <c r="AD43" i="19"/>
  <c r="AD33" i="19"/>
  <c r="AJ53" i="19"/>
  <c r="AD23" i="19"/>
  <c r="X43" i="19"/>
  <c r="R13" i="19"/>
  <c r="L13" i="19"/>
  <c r="AC53" i="19"/>
  <c r="W43" i="19"/>
  <c r="W33" i="19"/>
  <c r="W23" i="19"/>
  <c r="W53" i="19"/>
  <c r="AI13" i="19"/>
  <c r="Q43" i="19"/>
  <c r="Q33" i="19"/>
  <c r="K13" i="19"/>
  <c r="Q53" i="19"/>
  <c r="Q23" i="19"/>
  <c r="AC13" i="19"/>
  <c r="AI43" i="19"/>
  <c r="K43" i="19"/>
  <c r="K33" i="19"/>
  <c r="K23" i="19"/>
  <c r="K53" i="19"/>
  <c r="AI33" i="19"/>
  <c r="AI23" i="19"/>
  <c r="AC23" i="19"/>
  <c r="W13" i="19"/>
  <c r="AC43" i="19"/>
  <c r="AC33" i="19"/>
  <c r="Q13" i="19"/>
  <c r="P52" i="19"/>
  <c r="AH42" i="19"/>
  <c r="AH32" i="19"/>
  <c r="AB12" i="19"/>
  <c r="P12" i="19"/>
  <c r="AH52" i="19"/>
  <c r="P42" i="19"/>
  <c r="P32" i="19"/>
  <c r="AH22" i="19"/>
  <c r="P22" i="19"/>
  <c r="AN12" i="19"/>
  <c r="V22" i="19"/>
  <c r="AB52" i="19"/>
  <c r="AB42" i="19"/>
  <c r="AB32" i="19"/>
  <c r="AB22" i="19"/>
  <c r="AH12" i="19"/>
  <c r="V12" i="19"/>
  <c r="AN42" i="19"/>
  <c r="AN32" i="19"/>
  <c r="AN52" i="19"/>
  <c r="V52" i="19"/>
  <c r="V42" i="19"/>
  <c r="V32" i="19"/>
  <c r="AN22" i="19"/>
  <c r="U52" i="19"/>
  <c r="U22" i="19"/>
  <c r="O12" i="19"/>
  <c r="O52" i="19"/>
  <c r="AG42" i="19"/>
  <c r="AG32" i="19"/>
  <c r="AG52" i="19"/>
  <c r="O42" i="19"/>
  <c r="O32" i="19"/>
  <c r="AG22" i="19"/>
  <c r="U12" i="19"/>
  <c r="AM12" i="19"/>
  <c r="AA22" i="19"/>
  <c r="U32" i="19"/>
  <c r="O22" i="19"/>
  <c r="AA52" i="19"/>
  <c r="AA42" i="19"/>
  <c r="AA32" i="19"/>
  <c r="AG12" i="19"/>
  <c r="U42" i="19"/>
  <c r="AM42" i="19"/>
  <c r="AM32" i="19"/>
  <c r="AA12" i="19"/>
  <c r="AM52" i="19"/>
  <c r="AM22" i="19"/>
  <c r="U19" i="1" l="1"/>
  <c r="AL22" i="1"/>
  <c r="L21" i="18"/>
  <c r="L37" i="18"/>
  <c r="R13" i="18"/>
  <c r="R37" i="18"/>
  <c r="AD29" i="18"/>
  <c r="L45" i="18"/>
  <c r="AD45" i="18"/>
  <c r="X13" i="18"/>
  <c r="AJ21" i="18"/>
  <c r="AD37" i="18"/>
  <c r="L13" i="18"/>
  <c r="X21" i="18"/>
  <c r="R21" i="18"/>
  <c r="X37" i="18"/>
  <c r="R29" i="18"/>
  <c r="X29" i="18"/>
  <c r="AJ13" i="18"/>
  <c r="AJ45" i="18"/>
  <c r="X45" i="18"/>
  <c r="R45" i="18"/>
  <c r="AJ29" i="18"/>
  <c r="AD13" i="18"/>
  <c r="L29" i="18"/>
  <c r="AJ37" i="18"/>
  <c r="AD21" i="18"/>
  <c r="Z31" i="18"/>
  <c r="AL23" i="18"/>
  <c r="Z15" i="18"/>
  <c r="Z23" i="18"/>
  <c r="AF39" i="18"/>
  <c r="Z39" i="18"/>
  <c r="AL31" i="18"/>
  <c r="T47" i="18"/>
  <c r="AF15" i="18"/>
  <c r="AL15" i="18"/>
  <c r="T39" i="18"/>
  <c r="AL47" i="18"/>
  <c r="AF23" i="18"/>
  <c r="AL39" i="18"/>
  <c r="T31" i="18"/>
  <c r="T15" i="18"/>
  <c r="AF31" i="18"/>
  <c r="AF47" i="18"/>
  <c r="T23" i="18"/>
  <c r="Z47" i="18"/>
  <c r="Z21" i="18"/>
  <c r="Z29" i="18"/>
  <c r="AL21" i="18"/>
  <c r="AF37" i="18"/>
  <c r="AL29" i="18"/>
  <c r="AF13" i="18"/>
  <c r="T21" i="18"/>
  <c r="AF29" i="18"/>
  <c r="T37" i="18"/>
  <c r="Z37" i="18"/>
  <c r="AL13" i="18"/>
  <c r="T45" i="18"/>
  <c r="T29" i="18"/>
  <c r="AF45" i="18"/>
  <c r="T13" i="18"/>
  <c r="Z45" i="18"/>
  <c r="AL37" i="18"/>
  <c r="AF21" i="18"/>
  <c r="Z13" i="18"/>
  <c r="AL45" i="18"/>
  <c r="R15" i="18"/>
  <c r="AJ23" i="18"/>
  <c r="R39" i="18"/>
  <c r="AJ39" i="18"/>
  <c r="R31" i="18"/>
  <c r="L47" i="18"/>
  <c r="X23" i="18"/>
  <c r="L39" i="18"/>
  <c r="L31" i="18"/>
  <c r="X15" i="18"/>
  <c r="X31" i="18"/>
  <c r="AD39" i="18"/>
  <c r="AJ31" i="18"/>
  <c r="R23" i="18"/>
  <c r="AJ47" i="18"/>
  <c r="AD23" i="18"/>
  <c r="X47" i="18"/>
  <c r="L23" i="18"/>
  <c r="R47" i="18"/>
  <c r="L15" i="18"/>
  <c r="AD31" i="18"/>
  <c r="AD15" i="18"/>
  <c r="AJ15" i="18"/>
  <c r="X39" i="18"/>
  <c r="AD47" i="18"/>
  <c r="AH29" i="18"/>
  <c r="V13" i="18"/>
  <c r="AB45" i="18"/>
  <c r="AH45" i="18"/>
  <c r="AB29" i="18"/>
  <c r="AB13" i="18"/>
  <c r="V29" i="18"/>
  <c r="V37" i="18"/>
  <c r="AH13" i="18"/>
  <c r="AH37" i="18"/>
  <c r="AB37" i="18"/>
  <c r="AB21" i="18"/>
  <c r="V21" i="18"/>
  <c r="V45" i="18"/>
  <c r="AH21" i="18"/>
  <c r="Z19" i="18"/>
  <c r="AL43" i="18"/>
  <c r="AF35" i="18"/>
  <c r="AF11" i="18"/>
  <c r="AN27" i="18"/>
  <c r="AN19" i="18"/>
  <c r="AB43" i="18"/>
  <c r="V27" i="18"/>
  <c r="AN43" i="18"/>
  <c r="AN35" i="18"/>
  <c r="AB19" i="18"/>
  <c r="V11" i="18"/>
  <c r="AN11" i="18"/>
  <c r="AH43" i="18"/>
  <c r="V19" i="18"/>
  <c r="AH35" i="18"/>
  <c r="AH19" i="18"/>
  <c r="AB35" i="18"/>
  <c r="V43" i="18"/>
  <c r="AB11" i="18"/>
  <c r="AH11" i="18"/>
  <c r="AH27" i="18"/>
  <c r="AB27" i="18"/>
  <c r="V35" i="18"/>
  <c r="AK20" i="1" l="1"/>
  <c r="AJ20" i="1" s="1"/>
  <c r="AL20" i="1" s="1"/>
  <c r="AK19" i="1"/>
  <c r="AJ19" i="1" s="1"/>
  <c r="M52" i="19" s="1"/>
  <c r="Z43" i="18"/>
  <c r="T15" i="1"/>
  <c r="AK18" i="1" s="1"/>
  <c r="AJ18" i="1" s="1"/>
  <c r="AL18" i="1" s="1"/>
  <c r="AL35" i="18"/>
  <c r="AF27" i="18"/>
  <c r="AF19" i="18"/>
  <c r="T11" i="18"/>
  <c r="Z11" i="18"/>
  <c r="Z35" i="18"/>
  <c r="T43" i="18"/>
  <c r="T35" i="18"/>
  <c r="AF43" i="18"/>
  <c r="T19" i="18"/>
  <c r="AL19" i="18"/>
  <c r="AL27" i="18"/>
  <c r="T27" i="18"/>
  <c r="Z27" i="18"/>
  <c r="AL11" i="18"/>
  <c r="AF22" i="19"/>
  <c r="AL22" i="19"/>
  <c r="AF12" i="19"/>
  <c r="Z22" i="19"/>
  <c r="N22" i="19"/>
  <c r="T52" i="19"/>
  <c r="T42" i="19"/>
  <c r="Z32" i="19"/>
  <c r="AL42" i="19"/>
  <c r="Z52" i="19"/>
  <c r="N32" i="19"/>
  <c r="T12" i="19"/>
  <c r="T32" i="19"/>
  <c r="AF32" i="19"/>
  <c r="T22" i="19"/>
  <c r="AF52" i="19"/>
  <c r="N42" i="19"/>
  <c r="AL12" i="19"/>
  <c r="AL32" i="19"/>
  <c r="Z12" i="19"/>
  <c r="N52" i="19"/>
  <c r="AF42" i="19"/>
  <c r="AL52" i="19"/>
  <c r="N12" i="19"/>
  <c r="Z42" i="19"/>
  <c r="AK52" i="19" l="1"/>
  <c r="S42" i="19"/>
  <c r="M42" i="19"/>
  <c r="S32" i="19"/>
  <c r="S22" i="19"/>
  <c r="M32" i="19"/>
  <c r="AE42" i="19"/>
  <c r="AE52" i="19"/>
  <c r="AK32" i="19"/>
  <c r="AK42" i="19"/>
  <c r="M22" i="19"/>
  <c r="AE22" i="19"/>
  <c r="AK22" i="19"/>
  <c r="M12" i="19"/>
  <c r="AE32" i="19"/>
  <c r="AK12" i="19"/>
  <c r="S52" i="19"/>
  <c r="S12" i="19"/>
  <c r="AL19" i="1"/>
  <c r="AE12" i="19"/>
  <c r="AK15" i="1"/>
  <c r="AJ15" i="1" s="1"/>
  <c r="AL15" i="1" s="1"/>
  <c r="R12" i="19"/>
  <c r="X32" i="19"/>
  <c r="AD22" i="19"/>
  <c r="L22" i="19"/>
  <c r="X42" i="19"/>
  <c r="AD12" i="19"/>
  <c r="R52" i="19"/>
  <c r="AJ42" i="19"/>
  <c r="AD32" i="19"/>
  <c r="AJ32" i="19"/>
  <c r="R32" i="19"/>
  <c r="AJ52" i="19"/>
  <c r="AJ22" i="19"/>
  <c r="AJ12" i="19"/>
  <c r="R22" i="19"/>
  <c r="AD52" i="19"/>
  <c r="AD42" i="19"/>
  <c r="L42" i="19"/>
  <c r="L52" i="19"/>
  <c r="R42" i="19"/>
  <c r="L12" i="19"/>
  <c r="X22" i="19"/>
  <c r="X12" i="19"/>
  <c r="L32" i="19"/>
  <c r="X52"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tc={31DE014E-1502-4058-AF14-D12B122223C2}</author>
    <author>tc={7319F458-F751-4993-B913-0ED035E30CF3}</author>
    <author>Calidad ETITC</author>
    <author>tc={1816B48D-01BB-448B-AFCC-2FEDB756BA42}</author>
    <author>tc={8ADAA9EE-5890-4480-85AE-C33717331CF8}</author>
    <author>tc={975DE72D-945A-4BAE-A64E-E42069A0D1CB}</author>
    <author>tc={837D0758-B511-4B9B-885F-44B15625A2B0}</author>
    <author>Stefany Parra</author>
  </authors>
  <commentList>
    <comment ref="F13" authorId="0" shapeId="0" xr:uid="{31DE014E-1502-4058-AF14-D12B122223C2}">
      <text>
        <t>[Comentario encadenado]
Tu versión de Excel te permite leer este comentario encadenado; sin embargo, las ediciones que se apliquen se quitarán si el archivo se abre en una versión más reciente de Excel. Más información: https://go.microsoft.com/fwlink/?linkid=870924
Comentario:
    Para el riesgo Fiscal, solo aplica IMPACTO ECONÓMICO</t>
      </text>
    </comment>
    <comment ref="G13" authorId="1" shapeId="0" xr:uid="{7319F458-F751-4993-B913-0ED035E30CF3}">
      <text>
        <t>[Comentario encadenado]
Tu versión de Excel te permite leer este comentario encadenado; sin embargo, las ediciones que se apliquen se quitarán si el archivo se abre en una versión más reciente de Excel. Más información: https://go.microsoft.com/fwlink/?linkid=870924
Comentario:
    Aplica para Riesgo FISCAL</t>
      </text>
    </comment>
    <comment ref="K13" authorId="2" shapeId="0" xr:uid="{00000000-0006-0000-0200-000001000000}">
      <text>
        <r>
          <rPr>
            <sz val="11"/>
            <color rgb="FF000000"/>
            <rFont val="Calibri"/>
            <family val="2"/>
          </rPr>
          <t xml:space="preserve">Inicia con el IMPACTO+ Conector (por) Causa(s) Inmediata(s)+ Conector (debido a) Causa(s) Raíz.
</t>
        </r>
        <r>
          <rPr>
            <sz val="11"/>
            <color rgb="FF000000"/>
            <rFont val="Calibri"/>
            <family val="2"/>
          </rPr>
          <t xml:space="preserve">
</t>
        </r>
        <r>
          <rPr>
            <sz val="11"/>
            <color rgb="FF000000"/>
            <rFont val="Calibri"/>
            <family val="2"/>
          </rPr>
          <t xml:space="preserve">Para el riesgo de Corrupción: se debe tener en cuenta: ACCIÓN U OMISIÓN + USO DEL PODER + DESVIACIÓN DE LA GESTIÓN DE
</t>
        </r>
        <r>
          <rPr>
            <sz val="11"/>
            <color rgb="FF000000"/>
            <rFont val="Calibri"/>
            <family val="2"/>
          </rPr>
          <t xml:space="preserve">LO PÚBLICO + EL BENEFICIO PRIVADO. Es decir tener en cuenta los anteriores criterios.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Aplica para riesgo Gestión/Fiscal/Seguridad de la Información: 
</t>
        </r>
        <r>
          <rPr>
            <sz val="11"/>
            <color rgb="FF000000"/>
            <rFont val="Calibri"/>
            <family val="2"/>
          </rPr>
          <t xml:space="preserve">
</t>
        </r>
        <r>
          <rPr>
            <sz val="11"/>
            <color rgb="FF000000"/>
            <rFont val="Calibri"/>
            <family val="2"/>
          </rPr>
          <t xml:space="preserve">Inicia: IMPACTO+ Conector (por) Causa inmediata+ Conector (debido a) Causa Raíz. 
</t>
        </r>
        <r>
          <rPr>
            <sz val="11"/>
            <color rgb="FF000000"/>
            <rFont val="Calibri"/>
            <family val="2"/>
          </rPr>
          <t xml:space="preserve">
</t>
        </r>
        <r>
          <rPr>
            <sz val="11"/>
            <color rgb="FF000000"/>
            <rFont val="Calibri"/>
            <family val="2"/>
          </rPr>
          <t xml:space="preserve">Riesgos de Corrupción; </t>
        </r>
      </text>
    </comment>
    <comment ref="AU13" authorId="3" shapeId="0" xr:uid="{1816B48D-01BB-448B-AFCC-2FEDB756BA4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realiza una descripción breve de lo ejecutado en el periodo. Así como las desviaciones presentadas en la aplicación del control. </t>
      </text>
    </comment>
    <comment ref="AV13" authorId="4" shapeId="0" xr:uid="{8ADAA9EE-5890-4480-85AE-C33717331CF8}">
      <text>
        <t>[Comentario encadenado]
Tu versión de Excel te permite leer este comentario encadenado; sin embargo, las ediciones que se apliquen se quitarán si el archivo se abre en una versión más reciente de Excel. Más información: https://go.microsoft.com/fwlink/?linkid=870924
Comentario:
    Se debe describir los soportes de la ejecución del control y punto de uso de la información. Ejemplo (enlaces de carpetas)</t>
      </text>
    </comment>
    <comment ref="AW13" authorId="5" shapeId="0" xr:uid="{975DE72D-945A-4BAE-A64E-E42069A0D1CB}">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realiza una descripción breve de lo ejecutado en el periodo</t>
      </text>
    </comment>
    <comment ref="AX13" authorId="6" shapeId="0" xr:uid="{837D0758-B511-4B9B-885F-44B15625A2B0}">
      <text>
        <t>[Comentario encadenado]
Tu versión de Excel te permite leer este comentario encadenado; sin embargo, las ediciones que se apliquen se quitarán si el archivo se abre en una versión más reciente de Excel. Más información: https://go.microsoft.com/fwlink/?linkid=870924
Comentario:
    Se debe describir los soportes de la ejecución del control y punto de uso de la información. Ejemplo (enlaces de carpetas)</t>
      </text>
    </comment>
    <comment ref="O15" authorId="7" shapeId="0" xr:uid="{9FD6E16C-D0E9-F14E-A5E8-E7511DF7DAC3}">
      <text>
        <r>
          <rPr>
            <b/>
            <sz val="10"/>
            <color rgb="FF000000"/>
            <rFont val="Tahoma"/>
            <family val="2"/>
          </rPr>
          <t>Stefany Parra:</t>
        </r>
        <r>
          <rPr>
            <sz val="10"/>
            <color rgb="FF000000"/>
            <rFont val="Tahoma"/>
            <family val="2"/>
          </rPr>
          <t xml:space="preserve">
</t>
        </r>
        <r>
          <rPr>
            <sz val="10"/>
            <color rgb="FF000000"/>
            <rFont val="Tahoma"/>
            <family val="2"/>
          </rPr>
          <t>lìneas del Plan de necesidades de la vigencia 2025</t>
        </r>
      </text>
    </comment>
    <comment ref="O19" authorId="7" shapeId="0" xr:uid="{E38DC07E-74F9-924A-BE36-8EEB37D08457}">
      <text>
        <r>
          <rPr>
            <b/>
            <sz val="10"/>
            <color rgb="FF000000"/>
            <rFont val="Tahoma"/>
            <family val="2"/>
          </rPr>
          <t>Stefany Parra:</t>
        </r>
        <r>
          <rPr>
            <sz val="10"/>
            <color rgb="FF000000"/>
            <rFont val="Tahoma"/>
            <family val="2"/>
          </rPr>
          <t xml:space="preserve">
</t>
        </r>
        <r>
          <rPr>
            <sz val="10"/>
            <color rgb="FF000000"/>
            <rFont val="Calibri"/>
            <family val="2"/>
          </rPr>
          <t>¿número de proyectos (3) + número de actividades del Plan de acción Institucional  de la vigencia 2025 (200)?</t>
        </r>
      </text>
    </comment>
    <comment ref="O21" authorId="7" shapeId="0" xr:uid="{2C92B008-C3FF-A242-A13E-56CC5E731157}">
      <text>
        <r>
          <rPr>
            <b/>
            <sz val="10"/>
            <color rgb="FF000000"/>
            <rFont val="Tahoma"/>
            <family val="2"/>
          </rPr>
          <t>Stefany Parra:</t>
        </r>
        <r>
          <rPr>
            <sz val="10"/>
            <color rgb="FF000000"/>
            <rFont val="Tahoma"/>
            <family val="2"/>
          </rPr>
          <t xml:space="preserve">
</t>
        </r>
        <r>
          <rPr>
            <sz val="10"/>
            <color rgb="FF000000"/>
            <rFont val="Calibri"/>
            <family val="2"/>
          </rPr>
          <t>Número de comités de gestión y desempeño (8) + Número de reuniones de seguimiento al Plan de Acción (16)  + Número de seguimientos realizados al PIIP (12)</t>
        </r>
      </text>
    </comment>
  </commentList>
</comments>
</file>

<file path=xl/sharedStrings.xml><?xml version="1.0" encoding="utf-8"?>
<sst xmlns="http://schemas.openxmlformats.org/spreadsheetml/2006/main" count="811" uniqueCount="485">
  <si>
    <r>
      <rPr>
        <b/>
        <sz val="6"/>
        <color rgb="FF000000"/>
        <rFont val="Arial"/>
        <family val="2"/>
      </rPr>
      <t xml:space="preserve">Escuela Tecnológica Instituto Técnico Central
</t>
    </r>
    <r>
      <rPr>
        <b/>
        <sz val="5"/>
        <color rgb="FF000000"/>
        <rFont val="Arial"/>
        <family val="2"/>
      </rPr>
      <t>Establecimiento Público de Educación Superior</t>
    </r>
  </si>
  <si>
    <t>MAPA Y PLAN DE TRATAMIENTO DE RIESGOS</t>
  </si>
  <si>
    <t>CÓDIGO: GSI- CA-FO-09</t>
  </si>
  <si>
    <t>VERSIÓN: 9</t>
  </si>
  <si>
    <t>VIGENCIA: 2026-04-28</t>
  </si>
  <si>
    <t>PÁGINA:     1 de 1</t>
  </si>
  <si>
    <t xml:space="preserve">PREGUNTAR  RIESGOS DE CORRUPCIÓN </t>
  </si>
  <si>
    <t xml:space="preserve">
Escuela Tecnológica Instituto Técnico Central
Establecimiento Público de Educación Superior</t>
  </si>
  <si>
    <t>MAPA DE RIESGOS</t>
  </si>
  <si>
    <t>CÓDIGO:GSI- CA-FO-09</t>
  </si>
  <si>
    <t>VERSIÓN:  9</t>
  </si>
  <si>
    <t>PÁGINA:    1 de 1</t>
  </si>
  <si>
    <t>Proceso:</t>
  </si>
  <si>
    <t>DIRECCIONAMIENTO INSTITUCIONAL</t>
  </si>
  <si>
    <t>Objetivo:</t>
  </si>
  <si>
    <t>Definir planes, programas y proyectos que garanticen el cumplimiento de la misión, visión, políticas y objetivos de la Escuela Tecnológica Instituto Técnico Central enmarcados en la normatividad vigente y en la planeación estratégica con miras de fortalecer el crecimiento de la institución a nivel nacional e internacional; favoreciendo la calidad y la formación integral e intercultural de nuestros educandos.</t>
  </si>
  <si>
    <t>Alcance:</t>
  </si>
  <si>
    <t>Desde la Formulación de planes, programas y proyectos hasta el seguimiento de la evaluación institucional.</t>
  </si>
  <si>
    <t>REGRESAR</t>
  </si>
  <si>
    <t>PRIMERA LÍNEA DE DEFENSA (Líder del Proceso)</t>
  </si>
  <si>
    <t xml:space="preserve">
PRIMERA LÍNEA DE DEFENSA
MONITOREO  
</t>
  </si>
  <si>
    <t xml:space="preserve">SEGUNDA LÍNEA DE DEFENSA  (Oficina asesora de Planeación) 
</t>
  </si>
  <si>
    <t>TERCERA LÍNEA DE DEFENSA (Control Interno)</t>
  </si>
  <si>
    <t>Identificación del riesgo</t>
  </si>
  <si>
    <t>Análisis del riesgo inherente</t>
  </si>
  <si>
    <t>Evaluación del riesgo - Valoración de los controles</t>
  </si>
  <si>
    <t>Documentación</t>
  </si>
  <si>
    <t>Evaluación del riesgo - Nivel del riesgo residual</t>
  </si>
  <si>
    <t>Plan de Tratamiento</t>
  </si>
  <si>
    <t xml:space="preserve">Referencia </t>
  </si>
  <si>
    <t>Tipo de Riesgo  (Clasificación)</t>
  </si>
  <si>
    <t>Impacto</t>
  </si>
  <si>
    <t>Efecto Dañoso (Riesgo Fiscal)</t>
  </si>
  <si>
    <t>Factor</t>
  </si>
  <si>
    <t xml:space="preserve">Causa Inmediata
</t>
  </si>
  <si>
    <t>Causa Raíz-Amenazas</t>
  </si>
  <si>
    <t xml:space="preserve">Descripción del Riesgo
</t>
  </si>
  <si>
    <t>Clasificación del Riesgo</t>
  </si>
  <si>
    <t xml:space="preserve">Seguridad de la Información </t>
  </si>
  <si>
    <t>Frecuencia con la cual se realiza la actividad</t>
  </si>
  <si>
    <t>Probabilidad Inherente</t>
  </si>
  <si>
    <t>%</t>
  </si>
  <si>
    <t>Criterios de impacto</t>
  </si>
  <si>
    <t>Impacto 
Inherente</t>
  </si>
  <si>
    <t>Zona de Riesgo Inherente</t>
  </si>
  <si>
    <t>No. Control</t>
  </si>
  <si>
    <t>Descripción del Control
Responsable+ Frecuencia+ Propósito+ Desviación</t>
  </si>
  <si>
    <t>Soportes del Control</t>
  </si>
  <si>
    <t>Afectación</t>
  </si>
  <si>
    <t>Atributos</t>
  </si>
  <si>
    <t>Probabilidad Residual</t>
  </si>
  <si>
    <t>Probabilidad Residual Final</t>
  </si>
  <si>
    <t>Impacto Residual Final</t>
  </si>
  <si>
    <t>Zona de Riesgo Final</t>
  </si>
  <si>
    <t>Tratamiento</t>
  </si>
  <si>
    <t>No. Acciones</t>
  </si>
  <si>
    <t xml:space="preserve"> Acción</t>
  </si>
  <si>
    <t>Responsable</t>
  </si>
  <si>
    <t xml:space="preserve"> Evidencia de la Acción</t>
  </si>
  <si>
    <t>Fecha Implementación</t>
  </si>
  <si>
    <t xml:space="preserve">Fecha de Reporte </t>
  </si>
  <si>
    <t>¿El riesgo se materializó?</t>
  </si>
  <si>
    <t>Avance de Ejecución de Control(es)</t>
  </si>
  <si>
    <t xml:space="preserve">Evidencias de la ejecución del Control </t>
  </si>
  <si>
    <t xml:space="preserve">
Avance de Ejecución de Plan de Tratamiento</t>
  </si>
  <si>
    <t>Evidencias de la ejecución del Plan de Tratamiento</t>
  </si>
  <si>
    <t xml:space="preserve">Estado del Plan de Acción </t>
  </si>
  <si>
    <t>Fecha Seguimiento</t>
  </si>
  <si>
    <t xml:space="preserve">Seguimiento
</t>
  </si>
  <si>
    <t xml:space="preserve">Ubicación de las evidencias </t>
  </si>
  <si>
    <t xml:space="preserve">Seguimiento y Evaluación
</t>
  </si>
  <si>
    <t>Activo de información afectado</t>
  </si>
  <si>
    <t>Criterio afectado</t>
  </si>
  <si>
    <t>Tipo</t>
  </si>
  <si>
    <t>Implementación</t>
  </si>
  <si>
    <t>Calificación</t>
  </si>
  <si>
    <t>Frecuencia</t>
  </si>
  <si>
    <t>Evidencia</t>
  </si>
  <si>
    <t>Corrupción</t>
  </si>
  <si>
    <t>Económico y Reputacional</t>
  </si>
  <si>
    <t>Talento humano</t>
  </si>
  <si>
    <t>asignación discrecional o direccionada de recursos institucionales para favorecer intereses particulares o de terceros</t>
  </si>
  <si>
    <t>debilidades en los mecanismos de priorización, seguimiento y control de la inversión institucional.</t>
  </si>
  <si>
    <t>Posibilidad de afectación económica, legal y reputacional por la asignación discrecional o direccionada de recursos institucionales para favorecer intereses particulares o de terceros, aprovechando debilidades en los mecanismos de priorización, seguimiento y control de la inversión institucional.</t>
  </si>
  <si>
    <t>Fraude Interno</t>
  </si>
  <si>
    <t>Catastrófico (Corrupción)</t>
  </si>
  <si>
    <t>El profesional de la Oficina Asesora de Planeación formula anualmente el Plan de Acción Institucional y consolida las necesidades financieras presentadas por las áreas responsables, mediante la revisión de diagnósticos, metas e iniciativas alineadas con el Plan de Desarrollo Institucional, con el fin de garantizar una asignación objetiva y planificada de los recursos institucionales.
La ejecución del control se evidencia mediante actas, matrices de consolidación y aprobación en el Comité Institucional de Gestión y Desempeño.
En caso de identificar inconsistencias, ausencia de soportes o necesidades no alineadas con la planeación estratégica, solicita ajustes a las áreas responsables antes de presentar la propuesta para aprobación.</t>
  </si>
  <si>
    <t>1. Pantallazo de las reuniones realizadas con las dependencias para la revisión de la formulacion del Plan de Acción Anual 
2. Plan de Acción Institucional consolidado para la vigencia
3. Acta de aprobación del CIGD</t>
  </si>
  <si>
    <t>Preventivo</t>
  </si>
  <si>
    <t>Manual</t>
  </si>
  <si>
    <t>Documentado</t>
  </si>
  <si>
    <t>Continua</t>
  </si>
  <si>
    <t>Con Registro</t>
  </si>
  <si>
    <t>Procedimiento para Desdoblamiento Estratégico y Definición de Proyectos (DIE-PC-01)</t>
  </si>
  <si>
    <t>Reducir (mitigar)</t>
  </si>
  <si>
    <t>Actualizar el Procedimiento DIE-PC-01 incorporando criterios objetivos para la priorización de proyectos, la evaluación de su viabilidad técnica, financiera y estratégica, así como los lineamientos para la modificación del Plan de Acción Institucional y la trazabilidad de las decisiones de asignación de recursos.</t>
  </si>
  <si>
    <t>Profesional de la OAP a cargo del Plan de Acción Institucional
Profesional de la OAP a cargo de proyectos de inversión</t>
  </si>
  <si>
    <t>Procedimiento actualizado en el SIACET y socializado al interior de la ETITC</t>
  </si>
  <si>
    <t>Segundo semestre 2026</t>
  </si>
  <si>
    <t xml:space="preserve">Durante el primer cuatrimestre de 2026 se ejecutó el control mediante la formulación del Plan de Acción Institucional (PAI) 2026, consolidando las necesidades financieras presentadas por las áreas responsables y verificando su alineación con el Plan de Desarrollo Institucional. Las formulaciones y modificaciones se registraron y gestionaron directamente en la hoja de ruta del PAI (informe de Power BI), sin que se presentara una propuesta para aprobación del Comité Institucional de Gestión y Desempeño durante el periodo.
</t>
  </si>
  <si>
    <t>Hoja de ruta del Plan de Acción Institucional 2026 (informe Power BI), disponible en: https://app.powerbi.com/view?r=eyJrIjoiYzJmNjgxMjktODQzZS00Y2NlLTgxOGYtNTE1MDIyOGNjZmE2IiwidCI6IjQ5NWZkMDQ2LWQ4NjQtNDY2Ny05ZWU4LTUwNjc5NzY0ZDgzNCIsImMiOjR9</t>
  </si>
  <si>
    <t>El profesional de la Oficina Asesora de Planeación verifica cada vez que se requiera, las solicitudes de modificación al Plan de Acción Institucional relacionadas con reasignación de recursos, ajustes de necesidades financieras o cambios derivados de condiciones contractuales y otras variables institucionales, mediante el análisis técnico y la validación de soportes presentados por las dependencias, con el fin de garantizar la trazabilidad, pertinencia y alineación de las modificaciones con la planeación estratégica.
La ejecución del control se evidencia mediante correos electrónicos con las solicitudes de modificación del PAI, pantallazo de las reuniones realizadas con las dependencias para la revisión de ajustes y correos de respuesta con los cambios acordados al PAI
En caso de identificar solicitudes sin justificación técnica, inconsistencias en la información o modificaciones no alineadas con los objetivos institucionales, se solicita ajuste o aclaración a la dependencia responsable antes de continuar con el trámite correspondiente.</t>
  </si>
  <si>
    <t>1. Correos electrónicos con las solicitudes de modificación del PAI
2. Pantallazo de las reuniones realizadas con las dependencias para la revisión de ajustes
3. Correo de respuesta a la dependencia con los cambios acordados al PAI (pertinencia de ajuste)</t>
  </si>
  <si>
    <t>Sin Documentar</t>
  </si>
  <si>
    <t>El DIE-PC-01 regula la formulación, aprobación, consolidación y seguimiento del Plan de Acción, pero no establece un procedimiento específico para la gestión de modificaciones o ajustes al Plan de Acción ni la validación de solicitudes de reasignación de recursos.</t>
  </si>
  <si>
    <t>Diseñar e implementar una matriz institucional de priorización de proyectos que establezca criterios técnicos, financieros y estratégicos para la asignación objetiva de recursos institucionales.</t>
  </si>
  <si>
    <t>Matriz de priorización.
Criterios aprobados</t>
  </si>
  <si>
    <t>Este control opera cuando se presentan solicitudes de modificación al PAI. Durante el primer cuatrimestre de 2026 (enero–abril) no se recibieron solicitudes de modificación; el control será ejecutado a partir del segundo cuatrimestre de 2026, cuando se radiquen las solicitudes correspondientes.</t>
  </si>
  <si>
    <t>No aplica en el primer cuatrimestre 2026. Las evidencias (correos de solicitud de modificación, análisis técnico y respuestas con los cambios acordados) se registrarán a partir del segundo cuatrimestre de 2026.</t>
  </si>
  <si>
    <t>El Profesional de la Oficina Asesora de Planeación realiza trimestralmente seguimiento a la asignación y ejecución de los recursos institucionales mediante la verificación de su correspondencia con las necesidades priorizadas, el Plan de Desarrollo Institucional, el Plan de Acción aprobado y la ejecución presupuestal, con el propósito de identificar oportunamente desviaciones que puedan afectar la transparencia y objetividad en la distribución de los recursos institucionales.
En caso de identificar variaciones, reasignaciones no justificadas o modificaciones presupuestales sin el debido soporte técnico, incorpora las observaciones en el informe de seguimiento y las presenta para análisis y decisión del Comité Institucional de Gestión y Desempeño.</t>
  </si>
  <si>
    <t>Informes trimestrales de seguimiento.
Matriz de seguimiento al Plan de Acción.
Reportes de ejecución presupuestal.
Presentaciones al CIGD.
Actas del Comité.</t>
  </si>
  <si>
    <t>Detectivo</t>
  </si>
  <si>
    <t>Diseñar e implementar una lista de verificación para la evaluación de las solicitudes de modificación del Plan de Acción Institucional, que permita validar la justificación técnica, financiera y estratégica de los cambios propuestos.</t>
  </si>
  <si>
    <t>Profesional de la OAP a cargo del Plan de Acción Institucional</t>
  </si>
  <si>
    <t>Lista de chequeo.
Formato de evaluación.</t>
  </si>
  <si>
    <t>Se realizó el primer seguimiento trimestral (corte a marzo de 2026) a la asignación y ejecución de los recursos institucionales, verificando su correspondencia con las necesidades priorizadas, el PDI, el PAI y la ejecución presupuestal, con el fin de identificar oportunamente posibles desviaciones. El seguimiento se apoyó en reuniones de trabajo que permitieron el control integral del PAI.</t>
  </si>
  <si>
    <t>Plan de necesidades / plan de adquisiciones (soporte de la asignación y priorización de recursos); actas o soportes de las reuniones de seguimiento que permitieron el control integral del PAI.</t>
  </si>
  <si>
    <t>https://app.powerbi.com/view?r=eyJrIjoiYzJmNjgxMjktODQzZS00Y2NlLTgxOGYtNTE1MDIyOGNjZmE2IiwidCI6IjQ5NWZkMDQ2LWQ4NjQtNDY2Ny05ZWU4LTUwNjc5NzY0ZDgzNCIsImMiOjR9</t>
  </si>
  <si>
    <t>El Comité Institucional de Gestión y Desempeño analiza y aprueba, durante la revisión del Plan de Acción Institucional y de sus modificaciones, la alineación de los proyectos estratégicos, las necesidades institucionales, las metas y la disponibilidad de recursos presentada por la Oficina Asesora de Planeación, con el propósito de garantizar la transparencia, objetividad y coherencia con el Plan de Desarrollo Institucional. En caso de identificar solicitudes sin soporte técnico, inconsistencias o propuestas no alineadas con la planeación institucional, solicita los ajustes correspondientes antes de emitir su aprobación.</t>
  </si>
  <si>
    <t>Actas del Comité Institucional de Gestión y Desempeño.
Orden del día.
Presentación realizada al Comité.
Matriz de priorización de proyectos.
Plan de Acción aprobado.
Listado de compromisos.</t>
  </si>
  <si>
    <r>
      <t xml:space="preserve">El </t>
    </r>
    <r>
      <rPr>
        <b/>
        <sz val="10"/>
        <color theme="1"/>
        <rFont val="Arial"/>
        <family val="2"/>
      </rPr>
      <t xml:space="preserve">Procedimiento para Desdoblamiento Estratégico y Definición de Proyectos (DIE-PC-01) </t>
    </r>
    <r>
      <rPr>
        <sz val="10"/>
        <color theme="1"/>
        <rFont val="Arial"/>
        <family val="2"/>
      </rPr>
      <t xml:space="preserve">sustenta la formulación y aprobación del Plan de Acción.
La </t>
    </r>
    <r>
      <rPr>
        <b/>
        <sz val="10"/>
        <color theme="1"/>
        <rFont val="Arial"/>
        <family val="2"/>
      </rPr>
      <t>Resolución 175 de 2018</t>
    </r>
    <r>
      <rPr>
        <sz val="10"/>
        <color theme="1"/>
        <rFont val="Arial"/>
        <family val="2"/>
      </rPr>
      <t xml:space="preserve"> sustenta que el CIGD analiza, aprueba y toma decisiones sobre los informes y proyectos presentados por la Oficina Asesora de Planeación</t>
    </r>
  </si>
  <si>
    <t>Socializar a los líderes de proceso los criterios institucionales para la formulación, priorización, modificación y seguimiento de los proyectos estratégicos y del Plan de Acción Institucional.</t>
  </si>
  <si>
    <t>Acta de capacitación.
Listado de asistencia.
Presentación.</t>
  </si>
  <si>
    <t xml:space="preserve">Este control opera cuando el Comité Institucional de Gestión y Desempeño sesiona para la revisión y aprobación del PAI. Durante el primer cuatrimestre de 2026 (enero–abril) el Comité no sesionó respecto al PAI, por lo que el control será ejecutado cuando el CIGD sesione sobre este tema en el transcurso de 2026.
</t>
  </si>
  <si>
    <t>No aplica en el primer cuatrimestre 2026. La evidencia (acta del CIGD) se registrará cuando el Comité sesione respecto al PAI.</t>
  </si>
  <si>
    <t>Fiscal</t>
  </si>
  <si>
    <t>Económico</t>
  </si>
  <si>
    <t>Recursos Públicos</t>
  </si>
  <si>
    <t>Financiero</t>
  </si>
  <si>
    <t>formulación, priorización o ejecución de planes, programas y proyectos institucionales sustentados en proyecciones inexactas de ingresos o análisis insuficientes de viabilidad técnica, financiera y estratégica</t>
  </si>
  <si>
    <t>deficiencias en los procesos de planeación, evaluación y priorización de inversiones.</t>
  </si>
  <si>
    <r>
      <t>Posibilidad de efectos dañosos sobre los recursos públicos destinados a inversión y funcionamiento de la ETITC</t>
    </r>
    <r>
      <rPr>
        <u/>
        <sz val="11"/>
        <rFont val="Arial Narrow"/>
        <family val="2"/>
      </rPr>
      <t xml:space="preserve"> por </t>
    </r>
    <r>
      <rPr>
        <sz val="11"/>
        <rFont val="Arial Narrow"/>
        <family val="2"/>
      </rPr>
      <t xml:space="preserve">la formulación, priorización o ejecución de planes, programas y proyectos institucionales sustentados en proyecciones inexactas de ingresos o análisis insuficientes de viabilidad técnica, financiera y estratégica, </t>
    </r>
    <r>
      <rPr>
        <u/>
        <sz val="11"/>
        <rFont val="Arial Narrow"/>
        <family val="2"/>
      </rPr>
      <t xml:space="preserve">a causa de </t>
    </r>
    <r>
      <rPr>
        <sz val="11"/>
        <rFont val="Arial Narrow"/>
        <family val="2"/>
      </rPr>
      <t>deficiencias en los procesos de planeación, evaluación y priorización de inversiones.</t>
    </r>
  </si>
  <si>
    <t>Ejecucion y Administracion de procesos</t>
  </si>
  <si>
    <t xml:space="preserve">     Mayor a 500 SMLMV </t>
  </si>
  <si>
    <t>Anteproyecto de presupuesto.
Memorias de cálculo de ingresos.
Estudios de viabilidad.
Matriz de proyectos.
Plan de Acción.
Correos y observaciones de ajuste.</t>
  </si>
  <si>
    <t>Sin Registro</t>
  </si>
  <si>
    <t xml:space="preserve">El procedimiento contempla la formulación, identificación, definición y aprobación de proyectos, así como la consolidación del Plan de Acción, pero no desarrolla de forma expresa la validación de proyecciones de ingresos ni el análisis de viabilidad financiera con base en variables macroeconómicas. </t>
  </si>
  <si>
    <t>Diseñar e implementar una lista de verificación para la evaluación técnica, financiera y estratégica de los proyectos de inversión antes de su priorización y aprobación.</t>
  </si>
  <si>
    <t>Profesional de la OAP a cargo de proyectos de inversión</t>
  </si>
  <si>
    <t>• Lista de verificación aprobada.
• Registro de aplicación de la lista de verificación a los proyectos evaluados.
• Acta o documento de aprobación de la lista de verificación.
• Registro de socialización o capacitación sobre su uso.</t>
  </si>
  <si>
    <t>El Jefe de la Oficina Asesora de Planeación revisa, trimestralmente, el avance físico y financiero de los proyectos estratégicos mediante el análisis de los indicadores y la ejecución presupuestal, con el propósito de identificar oportunamente desviaciones que puedan generar una afectación sobre los recursos públicos. 
En caso de evidenciar desviaciones frente a la programación o riesgos de desfinanciación, solicita a la dependencia responsable la formulación de acciones correctivas y presenta los resultados al Comité Institucional de Gestión y Desempeño para su seguimiento.</t>
  </si>
  <si>
    <t>Informes de seguimiento.
Tablero de indicadores.
Actas del Comité.
Planes de mejoramiento.</t>
  </si>
  <si>
    <t>Diseñar e implementar una metodología institucional para la priorización de proyectos de inversión, con criterios técnicos, financieros y estratégicos definidos.</t>
  </si>
  <si>
    <t>• Documento metodológico aprobado.
• Matriz de criterios de priorización.
• Acta de aprobación por la instancia competente.
• Evidencia de aplicación de la metodología durante la formulación o actualización del Plan de Acción.</t>
  </si>
  <si>
    <t>Gestión</t>
  </si>
  <si>
    <t>Procesos</t>
  </si>
  <si>
    <t xml:space="preserve"> incumplimiento de los objetivos estratégicos y las metas institucionales establecidas en el Plan de Desarrollo Institucional</t>
  </si>
  <si>
    <t>insuficiente articulación y coordinación entre las dependencias responsables de la planeación, ejecución, seguimiento y evaluación de los planes, programas y proyectos institucionales.</t>
  </si>
  <si>
    <t>Posibilidad de afectación reputacional y económica por incumplimiento de los objetivos estratégicos y las metas institucionales establecidas en el Plan de Desarrollo Institucional, debido a la insuficiente articulación y coordinación entre las dependencias responsables de la planeación, ejecución, seguimiento y evaluación de los planes, programas y proyectos institucionales.</t>
  </si>
  <si>
    <t xml:space="preserve">     El riesgo afecta la imagen de la entidad a nivel nacional, con efecto publicitarios sostenible a nivel país</t>
  </si>
  <si>
    <t>El Profesional de apoyo de la Oficina Asesora de Planeación verifica, trimestralmente, la entrega oportuna, completitud y consistencia de la información reportada por las dependencias en el seguimiento al Plan de Acción, validando la coherencia entre las estrategias, acciones, metas, indicadores y proyectos registrados en el aplicativo Kawak, con el propósito de realizar el seguimiento al cumplimiento del Plan de Desarrollo Institucional y fortalecer la articulación entre las dependencias responsables de su ejecución. En caso de identificar información incompleta, inconsistencias, retrasos o desviaciones frente a las metas establecidas, solicita a la dependencia responsable la realización de los ajustes correspondientes antes de consolidar el informe institucional y efectúa seguimiento hasta su cumplimiento.</t>
  </si>
  <si>
    <t>Matriz de seguimiento al Plan de Acción.
Reportes del aplicativo Kawak.
Correos de observaciones.
Informes trimestrales.
Presentaciones al Comité Institucional de Gestión y Desempeño.</t>
  </si>
  <si>
    <t>Formalizar e implementar mesas periódicas de articulación entre las dependencias responsables del cumplimiento del PDI y del Plan de Acción para revisar avances, riesgos y necesidades de ajuste.</t>
  </si>
  <si>
    <t>• Cronograma de mesas de articulación.
• Actas de las mesas realizadas.
• Listados de asistencia.
• Matriz de compromisos y seguimiento a los acuerdos.
• Presentaciones o memorias de las reuniones.</t>
  </si>
  <si>
    <t>D11 - Incumplimiento de las metas formuladas en el Plan de Desarrollo Institucional 2025-2032</t>
  </si>
  <si>
    <t>NA</t>
  </si>
  <si>
    <t>El Jefe de la Oficina Asesora de Planeación o a quien designe, coordina, durante la formulación y las modificaciones del Plan de Acción Institucional, mesas de trabajo con las dependencias responsables para revisar la articulación entre los objetivos estratégicos, las metas, los indicadores, los proyectos y la asignación de recursos, con el propósito de garantizar la alineación con el Plan de Desarrollo Institucional y prevenir incumplimientos en su ejecución. 
En caso de identificar inconsistencias o falta de articulación entre las dependencias, solicita los ajustes correspondientes antes de consolidar o modificar el Plan de Acción Institucional.</t>
  </si>
  <si>
    <t>Actas de mesas de trabajo.
Matriz consolidada del Plan de Acción.
Correos electrónicos.
Versiones ajustadas del Plan de Acción.</t>
  </si>
  <si>
    <t>Diseñar e implementar una matriz de articulación entre el Plan de Desarrollo Institucional, el Plan de Acción, los proyectos estratégicos, el presupuesto y los indicadores institucionales.</t>
  </si>
  <si>
    <t>• Matriz de articulación aprobada.
• Documento que describa la metodología de diligenciamiento y actualización.
• Evidencia de utilización de la matriz durante la formulación o seguimiento del Plan de Acción.</t>
  </si>
  <si>
    <r>
      <rPr>
        <sz val="11"/>
        <color theme="9"/>
        <rFont val="Arial"/>
        <family val="2"/>
      </rPr>
      <t xml:space="preserve">*Nota: </t>
    </r>
    <r>
      <rPr>
        <sz val="11"/>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</si>
  <si>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r>
      <rPr>
        <b/>
        <sz val="14"/>
        <rFont val="Arial"/>
        <family val="2"/>
      </rPr>
      <t>LIDER DEL PROCESO:</t>
    </r>
    <r>
      <rPr>
        <sz val="14"/>
        <rFont val="Arial"/>
        <family val="2"/>
      </rPr>
      <t xml:space="preserve"> Hno. Ariosto Ardila Silva</t>
    </r>
  </si>
  <si>
    <t>Iniciada</t>
  </si>
  <si>
    <t>Sin iniciar</t>
  </si>
  <si>
    <t>CLASIF. DE CONFIDENCIALIDAD</t>
  </si>
  <si>
    <t>IPB</t>
  </si>
  <si>
    <t>CLASIF. DE INTEGRIDAD</t>
  </si>
  <si>
    <t>A</t>
  </si>
  <si>
    <t>CLASIF. DE DISPONIBILIDAD</t>
  </si>
  <si>
    <t>cumplida</t>
  </si>
  <si>
    <t xml:space="preserve">Documento controlado por el Sistema de Gestión de la Calidad
Asegúrese que corresponde a la última versión consultando el micrositio de calidad de la Escuela Tecnológica Instituto Técnico Central (ETITC) </t>
  </si>
  <si>
    <t>Incumplida</t>
  </si>
  <si>
    <t>Criterios_Impacto</t>
  </si>
  <si>
    <t xml:space="preserve">     Afectación menor a 10 SMLMV .</t>
  </si>
  <si>
    <t>Leve</t>
  </si>
  <si>
    <t xml:space="preserve">     Entre 10 y 50 SMLMV </t>
  </si>
  <si>
    <t>Menor</t>
  </si>
  <si>
    <t xml:space="preserve">     Entre 50 y 100 SMLMV </t>
  </si>
  <si>
    <t>Moderado</t>
  </si>
  <si>
    <t xml:space="preserve">     Entre 100 y 500 SMLMV </t>
  </si>
  <si>
    <t>Mayor</t>
  </si>
  <si>
    <t>Catastrófico</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</si>
  <si>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</si>
  <si>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</si>
  <si>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</si>
  <si>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</si>
  <si>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Moderado (Corrupción)</t>
  </si>
  <si>
    <t>Mayor (Corrupción)</t>
  </si>
  <si>
    <t>14.	Tipología de riesgos que enmarcan la política de administración del riesgo</t>
  </si>
  <si>
    <t>6.4.	 Identificación de áreas de factores de riesgo</t>
  </si>
  <si>
    <t>Efecto Dañoso (fiscal)</t>
  </si>
  <si>
    <t>FACTOR</t>
  </si>
  <si>
    <t xml:space="preserve">Clasificacion del riesgo </t>
  </si>
  <si>
    <t xml:space="preserve">Riesgo Materializado </t>
  </si>
  <si>
    <t>Activo de información</t>
  </si>
  <si>
    <t>Criterio</t>
  </si>
  <si>
    <t>Plan de accion (solo para la opción reducir)</t>
  </si>
  <si>
    <t>•	Procesos</t>
  </si>
  <si>
    <t>Evento externo</t>
  </si>
  <si>
    <t>Daños Activos Fisicos</t>
  </si>
  <si>
    <t>SI</t>
  </si>
  <si>
    <t>Información</t>
  </si>
  <si>
    <t>Confidencialidad</t>
  </si>
  <si>
    <t>Automático</t>
  </si>
  <si>
    <t>Registro Sustancial</t>
  </si>
  <si>
    <t>Aceptar</t>
  </si>
  <si>
    <t>Finalizado</t>
  </si>
  <si>
    <t>•	Talento humano</t>
  </si>
  <si>
    <t>Reputacional</t>
  </si>
  <si>
    <t>Bienes Públicos</t>
  </si>
  <si>
    <t>NO</t>
  </si>
  <si>
    <t xml:space="preserve">Software </t>
  </si>
  <si>
    <t>Disponibilidad</t>
  </si>
  <si>
    <t>Aleatoria</t>
  </si>
  <si>
    <t>Registro Material</t>
  </si>
  <si>
    <t>Evitar</t>
  </si>
  <si>
    <t>En curso</t>
  </si>
  <si>
    <t>•	Tecnología</t>
  </si>
  <si>
    <t>Intereses Patrimoniales de Naturaleza Pública</t>
  </si>
  <si>
    <t>Infraestructura</t>
  </si>
  <si>
    <t>Fallas Tecnologicas</t>
  </si>
  <si>
    <t>Hardware</t>
  </si>
  <si>
    <t>Integridad</t>
  </si>
  <si>
    <t>Correctivo</t>
  </si>
  <si>
    <t>Sin registro</t>
  </si>
  <si>
    <t>Reducir</t>
  </si>
  <si>
    <t>•	Infraestructura</t>
  </si>
  <si>
    <t>Fraude Externo</t>
  </si>
  <si>
    <t>Servicios</t>
  </si>
  <si>
    <t>NO APLICA</t>
  </si>
  <si>
    <t>•	Evento externo</t>
  </si>
  <si>
    <t>Intangibles</t>
  </si>
  <si>
    <t>Reducir (compartir)</t>
  </si>
  <si>
    <t>Tecnología</t>
  </si>
  <si>
    <t>Relaciones Laborales</t>
  </si>
  <si>
    <t>Componentes
de red</t>
  </si>
  <si>
    <t>Usuarios, productos y practicas , organizacionales</t>
  </si>
  <si>
    <t>Personas</t>
  </si>
  <si>
    <t>Instalaciones</t>
  </si>
  <si>
    <t>CRITERIOS PARA CALIFICAR EL IMPACTO EN RIESGOS DE CORRUPCIÓN</t>
  </si>
  <si>
    <t xml:space="preserve">VIGENCIA: </t>
  </si>
  <si>
    <t>ITEM</t>
  </si>
  <si>
    <t>Criterios para calificar el impacto en riesgos de corrupción</t>
  </si>
  <si>
    <t>MARACAR CON X</t>
  </si>
  <si>
    <t>Pregunta: ¿Si el riesgo de corrupción se materializa podría:</t>
  </si>
  <si>
    <t>¿Afectar al grupo de funcionarios del proceso?</t>
  </si>
  <si>
    <t>X</t>
  </si>
  <si>
    <t>¿Afectar el cumplimiento de metas y objetivos de la dependencia?</t>
  </si>
  <si>
    <t>¿Afectar el cumplimiento de misión de la entidad?</t>
  </si>
  <si>
    <t>¿Afectar el cumplimiento de la misión del sector al que pertenece la entidad?</t>
  </si>
  <si>
    <t>¿Afectar el cumplimiento de misión del sector al que pertenece la entidad?</t>
  </si>
  <si>
    <t>¿Generar perdida de confianza de la entidad , afectando su reputación?</t>
  </si>
  <si>
    <t>¿Generar perdida de recursos económicos?</t>
  </si>
  <si>
    <t>¿Afectar la generación de los productos o la prestación de los servicios?</t>
  </si>
  <si>
    <t>¿Dar lugar al detrimento de la calidad de vida de la comunidad por la perdida del bien, servicio o recursos públicos?</t>
  </si>
  <si>
    <t>¿Generar pérdida de información de la entidad?</t>
  </si>
  <si>
    <t>¿Generar intervención de los órganos de control, de la Fiscalia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</si>
  <si>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</si>
  <si>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</si>
  <si>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</si>
  <si>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</si>
  <si>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</si>
  <si>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</si>
  <si>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</si>
  <si>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</si>
  <si>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</si>
  <si>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Para la calificación del impacto de los riesgos clasificados con tipología de corrupción, se deberá responder las siguientes preguntas, con el fin de determinar el nivel de impacto del riesgo en caso de llegarse a materializar. 
Una vez responda las diecinueve (19) preguntas para cada uno de los riesgos de corrupción, automáticamente la presente hoja se establecerá el nivel de impacto del riesgo que se encuentra valorando, segun los rangos descritos a continuación:</t>
  </si>
  <si>
    <t>Redaccion del Riesgo General</t>
  </si>
  <si>
    <t xml:space="preserve">Redaccion del Riesgo  fiscal </t>
  </si>
  <si>
    <t>CONTEXTO - DOFA</t>
  </si>
  <si>
    <t>DEBILIDADES</t>
  </si>
  <si>
    <t>ESTADO</t>
  </si>
  <si>
    <t>D1. Falta de disponibilidad de recurso humano contratado, con cobertura en las diferentes sedes, Seccionales, Extensiones, unidades Agroambientales y Oficinas de la Universidad, que garantice el apoyo continuó durante todo el período académico</t>
  </si>
  <si>
    <t>D2. Falta de conocimiento de la normatividad legal vigente, aplicable y actualizada, relacionada con aspectos e impactos ambientales asociados al desempeño ambiental institucional y de su respectivo seguimiento.</t>
  </si>
  <si>
    <t>D3. Falta de conocimiento, participación, de la totalidad de  la comunidad universitaria y otras partes interesadas del  Sistema de Gestión Ambiental, y las actividades de implementación del mismo, de la Política Ambiental y  Programas ambientales del Plan Institucional de Gestión Ambiental PIGA.</t>
  </si>
  <si>
    <t>D4. Falta de compromiso y sentido de pertenencia con los temas ambientales por parte de algunos sectores de la comunidad universitaria y otras partes interesadas, reflejado en la falta de participación  en actividades del SGA y de lineamientos ambientales.</t>
  </si>
  <si>
    <t>D5. Falta de articulación de los lineamientos del SGA con los procesos del Modelo de Operación Digital</t>
  </si>
  <si>
    <t xml:space="preserve">D6. Falta de articulación con la academia en temas ambientales, reflejado en el bajo porcentaje de cobertura del Sistema de Gestión de Ambiental respecto a los estudiantes en relación en relación al porcentaje que representan en la comunidad universitaria. </t>
  </si>
  <si>
    <t xml:space="preserve">D7. Falta de articulación de temas ambientales con el Plan de Emergencias Institucional  </t>
  </si>
  <si>
    <t xml:space="preserve">D8. Falta de recursos disponibles de forma oportuna para el desarrollo y continuidad de actividades del Sistema de Gestión Ambiental. </t>
  </si>
  <si>
    <t>D9. Falta  de recursos para desplazamientos del equipo del Sistema de Gestión Ambiental.</t>
  </si>
  <si>
    <t>D10.  Incumplimiento del código de colores de clasificación de residuos institucional por desconocimiento, falta de conciencia ambiental y compromiso de parte de algunos sectores de la comunidad universitaria y otras partes interesadas, o por no contar con la totalidad de los dispositivos de almacenamiento requeridos.</t>
  </si>
  <si>
    <t>AMENAZAS</t>
  </si>
  <si>
    <t>A1. Prácticas ambientales inadecuadas por parte de vecinos de la comunidad circundante a las instalaciones de la Universidad, que puedan afectar su desempeño ambiental.</t>
  </si>
  <si>
    <t xml:space="preserve">A2. Afectación en el desarrollo de actividades presenciales o virtuales, internas y externas del SGA, debido al riesgo de contagio por virus que puedan alcanzar el nivel de pandemia </t>
  </si>
  <si>
    <t>A3. Falta  de alcance en servicios públicos o de comunicación, y condiciones específicas  de la infraestructura  de algunas sedes.</t>
  </si>
  <si>
    <t>A4. Falta de participación  de las partes interesadas externas en las actividades del Sistema de Gestión Ambiental.</t>
  </si>
  <si>
    <t>A5. Afectación de actividades  del Sistema de Gestión ambiental internas o externas), y  de recursos, elementos o insumos del Plan Institucional de Gestión Ambiental -PIGA, por alteraciones de orden público como manifestaciones, paros,  disturbios y asonadas.</t>
  </si>
  <si>
    <t>A6. Afectación de fenómenos naturales (Cambio climático, fenómeno del niño y la niña, sismos, incendios, caída de árboles, Vendavales) y antrópicos (Orden publico y manifestaciones estudiantiles) que puedan afectar las instalaciones.</t>
  </si>
  <si>
    <t xml:space="preserve">A7. Sanciones o multas por incumplimiento legal </t>
  </si>
  <si>
    <t>A8. Rotación constante de personal en diferentes procesos</t>
  </si>
  <si>
    <t>FORTALEZAS</t>
  </si>
  <si>
    <t>F1.Compromiso de la alta  Dirección para apoyar el proceso, reflejado en liderazgo de Directores Administrativos y del Rector.​</t>
  </si>
  <si>
    <t>F2. Articulación del Sistema de Gestión Ambiental a nivel institucional en Sede, Seccionales y Extensiones.</t>
  </si>
  <si>
    <t>F3. Equipo de profesionales del  Sistema de Gestión Ambiental con competencia  y actitud propositiva en el proceso de planeación, implementación, seguimiento y preparación para los procesos de auditoría del SGA.</t>
  </si>
  <si>
    <t>F4. Disponibilidad de la documentación del Sistema de Gestión ambiental en el sitio web del Modelo de Operación digital, en el marco del PHVA: Caracterización, Política y Objetivos de Gestión Ambiental, Plan Institucional de Gestión Ambiental - PIGA y programas ambientales, Procedimientos, Formatos, Matrices y otros registros SGA.</t>
  </si>
  <si>
    <t>F5.Asignación de rubro para implementación y certificación  del Sistema de Gestión Ambiental_ISO 14001:2015 a través del Proyecto UCundinamarca en Equilibrio con la Naturaleza.</t>
  </si>
  <si>
    <t>F6.Fortalecimiento de la cultura ambiental  a nivel institucional a través del #Reto Ambientalmente en equilibrio con la naturaleza, eventos y capacitaciones ambientales.</t>
  </si>
  <si>
    <t>F7.Divulgación de la Gestión ambiental con la comunidad universitaria y otras partes interesadas a través de publicaciones y eventos en canales institucionales como la página web, la agencia de noticias, redes sociales, revistas digitales de las Seccionales, Extensiones y Periódico digital institucional.</t>
  </si>
  <si>
    <t>F8. Implementación del código de colores de clasificación de residuos con la instalación gradual de Unidades Técnicas de Almacenamiento Central -UTAC-  y Puntos ecológicos en Sede, Seccionales y Extensiones.</t>
  </si>
  <si>
    <t>F9. Implementación de estrategias de sostenibilidad en la Sede, Seccionales y Extensiones, mediante la instalación de dispositivos de ahorro de agua y de energía como paneles fotovoltaicos e iluminación LED.</t>
  </si>
  <si>
    <t>F10.Articulación con los demás componentes del Sistema Integrado de Gestión como: SG SST, SGSI, SGC y con las diferentes procesos y dependencias.</t>
  </si>
  <si>
    <t>F11. Proceso de Medición de Huella de Carbono y reporte internacional de sostenibilidad GRI en articulación con Interacción Social Universitaria y diferentes dependencias relacionadas.</t>
  </si>
  <si>
    <t>F12. Articulación del Sistema de Gestión Ambiental  como parte del proceso de formación para la vida de la comunidad universitaria, desde la dimensión naturaleza del Modelo de Educación Digital Transmoderno -MEDIT.</t>
  </si>
  <si>
    <t>F13. Participación activa de los estudiantes en la Gestión Ambiental Institucional como practicantes y pasantes al SGA</t>
  </si>
  <si>
    <t>F14 Articulación de criterios  ambientales en los procesos  de compras institucionales.</t>
  </si>
  <si>
    <t>F15. Disponibilidad de canales institucionales para la comunicación de solicitudes, felicitaciones</t>
  </si>
  <si>
    <t>OPORTUNIDADES</t>
  </si>
  <si>
    <t xml:space="preserve">O1. Fortalecer la articulación  del  Sistema de Gestión ambiental, con las partes interesadas Internas y  Externas de forma translocal a través de la cultura ambiental.     </t>
  </si>
  <si>
    <t>O2. Ampliar la  cobertura  del proceso de cultura ambiental de la comunidad universitaria con base en la Política de Gestión Ambiental, y los programas del Plan Institucional de Gestión Ambiental -PIGA.</t>
  </si>
  <si>
    <t>O3. Ampliar la cobertura de contenedores para disposición de residuos sólidos y  Unidades Técnicas de Almacenamiento Central UTAC en Sedes, Seccionales y Extensiones</t>
  </si>
  <si>
    <t>O4.Pomover alianzas para el desarrollo de espacios verdes en las Sedes, Seccionales y Extensiones, mediante la  implementación de actividades del Programa de Uso Eficiente de Servicios Ecosistemicos -PUESE- generando un ambiente sano para la comunidad.</t>
  </si>
  <si>
    <t>O5. Fortalecer el acompañamiento y asesoría en las unidades regionales, en condiciones de Pandemia, con actividades virtuales y presenciales según las necesidades de la Sede, Seccional o Extensión.</t>
  </si>
  <si>
    <t>O6.Articulación en de Proyectos Ambientales Universitarios -PRAU- con partes interesadas internas y externas.</t>
  </si>
  <si>
    <t xml:space="preserve">O7. Ampliación de actividades de  medición  de impacto y desempeño institucional con proyección translocal.  </t>
  </si>
  <si>
    <t xml:space="preserve">O8. Instaurar lineamiento de austeridad del gasto con el proceso de Bienes y Servicios articulados con el  Sistema de Gestión Ambiental con el fin de  minimizar el consumo de  materiales a nivel institucional </t>
  </si>
  <si>
    <t xml:space="preserve">O9. Generar espacios virtuales o presenciales para  el fortalecimiento de la cultura ambiental de la comunidad educativa, a través de cursos, diplomados,  programas de voluntariado ( ambiental)  y proyectos que generen impacto ambiental positivo  mediante alianzas estratégicas. </t>
  </si>
  <si>
    <r>
      <rPr>
        <b/>
        <sz val="6"/>
        <color theme="1"/>
        <rFont val="Arial"/>
        <family val="2"/>
      </rPr>
      <t>Escuela Tecnológica Instituto Técnico Central</t>
    </r>
    <r>
      <rPr>
        <b/>
        <sz val="5"/>
        <color theme="1"/>
        <rFont val="Arial"/>
        <family val="2"/>
      </rPr>
      <t xml:space="preserve">
Establecimiento Público de Educación Superior</t>
    </r>
  </si>
  <si>
    <t>CÓDIGO: GDC-FO-09</t>
  </si>
  <si>
    <t>VIGENCIA: 2024-08-22</t>
  </si>
  <si>
    <t>Matriz de Calor Inherente</t>
  </si>
  <si>
    <t>Probabilidad</t>
  </si>
  <si>
    <t>Muy Alta
100%</t>
  </si>
  <si>
    <t>Extremo</t>
  </si>
  <si>
    <t>Alta
80%</t>
  </si>
  <si>
    <t>Alto</t>
  </si>
  <si>
    <t>Media
60%</t>
  </si>
  <si>
    <t>Baja
40%</t>
  </si>
  <si>
    <t>Bajo</t>
  </si>
  <si>
    <t>Muy Baja
20%</t>
  </si>
  <si>
    <t>Leve
20%</t>
  </si>
  <si>
    <t>Menor
40%</t>
  </si>
  <si>
    <t>Moderado
60%</t>
  </si>
  <si>
    <t>Mayor
80%</t>
  </si>
  <si>
    <t>Catastrófico
100%</t>
  </si>
  <si>
    <t>(Y('Mapa final'!$L$22="Muy Alta",'Mapa final'!$P$22="Leve"),CONCATENAR("R",'Mapa final'!$A$22),"")</t>
  </si>
  <si>
    <t xml:space="preserve"> Matriz de Calor Residual</t>
  </si>
  <si>
    <t>Escuela Tecnológica Instituto Técnico Central
Establecimiento Público de Educación Superior</t>
  </si>
  <si>
    <t>FECHA</t>
  </si>
  <si>
    <t>DESCRIPCIÓN DE LA ACTUALIZACIÓN</t>
  </si>
  <si>
    <t>RESPONSABLE</t>
  </si>
  <si>
    <t>CARGO</t>
  </si>
  <si>
    <t xml:space="preserve">Se actualiza en la versión 9 del formato, se eliminan los riesgos No 5 y 6 Para incluirlos como riesgo No 1 en los mapas de comunicaciones y Internacionalización </t>
  </si>
  <si>
    <t xml:space="preserve"> Hno. Ariosto Ardila Silva</t>
  </si>
  <si>
    <t xml:space="preserve">Rector </t>
  </si>
  <si>
    <r>
      <rPr>
        <b/>
        <sz val="11"/>
        <color theme="1"/>
        <rFont val="Arial"/>
        <family val="2"/>
      </rPr>
      <t>C</t>
    </r>
    <r>
      <rPr>
        <sz val="11"/>
        <color theme="1"/>
        <rFont val="Arial"/>
        <family val="2"/>
      </rPr>
      <t xml:space="preserve">ontexto:
Se elininaron las debilidades D3 Y D8:
Se incluyeron las debilidades D10, D11.
se eliminaron las fortalezas: F2,F11,F12,F13Y la F9 paso a fortaleza.
Riesgos: Se elimino el R1(Posibilidad de afectación económica y reputacional por recibir o solicitar cualquier dádiva o beneficio a nombre propio o de terceros al formular proyectos direccionados que no respondan a ninguna necesidad.) por racionalización de riesgos de integro al riesgo No2.
R2:Se cambiaron los controles del riesgos No2, se ajusto redacción en el control no1 y se implemento el control No2.
R4:Se ajusto redacción del riesgo y el control </t>
    </r>
  </si>
  <si>
    <t>Matriz Mapa de Riesgos</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</si>
  <si>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V6</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</si>
  <si>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</si>
  <si>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</si>
  <si>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2,3 y 5 Mapa Final de Gestión, Corrupción y Seguridad de la Información: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</si>
  <si>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</si>
  <si>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</si>
  <si>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</si>
  <si>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</si>
  <si>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</si>
  <si>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</si>
  <si>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</si>
  <si>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</si>
  <si>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</si>
  <si>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</si>
  <si>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</si>
  <si>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</si>
  <si>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</si>
  <si>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</si>
  <si>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</si>
  <si>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</si>
  <si>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</si>
  <si>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</si>
  <si>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</si>
  <si>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</si>
  <si>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</si>
  <si>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</si>
  <si>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</si>
  <si>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</si>
  <si>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</si>
  <si>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</si>
  <si>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r>
      <t xml:space="preserve">ATRIBUTOS EFICIENCIA
</t>
    </r>
    <r>
      <rPr>
        <sz val="9"/>
        <rFont val="Arial Narrow"/>
        <family val="2"/>
      </rPr>
      <t>Tipo</t>
    </r>
  </si>
  <si>
    <t>Utilice la lista de despligue que se encuentra parametrizada, le aparecerán las opciones: i)Preventivo, ii)Detectivo, iii)Correctivo.</t>
  </si>
  <si>
    <r>
      <t xml:space="preserve">ATRIBUTOS EFICIENCIA
</t>
    </r>
    <r>
      <rPr>
        <sz val="9"/>
        <rFont val="Arial Narrow"/>
        <family val="2"/>
      </rPr>
      <t>Implementación</t>
    </r>
  </si>
  <si>
    <t>Utilice la lista de despligue que se encuentra parametrizada, le aparecerán las opciones: i)Automático, ii)Manual.</t>
  </si>
  <si>
    <r>
      <t xml:space="preserve">ATRIBUTOS EFICIENCIA
</t>
    </r>
    <r>
      <rPr>
        <sz val="9"/>
        <rFont val="Arial Narrow"/>
        <family val="2"/>
      </rPr>
      <t>Calificación</t>
    </r>
  </si>
  <si>
    <t xml:space="preserve">La matriz automáticamente hará el cálculo para el control analizado (Columna T) </t>
  </si>
  <si>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</si>
  <si>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</si>
  <si>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</si>
  <si>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</si>
  <si>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</si>
  <si>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</si>
  <si>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</si>
  <si>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</si>
  <si>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</si>
  <si>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r>
      <t xml:space="preserve">Plan de Acción
</t>
    </r>
    <r>
      <rPr>
        <sz val="9"/>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</si>
  <si>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</si>
  <si>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</si>
  <si>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</si>
  <si>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Hoja 6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</si>
  <si>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7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</si>
  <si>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8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</si>
  <si>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9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</si>
  <si>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10 Tabla de Valoración de Controles: </t>
    </r>
    <r>
      <rPr>
        <sz val="11"/>
        <rFont val="Arial Narrow"/>
        <family val="2"/>
      </rPr>
      <t>Tabla referente para todos los cálculos (no se diligencia)</t>
    </r>
  </si>
  <si>
    <t xml:space="preserve">Tipo </t>
  </si>
  <si>
    <t>Ambiental</t>
  </si>
  <si>
    <t>Software</t>
  </si>
  <si>
    <t>Estratégico</t>
  </si>
  <si>
    <t>Documental</t>
  </si>
  <si>
    <t>Seguridad digital</t>
  </si>
  <si>
    <t>SST</t>
  </si>
  <si>
    <t>Tecnológico</t>
  </si>
  <si>
    <t>VERSIÓN: 8</t>
  </si>
  <si>
    <t>VERSIÓN</t>
  </si>
  <si>
    <t>CAMBIOS</t>
  </si>
  <si>
    <t xml:space="preserve">Se incluye protada, control de cambios del registro, riesgos fiscales </t>
  </si>
  <si>
    <t>28/4/2026</t>
  </si>
  <si>
    <t xml:space="preserve">Se ajusta el formato en las siguientes condiciones: 
1- Se ajustan las tipologias de riesgos: Corrupción, Fiscal, Seguridad de la Información y Gestión.
2- Se incluye en los criterios de impacto de corrupción: Moderado, Mayor, Catastrófico.
3- Se ajusta las variables del diseño del control
4- Se ajustan la descripción para el monitoreo de la primera y segunda linea, así como la evaluación para la tercera linea de defensa. m
</t>
  </si>
  <si>
    <t>ELABORÓ</t>
  </si>
  <si>
    <t>REVISÓ</t>
  </si>
  <si>
    <t>APROBÓ</t>
  </si>
  <si>
    <t>ANAY PINTO</t>
  </si>
  <si>
    <t xml:space="preserve">JORGE HERRERA ORTIZ </t>
  </si>
  <si>
    <t>Profesional de Calidad</t>
  </si>
  <si>
    <t>Representante de la Dirección</t>
  </si>
  <si>
    <t>Documento controlado por el Sistema de Gestión de la Calidad</t>
  </si>
  <si>
    <t>Asegúrese que corresponde a la última versión consultando el micrositio de calidad de la Escuela Tecnológica Instituto Técnico Central (ETITC)</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</si>
  <si>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</si>
  <si>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</si>
  <si>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</si>
  <si>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</si>
  <si>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</si>
  <si>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</si>
  <si>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</si>
  <si>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</si>
  <si>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</si>
  <si>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</si>
  <si>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</si>
  <si>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</si>
  <si>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</si>
  <si>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</si>
  <si>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</si>
  <si>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</si>
  <si>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</si>
  <si>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</si>
  <si>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</si>
  <si>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</si>
  <si>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</si>
  <si>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</si>
  <si>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</si>
  <si>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</si>
  <si>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</si>
  <si>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 80%</t>
  </si>
  <si>
    <t xml:space="preserve">Entre 100 y 500 SMLMV </t>
  </si>
  <si>
    <t>El riesgo afecta la imagen de la entidad con efecto publicitario sostenido a nivel de sector administrativo, nivel departamental o municipal</t>
  </si>
  <si>
    <t>Catastrófico 100%</t>
  </si>
  <si>
    <t xml:space="preserve">Mayor a 500 SMLMV </t>
  </si>
  <si>
    <t>El riesgo afecta la imagen de la entidad a nivel nacional, con efecto publicitarios sostenible a nivel país</t>
  </si>
  <si>
    <t>Afectación_Económica_o_presupuestal</t>
  </si>
  <si>
    <t>Pérdida_Reputacional</t>
  </si>
  <si>
    <t>Criterios</t>
  </si>
  <si>
    <t>Subcriterios</t>
  </si>
  <si>
    <t>Afectación Económica o presupuestal</t>
  </si>
  <si>
    <t>Afectación menor a 10 SMLMV .</t>
  </si>
  <si>
    <t>El riesgo afecta la imagen de de la entidad con efecto publicitario sostenido a nivel de sector administrativo, nivel departamental o municipal</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</si>
  <si>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</si>
  <si>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</si>
  <si>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</si>
  <si>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</si>
  <si>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</si>
  <si>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</si>
  <si>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</si>
  <si>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</si>
  <si>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</si>
  <si>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</si>
  <si>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</si>
  <si>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</si>
  <si>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</si>
  <si>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</si>
  <si>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</si>
  <si>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</si>
  <si>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</si>
  <si>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</si>
  <si>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</si>
  <si>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</si>
  <si>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</si>
  <si>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El Jefe de la Oficina Asesora de Planeación verifica, anualmente, durante la formulación del anteproyecto de presupuesto y la consolidación del Plan de Acción Institucional, que las proyecciones de ingresos propios, la priorización de los proyectos de inversión y las fuentes de financiación se encuentren soportadas en el comportamiento histórico de matrículas del IBTI y PES, los supuestos macroeconómicos emitidos por el DANE y el Ministerio de Hacienda y Crédito Público, así como en los análisis de viabilidad técnica, financiera y estratégica, con el propósito de garantizar una adecuada planeación y asignación de los recursos públicos. 
En caso de identificar inconsistencias en las proyecciones, ausencia de soportes técnicos o deficiencias en la viabilidad de los proyectos, solicita a la dependencia responsable realizar los ajustes correspondientes antes de continuar con el trámite de aprobación del anteproyecto de presupuesto y del Plan de Acción.
El profesional designado de la Oficina Asesora de Planeación revisa, durante la programación o actualización de los proyectos de inversión, las actividades y los valores registrados en la PIIP, teniendo en cuenta la información presupuestal disponible y/o las necesidades informadas por las dependencias.
Cuando se requiera modificar la distribución de recursos, las actividades, las metas u otra información del proyecto, se realiza la actualización correspondiente en la PIIP, de acuerdo con los soportes y la información disponible. Una vez efectuada la actualización, se verifica la consistencia de la información registrada y, cuando aplique, se  revisa con la dependencia o responsable relacionado.
La actualización se registra en una matriz de seguimiento y se comunica a los responsables correspondientes, con el fin de mantener la trazabilidad de los cambios efectuados y facilitar su consideración en la ejecución y seguimiento del proyecto.</t>
  </si>
  <si>
    <r>
      <t xml:space="preserve">El </t>
    </r>
    <r>
      <rPr>
        <b/>
        <sz val="10"/>
        <color theme="1"/>
        <rFont val="Arial"/>
        <family val="2"/>
      </rPr>
      <t>Procedimiento para Desdoblamiento Estratégico y Definición de Proyectos (DIE-PC-01)</t>
    </r>
    <r>
      <rPr>
        <sz val="10"/>
        <color theme="1"/>
        <rFont val="Arial"/>
        <family val="2"/>
      </rPr>
      <t xml:space="preserve"> sí contempla las actividades "Acompañar el avance de indicadores y proyectos" e "Informar avances de proyectos", por lo que existe fundamento para el seguimiento. </t>
    </r>
    <r>
      <rPr>
        <u/>
        <sz val="10"/>
        <color theme="1"/>
        <rFont val="Arial"/>
        <family val="2"/>
      </rPr>
      <t>Sin embargo, la verificación específica de la asignación de recursos y de posibles reasignaciones presupuestales es un fortalecimiento del control que no aparece expresamente en el procedimiento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</si>
</sst>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109">
    <font>
      <sz val="11"/>
      <color theme="1"/>
      <name val="Calibri"/>
      <family val="2"/>
      <scheme val="minor"/>
    </font>
    <font>
      <sz val="11"/>
      <name val="Arial Narrow"/>
      <family val="2"/>
    </font>
    <font>
      <sz val="10"/>
      <color rgb="FF000000"/>
      <name val="Arial Narrow"/>
      <family val="2"/>
    </font>
    <font>
      <b/>
      <sz val="11"/>
      <color theme="1"/>
      <name val="Arial Narrow"/>
      <family val="2"/>
    </font>
    <font>
      <sz val="10"/>
      <color theme="1"/>
      <name val="Calibri"/>
      <family val="2"/>
      <scheme val="minor"/>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10"/>
      <name val="Arial"/>
      <family val="2"/>
    </font>
    <font>
      <b/>
      <sz val="12"/>
      <color rgb="FF000000"/>
      <name val="Arial"/>
      <family val="2"/>
    </font>
    <font>
      <b/>
      <sz val="12"/>
      <name val="Arial"/>
      <family val="2"/>
    </font>
    <font>
      <sz val="6"/>
      <color theme="1"/>
      <name val="Arial"/>
      <family val="2"/>
    </font>
    <font>
      <b/>
      <sz val="14"/>
      <color rgb="FF000000"/>
      <name val="Arial"/>
      <family val="2"/>
    </font>
    <font>
      <sz val="14"/>
      <color rgb="FF000000"/>
      <name val="Arial"/>
      <family val="2"/>
    </font>
    <font>
      <b/>
      <sz val="11"/>
      <color theme="0"/>
      <name val="Calibri"/>
      <family val="2"/>
      <scheme val="minor"/>
    </font>
    <font>
      <b/>
      <sz val="11"/>
      <color theme="1"/>
      <name val="Calibri"/>
      <family val="2"/>
      <scheme val="minor"/>
    </font>
    <font>
      <b/>
      <sz val="5"/>
      <color rgb="FF000000"/>
      <name val="Arial"/>
      <family val="2"/>
    </font>
    <font>
      <b/>
      <sz val="6"/>
      <color rgb="FF000000"/>
      <name val="Arial"/>
      <family val="2"/>
    </font>
    <font>
      <b/>
      <sz val="11"/>
      <color rgb="FF292929"/>
      <name val="Arial"/>
      <family val="2"/>
    </font>
    <font>
      <sz val="11"/>
      <color theme="1"/>
      <name val="Arial"/>
      <family val="2"/>
    </font>
    <font>
      <b/>
      <sz val="8"/>
      <color theme="1"/>
      <name val="Arial"/>
      <family val="2"/>
    </font>
    <font>
      <b/>
      <sz val="5"/>
      <color theme="1"/>
      <name val="Arial"/>
      <family val="2"/>
    </font>
    <font>
      <b/>
      <sz val="6"/>
      <color theme="1"/>
      <name val="Arial"/>
      <family val="2"/>
    </font>
    <font>
      <b/>
      <sz val="9"/>
      <color rgb="FF292929"/>
      <name val="Arial"/>
      <family val="2"/>
    </font>
    <font>
      <b/>
      <sz val="11"/>
      <color theme="0"/>
      <name val="Arial"/>
      <family val="2"/>
    </font>
    <font>
      <sz val="10"/>
      <color theme="1"/>
      <name val="Arial"/>
      <family val="2"/>
    </font>
    <font>
      <b/>
      <sz val="10"/>
      <color theme="0"/>
      <name val="Arial"/>
      <family val="2"/>
    </font>
    <font>
      <b/>
      <sz val="10"/>
      <color theme="1"/>
      <name val="Arial"/>
      <family val="2"/>
    </font>
    <font>
      <b/>
      <u/>
      <sz val="10"/>
      <color theme="1"/>
      <name val="Arial"/>
      <family val="2"/>
    </font>
    <font>
      <i/>
      <sz val="9"/>
      <color rgb="FF000000"/>
      <name val="Arial"/>
      <family val="2"/>
    </font>
    <font>
      <b/>
      <sz val="11"/>
      <color theme="1"/>
      <name val="Arial"/>
      <family val="2"/>
    </font>
    <font>
      <b/>
      <sz val="11"/>
      <color rgb="FF000000"/>
      <name val="Arial"/>
      <family val="2"/>
    </font>
    <font>
      <b/>
      <sz val="11"/>
      <color theme="1"/>
      <name val="Times New Roman"/>
      <family val="1"/>
    </font>
    <font>
      <b/>
      <sz val="11"/>
      <color theme="0"/>
      <name val="Times New Roman"/>
      <family val="1"/>
    </font>
    <font>
      <sz val="11"/>
      <color theme="0"/>
      <name val="Times New Roman"/>
      <family val="1"/>
    </font>
    <font>
      <sz val="11"/>
      <color rgb="FF7030A0"/>
      <name val="Calibri"/>
      <family val="2"/>
      <scheme val="minor"/>
    </font>
    <font>
      <b/>
      <sz val="16"/>
      <color rgb="FF7030A0"/>
      <name val="Times New Roman"/>
      <family val="1"/>
    </font>
    <font>
      <b/>
      <sz val="18"/>
      <color theme="0"/>
      <name val="Arial"/>
      <family val="2"/>
    </font>
    <font>
      <b/>
      <sz val="12"/>
      <color theme="0"/>
      <name val="Arial"/>
      <family val="2"/>
    </font>
    <font>
      <sz val="11"/>
      <color rgb="FF000000"/>
      <name val="Arial"/>
      <family val="2"/>
    </font>
    <font>
      <sz val="10"/>
      <color theme="0"/>
      <name val="Arial"/>
      <family val="2"/>
    </font>
    <font>
      <b/>
      <sz val="22"/>
      <color rgb="FF000000"/>
      <name val="Arial"/>
      <family val="2"/>
    </font>
    <font>
      <b/>
      <sz val="18"/>
      <name val="Arial"/>
      <family val="2"/>
    </font>
    <font>
      <sz val="11"/>
      <color theme="0"/>
      <name val="Arial"/>
      <family val="2"/>
    </font>
    <font>
      <sz val="11"/>
      <name val="Arial"/>
      <family val="2"/>
    </font>
    <font>
      <sz val="14"/>
      <name val="Arial"/>
      <family val="2"/>
    </font>
    <font>
      <b/>
      <sz val="14"/>
      <name val="Arial"/>
      <family val="2"/>
    </font>
    <font>
      <b/>
      <sz val="12"/>
      <color theme="0"/>
      <name val="Arial Black"/>
      <family val="2"/>
    </font>
    <font>
      <sz val="11"/>
      <color theme="9"/>
      <name val="Arial"/>
      <family val="2"/>
    </font>
    <font>
      <b/>
      <sz val="11"/>
      <name val="Arial"/>
      <family val="2"/>
    </font>
    <font>
      <u/>
      <sz val="11"/>
      <color theme="10"/>
      <name val="Calibri"/>
      <family val="2"/>
      <scheme val="minor"/>
    </font>
    <font>
      <sz val="11"/>
      <color rgb="FF000000"/>
      <name val="Calibri"/>
      <family val="2"/>
      <scheme val="minor"/>
    </font>
    <font>
      <b/>
      <sz val="10"/>
      <color rgb="FF000000"/>
      <name val="Arial"/>
      <family val="2"/>
    </font>
    <font>
      <sz val="11"/>
      <color rgb="FF000000"/>
      <name val="Calibri"/>
      <family val="2"/>
    </font>
    <font>
      <sz val="10"/>
      <color rgb="FF000000"/>
      <name val="Tahoma"/>
      <family val="2"/>
    </font>
    <font>
      <b/>
      <sz val="10"/>
      <color rgb="FF000000"/>
      <name val="Tahoma"/>
      <family val="2"/>
    </font>
    <font>
      <sz val="11"/>
      <color theme="1"/>
      <name val="Arial Narrow"/>
      <family val="2"/>
    </font>
    <font>
      <u/>
      <sz val="11"/>
      <name val="Arial Narrow"/>
      <family val="2"/>
    </font>
    <font>
      <sz val="9"/>
      <color rgb="FF000000"/>
      <name val="Arial"/>
      <family val="2"/>
    </font>
    <font>
      <sz val="9"/>
      <name val="Arial"/>
      <family val="2"/>
    </font>
    <font>
      <sz val="10"/>
      <color theme="1"/>
      <name val="Arial Narrow"/>
      <family val="2"/>
    </font>
    <font>
      <u/>
      <sz val="10"/>
      <color theme="1"/>
      <name val="Arial"/>
      <family val="2"/>
    </font>
    <font>
      <sz val="10"/>
      <color rgb="FF000000"/>
      <name val="Calibri"/>
      <family val="2"/>
    </font>
  </fonts>
  <fills count="29">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26783C"/>
        <bgColor indexed="64"/>
      </patternFill>
    </fill>
    <fill>
      <patternFill patternType="solid">
        <fgColor theme="0" tint="-0.14999847407452621"/>
        <bgColor indexed="64"/>
      </patternFill>
    </fill>
    <fill>
      <patternFill patternType="solid">
        <fgColor rgb="FF287840"/>
        <bgColor indexed="64"/>
      </patternFill>
    </fill>
    <fill>
      <patternFill patternType="solid">
        <fgColor theme="0" tint="-0.499984740745262"/>
        <bgColor indexed="64"/>
      </patternFill>
    </fill>
    <fill>
      <patternFill patternType="solid">
        <fgColor rgb="FFDAAA00"/>
        <bgColor indexed="64"/>
      </patternFill>
    </fill>
    <fill>
      <patternFill patternType="solid">
        <fgColor rgb="FF4E4B48"/>
        <bgColor indexed="64"/>
      </patternFill>
    </fill>
    <fill>
      <patternFill patternType="solid">
        <fgColor rgb="FFFFFFFF"/>
        <bgColor rgb="FFFFFFFF"/>
      </patternFill>
    </fill>
    <fill>
      <patternFill patternType="solid">
        <fgColor rgb="FFFFFFFF"/>
        <bgColor rgb="FF000000"/>
      </patternFill>
    </fill>
    <fill>
      <patternFill patternType="solid">
        <fgColor rgb="FFFFFFFF"/>
        <bgColor indexed="64"/>
      </patternFill>
    </fill>
    <fill>
      <patternFill patternType="solid">
        <fgColor rgb="FFB4B3B6"/>
        <bgColor indexed="64"/>
      </patternFill>
    </fill>
    <fill>
      <patternFill patternType="solid">
        <fgColor rgb="FF00CC66"/>
        <bgColor indexed="64"/>
      </patternFill>
    </fill>
    <fill>
      <patternFill patternType="solid">
        <fgColor theme="6" tint="0.79998168889431442"/>
        <bgColor indexed="64"/>
      </patternFill>
    </fill>
    <fill>
      <patternFill patternType="solid">
        <fgColor theme="6" tint="-0.249977111117893"/>
        <bgColor indexed="64"/>
      </patternFill>
    </fill>
  </fills>
  <borders count="119">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auto="1"/>
      </left>
      <right/>
      <top/>
      <bottom style="thin">
        <color auto="1"/>
      </bottom>
      <diagonal/>
    </border>
    <border>
      <left/>
      <right/>
      <top/>
      <bottom style="dashed">
        <color theme="9" tint="-0.2499465926084170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thin">
        <color rgb="FF4B514E"/>
      </left>
      <right/>
      <top/>
      <bottom/>
      <diagonal/>
    </border>
    <border>
      <left/>
      <right style="thin">
        <color indexed="64"/>
      </right>
      <top/>
      <bottom/>
      <diagonal/>
    </border>
    <border>
      <left style="medium">
        <color rgb="FF000000"/>
      </left>
      <right style="thin">
        <color indexed="64"/>
      </right>
      <top/>
      <bottom style="medium">
        <color rgb="FF000000"/>
      </bottom>
      <diagonal/>
    </border>
    <border>
      <left style="thin">
        <color rgb="FF4B514E"/>
      </left>
      <right style="thin">
        <color rgb="FF4B514E"/>
      </right>
      <top style="thin">
        <color rgb="FF4B514E"/>
      </top>
      <bottom style="thin">
        <color rgb="FF4B514E"/>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000000"/>
      </left>
      <right/>
      <top/>
      <bottom/>
      <diagonal/>
    </border>
    <border>
      <left/>
      <right style="thin">
        <color rgb="FF4B514E"/>
      </right>
      <top/>
      <bottom/>
      <diagonal/>
    </border>
    <border>
      <left style="thin">
        <color rgb="FF4B514E"/>
      </left>
      <right/>
      <top style="medium">
        <color indexed="64"/>
      </top>
      <bottom/>
      <diagonal/>
    </border>
    <border>
      <left style="thin">
        <color rgb="FF4B514E"/>
      </left>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auto="1"/>
      </left>
      <right/>
      <top style="thin">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ck">
        <color auto="1"/>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right style="thin">
        <color rgb="FF000000"/>
      </right>
      <top style="thin">
        <color auto="1"/>
      </top>
      <bottom style="thin">
        <color indexed="64"/>
      </bottom>
      <diagonal/>
    </border>
    <border>
      <left style="thin">
        <color indexed="64"/>
      </left>
      <right style="thin">
        <color indexed="64"/>
      </right>
      <top style="thin">
        <color rgb="FF000000"/>
      </top>
      <bottom/>
      <diagonal/>
    </border>
    <border>
      <left/>
      <right style="thin">
        <color indexed="64"/>
      </right>
      <top style="medium">
        <color rgb="FF000000"/>
      </top>
      <bottom/>
      <diagonal/>
    </border>
    <border>
      <left/>
      <right style="thin">
        <color indexed="64"/>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s>
  <cellStyleXfs count="7">
    <xf numFmtId="0" fontId="0" fillId="0" borderId="0"/>
    <xf numFmtId="9" fontId="12" fillId="0" borderId="0" applyFont="0" applyFill="0" applyBorder="0" applyAlignment="0" applyProtection="0"/>
    <xf numFmtId="0" fontId="43" fillId="0" borderId="0"/>
    <xf numFmtId="0" fontId="44" fillId="0" borderId="0"/>
    <xf numFmtId="0" fontId="4" fillId="0" borderId="0"/>
    <xf numFmtId="0" fontId="96" fillId="0" borderId="0" applyNumberFormat="0" applyFill="0" applyBorder="0" applyAlignment="0" applyProtection="0"/>
    <xf numFmtId="0" fontId="96" fillId="0" borderId="0" applyNumberFormat="0" applyFill="0" applyBorder="0" applyAlignment="0" applyProtection="0"/>
  </cellStyleXfs>
  <cellXfs count="707">
    <xf numFmtId="0" fontId="0" fillId="0" borderId="0" xfId="0"/>
    <xf numFmtId="0" fontId="4" fillId="0" borderId="0" xfId="0" applyFont="1"/>
    <xf numFmtId="0" fontId="2" fillId="0" borderId="1" xfId="0" applyFont="1" applyBorder="1" applyAlignment="1">
      <alignment horizontal="left" vertical="center" wrapText="1" indent="1" readingOrder="1"/>
    </xf>
    <xf numFmtId="0" fontId="6" fillId="0" borderId="0" xfId="0" applyFont="1" applyAlignment="1">
      <alignment horizontal="center" vertical="center" wrapText="1"/>
    </xf>
    <xf numFmtId="0" fontId="7" fillId="6" borderId="0" xfId="0" applyFont="1" applyFill="1" applyAlignment="1">
      <alignment horizontal="center" vertical="center" wrapText="1" readingOrder="1"/>
    </xf>
    <xf numFmtId="0" fontId="8" fillId="5" borderId="4" xfId="0" applyFont="1" applyFill="1" applyBorder="1" applyAlignment="1">
      <alignment horizontal="center" vertical="center" wrapText="1" readingOrder="1"/>
    </xf>
    <xf numFmtId="0" fontId="8" fillId="0" borderId="4" xfId="0" applyFont="1" applyBorder="1" applyAlignment="1">
      <alignment horizontal="justify" vertical="center" wrapText="1" readingOrder="1"/>
    </xf>
    <xf numFmtId="9" fontId="8" fillId="0" borderId="4" xfId="0" applyNumberFormat="1" applyFont="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8" fillId="0" borderId="1" xfId="0" applyFont="1" applyBorder="1" applyAlignment="1">
      <alignment horizontal="justify" vertical="center" wrapText="1" readingOrder="1"/>
    </xf>
    <xf numFmtId="9" fontId="8" fillId="0" borderId="1" xfId="0" applyNumberFormat="1" applyFont="1" applyBorder="1" applyAlignment="1">
      <alignment horizontal="center" vertical="center" wrapText="1" readingOrder="1"/>
    </xf>
    <xf numFmtId="0" fontId="8" fillId="4" borderId="1" xfId="0" applyFont="1" applyFill="1" applyBorder="1" applyAlignment="1">
      <alignment horizontal="center" vertical="center" wrapText="1" readingOrder="1"/>
    </xf>
    <xf numFmtId="0" fontId="8" fillId="8" borderId="1" xfId="0" applyFont="1" applyFill="1" applyBorder="1" applyAlignment="1">
      <alignment horizontal="center" vertical="center" wrapText="1" readingOrder="1"/>
    </xf>
    <xf numFmtId="0" fontId="9" fillId="9" borderId="1" xfId="0" applyFont="1" applyFill="1" applyBorder="1" applyAlignment="1">
      <alignment horizontal="center" vertical="center" wrapText="1" readingOrder="1"/>
    </xf>
    <xf numFmtId="0" fontId="13" fillId="0" borderId="0" xfId="0" applyFont="1"/>
    <xf numFmtId="0" fontId="11" fillId="0" borderId="0" xfId="0" applyFont="1"/>
    <xf numFmtId="0" fontId="24" fillId="0" borderId="0" xfId="0" applyFont="1" applyAlignment="1">
      <alignment vertical="center"/>
    </xf>
    <xf numFmtId="0" fontId="25" fillId="0" borderId="0" xfId="0" applyFont="1"/>
    <xf numFmtId="0" fontId="23" fillId="0" borderId="0" xfId="0" applyFont="1"/>
    <xf numFmtId="0" fontId="0" fillId="0" borderId="0" xfId="0" pivotButton="1"/>
    <xf numFmtId="0" fontId="10" fillId="0" borderId="0" xfId="0" applyFont="1" applyAlignment="1">
      <alignment horizontal="justify" vertical="center" wrapText="1" readingOrder="1"/>
    </xf>
    <xf numFmtId="0" fontId="26" fillId="0" borderId="0" xfId="0" applyFont="1"/>
    <xf numFmtId="0" fontId="28" fillId="6" borderId="0" xfId="0" applyFont="1" applyFill="1" applyAlignment="1">
      <alignment horizontal="center" vertical="center" wrapText="1" readingOrder="1"/>
    </xf>
    <xf numFmtId="0" fontId="29" fillId="0" borderId="4" xfId="0" applyFont="1" applyBorder="1" applyAlignment="1">
      <alignment horizontal="justify" vertical="center" wrapText="1" readingOrder="1"/>
    </xf>
    <xf numFmtId="0" fontId="29" fillId="0" borderId="1" xfId="0" applyFont="1" applyBorder="1" applyAlignment="1">
      <alignment horizontal="justify" vertical="center" wrapText="1" readingOrder="1"/>
    </xf>
    <xf numFmtId="0" fontId="29" fillId="5" borderId="4" xfId="0" applyFont="1" applyFill="1" applyBorder="1" applyAlignment="1">
      <alignment horizontal="center" vertical="center" wrapText="1" readingOrder="1"/>
    </xf>
    <xf numFmtId="0" fontId="29" fillId="7" borderId="1" xfId="0" applyFont="1" applyFill="1" applyBorder="1" applyAlignment="1">
      <alignment horizontal="center" vertical="center" wrapText="1" readingOrder="1"/>
    </xf>
    <xf numFmtId="0" fontId="29" fillId="4" borderId="1" xfId="0" applyFont="1" applyFill="1" applyBorder="1" applyAlignment="1">
      <alignment horizontal="center" vertical="center" wrapText="1" readingOrder="1"/>
    </xf>
    <xf numFmtId="0" fontId="29" fillId="8" borderId="1" xfId="0" applyFont="1" applyFill="1" applyBorder="1" applyAlignment="1">
      <alignment horizontal="center" vertical="center" wrapText="1" readingOrder="1"/>
    </xf>
    <xf numFmtId="0" fontId="30" fillId="9" borderId="1" xfId="0" applyFont="1" applyFill="1" applyBorder="1" applyAlignment="1">
      <alignment horizontal="center" vertical="center" wrapText="1" readingOrder="1"/>
    </xf>
    <xf numFmtId="0" fontId="29" fillId="0" borderId="4" xfId="0" applyFont="1" applyBorder="1" applyAlignment="1">
      <alignment horizontal="center" vertical="center" wrapText="1" readingOrder="1"/>
    </xf>
    <xf numFmtId="0" fontId="29" fillId="0" borderId="1" xfId="0" applyFont="1" applyBorder="1" applyAlignment="1">
      <alignment horizontal="center" vertical="center" wrapText="1" readingOrder="1"/>
    </xf>
    <xf numFmtId="0" fontId="17" fillId="11" borderId="5" xfId="0" applyFont="1" applyFill="1" applyBorder="1" applyAlignment="1" applyProtection="1">
      <alignment horizontal="center" vertical="center" wrapText="1" readingOrder="1"/>
      <protection hidden="1"/>
    </xf>
    <xf numFmtId="0" fontId="17" fillId="11" borderId="12" xfId="0" applyFont="1" applyFill="1" applyBorder="1" applyAlignment="1" applyProtection="1">
      <alignment horizontal="center" vertical="center" wrapText="1" readingOrder="1"/>
      <protection hidden="1"/>
    </xf>
    <xf numFmtId="0" fontId="17" fillId="11" borderId="6" xfId="0" applyFont="1" applyFill="1" applyBorder="1" applyAlignment="1" applyProtection="1">
      <alignment horizontal="center" vertical="center" wrapText="1" readingOrder="1"/>
      <protection hidden="1"/>
    </xf>
    <xf numFmtId="0" fontId="17" fillId="12" borderId="5" xfId="0" applyFont="1" applyFill="1" applyBorder="1" applyAlignment="1" applyProtection="1">
      <alignment horizontal="center" wrapText="1" readingOrder="1"/>
      <protection hidden="1"/>
    </xf>
    <xf numFmtId="0" fontId="17" fillId="12" borderId="12" xfId="0" applyFont="1" applyFill="1" applyBorder="1" applyAlignment="1" applyProtection="1">
      <alignment horizontal="center" wrapText="1" readingOrder="1"/>
      <protection hidden="1"/>
    </xf>
    <xf numFmtId="0" fontId="17" fillId="12" borderId="6" xfId="0" applyFont="1" applyFill="1" applyBorder="1" applyAlignment="1" applyProtection="1">
      <alignment horizontal="center" wrapText="1" readingOrder="1"/>
      <protection hidden="1"/>
    </xf>
    <xf numFmtId="0" fontId="17" fillId="11" borderId="7" xfId="0" applyFont="1" applyFill="1" applyBorder="1" applyAlignment="1" applyProtection="1">
      <alignment horizontal="center" vertical="center" wrapText="1" readingOrder="1"/>
      <protection hidden="1"/>
    </xf>
    <xf numFmtId="0" fontId="17" fillId="11" borderId="0" xfId="0" applyFont="1" applyFill="1" applyAlignment="1" applyProtection="1">
      <alignment horizontal="center" vertical="center" wrapText="1" readingOrder="1"/>
      <protection hidden="1"/>
    </xf>
    <xf numFmtId="0" fontId="17" fillId="11" borderId="8" xfId="0" applyFont="1" applyFill="1" applyBorder="1" applyAlignment="1" applyProtection="1">
      <alignment horizontal="center" vertical="center" wrapText="1" readingOrder="1"/>
      <protection hidden="1"/>
    </xf>
    <xf numFmtId="0" fontId="17" fillId="12" borderId="7" xfId="0" applyFont="1" applyFill="1" applyBorder="1" applyAlignment="1" applyProtection="1">
      <alignment horizontal="center" wrapText="1" readingOrder="1"/>
      <protection hidden="1"/>
    </xf>
    <xf numFmtId="0" fontId="17" fillId="12" borderId="0" xfId="0" applyFont="1" applyFill="1" applyAlignment="1" applyProtection="1">
      <alignment horizontal="center" wrapText="1" readingOrder="1"/>
      <protection hidden="1"/>
    </xf>
    <xf numFmtId="0" fontId="17" fillId="12" borderId="8" xfId="0" applyFont="1" applyFill="1" applyBorder="1" applyAlignment="1" applyProtection="1">
      <alignment horizontal="center" wrapText="1" readingOrder="1"/>
      <protection hidden="1"/>
    </xf>
    <xf numFmtId="0" fontId="17" fillId="11" borderId="9" xfId="0" applyFont="1" applyFill="1" applyBorder="1" applyAlignment="1" applyProtection="1">
      <alignment horizontal="center" vertical="center" wrapText="1" readingOrder="1"/>
      <protection hidden="1"/>
    </xf>
    <xf numFmtId="0" fontId="17" fillId="11" borderId="11" xfId="0" applyFont="1" applyFill="1" applyBorder="1" applyAlignment="1" applyProtection="1">
      <alignment horizontal="center" vertical="center" wrapText="1" readingOrder="1"/>
      <protection hidden="1"/>
    </xf>
    <xf numFmtId="0" fontId="17" fillId="11" borderId="10" xfId="0" applyFont="1" applyFill="1" applyBorder="1" applyAlignment="1" applyProtection="1">
      <alignment horizontal="center" vertical="center" wrapText="1" readingOrder="1"/>
      <protection hidden="1"/>
    </xf>
    <xf numFmtId="0" fontId="17" fillId="12" borderId="9" xfId="0" applyFont="1" applyFill="1" applyBorder="1" applyAlignment="1" applyProtection="1">
      <alignment horizontal="center" wrapText="1" readingOrder="1"/>
      <protection hidden="1"/>
    </xf>
    <xf numFmtId="0" fontId="17" fillId="12" borderId="11" xfId="0" applyFont="1" applyFill="1" applyBorder="1" applyAlignment="1" applyProtection="1">
      <alignment horizontal="center" wrapText="1" readingOrder="1"/>
      <protection hidden="1"/>
    </xf>
    <xf numFmtId="0" fontId="17" fillId="12" borderId="10" xfId="0" applyFont="1" applyFill="1" applyBorder="1" applyAlignment="1" applyProtection="1">
      <alignment horizontal="center" wrapText="1" readingOrder="1"/>
      <protection hidden="1"/>
    </xf>
    <xf numFmtId="0" fontId="17" fillId="13" borderId="5" xfId="0" applyFont="1" applyFill="1" applyBorder="1" applyAlignment="1" applyProtection="1">
      <alignment horizontal="center" wrapText="1" readingOrder="1"/>
      <protection hidden="1"/>
    </xf>
    <xf numFmtId="0" fontId="17" fillId="13" borderId="12" xfId="0" applyFont="1" applyFill="1" applyBorder="1" applyAlignment="1" applyProtection="1">
      <alignment horizontal="center" wrapText="1" readingOrder="1"/>
      <protection hidden="1"/>
    </xf>
    <xf numFmtId="0" fontId="17" fillId="13" borderId="6" xfId="0" applyFont="1" applyFill="1" applyBorder="1" applyAlignment="1" applyProtection="1">
      <alignment horizontal="center" wrapText="1" readingOrder="1"/>
      <protection hidden="1"/>
    </xf>
    <xf numFmtId="0" fontId="17" fillId="13" borderId="7" xfId="0" applyFont="1" applyFill="1" applyBorder="1" applyAlignment="1" applyProtection="1">
      <alignment horizontal="center" wrapText="1" readingOrder="1"/>
      <protection hidden="1"/>
    </xf>
    <xf numFmtId="0" fontId="17" fillId="13" borderId="0" xfId="0" applyFont="1" applyFill="1" applyAlignment="1" applyProtection="1">
      <alignment horizontal="center" wrapText="1" readingOrder="1"/>
      <protection hidden="1"/>
    </xf>
    <xf numFmtId="0" fontId="17" fillId="13" borderId="8" xfId="0" applyFont="1" applyFill="1" applyBorder="1" applyAlignment="1" applyProtection="1">
      <alignment horizontal="center" wrapText="1" readingOrder="1"/>
      <protection hidden="1"/>
    </xf>
    <xf numFmtId="0" fontId="17" fillId="13" borderId="9" xfId="0" applyFont="1" applyFill="1" applyBorder="1" applyAlignment="1" applyProtection="1">
      <alignment horizontal="center" wrapText="1" readingOrder="1"/>
      <protection hidden="1"/>
    </xf>
    <xf numFmtId="0" fontId="17" fillId="13" borderId="11" xfId="0" applyFont="1" applyFill="1" applyBorder="1" applyAlignment="1" applyProtection="1">
      <alignment horizontal="center" wrapText="1" readingOrder="1"/>
      <protection hidden="1"/>
    </xf>
    <xf numFmtId="0" fontId="17" fillId="13" borderId="10" xfId="0" applyFont="1" applyFill="1" applyBorder="1" applyAlignment="1" applyProtection="1">
      <alignment horizontal="center" wrapText="1" readingOrder="1"/>
      <protection hidden="1"/>
    </xf>
    <xf numFmtId="0" fontId="17" fillId="5" borderId="5" xfId="0" applyFont="1" applyFill="1" applyBorder="1" applyAlignment="1" applyProtection="1">
      <alignment horizontal="center" wrapText="1" readingOrder="1"/>
      <protection hidden="1"/>
    </xf>
    <xf numFmtId="0" fontId="17" fillId="5" borderId="12" xfId="0" applyFont="1" applyFill="1" applyBorder="1" applyAlignment="1" applyProtection="1">
      <alignment horizontal="center" wrapText="1" readingOrder="1"/>
      <protection hidden="1"/>
    </xf>
    <xf numFmtId="0" fontId="17" fillId="5" borderId="6" xfId="0" applyFont="1" applyFill="1" applyBorder="1" applyAlignment="1" applyProtection="1">
      <alignment horizontal="center" wrapText="1" readingOrder="1"/>
      <protection hidden="1"/>
    </xf>
    <xf numFmtId="0" fontId="17" fillId="5" borderId="7" xfId="0" applyFont="1" applyFill="1" applyBorder="1" applyAlignment="1" applyProtection="1">
      <alignment horizontal="center" wrapText="1" readingOrder="1"/>
      <protection hidden="1"/>
    </xf>
    <xf numFmtId="0" fontId="17" fillId="5" borderId="0" xfId="0" applyFont="1" applyFill="1" applyAlignment="1" applyProtection="1">
      <alignment horizontal="center" wrapText="1" readingOrder="1"/>
      <protection hidden="1"/>
    </xf>
    <xf numFmtId="0" fontId="17" fillId="5" borderId="8" xfId="0" applyFont="1" applyFill="1" applyBorder="1" applyAlignment="1" applyProtection="1">
      <alignment horizontal="center" wrapText="1" readingOrder="1"/>
      <protection hidden="1"/>
    </xf>
    <xf numFmtId="0" fontId="17" fillId="5" borderId="9" xfId="0" applyFont="1" applyFill="1" applyBorder="1" applyAlignment="1" applyProtection="1">
      <alignment horizontal="center" wrapText="1" readingOrder="1"/>
      <protection hidden="1"/>
    </xf>
    <xf numFmtId="0" fontId="17" fillId="5" borderId="11" xfId="0" applyFont="1" applyFill="1" applyBorder="1" applyAlignment="1" applyProtection="1">
      <alignment horizontal="center" wrapText="1" readingOrder="1"/>
      <protection hidden="1"/>
    </xf>
    <xf numFmtId="0" fontId="17" fillId="5" borderId="10" xfId="0" applyFont="1" applyFill="1" applyBorder="1" applyAlignment="1" applyProtection="1">
      <alignment horizontal="center" wrapText="1" readingOrder="1"/>
      <protection hidden="1"/>
    </xf>
    <xf numFmtId="0" fontId="0" fillId="3" borderId="0" xfId="0" applyFill="1"/>
    <xf numFmtId="0" fontId="45" fillId="3" borderId="39" xfId="2" applyFont="1" applyFill="1" applyBorder="1"/>
    <xf numFmtId="0" fontId="45" fillId="3" borderId="40" xfId="2" applyFont="1" applyFill="1" applyBorder="1"/>
    <xf numFmtId="0" fontId="45" fillId="3" borderId="41" xfId="2" applyFont="1" applyFill="1" applyBorder="1"/>
    <xf numFmtId="0" fontId="14" fillId="3" borderId="0" xfId="0" applyFont="1" applyFill="1" applyAlignment="1">
      <alignment vertical="center"/>
    </xf>
    <xf numFmtId="0" fontId="4" fillId="3" borderId="0" xfId="0" applyFont="1" applyFill="1"/>
    <xf numFmtId="0" fontId="32" fillId="3" borderId="0" xfId="0" applyFont="1" applyFill="1"/>
    <xf numFmtId="0" fontId="34" fillId="3" borderId="22" xfId="0" applyFont="1" applyFill="1" applyBorder="1" applyAlignment="1">
      <alignment horizontal="justify" vertical="center" wrapText="1" readingOrder="1"/>
    </xf>
    <xf numFmtId="9" fontId="33" fillId="3" borderId="31" xfId="0" applyNumberFormat="1" applyFont="1" applyFill="1" applyBorder="1" applyAlignment="1">
      <alignment horizontal="center" vertical="center" wrapText="1" readingOrder="1"/>
    </xf>
    <xf numFmtId="0" fontId="34" fillId="3" borderId="21" xfId="0" applyFont="1" applyFill="1" applyBorder="1" applyAlignment="1">
      <alignment horizontal="justify" vertical="center" wrapText="1" readingOrder="1"/>
    </xf>
    <xf numFmtId="9" fontId="33" fillId="3" borderId="26" xfId="0" applyNumberFormat="1" applyFont="1" applyFill="1" applyBorder="1" applyAlignment="1">
      <alignment horizontal="center" vertical="center" wrapText="1" readingOrder="1"/>
    </xf>
    <xf numFmtId="0" fontId="34" fillId="3" borderId="26" xfId="0" applyFont="1" applyFill="1" applyBorder="1" applyAlignment="1">
      <alignment horizontal="center" vertical="center" wrapText="1" readingOrder="1"/>
    </xf>
    <xf numFmtId="0" fontId="34" fillId="3" borderId="28" xfId="0" applyFont="1" applyFill="1" applyBorder="1" applyAlignment="1">
      <alignment horizontal="justify" vertical="center" wrapText="1" readingOrder="1"/>
    </xf>
    <xf numFmtId="0" fontId="34" fillId="3" borderId="29" xfId="0" applyFont="1" applyFill="1" applyBorder="1" applyAlignment="1">
      <alignment horizontal="center" vertical="center" wrapText="1" readingOrder="1"/>
    </xf>
    <xf numFmtId="0" fontId="42" fillId="3" borderId="0" xfId="0" applyFont="1" applyFill="1"/>
    <xf numFmtId="0" fontId="33" fillId="15" borderId="34" xfId="0" applyFont="1" applyFill="1" applyBorder="1" applyAlignment="1">
      <alignment horizontal="center" vertical="center" wrapText="1" readingOrder="1"/>
    </xf>
    <xf numFmtId="0" fontId="11" fillId="3" borderId="0" xfId="0" applyFont="1" applyFill="1"/>
    <xf numFmtId="0" fontId="27" fillId="3" borderId="0" xfId="0" applyFont="1" applyFill="1" applyAlignment="1">
      <alignment horizontal="center" vertical="center" wrapText="1"/>
    </xf>
    <xf numFmtId="0" fontId="10" fillId="3" borderId="0" xfId="0" applyFont="1" applyFill="1" applyAlignment="1">
      <alignment horizontal="justify" vertical="center" wrapText="1" readingOrder="1"/>
    </xf>
    <xf numFmtId="0" fontId="3" fillId="3" borderId="0" xfId="0" applyFont="1" applyFill="1" applyAlignment="1">
      <alignment vertical="center"/>
    </xf>
    <xf numFmtId="0" fontId="13" fillId="3" borderId="0" xfId="0" applyFont="1" applyFill="1"/>
    <xf numFmtId="0" fontId="3" fillId="3" borderId="0" xfId="0" applyFont="1" applyFill="1" applyAlignment="1">
      <alignment horizontal="left" vertical="center"/>
    </xf>
    <xf numFmtId="0" fontId="45" fillId="3" borderId="7" xfId="2" applyFont="1" applyFill="1" applyBorder="1"/>
    <xf numFmtId="0" fontId="50" fillId="3" borderId="0" xfId="0" applyFont="1" applyFill="1" applyAlignment="1">
      <alignment horizontal="left" vertical="center" wrapText="1"/>
    </xf>
    <xf numFmtId="0" fontId="51" fillId="3" borderId="0" xfId="0" applyFont="1" applyFill="1" applyAlignment="1">
      <alignment horizontal="left" vertical="top" wrapText="1"/>
    </xf>
    <xf numFmtId="0" fontId="45" fillId="3" borderId="0" xfId="2" applyFont="1" applyFill="1"/>
    <xf numFmtId="0" fontId="45" fillId="3" borderId="8" xfId="2" applyFont="1" applyFill="1" applyBorder="1"/>
    <xf numFmtId="0" fontId="45" fillId="3" borderId="9" xfId="2" applyFont="1" applyFill="1" applyBorder="1"/>
    <xf numFmtId="0" fontId="45" fillId="3" borderId="11" xfId="2" applyFont="1" applyFill="1" applyBorder="1"/>
    <xf numFmtId="0" fontId="45" fillId="3" borderId="10" xfId="2" applyFont="1" applyFill="1" applyBorder="1"/>
    <xf numFmtId="0" fontId="49" fillId="3" borderId="0" xfId="2" applyFont="1" applyFill="1" applyAlignment="1">
      <alignment horizontal="left" vertical="center" wrapText="1"/>
    </xf>
    <xf numFmtId="0" fontId="45" fillId="3" borderId="0" xfId="2" applyFont="1" applyFill="1" applyAlignment="1">
      <alignment horizontal="left" vertical="center" wrapText="1"/>
    </xf>
    <xf numFmtId="0" fontId="45" fillId="3" borderId="0" xfId="2" quotePrefix="1" applyFont="1" applyFill="1" applyAlignment="1">
      <alignment horizontal="left" vertical="center" wrapText="1"/>
    </xf>
    <xf numFmtId="0" fontId="47" fillId="3" borderId="7" xfId="2" quotePrefix="1" applyFont="1" applyFill="1" applyBorder="1" applyAlignment="1">
      <alignment horizontal="left" vertical="top" wrapText="1"/>
    </xf>
    <xf numFmtId="0" fontId="48" fillId="3" borderId="0" xfId="2" quotePrefix="1" applyFont="1" applyFill="1" applyAlignment="1">
      <alignment horizontal="left" vertical="top" wrapText="1"/>
    </xf>
    <xf numFmtId="0" fontId="48" fillId="3" borderId="8" xfId="2" quotePrefix="1" applyFont="1" applyFill="1" applyBorder="1" applyAlignment="1">
      <alignment horizontal="left" vertical="top" wrapText="1"/>
    </xf>
    <xf numFmtId="0" fontId="43" fillId="0" borderId="7" xfId="0" applyFont="1" applyBorder="1" applyAlignment="1">
      <alignment vertical="center" wrapText="1"/>
    </xf>
    <xf numFmtId="0" fontId="43" fillId="0" borderId="0" xfId="0" applyFont="1" applyAlignment="1">
      <alignment vertical="center" wrapText="1"/>
    </xf>
    <xf numFmtId="0" fontId="56" fillId="0" borderId="0" xfId="0" applyFont="1" applyAlignment="1">
      <alignment horizontal="center" vertical="center" wrapText="1"/>
    </xf>
    <xf numFmtId="0" fontId="43" fillId="0" borderId="0" xfId="0" applyFont="1" applyAlignment="1">
      <alignment horizontal="center" vertical="center" wrapText="1"/>
    </xf>
    <xf numFmtId="0" fontId="43" fillId="0" borderId="0" xfId="0" applyFont="1" applyAlignment="1">
      <alignment horizontal="left" vertical="center" wrapText="1"/>
    </xf>
    <xf numFmtId="0" fontId="57" fillId="0" borderId="0" xfId="0" applyFont="1" applyAlignment="1">
      <alignment horizontal="center"/>
    </xf>
    <xf numFmtId="0" fontId="59" fillId="0" borderId="0" xfId="0" applyFont="1" applyAlignment="1">
      <alignment horizontal="center" vertical="center" wrapText="1"/>
    </xf>
    <xf numFmtId="0" fontId="0" fillId="0" borderId="0" xfId="0" applyAlignment="1">
      <alignment wrapText="1"/>
    </xf>
    <xf numFmtId="0" fontId="59" fillId="0" borderId="0" xfId="0" applyFont="1" applyAlignment="1">
      <alignment vertical="center" wrapText="1"/>
    </xf>
    <xf numFmtId="0" fontId="55" fillId="0" borderId="63" xfId="0" applyFont="1" applyBorder="1" applyAlignment="1" applyProtection="1">
      <alignment horizontal="center" wrapText="1"/>
      <protection locked="0"/>
    </xf>
    <xf numFmtId="0" fontId="55" fillId="0" borderId="57" xfId="0" applyFont="1" applyBorder="1" applyAlignment="1" applyProtection="1">
      <alignment horizontal="center" wrapText="1"/>
      <protection locked="0"/>
    </xf>
    <xf numFmtId="0" fontId="54" fillId="0" borderId="57" xfId="0" applyFont="1" applyBorder="1" applyAlignment="1">
      <alignment horizontal="left" vertical="center"/>
    </xf>
    <xf numFmtId="0" fontId="0" fillId="17" borderId="0" xfId="0" applyFill="1"/>
    <xf numFmtId="0" fontId="65" fillId="17" borderId="0" xfId="0" applyFont="1" applyFill="1"/>
    <xf numFmtId="14" fontId="65" fillId="0" borderId="74" xfId="0" applyNumberFormat="1" applyFont="1" applyBorder="1" applyAlignment="1" applyProtection="1">
      <alignment horizontal="center" vertical="center"/>
      <protection locked="0"/>
    </xf>
    <xf numFmtId="0" fontId="65" fillId="0" borderId="74" xfId="0" applyFont="1" applyBorder="1" applyAlignment="1" applyProtection="1">
      <alignment horizontal="center" vertical="center"/>
      <protection locked="0"/>
    </xf>
    <xf numFmtId="0" fontId="65" fillId="0" borderId="74" xfId="0" applyFont="1" applyBorder="1" applyAlignment="1" applyProtection="1">
      <alignment horizontal="center" vertical="center" wrapText="1"/>
      <protection locked="0"/>
    </xf>
    <xf numFmtId="0" fontId="65" fillId="0" borderId="74" xfId="0" applyFont="1" applyBorder="1" applyAlignment="1" applyProtection="1">
      <alignment horizontal="justify" wrapText="1"/>
      <protection locked="0"/>
    </xf>
    <xf numFmtId="0" fontId="11" fillId="17" borderId="0" xfId="0" applyFont="1" applyFill="1"/>
    <xf numFmtId="0" fontId="66" fillId="0" borderId="24" xfId="0" applyFont="1" applyBorder="1" applyAlignment="1">
      <alignment horizontal="center" vertical="center"/>
    </xf>
    <xf numFmtId="0" fontId="66" fillId="0" borderId="85" xfId="0" applyFont="1" applyBorder="1" applyAlignment="1">
      <alignment horizontal="center" vertical="center" wrapText="1"/>
    </xf>
    <xf numFmtId="0" fontId="66" fillId="0" borderId="85" xfId="0" applyFont="1" applyBorder="1" applyAlignment="1">
      <alignment horizontal="center" vertical="center"/>
    </xf>
    <xf numFmtId="0" fontId="0" fillId="0" borderId="5" xfId="0" applyBorder="1"/>
    <xf numFmtId="0" fontId="0" fillId="0" borderId="12"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1" xfId="0" applyBorder="1"/>
    <xf numFmtId="0" fontId="0" fillId="0" borderId="10" xfId="0" applyBorder="1"/>
    <xf numFmtId="14" fontId="70" fillId="16" borderId="74" xfId="0" applyNumberFormat="1" applyFont="1" applyFill="1" applyBorder="1" applyAlignment="1">
      <alignment horizontal="center" vertical="center" wrapText="1"/>
    </xf>
    <xf numFmtId="0" fontId="70" fillId="16" borderId="74" xfId="0" applyFont="1" applyFill="1" applyBorder="1" applyAlignment="1">
      <alignment horizontal="center" vertical="center" wrapText="1"/>
    </xf>
    <xf numFmtId="0" fontId="76" fillId="17" borderId="0" xfId="0" applyFont="1" applyFill="1" applyAlignment="1">
      <alignment horizontal="center" vertical="center" textRotation="90"/>
    </xf>
    <xf numFmtId="0" fontId="78" fillId="0" borderId="0" xfId="0" applyFont="1" applyAlignment="1">
      <alignment vertical="center"/>
    </xf>
    <xf numFmtId="0" fontId="81" fillId="0" borderId="0" xfId="0" applyFont="1"/>
    <xf numFmtId="0" fontId="76" fillId="0" borderId="0" xfId="0" applyFont="1" applyAlignment="1">
      <alignment horizontal="left" vertical="center"/>
    </xf>
    <xf numFmtId="0" fontId="65" fillId="0" borderId="91" xfId="0" applyFont="1" applyBorder="1" applyAlignment="1">
      <alignment horizontal="left" vertical="center"/>
    </xf>
    <xf numFmtId="0" fontId="65" fillId="0" borderId="92" xfId="0" applyFont="1" applyBorder="1" applyAlignment="1">
      <alignment horizontal="left" vertical="center"/>
    </xf>
    <xf numFmtId="0" fontId="81" fillId="3" borderId="0" xfId="0" applyFont="1" applyFill="1"/>
    <xf numFmtId="0" fontId="82" fillId="3" borderId="0" xfId="0" applyFont="1" applyFill="1" applyAlignment="1">
      <alignment horizontal="center" vertical="center"/>
    </xf>
    <xf numFmtId="0" fontId="0" fillId="0" borderId="85" xfId="0" applyBorder="1" applyAlignment="1">
      <alignment horizontal="center" vertical="center"/>
    </xf>
    <xf numFmtId="0" fontId="70" fillId="19" borderId="85" xfId="0" applyFont="1" applyFill="1" applyBorder="1" applyAlignment="1">
      <alignment horizontal="center" vertical="center"/>
    </xf>
    <xf numFmtId="0" fontId="79" fillId="18" borderId="0" xfId="0" applyFont="1" applyFill="1" applyAlignment="1">
      <alignment horizontal="center" vertical="center"/>
    </xf>
    <xf numFmtId="0" fontId="70" fillId="19" borderId="0" xfId="0" applyFont="1" applyFill="1" applyAlignment="1">
      <alignment horizontal="center" vertical="center"/>
    </xf>
    <xf numFmtId="0" fontId="80" fillId="0" borderId="0" xfId="0" applyFont="1" applyAlignment="1">
      <alignment horizontal="center"/>
    </xf>
    <xf numFmtId="0" fontId="80" fillId="0" borderId="0" xfId="0" applyFont="1" applyAlignment="1">
      <alignment horizontal="center" vertical="center"/>
    </xf>
    <xf numFmtId="0" fontId="72" fillId="21" borderId="27" xfId="0" applyFont="1" applyFill="1" applyBorder="1" applyAlignment="1">
      <alignment horizontal="center" vertical="center" wrapText="1"/>
    </xf>
    <xf numFmtId="0" fontId="72" fillId="21" borderId="28" xfId="0" applyFont="1" applyFill="1" applyBorder="1" applyAlignment="1">
      <alignment horizontal="center" vertical="center" wrapText="1"/>
    </xf>
    <xf numFmtId="0" fontId="85" fillId="3" borderId="21" xfId="0" applyFont="1" applyFill="1" applyBorder="1" applyAlignment="1" applyProtection="1">
      <alignment horizontal="justify" vertical="justify" wrapText="1"/>
      <protection locked="0"/>
    </xf>
    <xf numFmtId="0" fontId="71" fillId="0" borderId="22" xfId="0" applyFont="1" applyBorder="1" applyAlignment="1" applyProtection="1">
      <alignment horizontal="center" vertical="center" wrapText="1"/>
      <protection locked="0"/>
    </xf>
    <xf numFmtId="0" fontId="85" fillId="0" borderId="21" xfId="0" applyFont="1" applyBorder="1" applyAlignment="1" applyProtection="1">
      <alignment horizontal="justify" vertical="justify" wrapText="1"/>
      <protection locked="0"/>
    </xf>
    <xf numFmtId="0" fontId="71" fillId="0" borderId="21" xfId="0" applyFont="1" applyBorder="1" applyAlignment="1" applyProtection="1">
      <alignment horizontal="center" vertical="center" wrapText="1"/>
      <protection locked="0"/>
    </xf>
    <xf numFmtId="0" fontId="85" fillId="22" borderId="21" xfId="0" applyFont="1" applyFill="1" applyBorder="1" applyAlignment="1" applyProtection="1">
      <alignment horizontal="justify" vertical="justify" wrapText="1"/>
      <protection locked="0"/>
    </xf>
    <xf numFmtId="0" fontId="43" fillId="0" borderId="25" xfId="0" applyFont="1" applyBorder="1" applyAlignment="1" applyProtection="1">
      <alignment horizontal="justify" vertical="center" wrapText="1"/>
      <protection locked="0"/>
    </xf>
    <xf numFmtId="0" fontId="72" fillId="21" borderId="25" xfId="0" applyFont="1" applyFill="1" applyBorder="1" applyAlignment="1">
      <alignment horizontal="center" vertical="center" wrapText="1"/>
    </xf>
    <xf numFmtId="0" fontId="71" fillId="21" borderId="21" xfId="0" applyFont="1" applyFill="1" applyBorder="1" applyAlignment="1" applyProtection="1">
      <alignment horizontal="center" vertical="center"/>
      <protection locked="0"/>
    </xf>
    <xf numFmtId="0" fontId="85" fillId="23" borderId="22" xfId="0" applyFont="1" applyFill="1" applyBorder="1" applyAlignment="1" applyProtection="1">
      <alignment horizontal="justify" vertical="justify" wrapText="1"/>
      <protection locked="0"/>
    </xf>
    <xf numFmtId="0" fontId="86" fillId="21" borderId="21" xfId="0" applyFont="1" applyFill="1" applyBorder="1" applyAlignment="1" applyProtection="1">
      <alignment horizontal="center" vertical="center"/>
      <protection locked="0"/>
    </xf>
    <xf numFmtId="0" fontId="85" fillId="24" borderId="21" xfId="0" applyFont="1" applyFill="1" applyBorder="1" applyAlignment="1" applyProtection="1">
      <alignment horizontal="justify" vertical="justify" wrapText="1"/>
      <protection locked="0"/>
    </xf>
    <xf numFmtId="0" fontId="85" fillId="22" borderId="67" xfId="0" applyFont="1" applyFill="1" applyBorder="1" applyAlignment="1" applyProtection="1">
      <alignment wrapText="1"/>
      <protection locked="0"/>
    </xf>
    <xf numFmtId="0" fontId="65" fillId="3" borderId="21" xfId="0" applyFont="1" applyFill="1" applyBorder="1" applyAlignment="1" applyProtection="1">
      <alignment horizontal="justify" vertical="justify" wrapText="1"/>
      <protection locked="0"/>
    </xf>
    <xf numFmtId="0" fontId="11" fillId="18" borderId="0" xfId="0" applyFont="1" applyFill="1" applyAlignment="1">
      <alignment horizontal="center" vertical="center"/>
    </xf>
    <xf numFmtId="0" fontId="60" fillId="18" borderId="0" xfId="0" applyFont="1" applyFill="1" applyAlignment="1">
      <alignment horizontal="center" vertical="center"/>
    </xf>
    <xf numFmtId="0" fontId="60" fillId="18" borderId="0" xfId="0" applyFont="1" applyFill="1" applyAlignment="1">
      <alignment horizontal="center" vertical="center" wrapText="1"/>
    </xf>
    <xf numFmtId="0" fontId="11" fillId="18" borderId="0" xfId="0" applyFont="1" applyFill="1" applyAlignment="1">
      <alignment wrapText="1"/>
    </xf>
    <xf numFmtId="0" fontId="65" fillId="0" borderId="0" xfId="0" applyFont="1"/>
    <xf numFmtId="0" fontId="65" fillId="0" borderId="0" xfId="0" applyFont="1" applyAlignment="1">
      <alignment horizontal="center" vertical="center"/>
    </xf>
    <xf numFmtId="0" fontId="65" fillId="0" borderId="0" xfId="0" applyFont="1" applyAlignment="1">
      <alignment horizontal="center"/>
    </xf>
    <xf numFmtId="0" fontId="87" fillId="0" borderId="57" xfId="0" applyFont="1" applyBorder="1" applyAlignment="1" applyProtection="1">
      <alignment horizontal="center" vertical="center"/>
      <protection locked="0"/>
    </xf>
    <xf numFmtId="0" fontId="65" fillId="3" borderId="0" xfId="0" applyFont="1" applyFill="1"/>
    <xf numFmtId="0" fontId="89" fillId="3" borderId="0" xfId="0" applyFont="1" applyFill="1"/>
    <xf numFmtId="0" fontId="83" fillId="3" borderId="66" xfId="0" applyFont="1" applyFill="1" applyBorder="1" applyAlignment="1">
      <alignment horizontal="center" vertical="center"/>
    </xf>
    <xf numFmtId="0" fontId="83" fillId="3" borderId="67" xfId="0" applyFont="1" applyFill="1" applyBorder="1" applyAlignment="1">
      <alignment horizontal="center" vertical="center"/>
    </xf>
    <xf numFmtId="0" fontId="83" fillId="3" borderId="65" xfId="0" applyFont="1" applyFill="1" applyBorder="1" applyAlignment="1">
      <alignment horizontal="center" vertical="center"/>
    </xf>
    <xf numFmtId="0" fontId="83" fillId="3" borderId="57" xfId="0" applyFont="1" applyFill="1" applyBorder="1" applyAlignment="1">
      <alignment horizontal="center" vertical="center"/>
    </xf>
    <xf numFmtId="0" fontId="83" fillId="3" borderId="40" xfId="0" applyFont="1" applyFill="1" applyBorder="1" applyAlignment="1">
      <alignment vertical="center"/>
    </xf>
    <xf numFmtId="0" fontId="70" fillId="3" borderId="0" xfId="0" applyFont="1" applyFill="1" applyAlignment="1">
      <alignment horizontal="center" vertical="center"/>
    </xf>
    <xf numFmtId="0" fontId="76" fillId="3" borderId="0" xfId="0" applyFont="1" applyFill="1" applyAlignment="1">
      <alignment horizontal="center" vertical="center"/>
    </xf>
    <xf numFmtId="0" fontId="76" fillId="2" borderId="0" xfId="0" applyFont="1" applyFill="1" applyAlignment="1">
      <alignment horizontal="center" vertical="center"/>
    </xf>
    <xf numFmtId="0" fontId="65" fillId="0" borderId="3" xfId="0" applyFont="1" applyBorder="1" applyAlignment="1">
      <alignment horizontal="center" vertical="center"/>
    </xf>
    <xf numFmtId="0" fontId="65" fillId="0" borderId="2" xfId="0" applyFont="1" applyBorder="1" applyAlignment="1">
      <alignment horizontal="center" vertical="center"/>
    </xf>
    <xf numFmtId="0" fontId="65" fillId="0" borderId="0" xfId="0" applyFont="1" applyAlignment="1">
      <alignment horizontal="center" wrapText="1"/>
    </xf>
    <xf numFmtId="0" fontId="65" fillId="0" borderId="0" xfId="0" applyFont="1" applyAlignment="1">
      <alignment wrapText="1"/>
    </xf>
    <xf numFmtId="0" fontId="65" fillId="0" borderId="0" xfId="0" applyFont="1" applyAlignment="1">
      <alignment vertical="center"/>
    </xf>
    <xf numFmtId="0" fontId="90" fillId="0" borderId="0" xfId="0" applyFont="1" applyAlignment="1">
      <alignment horizontal="center" vertical="center" wrapText="1"/>
    </xf>
    <xf numFmtId="0" fontId="45" fillId="0" borderId="21" xfId="0" applyFont="1" applyBorder="1" applyAlignment="1" applyProtection="1">
      <alignment horizontal="justify" vertical="center" wrapText="1"/>
      <protection locked="0"/>
    </xf>
    <xf numFmtId="0" fontId="45" fillId="0" borderId="21" xfId="0" applyFont="1" applyBorder="1" applyAlignment="1" applyProtection="1">
      <alignment horizontal="left" vertical="center" wrapText="1"/>
      <protection locked="0"/>
    </xf>
    <xf numFmtId="0" fontId="90" fillId="0" borderId="21" xfId="0" applyFont="1" applyBorder="1" applyAlignment="1" applyProtection="1">
      <alignment horizontal="center" vertical="center" wrapText="1"/>
      <protection hidden="1"/>
    </xf>
    <xf numFmtId="0" fontId="90" fillId="0" borderId="21" xfId="0" applyFont="1" applyBorder="1" applyAlignment="1" applyProtection="1">
      <alignment horizontal="center" vertical="center" textRotation="90" wrapText="1"/>
      <protection locked="0"/>
    </xf>
    <xf numFmtId="9" fontId="90" fillId="0" borderId="21" xfId="0" applyNumberFormat="1" applyFont="1" applyBorder="1" applyAlignment="1" applyProtection="1">
      <alignment horizontal="center" vertical="center" wrapText="1"/>
      <protection hidden="1"/>
    </xf>
    <xf numFmtId="0" fontId="95" fillId="0" borderId="21" xfId="0" applyFont="1" applyBorder="1" applyAlignment="1" applyProtection="1">
      <alignment horizontal="center" vertical="center" textRotation="90" wrapText="1"/>
      <protection hidden="1"/>
    </xf>
    <xf numFmtId="0" fontId="90" fillId="3" borderId="0" xfId="0" applyFont="1" applyFill="1" applyAlignment="1">
      <alignment horizontal="center" vertical="center" wrapText="1"/>
    </xf>
    <xf numFmtId="0" fontId="1" fillId="0" borderId="21" xfId="0" applyFont="1" applyBorder="1" applyAlignment="1">
      <alignment horizontal="center" vertical="center"/>
    </xf>
    <xf numFmtId="0" fontId="65" fillId="0" borderId="74" xfId="0" applyFont="1" applyBorder="1" applyAlignment="1" applyProtection="1">
      <alignment horizontal="left" vertical="center" wrapText="1"/>
      <protection locked="0"/>
    </xf>
    <xf numFmtId="0" fontId="55" fillId="11" borderId="12" xfId="0" applyFont="1" applyFill="1" applyBorder="1" applyAlignment="1" applyProtection="1">
      <alignment horizontal="center" vertical="center" wrapText="1" readingOrder="1"/>
      <protection hidden="1"/>
    </xf>
    <xf numFmtId="0" fontId="77" fillId="13" borderId="12" xfId="0" applyFont="1" applyFill="1" applyBorder="1" applyAlignment="1" applyProtection="1">
      <alignment horizontal="center" wrapText="1" readingOrder="1"/>
      <protection hidden="1"/>
    </xf>
    <xf numFmtId="0" fontId="54" fillId="0" borderId="94" xfId="0" applyFont="1" applyBorder="1" applyAlignment="1">
      <alignment vertical="center"/>
    </xf>
    <xf numFmtId="0" fontId="54" fillId="0" borderId="90" xfId="0" applyFont="1" applyBorder="1" applyAlignment="1">
      <alignment vertical="center"/>
    </xf>
    <xf numFmtId="0" fontId="54" fillId="0" borderId="93" xfId="0" applyFont="1" applyBorder="1" applyAlignment="1">
      <alignment vertical="center"/>
    </xf>
    <xf numFmtId="0" fontId="59" fillId="0" borderId="68" xfId="0" applyFont="1" applyBorder="1" applyAlignment="1">
      <alignment horizontal="center" vertical="center" wrapText="1"/>
    </xf>
    <xf numFmtId="0" fontId="33" fillId="15" borderId="33"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14" fontId="96" fillId="3" borderId="0" xfId="5" applyNumberFormat="1" applyFill="1" applyAlignment="1">
      <alignment horizontal="center" vertical="center" wrapText="1"/>
    </xf>
    <xf numFmtId="0" fontId="96" fillId="3" borderId="0" xfId="5" applyFill="1" applyAlignment="1">
      <alignment horizontal="center" vertical="center" wrapText="1"/>
    </xf>
    <xf numFmtId="0" fontId="54" fillId="0" borderId="66" xfId="0" applyFont="1" applyBorder="1" applyAlignment="1">
      <alignment horizontal="left" vertical="center"/>
    </xf>
    <xf numFmtId="0" fontId="54" fillId="0" borderId="21" xfId="0" applyFont="1" applyBorder="1" applyAlignment="1">
      <alignment horizontal="left" vertical="center"/>
    </xf>
    <xf numFmtId="0" fontId="83" fillId="3" borderId="0" xfId="0" applyFont="1" applyFill="1" applyAlignment="1">
      <alignment horizontal="center" vertical="center"/>
    </xf>
    <xf numFmtId="0" fontId="84" fillId="16" borderId="63" xfId="0" applyFont="1" applyFill="1" applyBorder="1" applyAlignment="1">
      <alignment horizontal="center" vertical="center"/>
    </xf>
    <xf numFmtId="0" fontId="90" fillId="17" borderId="21" xfId="0" applyFont="1" applyFill="1" applyBorder="1" applyAlignment="1">
      <alignment horizontal="center" vertical="center" wrapText="1"/>
    </xf>
    <xf numFmtId="0" fontId="96" fillId="17" borderId="21" xfId="5" applyFill="1" applyBorder="1" applyAlignment="1">
      <alignment horizontal="center" vertical="center" wrapText="1"/>
    </xf>
    <xf numFmtId="0" fontId="98" fillId="0" borderId="21" xfId="0" applyFont="1" applyBorder="1" applyAlignment="1">
      <alignment horizontal="left" vertical="center"/>
    </xf>
    <xf numFmtId="14" fontId="90" fillId="27" borderId="21" xfId="0" applyNumberFormat="1" applyFont="1" applyFill="1" applyBorder="1" applyAlignment="1" applyProtection="1">
      <alignment horizontal="center" vertical="center" wrapText="1"/>
      <protection locked="0"/>
    </xf>
    <xf numFmtId="14" fontId="90" fillId="27" borderId="101" xfId="0" applyNumberFormat="1" applyFont="1" applyFill="1" applyBorder="1" applyAlignment="1" applyProtection="1">
      <alignment horizontal="center" vertical="center" wrapText="1"/>
      <protection locked="0"/>
    </xf>
    <xf numFmtId="0" fontId="90" fillId="0" borderId="101" xfId="0" applyFont="1" applyBorder="1" applyAlignment="1" applyProtection="1">
      <alignment horizontal="center" vertical="center" textRotation="90" wrapText="1"/>
      <protection locked="0"/>
    </xf>
    <xf numFmtId="9" fontId="90" fillId="0" borderId="101" xfId="0" applyNumberFormat="1" applyFont="1" applyBorder="1" applyAlignment="1" applyProtection="1">
      <alignment horizontal="center" vertical="center" wrapText="1"/>
      <protection hidden="1"/>
    </xf>
    <xf numFmtId="0" fontId="90" fillId="17" borderId="101" xfId="0" applyFont="1" applyFill="1" applyBorder="1" applyAlignment="1">
      <alignment horizontal="center" vertical="center" wrapText="1"/>
    </xf>
    <xf numFmtId="0" fontId="84" fillId="16" borderId="101" xfId="0" applyFont="1" applyFill="1" applyBorder="1" applyAlignment="1">
      <alignment horizontal="center" vertical="center" textRotation="90"/>
    </xf>
    <xf numFmtId="14" fontId="90" fillId="17" borderId="101" xfId="0" applyNumberFormat="1" applyFont="1" applyFill="1" applyBorder="1" applyAlignment="1">
      <alignment vertical="center" wrapText="1"/>
    </xf>
    <xf numFmtId="14" fontId="90" fillId="17" borderId="21" xfId="0" applyNumberFormat="1" applyFont="1" applyFill="1" applyBorder="1" applyAlignment="1">
      <alignment vertical="center" wrapText="1"/>
    </xf>
    <xf numFmtId="0" fontId="93" fillId="16" borderId="101" xfId="0" applyFont="1" applyFill="1" applyBorder="1" applyAlignment="1">
      <alignment horizontal="center" vertical="center" wrapText="1"/>
    </xf>
    <xf numFmtId="0" fontId="90" fillId="0" borderId="100" xfId="0" applyFont="1" applyBorder="1" applyAlignment="1">
      <alignment horizontal="center" vertical="center" wrapText="1"/>
    </xf>
    <xf numFmtId="0" fontId="45" fillId="0" borderId="100" xfId="0" applyFont="1" applyBorder="1" applyAlignment="1" applyProtection="1">
      <alignment horizontal="justify" vertical="center" wrapText="1"/>
      <protection locked="0"/>
    </xf>
    <xf numFmtId="0" fontId="45" fillId="0" borderId="100" xfId="0" applyFont="1" applyBorder="1" applyAlignment="1" applyProtection="1">
      <alignment horizontal="left" vertical="center" wrapText="1"/>
      <protection locked="0"/>
    </xf>
    <xf numFmtId="0" fontId="90" fillId="0" borderId="100" xfId="0" applyFont="1" applyBorder="1" applyAlignment="1" applyProtection="1">
      <alignment horizontal="center" vertical="center" wrapText="1"/>
      <protection hidden="1"/>
    </xf>
    <xf numFmtId="0" fontId="90" fillId="0" borderId="100" xfId="0" applyFont="1" applyBorder="1" applyAlignment="1" applyProtection="1">
      <alignment horizontal="center" vertical="center" textRotation="90" wrapText="1"/>
      <protection locked="0"/>
    </xf>
    <xf numFmtId="9" fontId="90" fillId="0" borderId="100" xfId="0" applyNumberFormat="1" applyFont="1" applyBorder="1" applyAlignment="1" applyProtection="1">
      <alignment horizontal="center" vertical="center" wrapText="1"/>
      <protection hidden="1"/>
    </xf>
    <xf numFmtId="164" fontId="90" fillId="0" borderId="100" xfId="1" applyNumberFormat="1" applyFont="1" applyBorder="1" applyAlignment="1">
      <alignment horizontal="center" vertical="center" wrapText="1"/>
    </xf>
    <xf numFmtId="0" fontId="95" fillId="0" borderId="100" xfId="0" applyFont="1" applyBorder="1" applyAlignment="1" applyProtection="1">
      <alignment horizontal="center" vertical="center" textRotation="90" wrapText="1"/>
      <protection hidden="1"/>
    </xf>
    <xf numFmtId="14" fontId="90" fillId="27" borderId="100" xfId="0" applyNumberFormat="1" applyFont="1" applyFill="1" applyBorder="1" applyAlignment="1" applyProtection="1">
      <alignment horizontal="center" vertical="center" wrapText="1"/>
      <protection locked="0"/>
    </xf>
    <xf numFmtId="14" fontId="90" fillId="17" borderId="100" xfId="0" applyNumberFormat="1" applyFont="1" applyFill="1" applyBorder="1" applyAlignment="1">
      <alignment vertical="center" wrapText="1"/>
    </xf>
    <xf numFmtId="0" fontId="90" fillId="17" borderId="100" xfId="0" applyFont="1" applyFill="1" applyBorder="1" applyAlignment="1">
      <alignment horizontal="center" vertical="center" wrapText="1"/>
    </xf>
    <xf numFmtId="14" fontId="96" fillId="17" borderId="100" xfId="5" applyNumberFormat="1" applyFill="1" applyBorder="1" applyAlignment="1">
      <alignment horizontal="center" vertical="center" wrapText="1"/>
    </xf>
    <xf numFmtId="0" fontId="90" fillId="25" borderId="114" xfId="0" applyFont="1" applyFill="1" applyBorder="1" applyAlignment="1" applyProtection="1">
      <alignment horizontal="center" vertical="center" wrapText="1"/>
      <protection locked="0"/>
    </xf>
    <xf numFmtId="0" fontId="90" fillId="25" borderId="26" xfId="0" applyFont="1" applyFill="1" applyBorder="1" applyAlignment="1" applyProtection="1">
      <alignment horizontal="center" vertical="center" wrapText="1"/>
      <protection locked="0"/>
    </xf>
    <xf numFmtId="0" fontId="1" fillId="0" borderId="28" xfId="0" applyFont="1" applyBorder="1" applyAlignment="1">
      <alignment horizontal="center" vertical="center"/>
    </xf>
    <xf numFmtId="0" fontId="90" fillId="0" borderId="28" xfId="0" applyFont="1" applyBorder="1" applyAlignment="1" applyProtection="1">
      <alignment horizontal="center" vertical="center" wrapText="1"/>
      <protection hidden="1"/>
    </xf>
    <xf numFmtId="0" fontId="90" fillId="0" borderId="28" xfId="0" applyFont="1" applyBorder="1" applyAlignment="1" applyProtection="1">
      <alignment horizontal="center" vertical="center" textRotation="90" wrapText="1"/>
      <protection locked="0"/>
    </xf>
    <xf numFmtId="9" fontId="90" fillId="0" borderId="28" xfId="0" applyNumberFormat="1" applyFont="1" applyBorder="1" applyAlignment="1" applyProtection="1">
      <alignment horizontal="center" vertical="center" wrapText="1"/>
      <protection hidden="1"/>
    </xf>
    <xf numFmtId="0" fontId="95" fillId="0" borderId="28" xfId="0" applyFont="1" applyBorder="1" applyAlignment="1" applyProtection="1">
      <alignment horizontal="center" vertical="center" textRotation="90" wrapText="1"/>
      <protection hidden="1"/>
    </xf>
    <xf numFmtId="14" fontId="90" fillId="27" borderId="28" xfId="0" applyNumberFormat="1" applyFont="1" applyFill="1" applyBorder="1" applyAlignment="1" applyProtection="1">
      <alignment horizontal="center" vertical="center" wrapText="1"/>
      <protection locked="0"/>
    </xf>
    <xf numFmtId="14" fontId="90" fillId="17" borderId="28" xfId="0" applyNumberFormat="1" applyFont="1" applyFill="1" applyBorder="1" applyAlignment="1">
      <alignment vertical="center" wrapText="1"/>
    </xf>
    <xf numFmtId="0" fontId="90" fillId="17" borderId="28" xfId="0" applyFont="1" applyFill="1" applyBorder="1" applyAlignment="1">
      <alignment horizontal="center" vertical="center" wrapText="1"/>
    </xf>
    <xf numFmtId="0" fontId="96" fillId="17" borderId="28" xfId="5" applyFill="1" applyBorder="1" applyAlignment="1">
      <alignment horizontal="center" vertical="center" wrapText="1"/>
    </xf>
    <xf numFmtId="0" fontId="90" fillId="25" borderId="29" xfId="0" applyFont="1" applyFill="1" applyBorder="1" applyAlignment="1" applyProtection="1">
      <alignment horizontal="center" vertical="center" wrapText="1"/>
      <protection locked="0"/>
    </xf>
    <xf numFmtId="14" fontId="90" fillId="25" borderId="83" xfId="0" applyNumberFormat="1" applyFont="1" applyFill="1" applyBorder="1" applyAlignment="1" applyProtection="1">
      <alignment vertical="center" wrapText="1"/>
      <protection locked="0"/>
    </xf>
    <xf numFmtId="14" fontId="90" fillId="25" borderId="102" xfId="0" applyNumberFormat="1" applyFont="1" applyFill="1" applyBorder="1" applyAlignment="1" applyProtection="1">
      <alignment vertical="center" wrapText="1"/>
      <protection locked="0"/>
    </xf>
    <xf numFmtId="14" fontId="90" fillId="25" borderId="117" xfId="0" applyNumberFormat="1" applyFont="1" applyFill="1" applyBorder="1" applyAlignment="1" applyProtection="1">
      <alignment vertical="center" wrapText="1"/>
      <protection locked="0"/>
    </xf>
    <xf numFmtId="0" fontId="1" fillId="0" borderId="101" xfId="0" applyFont="1" applyBorder="1" applyAlignment="1">
      <alignment horizontal="center" vertical="center"/>
    </xf>
    <xf numFmtId="0" fontId="90" fillId="0" borderId="101" xfId="0" applyFont="1" applyBorder="1" applyAlignment="1" applyProtection="1">
      <alignment horizontal="center" vertical="center" wrapText="1"/>
      <protection hidden="1"/>
    </xf>
    <xf numFmtId="0" fontId="95" fillId="0" borderId="101" xfId="0" applyFont="1" applyBorder="1" applyAlignment="1" applyProtection="1">
      <alignment horizontal="center" vertical="center" textRotation="90" wrapText="1"/>
      <protection hidden="1"/>
    </xf>
    <xf numFmtId="0" fontId="96" fillId="17" borderId="101" xfId="5" applyFill="1" applyBorder="1" applyAlignment="1">
      <alignment horizontal="center" vertical="center" wrapText="1"/>
    </xf>
    <xf numFmtId="0" fontId="90" fillId="25" borderId="118" xfId="0" applyFont="1" applyFill="1" applyBorder="1" applyAlignment="1" applyProtection="1">
      <alignment horizontal="center" vertical="center" wrapText="1"/>
      <protection locked="0"/>
    </xf>
    <xf numFmtId="0" fontId="96" fillId="17" borderId="100" xfId="5" applyFill="1" applyBorder="1" applyAlignment="1">
      <alignment horizontal="center" vertical="center" wrapText="1"/>
    </xf>
    <xf numFmtId="0" fontId="71" fillId="0" borderId="101" xfId="0" applyFont="1" applyBorder="1" applyAlignment="1" applyProtection="1">
      <alignment horizontal="center" vertical="center" wrapText="1"/>
      <protection locked="0"/>
    </xf>
    <xf numFmtId="14" fontId="104" fillId="27" borderId="100" xfId="0" applyNumberFormat="1" applyFont="1" applyFill="1" applyBorder="1" applyAlignment="1" applyProtection="1">
      <alignment horizontal="center" vertical="center" wrapText="1"/>
      <protection locked="0"/>
    </xf>
    <xf numFmtId="14" fontId="105" fillId="27" borderId="100" xfId="0" applyNumberFormat="1" applyFont="1" applyFill="1" applyBorder="1" applyAlignment="1" applyProtection="1">
      <alignment horizontal="center" vertical="center" wrapText="1"/>
      <protection locked="0"/>
    </xf>
    <xf numFmtId="0" fontId="96" fillId="17" borderId="21" xfId="6" applyFill="1" applyBorder="1" applyAlignment="1">
      <alignment horizontal="center" vertical="center" wrapText="1"/>
    </xf>
    <xf numFmtId="14" fontId="105" fillId="27" borderId="101" xfId="0" applyNumberFormat="1" applyFont="1" applyFill="1" applyBorder="1" applyAlignment="1" applyProtection="1">
      <alignment horizontal="center" vertical="center" wrapText="1"/>
      <protection locked="0"/>
    </xf>
    <xf numFmtId="14" fontId="105" fillId="27" borderId="28" xfId="0" applyNumberFormat="1" applyFont="1" applyFill="1" applyBorder="1" applyAlignment="1" applyProtection="1">
      <alignment horizontal="center" vertical="center" wrapText="1"/>
      <protection locked="0"/>
    </xf>
    <xf numFmtId="0" fontId="61" fillId="0" borderId="0" xfId="0" applyFont="1" applyAlignment="1">
      <alignment horizontal="center" wrapText="1"/>
    </xf>
    <xf numFmtId="0" fontId="64" fillId="0" borderId="88" xfId="0" applyFont="1" applyBorder="1" applyAlignment="1">
      <alignment horizontal="center" vertical="center" wrapText="1"/>
    </xf>
    <xf numFmtId="0" fontId="64" fillId="0" borderId="12" xfId="0" applyFont="1" applyBorder="1" applyAlignment="1">
      <alignment horizontal="center" vertical="center" wrapText="1"/>
    </xf>
    <xf numFmtId="0" fontId="64" fillId="0" borderId="75" xfId="0" applyFont="1" applyBorder="1" applyAlignment="1">
      <alignment horizontal="center" vertical="center" wrapText="1"/>
    </xf>
    <xf numFmtId="0" fontId="64" fillId="0" borderId="71" xfId="0" applyFont="1" applyBorder="1" applyAlignment="1">
      <alignment horizontal="center" vertical="center" wrapText="1"/>
    </xf>
    <xf numFmtId="0" fontId="64" fillId="0" borderId="0" xfId="0" applyFont="1" applyAlignment="1">
      <alignment horizontal="center" vertical="center" wrapText="1"/>
    </xf>
    <xf numFmtId="0" fontId="64" fillId="0" borderId="72" xfId="0" applyFont="1" applyBorder="1" applyAlignment="1">
      <alignment horizontal="center" vertical="center" wrapText="1"/>
    </xf>
    <xf numFmtId="0" fontId="64" fillId="0" borderId="89" xfId="0" applyFont="1" applyBorder="1" applyAlignment="1">
      <alignment horizontal="center" vertical="center" wrapText="1"/>
    </xf>
    <xf numFmtId="0" fontId="64" fillId="0" borderId="11" xfId="0" applyFont="1" applyBorder="1" applyAlignment="1">
      <alignment horizontal="center" vertical="center" wrapText="1"/>
    </xf>
    <xf numFmtId="0" fontId="64" fillId="0" borderId="78" xfId="0" applyFont="1" applyBorder="1" applyAlignment="1">
      <alignment horizontal="center" vertical="center" wrapText="1"/>
    </xf>
    <xf numFmtId="0" fontId="62" fillId="0" borderId="5" xfId="0" applyFont="1" applyBorder="1" applyAlignment="1">
      <alignment horizontal="center" wrapText="1"/>
    </xf>
    <xf numFmtId="0" fontId="62" fillId="0" borderId="6" xfId="0" applyFont="1" applyBorder="1" applyAlignment="1">
      <alignment horizontal="center" wrapText="1"/>
    </xf>
    <xf numFmtId="0" fontId="62" fillId="0" borderId="7" xfId="0" applyFont="1" applyBorder="1" applyAlignment="1">
      <alignment horizontal="center" wrapText="1"/>
    </xf>
    <xf numFmtId="0" fontId="62" fillId="0" borderId="8" xfId="0" applyFont="1" applyBorder="1" applyAlignment="1">
      <alignment horizontal="center" wrapText="1"/>
    </xf>
    <xf numFmtId="0" fontId="62" fillId="0" borderId="9" xfId="0" applyFont="1" applyBorder="1" applyAlignment="1">
      <alignment horizontal="center" wrapText="1"/>
    </xf>
    <xf numFmtId="0" fontId="62" fillId="0" borderId="10" xfId="0" applyFont="1" applyBorder="1" applyAlignment="1">
      <alignment horizontal="center" wrapText="1"/>
    </xf>
    <xf numFmtId="0" fontId="54" fillId="0" borderId="76" xfId="0" applyFont="1" applyBorder="1" applyAlignment="1">
      <alignment horizontal="left" vertical="center"/>
    </xf>
    <xf numFmtId="0" fontId="54" fillId="0" borderId="6" xfId="0" applyFont="1" applyBorder="1" applyAlignment="1">
      <alignment horizontal="left" vertical="center"/>
    </xf>
    <xf numFmtId="0" fontId="54" fillId="0" borderId="77" xfId="0" applyFont="1" applyBorder="1" applyAlignment="1">
      <alignment horizontal="left" vertical="center"/>
    </xf>
    <xf numFmtId="0" fontId="54" fillId="0" borderId="8" xfId="0" applyFont="1" applyBorder="1" applyAlignment="1">
      <alignment horizontal="left" vertical="center"/>
    </xf>
    <xf numFmtId="0" fontId="54" fillId="0" borderId="79" xfId="0" applyFont="1" applyBorder="1" applyAlignment="1">
      <alignment horizontal="left" vertical="center"/>
    </xf>
    <xf numFmtId="0" fontId="54" fillId="0" borderId="10" xfId="0" applyFont="1" applyBorder="1" applyAlignment="1">
      <alignment horizontal="left" vertical="center"/>
    </xf>
    <xf numFmtId="9" fontId="90" fillId="0" borderId="83" xfId="0" applyNumberFormat="1" applyFont="1" applyBorder="1" applyAlignment="1" applyProtection="1">
      <alignment horizontal="center" vertical="center" wrapText="1"/>
      <protection hidden="1"/>
    </xf>
    <xf numFmtId="9" fontId="90" fillId="0" borderId="117" xfId="0" applyNumberFormat="1" applyFont="1" applyBorder="1" applyAlignment="1" applyProtection="1">
      <alignment horizontal="center" vertical="center" wrapText="1"/>
      <protection hidden="1"/>
    </xf>
    <xf numFmtId="9" fontId="90" fillId="0" borderId="102" xfId="0" applyNumberFormat="1" applyFont="1" applyBorder="1" applyAlignment="1" applyProtection="1">
      <alignment horizontal="center" vertical="center" wrapText="1"/>
      <protection hidden="1"/>
    </xf>
    <xf numFmtId="14" fontId="90" fillId="27" borderId="83" xfId="0" applyNumberFormat="1" applyFont="1" applyFill="1" applyBorder="1" applyAlignment="1" applyProtection="1">
      <alignment horizontal="center" vertical="center" wrapText="1"/>
      <protection locked="0"/>
    </xf>
    <xf numFmtId="14" fontId="90" fillId="27" borderId="117" xfId="0" applyNumberFormat="1" applyFont="1" applyFill="1" applyBorder="1" applyAlignment="1" applyProtection="1">
      <alignment horizontal="center" vertical="center" wrapText="1"/>
      <protection locked="0"/>
    </xf>
    <xf numFmtId="0" fontId="90" fillId="0" borderId="83" xfId="0" applyFont="1" applyBorder="1" applyAlignment="1">
      <alignment horizontal="center" vertical="center" wrapText="1"/>
    </xf>
    <xf numFmtId="0" fontId="90" fillId="0" borderId="117" xfId="0" applyFont="1" applyBorder="1" applyAlignment="1">
      <alignment horizontal="center" vertical="center" wrapText="1"/>
    </xf>
    <xf numFmtId="0" fontId="95" fillId="0" borderId="82" xfId="0" applyFont="1" applyBorder="1" applyAlignment="1">
      <alignment horizontal="center" vertical="center" wrapText="1"/>
    </xf>
    <xf numFmtId="0" fontId="95" fillId="0" borderId="116" xfId="0" applyFont="1" applyBorder="1" applyAlignment="1">
      <alignment horizontal="center" vertical="center" wrapText="1"/>
    </xf>
    <xf numFmtId="0" fontId="1" fillId="0" borderId="83" xfId="0" applyFont="1" applyBorder="1" applyAlignment="1" applyProtection="1">
      <alignment horizontal="center" vertical="center" wrapText="1"/>
      <protection locked="0"/>
    </xf>
    <xf numFmtId="0" fontId="1" fillId="0" borderId="117" xfId="0" applyFont="1" applyBorder="1" applyAlignment="1" applyProtection="1">
      <alignment horizontal="center" vertical="center" wrapText="1"/>
      <protection locked="0"/>
    </xf>
    <xf numFmtId="0" fontId="90" fillId="0" borderId="83" xfId="0" applyFont="1" applyBorder="1" applyAlignment="1" applyProtection="1">
      <alignment horizontal="center" vertical="center" wrapText="1"/>
      <protection locked="0"/>
    </xf>
    <xf numFmtId="0" fontId="90" fillId="0" borderId="117" xfId="0" applyFont="1" applyBorder="1" applyAlignment="1" applyProtection="1">
      <alignment horizontal="center" vertical="center" wrapText="1"/>
      <protection locked="0"/>
    </xf>
    <xf numFmtId="0" fontId="90" fillId="17" borderId="83" xfId="0" applyFont="1" applyFill="1" applyBorder="1" applyAlignment="1" applyProtection="1">
      <alignment horizontal="center" vertical="center" wrapText="1"/>
      <protection locked="0"/>
    </xf>
    <xf numFmtId="0" fontId="90" fillId="17" borderId="117" xfId="0" applyFont="1" applyFill="1" applyBorder="1" applyAlignment="1" applyProtection="1">
      <alignment horizontal="center" vertical="center" wrapText="1"/>
      <protection locked="0"/>
    </xf>
    <xf numFmtId="0" fontId="95" fillId="0" borderId="83" xfId="0" applyFont="1" applyBorder="1" applyAlignment="1" applyProtection="1">
      <alignment horizontal="center" vertical="center" wrapText="1"/>
      <protection hidden="1"/>
    </xf>
    <xf numFmtId="0" fontId="95" fillId="0" borderId="117" xfId="0" applyFont="1" applyBorder="1" applyAlignment="1" applyProtection="1">
      <alignment horizontal="center" vertical="center" wrapText="1"/>
      <protection hidden="1"/>
    </xf>
    <xf numFmtId="9" fontId="90" fillId="0" borderId="83" xfId="0" applyNumberFormat="1" applyFont="1" applyBorder="1" applyAlignment="1" applyProtection="1">
      <alignment horizontal="center" vertical="center" wrapText="1"/>
      <protection locked="0"/>
    </xf>
    <xf numFmtId="9" fontId="90" fillId="0" borderId="117" xfId="0" applyNumberFormat="1" applyFont="1" applyBorder="1" applyAlignment="1" applyProtection="1">
      <alignment horizontal="center" vertical="center" wrapText="1"/>
      <protection locked="0"/>
    </xf>
    <xf numFmtId="0" fontId="84" fillId="16" borderId="99" xfId="0" applyFont="1" applyFill="1" applyBorder="1" applyAlignment="1">
      <alignment horizontal="center" vertical="center" wrapText="1"/>
    </xf>
    <xf numFmtId="0" fontId="84" fillId="16" borderId="105" xfId="0" applyFont="1" applyFill="1" applyBorder="1" applyAlignment="1">
      <alignment horizontal="center" vertical="center" wrapText="1"/>
    </xf>
    <xf numFmtId="0" fontId="84" fillId="16" borderId="63" xfId="0" applyFont="1" applyFill="1" applyBorder="1" applyAlignment="1">
      <alignment horizontal="center" vertical="center" wrapText="1"/>
    </xf>
    <xf numFmtId="0" fontId="84" fillId="16" borderId="106" xfId="0" applyFont="1" applyFill="1" applyBorder="1" applyAlignment="1">
      <alignment horizontal="center" vertical="center" wrapText="1"/>
    </xf>
    <xf numFmtId="0" fontId="58" fillId="0" borderId="68" xfId="0" applyFont="1" applyBorder="1" applyAlignment="1">
      <alignment horizontal="center" vertical="center" wrapText="1"/>
    </xf>
    <xf numFmtId="0" fontId="92" fillId="0" borderId="66" xfId="0" applyFont="1" applyBorder="1" applyAlignment="1">
      <alignment horizontal="left" vertical="center" wrapText="1"/>
    </xf>
    <xf numFmtId="0" fontId="92" fillId="0" borderId="65" xfId="0" applyFont="1" applyBorder="1" applyAlignment="1">
      <alignment horizontal="left" vertical="center" wrapText="1"/>
    </xf>
    <xf numFmtId="0" fontId="92" fillId="0" borderId="67" xfId="0" applyFont="1" applyBorder="1" applyAlignment="1">
      <alignment horizontal="left" vertical="center" wrapText="1"/>
    </xf>
    <xf numFmtId="0" fontId="59" fillId="0" borderId="68" xfId="0" applyFont="1" applyBorder="1" applyAlignment="1">
      <alignment horizontal="center" vertical="center" wrapText="1"/>
    </xf>
    <xf numFmtId="0" fontId="91" fillId="0" borderId="21" xfId="0" applyFont="1" applyBorder="1" applyAlignment="1">
      <alignment horizontal="left" vertical="center" wrapText="1"/>
    </xf>
    <xf numFmtId="0" fontId="1" fillId="0" borderId="102" xfId="0" applyFont="1" applyBorder="1" applyAlignment="1" applyProtection="1">
      <alignment horizontal="center" vertical="center" wrapText="1"/>
      <protection locked="0"/>
    </xf>
    <xf numFmtId="0" fontId="102" fillId="0" borderId="83" xfId="0" applyFont="1" applyBorder="1" applyAlignment="1" applyProtection="1">
      <alignment horizontal="center" vertical="center" wrapText="1"/>
      <protection locked="0"/>
    </xf>
    <xf numFmtId="0" fontId="102" fillId="0" borderId="102" xfId="0" applyFont="1" applyBorder="1" applyAlignment="1" applyProtection="1">
      <alignment horizontal="center" vertical="center" wrapText="1"/>
      <protection locked="0"/>
    </xf>
    <xf numFmtId="0" fontId="90" fillId="0" borderId="102" xfId="0" applyFont="1" applyBorder="1" applyAlignment="1">
      <alignment horizontal="center" vertical="center" wrapText="1"/>
    </xf>
    <xf numFmtId="0" fontId="90" fillId="17" borderId="83" xfId="0" applyFont="1" applyFill="1" applyBorder="1" applyAlignment="1">
      <alignment horizontal="center" vertical="center" wrapText="1"/>
    </xf>
    <xf numFmtId="0" fontId="90" fillId="17" borderId="117" xfId="0" applyFont="1" applyFill="1" applyBorder="1" applyAlignment="1">
      <alignment horizontal="center" vertical="center" wrapText="1"/>
    </xf>
    <xf numFmtId="0" fontId="90" fillId="17" borderId="102" xfId="0" applyFont="1" applyFill="1" applyBorder="1" applyAlignment="1" applyProtection="1">
      <alignment horizontal="center" vertical="center" wrapText="1"/>
      <protection locked="0"/>
    </xf>
    <xf numFmtId="0" fontId="90" fillId="0" borderId="102" xfId="0" applyFont="1" applyBorder="1" applyAlignment="1" applyProtection="1">
      <alignment horizontal="center" vertical="center" wrapText="1"/>
      <protection locked="0"/>
    </xf>
    <xf numFmtId="0" fontId="95" fillId="0" borderId="102" xfId="0" applyFont="1" applyBorder="1" applyAlignment="1" applyProtection="1">
      <alignment horizontal="center" vertical="center" wrapText="1"/>
      <protection hidden="1"/>
    </xf>
    <xf numFmtId="0" fontId="84" fillId="16" borderId="22" xfId="0" applyFont="1" applyFill="1" applyBorder="1" applyAlignment="1">
      <alignment horizontal="center" vertical="center"/>
    </xf>
    <xf numFmtId="0" fontId="84" fillId="16" borderId="21" xfId="0" applyFont="1" applyFill="1" applyBorder="1" applyAlignment="1">
      <alignment horizontal="center" vertical="center" wrapText="1"/>
    </xf>
    <xf numFmtId="0" fontId="84" fillId="16" borderId="66" xfId="0" applyFont="1" applyFill="1" applyBorder="1" applyAlignment="1">
      <alignment horizontal="center" vertical="center"/>
    </xf>
    <xf numFmtId="0" fontId="84" fillId="16" borderId="65" xfId="0" applyFont="1" applyFill="1" applyBorder="1" applyAlignment="1">
      <alignment horizontal="center" vertical="center"/>
    </xf>
    <xf numFmtId="9" fontId="90" fillId="14" borderId="83" xfId="0" applyNumberFormat="1" applyFont="1" applyFill="1" applyBorder="1" applyAlignment="1" applyProtection="1">
      <alignment horizontal="center" vertical="center" wrapText="1"/>
      <protection locked="0"/>
    </xf>
    <xf numFmtId="9" fontId="90" fillId="14" borderId="117" xfId="0" applyNumberFormat="1" applyFont="1" applyFill="1" applyBorder="1" applyAlignment="1" applyProtection="1">
      <alignment horizontal="center" vertical="center" wrapText="1"/>
      <protection locked="0"/>
    </xf>
    <xf numFmtId="0" fontId="84" fillId="16" borderId="104" xfId="0" applyFont="1" applyFill="1" applyBorder="1" applyAlignment="1">
      <alignment horizontal="center" vertical="center" wrapText="1"/>
    </xf>
    <xf numFmtId="0" fontId="62" fillId="0" borderId="95" xfId="0" applyFont="1" applyBorder="1" applyAlignment="1">
      <alignment horizontal="center" vertical="center" wrapText="1"/>
    </xf>
    <xf numFmtId="0" fontId="62" fillId="0" borderId="96" xfId="0" applyFont="1" applyBorder="1" applyAlignment="1">
      <alignment horizontal="center" vertical="center" wrapText="1"/>
    </xf>
    <xf numFmtId="0" fontId="62" fillId="0" borderId="109" xfId="0" applyFont="1" applyBorder="1" applyAlignment="1">
      <alignment horizontal="center" vertical="center" wrapText="1"/>
    </xf>
    <xf numFmtId="0" fontId="62" fillId="0" borderId="86" xfId="0" applyFont="1" applyBorder="1" applyAlignment="1">
      <alignment horizontal="center" vertical="center" wrapText="1"/>
    </xf>
    <xf numFmtId="0" fontId="62" fillId="0" borderId="0" xfId="0" applyFont="1" applyAlignment="1">
      <alignment horizontal="center" vertical="center" wrapText="1"/>
    </xf>
    <xf numFmtId="0" fontId="62" fillId="0" borderId="72" xfId="0" applyFont="1" applyBorder="1" applyAlignment="1">
      <alignment horizontal="center" vertical="center" wrapText="1"/>
    </xf>
    <xf numFmtId="0" fontId="62" fillId="0" borderId="97" xfId="0" applyFont="1" applyBorder="1" applyAlignment="1">
      <alignment horizontal="center" vertical="center" wrapText="1"/>
    </xf>
    <xf numFmtId="0" fontId="62" fillId="0" borderId="98" xfId="0" applyFont="1" applyBorder="1" applyAlignment="1">
      <alignment horizontal="center" vertical="center" wrapText="1"/>
    </xf>
    <xf numFmtId="0" fontId="62" fillId="0" borderId="110" xfId="0" applyFont="1" applyBorder="1" applyAlignment="1">
      <alignment horizontal="center" vertical="center" wrapText="1"/>
    </xf>
    <xf numFmtId="0" fontId="87" fillId="0" borderId="21" xfId="0" applyFont="1" applyBorder="1" applyAlignment="1" applyProtection="1">
      <alignment horizontal="center" vertical="center"/>
      <protection locked="0"/>
    </xf>
    <xf numFmtId="0" fontId="88" fillId="0" borderId="66" xfId="0" applyFont="1" applyBorder="1" applyAlignment="1">
      <alignment horizontal="left" vertical="center"/>
    </xf>
    <xf numFmtId="0" fontId="88" fillId="0" borderId="65" xfId="0" applyFont="1" applyBorder="1" applyAlignment="1">
      <alignment horizontal="left" vertical="center"/>
    </xf>
    <xf numFmtId="0" fontId="84" fillId="16" borderId="21" xfId="0" applyFont="1" applyFill="1" applyBorder="1" applyAlignment="1">
      <alignment horizontal="center" vertical="center" textRotation="90" wrapText="1"/>
    </xf>
    <xf numFmtId="0" fontId="84" fillId="16" borderId="101" xfId="0" applyFont="1" applyFill="1" applyBorder="1" applyAlignment="1">
      <alignment horizontal="center" vertical="center" textRotation="90" wrapText="1"/>
    </xf>
    <xf numFmtId="0" fontId="84" fillId="16" borderId="101" xfId="0" applyFont="1" applyFill="1" applyBorder="1" applyAlignment="1">
      <alignment horizontal="center" vertical="center" wrapText="1"/>
    </xf>
    <xf numFmtId="0" fontId="84" fillId="16" borderId="102" xfId="0" applyFont="1" applyFill="1" applyBorder="1" applyAlignment="1">
      <alignment horizontal="center" vertical="center" wrapText="1"/>
    </xf>
    <xf numFmtId="0" fontId="84" fillId="16" borderId="21" xfId="0" applyFont="1" applyFill="1" applyBorder="1" applyAlignment="1">
      <alignment horizontal="center" vertical="center"/>
    </xf>
    <xf numFmtId="0" fontId="84" fillId="16" borderId="101" xfId="0" applyFont="1" applyFill="1" applyBorder="1" applyAlignment="1">
      <alignment horizontal="center" vertical="center"/>
    </xf>
    <xf numFmtId="0" fontId="83" fillId="16" borderId="66" xfId="0" applyFont="1" applyFill="1" applyBorder="1" applyAlignment="1">
      <alignment horizontal="left" vertical="center"/>
    </xf>
    <xf numFmtId="0" fontId="83" fillId="16" borderId="65" xfId="0" applyFont="1" applyFill="1" applyBorder="1" applyAlignment="1">
      <alignment horizontal="left" vertical="center"/>
    </xf>
    <xf numFmtId="0" fontId="83" fillId="16" borderId="67" xfId="0" applyFont="1" applyFill="1" applyBorder="1" applyAlignment="1">
      <alignment horizontal="left" vertical="center"/>
    </xf>
    <xf numFmtId="0" fontId="88" fillId="0" borderId="66" xfId="0" applyFont="1" applyBorder="1" applyAlignment="1">
      <alignment horizontal="left" vertical="center" wrapText="1"/>
    </xf>
    <xf numFmtId="0" fontId="88" fillId="0" borderId="65" xfId="0" applyFont="1" applyBorder="1" applyAlignment="1">
      <alignment horizontal="left" vertical="center" wrapText="1"/>
    </xf>
    <xf numFmtId="0" fontId="84" fillId="16" borderId="21" xfId="0" applyFont="1" applyFill="1" applyBorder="1" applyAlignment="1">
      <alignment horizontal="center" vertical="center" textRotation="90"/>
    </xf>
    <xf numFmtId="0" fontId="84" fillId="16" borderId="101" xfId="0" applyFont="1" applyFill="1" applyBorder="1" applyAlignment="1">
      <alignment horizontal="center" vertical="center" textRotation="90"/>
    </xf>
    <xf numFmtId="0" fontId="84" fillId="18" borderId="67" xfId="0" applyFont="1" applyFill="1" applyBorder="1" applyAlignment="1">
      <alignment horizontal="center" vertical="center" wrapText="1"/>
    </xf>
    <xf numFmtId="0" fontId="84" fillId="18" borderId="21" xfId="0" applyFont="1" applyFill="1" applyBorder="1" applyAlignment="1">
      <alignment horizontal="center" vertical="center" wrapText="1"/>
    </xf>
    <xf numFmtId="14" fontId="90" fillId="26" borderId="108" xfId="0" applyNumberFormat="1" applyFont="1" applyFill="1" applyBorder="1" applyAlignment="1">
      <alignment horizontal="center" vertical="center" wrapText="1"/>
    </xf>
    <xf numFmtId="14" fontId="90" fillId="26" borderId="102" xfId="0" applyNumberFormat="1" applyFont="1" applyFill="1" applyBorder="1" applyAlignment="1">
      <alignment horizontal="center" vertical="center" wrapText="1"/>
    </xf>
    <xf numFmtId="14" fontId="89" fillId="28" borderId="108" xfId="0" applyNumberFormat="1" applyFont="1" applyFill="1" applyBorder="1" applyAlignment="1">
      <alignment horizontal="center" vertical="center" wrapText="1"/>
    </xf>
    <xf numFmtId="14" fontId="89" fillId="28" borderId="102" xfId="0" applyNumberFormat="1" applyFont="1" applyFill="1" applyBorder="1" applyAlignment="1">
      <alignment horizontal="center" vertical="center" wrapText="1"/>
    </xf>
    <xf numFmtId="0" fontId="93" fillId="16" borderId="66" xfId="0" applyFont="1" applyFill="1" applyBorder="1" applyAlignment="1">
      <alignment horizontal="center" vertical="center" wrapText="1"/>
    </xf>
    <xf numFmtId="0" fontId="93" fillId="16" borderId="67" xfId="0" applyFont="1" applyFill="1" applyBorder="1" applyAlignment="1">
      <alignment horizontal="center" vertical="center" wrapText="1"/>
    </xf>
    <xf numFmtId="0" fontId="84" fillId="16" borderId="102" xfId="0" applyFont="1" applyFill="1" applyBorder="1" applyAlignment="1">
      <alignment horizontal="center" vertical="center" textRotation="90"/>
    </xf>
    <xf numFmtId="0" fontId="76" fillId="0" borderId="0" xfId="0" applyFont="1" applyAlignment="1">
      <alignment horizontal="center"/>
    </xf>
    <xf numFmtId="0" fontId="76" fillId="0" borderId="72" xfId="0" applyFont="1" applyBorder="1" applyAlignment="1">
      <alignment horizontal="center"/>
    </xf>
    <xf numFmtId="0" fontId="84" fillId="16" borderId="102" xfId="0" applyFont="1" applyFill="1" applyBorder="1" applyAlignment="1">
      <alignment horizontal="center" vertical="center"/>
    </xf>
    <xf numFmtId="0" fontId="84" fillId="16" borderId="107" xfId="0" applyFont="1" applyFill="1" applyBorder="1" applyAlignment="1">
      <alignment horizontal="center" vertical="center"/>
    </xf>
    <xf numFmtId="0" fontId="65" fillId="0" borderId="64" xfId="0" applyFont="1" applyBorder="1" applyAlignment="1">
      <alignment horizontal="left" vertical="center" wrapText="1"/>
    </xf>
    <xf numFmtId="0" fontId="90" fillId="0" borderId="83" xfId="0" applyFont="1" applyBorder="1" applyAlignment="1" applyProtection="1">
      <alignment horizontal="center" vertical="center" textRotation="90" wrapText="1"/>
      <protection locked="0"/>
    </xf>
    <xf numFmtId="0" fontId="90" fillId="0" borderId="102" xfId="0" applyFont="1" applyBorder="1" applyAlignment="1" applyProtection="1">
      <alignment horizontal="center" vertical="center" textRotation="90" wrapText="1"/>
      <protection locked="0"/>
    </xf>
    <xf numFmtId="0" fontId="90" fillId="0" borderId="117" xfId="0" applyFont="1" applyBorder="1" applyAlignment="1" applyProtection="1">
      <alignment horizontal="center" vertical="center" textRotation="90" wrapText="1"/>
      <protection locked="0"/>
    </xf>
    <xf numFmtId="14" fontId="90" fillId="27" borderId="102" xfId="0" applyNumberFormat="1" applyFont="1" applyFill="1" applyBorder="1" applyAlignment="1" applyProtection="1">
      <alignment horizontal="center" vertical="center" wrapText="1"/>
      <protection locked="0"/>
    </xf>
    <xf numFmtId="0" fontId="0" fillId="0" borderId="103" xfId="0" applyBorder="1" applyAlignment="1">
      <alignment horizontal="left" wrapText="1"/>
    </xf>
    <xf numFmtId="0" fontId="0" fillId="0" borderId="103" xfId="0" applyBorder="1" applyAlignment="1">
      <alignment horizontal="left"/>
    </xf>
    <xf numFmtId="0" fontId="95" fillId="0" borderId="115" xfId="0" applyFont="1" applyBorder="1" applyAlignment="1">
      <alignment horizontal="center" vertical="center" wrapText="1"/>
    </xf>
    <xf numFmtId="0" fontId="90" fillId="17" borderId="102" xfId="0" applyFont="1" applyFill="1" applyBorder="1" applyAlignment="1">
      <alignment horizontal="center" vertical="center" wrapText="1"/>
    </xf>
    <xf numFmtId="9" fontId="90" fillId="0" borderId="102" xfId="0" applyNumberFormat="1" applyFont="1" applyBorder="1" applyAlignment="1" applyProtection="1">
      <alignment horizontal="center" vertical="center" wrapText="1"/>
      <protection locked="0"/>
    </xf>
    <xf numFmtId="0" fontId="0" fillId="5" borderId="0" xfId="0" applyFill="1" applyAlignment="1">
      <alignment horizontal="center"/>
    </xf>
    <xf numFmtId="0" fontId="97" fillId="0" borderId="111" xfId="0" applyFont="1" applyBorder="1" applyAlignment="1">
      <alignment horizontal="center" wrapText="1"/>
    </xf>
    <xf numFmtId="0" fontId="97" fillId="0" borderId="112" xfId="0" applyFont="1" applyBorder="1" applyAlignment="1">
      <alignment horizontal="center" wrapText="1"/>
    </xf>
    <xf numFmtId="0" fontId="97" fillId="0" borderId="113" xfId="0" applyFont="1" applyBorder="1" applyAlignment="1">
      <alignment horizontal="center" wrapText="1"/>
    </xf>
    <xf numFmtId="0" fontId="65" fillId="0" borderId="23" xfId="0" applyFont="1" applyBorder="1" applyAlignment="1">
      <alignment horizontal="left" vertical="center" wrapText="1"/>
    </xf>
    <xf numFmtId="0" fontId="65" fillId="0" borderId="35" xfId="0" applyFont="1" applyBorder="1" applyAlignment="1">
      <alignment horizontal="left" vertical="center" wrapText="1"/>
    </xf>
    <xf numFmtId="0" fontId="64" fillId="0" borderId="94" xfId="0" applyFont="1" applyBorder="1" applyAlignment="1">
      <alignment horizontal="center" vertical="center" wrapText="1"/>
    </xf>
    <xf numFmtId="0" fontId="64" fillId="0" borderId="90" xfId="0" applyFont="1" applyBorder="1" applyAlignment="1">
      <alignment horizontal="center" vertical="center" wrapText="1"/>
    </xf>
    <xf numFmtId="0" fontId="64" fillId="0" borderId="93" xfId="0" applyFont="1" applyBorder="1" applyAlignment="1">
      <alignment horizontal="center" vertical="center" wrapText="1"/>
    </xf>
    <xf numFmtId="0" fontId="60" fillId="18" borderId="94" xfId="0" applyFont="1" applyFill="1" applyBorder="1" applyAlignment="1">
      <alignment horizontal="center" vertical="center"/>
    </xf>
    <xf numFmtId="0" fontId="60" fillId="18" borderId="90" xfId="0" applyFont="1" applyFill="1" applyBorder="1" applyAlignment="1">
      <alignment horizontal="center" vertical="center"/>
    </xf>
    <xf numFmtId="0" fontId="60" fillId="18" borderId="93" xfId="0" applyFont="1" applyFill="1" applyBorder="1" applyAlignment="1">
      <alignment horizontal="center" vertical="center"/>
    </xf>
    <xf numFmtId="0" fontId="70" fillId="18" borderId="5" xfId="0" applyFont="1" applyFill="1" applyBorder="1" applyAlignment="1">
      <alignment horizontal="center" vertical="center"/>
    </xf>
    <xf numFmtId="0" fontId="70" fillId="18" borderId="6" xfId="0" applyFont="1" applyFill="1" applyBorder="1" applyAlignment="1">
      <alignment horizontal="center" vertical="center"/>
    </xf>
    <xf numFmtId="0" fontId="70" fillId="18" borderId="9" xfId="0" applyFont="1" applyFill="1" applyBorder="1" applyAlignment="1">
      <alignment horizontal="center" vertical="center"/>
    </xf>
    <xf numFmtId="0" fontId="70" fillId="18" borderId="10" xfId="0" applyFont="1" applyFill="1" applyBorder="1" applyAlignment="1">
      <alignment horizontal="center" vertical="center"/>
    </xf>
    <xf numFmtId="0" fontId="70" fillId="19" borderId="9" xfId="0" applyFont="1" applyFill="1" applyBorder="1" applyAlignment="1">
      <alignment horizontal="center" vertical="center"/>
    </xf>
    <xf numFmtId="0" fontId="70" fillId="19" borderId="10" xfId="0" applyFont="1" applyFill="1" applyBorder="1" applyAlignment="1">
      <alignment horizontal="center" vertical="center"/>
    </xf>
    <xf numFmtId="0" fontId="70" fillId="18" borderId="5" xfId="0" applyFont="1" applyFill="1" applyBorder="1" applyAlignment="1">
      <alignment horizontal="center" vertical="center" wrapText="1"/>
    </xf>
    <xf numFmtId="0" fontId="70" fillId="18" borderId="6" xfId="0" applyFont="1" applyFill="1" applyBorder="1" applyAlignment="1">
      <alignment horizontal="center" vertical="center" wrapText="1"/>
    </xf>
    <xf numFmtId="0" fontId="70" fillId="18" borderId="9" xfId="0" applyFont="1" applyFill="1" applyBorder="1" applyAlignment="1">
      <alignment horizontal="center" vertical="center" wrapText="1"/>
    </xf>
    <xf numFmtId="0" fontId="70" fillId="18" borderId="10" xfId="0" applyFont="1" applyFill="1" applyBorder="1" applyAlignment="1">
      <alignment horizontal="center" vertical="center" wrapText="1"/>
    </xf>
    <xf numFmtId="0" fontId="54" fillId="0" borderId="5" xfId="0" applyFont="1" applyBorder="1" applyAlignment="1">
      <alignment horizontal="left" vertical="center"/>
    </xf>
    <xf numFmtId="0" fontId="54" fillId="0" borderId="7" xfId="0" applyFont="1" applyBorder="1" applyAlignment="1">
      <alignment horizontal="left" vertical="center"/>
    </xf>
    <xf numFmtId="0" fontId="54" fillId="0" borderId="9" xfId="0" applyFont="1" applyBorder="1" applyAlignment="1">
      <alignment horizontal="left" vertical="center"/>
    </xf>
    <xf numFmtId="0" fontId="76" fillId="20" borderId="91" xfId="0" applyFont="1" applyFill="1" applyBorder="1" applyAlignment="1">
      <alignment horizontal="center" vertical="center" wrapText="1"/>
    </xf>
    <xf numFmtId="0" fontId="76" fillId="20" borderId="100" xfId="0" applyFont="1" applyFill="1" applyBorder="1" applyAlignment="1">
      <alignment horizontal="center" vertical="center" wrapText="1"/>
    </xf>
    <xf numFmtId="0" fontId="76" fillId="20" borderId="25" xfId="0" applyFont="1" applyFill="1" applyBorder="1" applyAlignment="1">
      <alignment horizontal="center" vertical="center" wrapText="1"/>
    </xf>
    <xf numFmtId="0" fontId="76" fillId="20" borderId="21" xfId="0" applyFont="1" applyFill="1" applyBorder="1" applyAlignment="1">
      <alignment horizontal="center" vertical="center" wrapText="1"/>
    </xf>
    <xf numFmtId="0" fontId="54" fillId="0" borderId="12" xfId="0" applyFont="1" applyBorder="1" applyAlignment="1">
      <alignment horizontal="left" vertical="center"/>
    </xf>
    <xf numFmtId="0" fontId="54" fillId="0" borderId="0" xfId="0" applyFont="1" applyAlignment="1">
      <alignment horizontal="left" vertical="center"/>
    </xf>
    <xf numFmtId="0" fontId="54" fillId="0" borderId="11" xfId="0" applyFont="1" applyBorder="1" applyAlignment="1">
      <alignment horizontal="left" vertical="center"/>
    </xf>
    <xf numFmtId="0" fontId="54" fillId="0" borderId="5" xfId="0" applyFont="1" applyBorder="1" applyAlignment="1">
      <alignment horizontal="center" vertical="center"/>
    </xf>
    <xf numFmtId="0" fontId="54" fillId="0" borderId="12" xfId="0" applyFont="1" applyBorder="1" applyAlignment="1">
      <alignment horizontal="center" vertical="center"/>
    </xf>
    <xf numFmtId="0" fontId="54" fillId="0" borderId="6" xfId="0" applyFont="1" applyBorder="1" applyAlignment="1">
      <alignment horizontal="center" vertical="center"/>
    </xf>
    <xf numFmtId="0" fontId="54" fillId="0" borderId="7" xfId="0" applyFont="1" applyBorder="1" applyAlignment="1">
      <alignment horizontal="center" vertical="center"/>
    </xf>
    <xf numFmtId="0" fontId="54" fillId="0" borderId="0" xfId="0" applyFont="1" applyAlignment="1">
      <alignment horizontal="center" vertical="center"/>
    </xf>
    <xf numFmtId="0" fontId="54" fillId="0" borderId="8" xfId="0" applyFont="1" applyBorder="1" applyAlignment="1">
      <alignment horizontal="center" vertical="center"/>
    </xf>
    <xf numFmtId="0" fontId="54" fillId="0" borderId="9" xfId="0" applyFont="1" applyBorder="1" applyAlignment="1">
      <alignment horizontal="center" vertical="center"/>
    </xf>
    <xf numFmtId="0" fontId="54" fillId="0" borderId="11" xfId="0" applyFont="1" applyBorder="1" applyAlignment="1">
      <alignment horizontal="center" vertical="center"/>
    </xf>
    <xf numFmtId="0" fontId="54" fillId="0" borderId="10" xfId="0" applyFont="1" applyBorder="1" applyAlignment="1">
      <alignment horizontal="center" vertical="center"/>
    </xf>
    <xf numFmtId="0" fontId="67" fillId="0" borderId="5" xfId="0" applyFont="1" applyBorder="1" applyAlignment="1">
      <alignment horizontal="center" wrapText="1"/>
    </xf>
    <xf numFmtId="0" fontId="67" fillId="0" borderId="12" xfId="0" applyFont="1" applyBorder="1" applyAlignment="1">
      <alignment horizontal="center" wrapText="1"/>
    </xf>
    <xf numFmtId="0" fontId="67" fillId="0" borderId="6" xfId="0" applyFont="1" applyBorder="1" applyAlignment="1">
      <alignment horizontal="center" wrapText="1"/>
    </xf>
    <xf numFmtId="0" fontId="67" fillId="0" borderId="7" xfId="0" applyFont="1" applyBorder="1" applyAlignment="1">
      <alignment horizontal="center" wrapText="1"/>
    </xf>
    <xf numFmtId="0" fontId="67" fillId="0" borderId="0" xfId="0" applyFont="1" applyAlignment="1">
      <alignment horizontal="center" wrapText="1"/>
    </xf>
    <xf numFmtId="0" fontId="67" fillId="0" borderId="8" xfId="0" applyFont="1" applyBorder="1" applyAlignment="1">
      <alignment horizontal="center" wrapText="1"/>
    </xf>
    <xf numFmtId="0" fontId="67" fillId="0" borderId="9" xfId="0" applyFont="1" applyBorder="1" applyAlignment="1">
      <alignment horizontal="center" wrapText="1"/>
    </xf>
    <xf numFmtId="0" fontId="67" fillId="0" borderId="11" xfId="0" applyFont="1" applyBorder="1" applyAlignment="1">
      <alignment horizontal="center" wrapText="1"/>
    </xf>
    <xf numFmtId="0" fontId="67" fillId="0" borderId="10" xfId="0" applyFont="1" applyBorder="1" applyAlignment="1">
      <alignment horizontal="center" wrapText="1"/>
    </xf>
    <xf numFmtId="0" fontId="16" fillId="10" borderId="0" xfId="0" applyFont="1" applyFill="1" applyAlignment="1">
      <alignment horizontal="center" vertical="center" textRotation="90" wrapText="1" readingOrder="1"/>
    </xf>
    <xf numFmtId="0" fontId="16" fillId="10" borderId="8" xfId="0" applyFont="1" applyFill="1" applyBorder="1" applyAlignment="1">
      <alignment horizontal="center" vertical="center" textRotation="90" wrapText="1" readingOrder="1"/>
    </xf>
    <xf numFmtId="0" fontId="19" fillId="12" borderId="13" xfId="0" applyFont="1" applyFill="1" applyBorder="1" applyAlignment="1">
      <alignment horizontal="center" vertical="center" wrapText="1" readingOrder="1"/>
    </xf>
    <xf numFmtId="0" fontId="19" fillId="12" borderId="14" xfId="0" applyFont="1" applyFill="1" applyBorder="1" applyAlignment="1">
      <alignment horizontal="center" vertical="center" wrapText="1" readingOrder="1"/>
    </xf>
    <xf numFmtId="0" fontId="19" fillId="12" borderId="15" xfId="0" applyFont="1" applyFill="1" applyBorder="1" applyAlignment="1">
      <alignment horizontal="center" vertical="center" wrapText="1" readingOrder="1"/>
    </xf>
    <xf numFmtId="0" fontId="19" fillId="12" borderId="16" xfId="0" applyFont="1" applyFill="1" applyBorder="1" applyAlignment="1">
      <alignment horizontal="center" vertical="center" wrapText="1" readingOrder="1"/>
    </xf>
    <xf numFmtId="0" fontId="19" fillId="12" borderId="0" xfId="0" applyFont="1" applyFill="1" applyAlignment="1">
      <alignment horizontal="center" vertical="center" wrapText="1" readingOrder="1"/>
    </xf>
    <xf numFmtId="0" fontId="19" fillId="12" borderId="17" xfId="0" applyFont="1" applyFill="1" applyBorder="1" applyAlignment="1">
      <alignment horizontal="center" vertical="center" wrapText="1" readingOrder="1"/>
    </xf>
    <xf numFmtId="0" fontId="19" fillId="12" borderId="18" xfId="0" applyFont="1" applyFill="1" applyBorder="1" applyAlignment="1">
      <alignment horizontal="center" vertical="center" wrapText="1" readingOrder="1"/>
    </xf>
    <xf numFmtId="0" fontId="19" fillId="12" borderId="19" xfId="0" applyFont="1" applyFill="1" applyBorder="1" applyAlignment="1">
      <alignment horizontal="center" vertical="center" wrapText="1" readingOrder="1"/>
    </xf>
    <xf numFmtId="0" fontId="19" fillId="12" borderId="20" xfId="0" applyFont="1" applyFill="1" applyBorder="1" applyAlignment="1">
      <alignment horizontal="center" vertical="center" wrapText="1" readingOrder="1"/>
    </xf>
    <xf numFmtId="0" fontId="19" fillId="11" borderId="13" xfId="0" applyFont="1" applyFill="1" applyBorder="1" applyAlignment="1">
      <alignment horizontal="center" vertical="center" wrapText="1" readingOrder="1"/>
    </xf>
    <xf numFmtId="0" fontId="19" fillId="11" borderId="14" xfId="0" applyFont="1" applyFill="1" applyBorder="1" applyAlignment="1">
      <alignment horizontal="center" vertical="center" wrapText="1" readingOrder="1"/>
    </xf>
    <xf numFmtId="0" fontId="19" fillId="11" borderId="15" xfId="0" applyFont="1" applyFill="1" applyBorder="1" applyAlignment="1">
      <alignment horizontal="center" vertical="center" wrapText="1" readingOrder="1"/>
    </xf>
    <xf numFmtId="0" fontId="19" fillId="11" borderId="16" xfId="0" applyFont="1" applyFill="1" applyBorder="1" applyAlignment="1">
      <alignment horizontal="center" vertical="center" wrapText="1" readingOrder="1"/>
    </xf>
    <xf numFmtId="0" fontId="19" fillId="11" borderId="0" xfId="0" applyFont="1" applyFill="1" applyAlignment="1">
      <alignment horizontal="center" vertical="center" wrapText="1" readingOrder="1"/>
    </xf>
    <xf numFmtId="0" fontId="19" fillId="11" borderId="17" xfId="0" applyFont="1" applyFill="1" applyBorder="1" applyAlignment="1">
      <alignment horizontal="center" vertical="center" wrapText="1" readingOrder="1"/>
    </xf>
    <xf numFmtId="0" fontId="19" fillId="11" borderId="18" xfId="0" applyFont="1" applyFill="1" applyBorder="1" applyAlignment="1">
      <alignment horizontal="center" vertical="center" wrapText="1" readingOrder="1"/>
    </xf>
    <xf numFmtId="0" fontId="19" fillId="11" borderId="19" xfId="0" applyFont="1" applyFill="1" applyBorder="1" applyAlignment="1">
      <alignment horizontal="center" vertical="center" wrapText="1" readingOrder="1"/>
    </xf>
    <xf numFmtId="0" fontId="19" fillId="11" borderId="20" xfId="0" applyFont="1" applyFill="1" applyBorder="1" applyAlignment="1">
      <alignment horizontal="center" vertical="center" wrapText="1" readingOrder="1"/>
    </xf>
    <xf numFmtId="0" fontId="19" fillId="13" borderId="13" xfId="0" applyFont="1" applyFill="1" applyBorder="1" applyAlignment="1">
      <alignment horizontal="center" vertical="center" wrapText="1" readingOrder="1"/>
    </xf>
    <xf numFmtId="0" fontId="19" fillId="13" borderId="14" xfId="0" applyFont="1" applyFill="1" applyBorder="1" applyAlignment="1">
      <alignment horizontal="center" vertical="center" wrapText="1" readingOrder="1"/>
    </xf>
    <xf numFmtId="0" fontId="19" fillId="13" borderId="15" xfId="0" applyFont="1" applyFill="1" applyBorder="1" applyAlignment="1">
      <alignment horizontal="center" vertical="center" wrapText="1" readingOrder="1"/>
    </xf>
    <xf numFmtId="0" fontId="19" fillId="13" borderId="16" xfId="0" applyFont="1" applyFill="1" applyBorder="1" applyAlignment="1">
      <alignment horizontal="center" vertical="center" wrapText="1" readingOrder="1"/>
    </xf>
    <xf numFmtId="0" fontId="19" fillId="13" borderId="0" xfId="0" applyFont="1" applyFill="1" applyAlignment="1">
      <alignment horizontal="center" vertical="center" wrapText="1" readingOrder="1"/>
    </xf>
    <xf numFmtId="0" fontId="19" fillId="13" borderId="17" xfId="0" applyFont="1" applyFill="1" applyBorder="1" applyAlignment="1">
      <alignment horizontal="center" vertical="center" wrapText="1" readingOrder="1"/>
    </xf>
    <xf numFmtId="0" fontId="19" fillId="13" borderId="18" xfId="0" applyFont="1" applyFill="1" applyBorder="1" applyAlignment="1">
      <alignment horizontal="center" vertical="center" wrapText="1" readingOrder="1"/>
    </xf>
    <xf numFmtId="0" fontId="19" fillId="13" borderId="19" xfId="0" applyFont="1" applyFill="1" applyBorder="1" applyAlignment="1">
      <alignment horizontal="center" vertical="center" wrapText="1" readingOrder="1"/>
    </xf>
    <xf numFmtId="0" fontId="19" fillId="13" borderId="20" xfId="0" applyFont="1" applyFill="1" applyBorder="1" applyAlignment="1">
      <alignment horizontal="center" vertical="center" wrapText="1" readingOrder="1"/>
    </xf>
    <xf numFmtId="0" fontId="19" fillId="5" borderId="13" xfId="0" applyFont="1" applyFill="1" applyBorder="1" applyAlignment="1">
      <alignment horizontal="center" vertical="center" wrapText="1" readingOrder="1"/>
    </xf>
    <xf numFmtId="0" fontId="19" fillId="5" borderId="14" xfId="0" applyFont="1" applyFill="1" applyBorder="1" applyAlignment="1">
      <alignment horizontal="center" vertical="center" wrapText="1" readingOrder="1"/>
    </xf>
    <xf numFmtId="0" fontId="19" fillId="5" borderId="15" xfId="0" applyFont="1" applyFill="1" applyBorder="1" applyAlignment="1">
      <alignment horizontal="center" vertical="center" wrapText="1" readingOrder="1"/>
    </xf>
    <xf numFmtId="0" fontId="19" fillId="5" borderId="16" xfId="0" applyFont="1" applyFill="1" applyBorder="1" applyAlignment="1">
      <alignment horizontal="center" vertical="center" wrapText="1" readingOrder="1"/>
    </xf>
    <xf numFmtId="0" fontId="19" fillId="5" borderId="0" xfId="0" applyFont="1" applyFill="1" applyAlignment="1">
      <alignment horizontal="center" vertical="center" wrapText="1" readingOrder="1"/>
    </xf>
    <xf numFmtId="0" fontId="19" fillId="5" borderId="17" xfId="0" applyFont="1" applyFill="1" applyBorder="1" applyAlignment="1">
      <alignment horizontal="center" vertical="center" wrapText="1" readingOrder="1"/>
    </xf>
    <xf numFmtId="0" fontId="19" fillId="5" borderId="18" xfId="0" applyFont="1" applyFill="1" applyBorder="1" applyAlignment="1">
      <alignment horizontal="center" vertical="center" wrapText="1" readingOrder="1"/>
    </xf>
    <xf numFmtId="0" fontId="19" fillId="5" borderId="19" xfId="0" applyFont="1" applyFill="1" applyBorder="1" applyAlignment="1">
      <alignment horizontal="center" vertical="center" wrapText="1" readingOrder="1"/>
    </xf>
    <xf numFmtId="0" fontId="19" fillId="5" borderId="20" xfId="0" applyFont="1" applyFill="1" applyBorder="1" applyAlignment="1">
      <alignment horizontal="center" vertical="center" wrapText="1" readingOrder="1"/>
    </xf>
    <xf numFmtId="0" fontId="15" fillId="0" borderId="5" xfId="0" applyFont="1" applyBorder="1" applyAlignment="1">
      <alignment horizontal="center" vertical="center" wrapText="1"/>
    </xf>
    <xf numFmtId="0" fontId="15" fillId="0" borderId="12" xfId="0" applyFont="1" applyBorder="1" applyAlignment="1">
      <alignment horizontal="center" vertical="center"/>
    </xf>
    <xf numFmtId="0" fontId="15" fillId="0" borderId="7" xfId="0" applyFont="1" applyBorder="1" applyAlignment="1">
      <alignment horizontal="center" vertical="center"/>
    </xf>
    <xf numFmtId="0" fontId="15" fillId="0" borderId="0" xfId="0" applyFont="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6" fillId="25" borderId="0" xfId="0" applyFont="1" applyFill="1" applyAlignment="1">
      <alignment horizontal="center" vertical="center" wrapText="1" readingOrder="1"/>
    </xf>
    <xf numFmtId="0" fontId="18" fillId="11" borderId="0" xfId="0" applyFont="1" applyFill="1" applyAlignment="1" applyProtection="1">
      <alignment horizontal="center" vertical="center" wrapText="1" readingOrder="1"/>
      <protection hidden="1"/>
    </xf>
    <xf numFmtId="0" fontId="18" fillId="11" borderId="5" xfId="0" applyFont="1" applyFill="1" applyBorder="1" applyAlignment="1" applyProtection="1">
      <alignment horizontal="center" vertical="center" wrapText="1" readingOrder="1"/>
      <protection hidden="1"/>
    </xf>
    <xf numFmtId="0" fontId="18" fillId="11" borderId="12" xfId="0" applyFont="1" applyFill="1" applyBorder="1" applyAlignment="1" applyProtection="1">
      <alignment horizontal="center" vertical="center" wrapText="1" readingOrder="1"/>
      <protection hidden="1"/>
    </xf>
    <xf numFmtId="0" fontId="18" fillId="11" borderId="7" xfId="0" applyFont="1" applyFill="1" applyBorder="1" applyAlignment="1" applyProtection="1">
      <alignment horizontal="center" vertical="center" wrapText="1" readingOrder="1"/>
      <protection hidden="1"/>
    </xf>
    <xf numFmtId="0" fontId="15" fillId="0" borderId="7" xfId="0" applyFont="1" applyBorder="1" applyAlignment="1">
      <alignment horizontal="center" vertical="center" wrapText="1"/>
    </xf>
    <xf numFmtId="0" fontId="15" fillId="0" borderId="8" xfId="0" applyFont="1" applyBorder="1" applyAlignment="1">
      <alignment horizontal="center" vertical="center"/>
    </xf>
    <xf numFmtId="0" fontId="15" fillId="0" borderId="10" xfId="0" applyFont="1" applyBorder="1" applyAlignment="1">
      <alignment horizontal="center" vertical="center"/>
    </xf>
    <xf numFmtId="0" fontId="15" fillId="0" borderId="6" xfId="0" applyFont="1" applyBorder="1" applyAlignment="1">
      <alignment horizontal="center" vertical="center"/>
    </xf>
    <xf numFmtId="0" fontId="18" fillId="11" borderId="8" xfId="0" applyFont="1" applyFill="1" applyBorder="1" applyAlignment="1" applyProtection="1">
      <alignment horizontal="center" vertical="center" wrapText="1" readingOrder="1"/>
      <protection hidden="1"/>
    </xf>
    <xf numFmtId="0" fontId="18" fillId="11" borderId="11" xfId="0" applyFont="1" applyFill="1" applyBorder="1" applyAlignment="1" applyProtection="1">
      <alignment horizontal="center" vertical="center" wrapText="1" readingOrder="1"/>
      <protection hidden="1"/>
    </xf>
    <xf numFmtId="0" fontId="18" fillId="11" borderId="10" xfId="0" applyFont="1" applyFill="1" applyBorder="1" applyAlignment="1" applyProtection="1">
      <alignment horizontal="center" vertical="center" wrapText="1" readingOrder="1"/>
      <protection hidden="1"/>
    </xf>
    <xf numFmtId="0" fontId="18" fillId="13" borderId="7" xfId="0" applyFont="1" applyFill="1" applyBorder="1" applyAlignment="1" applyProtection="1">
      <alignment horizontal="center" wrapText="1" readingOrder="1"/>
      <protection hidden="1"/>
    </xf>
    <xf numFmtId="0" fontId="18" fillId="13" borderId="0" xfId="0" applyFont="1" applyFill="1" applyAlignment="1" applyProtection="1">
      <alignment horizontal="center" wrapText="1" readingOrder="1"/>
      <protection hidden="1"/>
    </xf>
    <xf numFmtId="0" fontId="15" fillId="0" borderId="12" xfId="0" applyFont="1" applyBorder="1" applyAlignment="1">
      <alignment horizontal="center" vertical="center" wrapText="1"/>
    </xf>
    <xf numFmtId="0" fontId="18" fillId="11" borderId="9" xfId="0" applyFont="1" applyFill="1" applyBorder="1" applyAlignment="1" applyProtection="1">
      <alignment horizontal="center" vertical="center" wrapText="1" readingOrder="1"/>
      <protection hidden="1"/>
    </xf>
    <xf numFmtId="0" fontId="18" fillId="11" borderId="6" xfId="0" applyFont="1" applyFill="1" applyBorder="1" applyAlignment="1" applyProtection="1">
      <alignment horizontal="center" vertical="center" wrapText="1" readingOrder="1"/>
      <protection hidden="1"/>
    </xf>
    <xf numFmtId="0" fontId="18" fillId="12" borderId="7" xfId="0" applyFont="1" applyFill="1" applyBorder="1" applyAlignment="1" applyProtection="1">
      <alignment horizontal="center" wrapText="1" readingOrder="1"/>
      <protection hidden="1"/>
    </xf>
    <xf numFmtId="0" fontId="18" fillId="12" borderId="0" xfId="0" applyFont="1" applyFill="1" applyAlignment="1" applyProtection="1">
      <alignment horizontal="center" wrapText="1" readingOrder="1"/>
      <protection hidden="1"/>
    </xf>
    <xf numFmtId="0" fontId="18" fillId="12" borderId="8" xfId="0" applyFont="1" applyFill="1" applyBorder="1" applyAlignment="1" applyProtection="1">
      <alignment horizontal="center" wrapText="1" readingOrder="1"/>
      <protection hidden="1"/>
    </xf>
    <xf numFmtId="0" fontId="18" fillId="12" borderId="5" xfId="0" applyFont="1" applyFill="1" applyBorder="1" applyAlignment="1" applyProtection="1">
      <alignment horizontal="center" wrapText="1" readingOrder="1"/>
      <protection hidden="1"/>
    </xf>
    <xf numFmtId="0" fontId="18" fillId="12" borderId="12" xfId="0" applyFont="1" applyFill="1" applyBorder="1" applyAlignment="1" applyProtection="1">
      <alignment horizontal="center" wrapText="1" readingOrder="1"/>
      <protection hidden="1"/>
    </xf>
    <xf numFmtId="0" fontId="18" fillId="12" borderId="6" xfId="0" applyFont="1" applyFill="1" applyBorder="1" applyAlignment="1" applyProtection="1">
      <alignment horizontal="center" wrapText="1" readingOrder="1"/>
      <protection hidden="1"/>
    </xf>
    <xf numFmtId="0" fontId="18" fillId="12" borderId="9" xfId="0" applyFont="1" applyFill="1" applyBorder="1" applyAlignment="1" applyProtection="1">
      <alignment horizontal="center" wrapText="1" readingOrder="1"/>
      <protection hidden="1"/>
    </xf>
    <xf numFmtId="0" fontId="18" fillId="12" borderId="11" xfId="0" applyFont="1" applyFill="1" applyBorder="1" applyAlignment="1" applyProtection="1">
      <alignment horizontal="center" wrapText="1" readingOrder="1"/>
      <protection hidden="1"/>
    </xf>
    <xf numFmtId="0" fontId="18" fillId="12" borderId="10" xfId="0" applyFont="1" applyFill="1" applyBorder="1" applyAlignment="1" applyProtection="1">
      <alignment horizontal="center" wrapText="1" readingOrder="1"/>
      <protection hidden="1"/>
    </xf>
    <xf numFmtId="0" fontId="18" fillId="13" borderId="8" xfId="0" applyFont="1" applyFill="1" applyBorder="1" applyAlignment="1" applyProtection="1">
      <alignment horizontal="center" wrapText="1" readingOrder="1"/>
      <protection hidden="1"/>
    </xf>
    <xf numFmtId="0" fontId="18" fillId="13" borderId="9" xfId="0" applyFont="1" applyFill="1" applyBorder="1" applyAlignment="1" applyProtection="1">
      <alignment horizontal="center" wrapText="1" readingOrder="1"/>
      <protection hidden="1"/>
    </xf>
    <xf numFmtId="0" fontId="18" fillId="13" borderId="11" xfId="0" applyFont="1" applyFill="1" applyBorder="1" applyAlignment="1" applyProtection="1">
      <alignment horizontal="center" wrapText="1" readingOrder="1"/>
      <protection hidden="1"/>
    </xf>
    <xf numFmtId="0" fontId="18" fillId="13" borderId="10" xfId="0" applyFont="1" applyFill="1" applyBorder="1" applyAlignment="1" applyProtection="1">
      <alignment horizontal="center" wrapText="1" readingOrder="1"/>
      <protection hidden="1"/>
    </xf>
    <xf numFmtId="0" fontId="18" fillId="13" borderId="5" xfId="0" applyFont="1" applyFill="1" applyBorder="1" applyAlignment="1" applyProtection="1">
      <alignment horizontal="center" wrapText="1" readingOrder="1"/>
      <protection hidden="1"/>
    </xf>
    <xf numFmtId="0" fontId="18" fillId="13" borderId="12" xfId="0" applyFont="1" applyFill="1" applyBorder="1" applyAlignment="1" applyProtection="1">
      <alignment horizontal="center" wrapText="1" readingOrder="1"/>
      <protection hidden="1"/>
    </xf>
    <xf numFmtId="0" fontId="18" fillId="13" borderId="6" xfId="0" applyFont="1" applyFill="1" applyBorder="1" applyAlignment="1" applyProtection="1">
      <alignment horizontal="center" wrapText="1" readingOrder="1"/>
      <protection hidden="1"/>
    </xf>
    <xf numFmtId="0" fontId="18" fillId="5" borderId="0" xfId="0" applyFont="1" applyFill="1" applyAlignment="1" applyProtection="1">
      <alignment horizontal="center" wrapText="1" readingOrder="1"/>
      <protection hidden="1"/>
    </xf>
    <xf numFmtId="0" fontId="18" fillId="5" borderId="8" xfId="0" applyFont="1" applyFill="1" applyBorder="1" applyAlignment="1" applyProtection="1">
      <alignment horizontal="center" wrapText="1" readingOrder="1"/>
      <protection hidden="1"/>
    </xf>
    <xf numFmtId="0" fontId="18" fillId="5" borderId="7" xfId="0" applyFont="1" applyFill="1" applyBorder="1" applyAlignment="1" applyProtection="1">
      <alignment horizontal="center" wrapText="1" readingOrder="1"/>
      <protection hidden="1"/>
    </xf>
    <xf numFmtId="0" fontId="18" fillId="5" borderId="9" xfId="0" applyFont="1" applyFill="1" applyBorder="1" applyAlignment="1" applyProtection="1">
      <alignment horizontal="center" wrapText="1" readingOrder="1"/>
      <protection hidden="1"/>
    </xf>
    <xf numFmtId="0" fontId="18" fillId="5" borderId="11" xfId="0" applyFont="1" applyFill="1" applyBorder="1" applyAlignment="1" applyProtection="1">
      <alignment horizontal="center" wrapText="1" readingOrder="1"/>
      <protection hidden="1"/>
    </xf>
    <xf numFmtId="0" fontId="18" fillId="5" borderId="10" xfId="0" applyFont="1" applyFill="1" applyBorder="1" applyAlignment="1" applyProtection="1">
      <alignment horizontal="center" wrapText="1" readingOrder="1"/>
      <protection hidden="1"/>
    </xf>
    <xf numFmtId="0" fontId="18" fillId="5" borderId="5" xfId="0" applyFont="1" applyFill="1" applyBorder="1" applyAlignment="1" applyProtection="1">
      <alignment horizontal="center" wrapText="1" readingOrder="1"/>
      <protection hidden="1"/>
    </xf>
    <xf numFmtId="0" fontId="18" fillId="5" borderId="12" xfId="0" applyFont="1" applyFill="1" applyBorder="1" applyAlignment="1" applyProtection="1">
      <alignment horizontal="center" wrapText="1" readingOrder="1"/>
      <protection hidden="1"/>
    </xf>
    <xf numFmtId="0" fontId="18" fillId="5" borderId="6" xfId="0" applyFont="1" applyFill="1" applyBorder="1" applyAlignment="1" applyProtection="1">
      <alignment horizontal="center" wrapText="1" readingOrder="1"/>
      <protection hidden="1"/>
    </xf>
    <xf numFmtId="0" fontId="22" fillId="0" borderId="0" xfId="0" applyFont="1" applyAlignment="1">
      <alignment horizontal="center" vertical="center" wrapText="1"/>
    </xf>
    <xf numFmtId="0" fontId="39" fillId="0" borderId="5" xfId="0" applyFont="1" applyBorder="1" applyAlignment="1">
      <alignment horizontal="center" vertical="center" wrapText="1"/>
    </xf>
    <xf numFmtId="0" fontId="39" fillId="0" borderId="12"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39" fillId="0" borderId="0" xfId="0" applyFont="1" applyAlignment="1">
      <alignment horizontal="center" vertical="center"/>
    </xf>
    <xf numFmtId="0" fontId="39" fillId="0" borderId="8" xfId="0" applyFont="1" applyBorder="1" applyAlignment="1">
      <alignment horizontal="center" vertical="center"/>
    </xf>
    <xf numFmtId="0" fontId="39" fillId="0" borderId="9" xfId="0" applyFont="1" applyBorder="1" applyAlignment="1">
      <alignment horizontal="center"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8" fillId="11" borderId="13" xfId="0" applyFont="1" applyFill="1" applyBorder="1" applyAlignment="1">
      <alignment horizontal="center" vertical="center" wrapText="1" readingOrder="1"/>
    </xf>
    <xf numFmtId="0" fontId="38" fillId="11" borderId="14" xfId="0" applyFont="1" applyFill="1" applyBorder="1" applyAlignment="1">
      <alignment horizontal="center" vertical="center" wrapText="1" readingOrder="1"/>
    </xf>
    <xf numFmtId="0" fontId="38" fillId="11" borderId="15" xfId="0" applyFont="1" applyFill="1" applyBorder="1" applyAlignment="1">
      <alignment horizontal="center" vertical="center" wrapText="1" readingOrder="1"/>
    </xf>
    <xf numFmtId="0" fontId="38" fillId="11" borderId="16" xfId="0" applyFont="1" applyFill="1" applyBorder="1" applyAlignment="1">
      <alignment horizontal="center" vertical="center" wrapText="1" readingOrder="1"/>
    </xf>
    <xf numFmtId="0" fontId="38" fillId="11" borderId="0" xfId="0" applyFont="1" applyFill="1" applyAlignment="1">
      <alignment horizontal="center" vertical="center" wrapText="1" readingOrder="1"/>
    </xf>
    <xf numFmtId="0" fontId="38" fillId="11" borderId="17" xfId="0" applyFont="1" applyFill="1" applyBorder="1" applyAlignment="1">
      <alignment horizontal="center" vertical="center" wrapText="1" readingOrder="1"/>
    </xf>
    <xf numFmtId="0" fontId="38" fillId="11" borderId="18" xfId="0" applyFont="1" applyFill="1" applyBorder="1" applyAlignment="1">
      <alignment horizontal="center" vertical="center" wrapText="1" readingOrder="1"/>
    </xf>
    <xf numFmtId="0" fontId="38" fillId="11" borderId="19" xfId="0" applyFont="1" applyFill="1" applyBorder="1" applyAlignment="1">
      <alignment horizontal="center" vertical="center" wrapText="1" readingOrder="1"/>
    </xf>
    <xf numFmtId="0" fontId="38" fillId="11" borderId="20" xfId="0" applyFont="1" applyFill="1" applyBorder="1" applyAlignment="1">
      <alignment horizontal="center" vertical="center" wrapText="1" readingOrder="1"/>
    </xf>
    <xf numFmtId="0" fontId="39" fillId="0" borderId="7" xfId="0" applyFont="1" applyBorder="1" applyAlignment="1">
      <alignment horizontal="center" vertical="center" wrapText="1"/>
    </xf>
    <xf numFmtId="0" fontId="38" fillId="12" borderId="13" xfId="0" applyFont="1" applyFill="1" applyBorder="1" applyAlignment="1">
      <alignment horizontal="center" vertical="center" wrapText="1" readingOrder="1"/>
    </xf>
    <xf numFmtId="0" fontId="38" fillId="12" borderId="14" xfId="0" applyFont="1" applyFill="1" applyBorder="1" applyAlignment="1">
      <alignment horizontal="center" vertical="center" wrapText="1" readingOrder="1"/>
    </xf>
    <xf numFmtId="0" fontId="38" fillId="12" borderId="15" xfId="0" applyFont="1" applyFill="1" applyBorder="1" applyAlignment="1">
      <alignment horizontal="center" vertical="center" wrapText="1" readingOrder="1"/>
    </xf>
    <xf numFmtId="0" fontId="38" fillId="12" borderId="16" xfId="0" applyFont="1" applyFill="1" applyBorder="1" applyAlignment="1">
      <alignment horizontal="center" vertical="center" wrapText="1" readingOrder="1"/>
    </xf>
    <xf numFmtId="0" fontId="38" fillId="12" borderId="0" xfId="0" applyFont="1" applyFill="1" applyAlignment="1">
      <alignment horizontal="center" vertical="center" wrapText="1" readingOrder="1"/>
    </xf>
    <xf numFmtId="0" fontId="38" fillId="12" borderId="17" xfId="0" applyFont="1" applyFill="1" applyBorder="1" applyAlignment="1">
      <alignment horizontal="center" vertical="center" wrapText="1" readingOrder="1"/>
    </xf>
    <xf numFmtId="0" fontId="38" fillId="12" borderId="18" xfId="0" applyFont="1" applyFill="1" applyBorder="1" applyAlignment="1">
      <alignment horizontal="center" vertical="center" wrapText="1" readingOrder="1"/>
    </xf>
    <xf numFmtId="0" fontId="38" fillId="12" borderId="19" xfId="0" applyFont="1" applyFill="1" applyBorder="1" applyAlignment="1">
      <alignment horizontal="center" vertical="center" wrapText="1" readingOrder="1"/>
    </xf>
    <xf numFmtId="0" fontId="38" fillId="12" borderId="20" xfId="0" applyFont="1" applyFill="1" applyBorder="1" applyAlignment="1">
      <alignment horizontal="center" vertical="center" wrapText="1" readingOrder="1"/>
    </xf>
    <xf numFmtId="0" fontId="37" fillId="0" borderId="0" xfId="0" applyFont="1" applyAlignment="1">
      <alignment horizontal="center" vertical="center" wrapText="1"/>
    </xf>
    <xf numFmtId="0" fontId="20" fillId="0" borderId="0" xfId="0" applyFont="1" applyAlignment="1">
      <alignment horizontal="center" vertical="center" wrapText="1"/>
    </xf>
    <xf numFmtId="0" fontId="16" fillId="10" borderId="0" xfId="0" applyFont="1" applyFill="1" applyAlignment="1">
      <alignment horizontal="center" vertical="center" wrapText="1" readingOrder="1"/>
    </xf>
    <xf numFmtId="0" fontId="38" fillId="5" borderId="13" xfId="0" applyFont="1" applyFill="1" applyBorder="1" applyAlignment="1">
      <alignment horizontal="center" vertical="center" wrapText="1" readingOrder="1"/>
    </xf>
    <xf numFmtId="0" fontId="38" fillId="5" borderId="14" xfId="0" applyFont="1" applyFill="1" applyBorder="1" applyAlignment="1">
      <alignment horizontal="center" vertical="center" wrapText="1" readingOrder="1"/>
    </xf>
    <xf numFmtId="0" fontId="38" fillId="5" borderId="15" xfId="0" applyFont="1" applyFill="1" applyBorder="1" applyAlignment="1">
      <alignment horizontal="center" vertical="center" wrapText="1" readingOrder="1"/>
    </xf>
    <xf numFmtId="0" fontId="38" fillId="5" borderId="16" xfId="0" applyFont="1" applyFill="1" applyBorder="1" applyAlignment="1">
      <alignment horizontal="center" vertical="center" wrapText="1" readingOrder="1"/>
    </xf>
    <xf numFmtId="0" fontId="38" fillId="5" borderId="0" xfId="0" applyFont="1" applyFill="1" applyAlignment="1">
      <alignment horizontal="center" vertical="center" wrapText="1" readingOrder="1"/>
    </xf>
    <xf numFmtId="0" fontId="38" fillId="5" borderId="17" xfId="0" applyFont="1" applyFill="1" applyBorder="1" applyAlignment="1">
      <alignment horizontal="center" vertical="center" wrapText="1" readingOrder="1"/>
    </xf>
    <xf numFmtId="0" fontId="38" fillId="5" borderId="18" xfId="0" applyFont="1" applyFill="1" applyBorder="1" applyAlignment="1">
      <alignment horizontal="center" vertical="center" wrapText="1" readingOrder="1"/>
    </xf>
    <xf numFmtId="0" fontId="38" fillId="5" borderId="19" xfId="0" applyFont="1" applyFill="1" applyBorder="1" applyAlignment="1">
      <alignment horizontal="center" vertical="center" wrapText="1" readingOrder="1"/>
    </xf>
    <xf numFmtId="0" fontId="38" fillId="5" borderId="20" xfId="0" applyFont="1" applyFill="1" applyBorder="1" applyAlignment="1">
      <alignment horizontal="center" vertical="center" wrapText="1" readingOrder="1"/>
    </xf>
    <xf numFmtId="0" fontId="38" fillId="13" borderId="13" xfId="0" applyFont="1" applyFill="1" applyBorder="1" applyAlignment="1">
      <alignment horizontal="center" vertical="center" wrapText="1" readingOrder="1"/>
    </xf>
    <xf numFmtId="0" fontId="38" fillId="13" borderId="14" xfId="0" applyFont="1" applyFill="1" applyBorder="1" applyAlignment="1">
      <alignment horizontal="center" vertical="center" wrapText="1" readingOrder="1"/>
    </xf>
    <xf numFmtId="0" fontId="38" fillId="13" borderId="15" xfId="0" applyFont="1" applyFill="1" applyBorder="1" applyAlignment="1">
      <alignment horizontal="center" vertical="center" wrapText="1" readingOrder="1"/>
    </xf>
    <xf numFmtId="0" fontId="38" fillId="13" borderId="16" xfId="0" applyFont="1" applyFill="1" applyBorder="1" applyAlignment="1">
      <alignment horizontal="center" vertical="center" wrapText="1" readingOrder="1"/>
    </xf>
    <xf numFmtId="0" fontId="38" fillId="13" borderId="0" xfId="0" applyFont="1" applyFill="1" applyAlignment="1">
      <alignment horizontal="center" vertical="center" wrapText="1" readingOrder="1"/>
    </xf>
    <xf numFmtId="0" fontId="38" fillId="13" borderId="17" xfId="0" applyFont="1" applyFill="1" applyBorder="1" applyAlignment="1">
      <alignment horizontal="center" vertical="center" wrapText="1" readingOrder="1"/>
    </xf>
    <xf numFmtId="0" fontId="38" fillId="13" borderId="18" xfId="0" applyFont="1" applyFill="1" applyBorder="1" applyAlignment="1">
      <alignment horizontal="center" vertical="center" wrapText="1" readingOrder="1"/>
    </xf>
    <xf numFmtId="0" fontId="38" fillId="13" borderId="19" xfId="0" applyFont="1" applyFill="1" applyBorder="1" applyAlignment="1">
      <alignment horizontal="center" vertical="center" wrapText="1" readingOrder="1"/>
    </xf>
    <xf numFmtId="0" fontId="38" fillId="13" borderId="20" xfId="0" applyFont="1" applyFill="1" applyBorder="1" applyAlignment="1">
      <alignment horizontal="center" vertical="center" wrapText="1" readingOrder="1"/>
    </xf>
    <xf numFmtId="0" fontId="61" fillId="0" borderId="0" xfId="0" applyFont="1" applyAlignment="1">
      <alignment horizontal="center"/>
    </xf>
    <xf numFmtId="0" fontId="39" fillId="0" borderId="12" xfId="0" applyFont="1" applyBorder="1" applyAlignment="1">
      <alignment horizontal="center" vertical="center" wrapText="1"/>
    </xf>
    <xf numFmtId="0" fontId="62" fillId="0" borderId="95" xfId="0" applyFont="1" applyBorder="1" applyAlignment="1">
      <alignment horizontal="center" wrapText="1"/>
    </xf>
    <xf numFmtId="0" fontId="66" fillId="0" borderId="86" xfId="0" applyFont="1" applyBorder="1" applyAlignment="1">
      <alignment horizontal="center" wrapText="1"/>
    </xf>
    <xf numFmtId="0" fontId="66" fillId="0" borderId="97" xfId="0" applyFont="1" applyBorder="1" applyAlignment="1">
      <alignment horizontal="center" wrapText="1"/>
    </xf>
    <xf numFmtId="0" fontId="64" fillId="0" borderId="5" xfId="0" applyFont="1" applyBorder="1" applyAlignment="1">
      <alignment horizontal="center" vertical="center" wrapText="1"/>
    </xf>
    <xf numFmtId="0" fontId="64" fillId="0" borderId="7" xfId="0" applyFont="1" applyBorder="1" applyAlignment="1">
      <alignment horizontal="center" vertical="center" wrapText="1"/>
    </xf>
    <xf numFmtId="0" fontId="64" fillId="0" borderId="9" xfId="0" applyFont="1" applyBorder="1" applyAlignment="1">
      <alignment horizontal="center" vertical="center" wrapText="1"/>
    </xf>
    <xf numFmtId="0" fontId="76" fillId="17" borderId="87" xfId="0" applyFont="1" applyFill="1" applyBorder="1" applyAlignment="1">
      <alignment horizontal="center" vertical="center" textRotation="90"/>
    </xf>
    <xf numFmtId="0" fontId="51" fillId="3" borderId="52" xfId="2" applyFont="1" applyFill="1" applyBorder="1" applyAlignment="1">
      <alignment horizontal="justify" vertical="center" wrapText="1"/>
    </xf>
    <xf numFmtId="0" fontId="51" fillId="3" borderId="53" xfId="2" applyFont="1" applyFill="1" applyBorder="1" applyAlignment="1">
      <alignment horizontal="justify" vertical="center" wrapText="1"/>
    </xf>
    <xf numFmtId="0" fontId="50" fillId="3" borderId="59" xfId="0" applyFont="1" applyFill="1" applyBorder="1" applyAlignment="1">
      <alignment horizontal="left" vertical="center" wrapText="1"/>
    </xf>
    <xf numFmtId="0" fontId="50" fillId="3" borderId="60" xfId="0" applyFont="1" applyFill="1" applyBorder="1" applyAlignment="1">
      <alignment horizontal="left" vertical="center" wrapText="1"/>
    </xf>
    <xf numFmtId="0" fontId="50" fillId="3" borderId="46" xfId="3" applyFont="1" applyFill="1" applyBorder="1" applyAlignment="1">
      <alignment horizontal="left" vertical="top" wrapText="1" readingOrder="1"/>
    </xf>
    <xf numFmtId="0" fontId="50" fillId="3" borderId="47" xfId="3" applyFont="1" applyFill="1" applyBorder="1" applyAlignment="1">
      <alignment horizontal="left" vertical="top" wrapText="1" readingOrder="1"/>
    </xf>
    <xf numFmtId="0" fontId="51" fillId="3" borderId="48" xfId="2" applyFont="1" applyFill="1" applyBorder="1" applyAlignment="1">
      <alignment horizontal="justify" vertical="center" wrapText="1"/>
    </xf>
    <xf numFmtId="0" fontId="51" fillId="3" borderId="49" xfId="2" applyFont="1" applyFill="1" applyBorder="1" applyAlignment="1">
      <alignment horizontal="justify" vertical="center" wrapText="1"/>
    </xf>
    <xf numFmtId="0" fontId="50" fillId="3" borderId="50" xfId="0" applyFont="1" applyFill="1" applyBorder="1" applyAlignment="1">
      <alignment horizontal="left" vertical="center" wrapText="1"/>
    </xf>
    <xf numFmtId="0" fontId="50" fillId="3" borderId="51" xfId="0" applyFont="1" applyFill="1" applyBorder="1" applyAlignment="1">
      <alignment horizontal="left" vertical="center" wrapText="1"/>
    </xf>
    <xf numFmtId="0" fontId="45" fillId="3" borderId="7" xfId="2" applyFont="1" applyFill="1" applyBorder="1" applyAlignment="1">
      <alignment horizontal="left" vertical="top" wrapText="1"/>
    </xf>
    <xf numFmtId="0" fontId="45" fillId="3" borderId="0" xfId="2" applyFont="1" applyFill="1" applyAlignment="1">
      <alignment horizontal="left" vertical="top" wrapText="1"/>
    </xf>
    <xf numFmtId="0" fontId="45" fillId="3" borderId="8" xfId="2" applyFont="1" applyFill="1" applyBorder="1" applyAlignment="1">
      <alignment horizontal="left" vertical="top" wrapText="1"/>
    </xf>
    <xf numFmtId="0" fontId="50" fillId="3" borderId="61" xfId="0" applyFont="1" applyFill="1" applyBorder="1" applyAlignment="1">
      <alignment horizontal="left" vertical="center" wrapText="1"/>
    </xf>
    <xf numFmtId="0" fontId="50" fillId="3" borderId="62" xfId="0" applyFont="1" applyFill="1" applyBorder="1" applyAlignment="1">
      <alignment horizontal="left" vertical="center" wrapText="1"/>
    </xf>
    <xf numFmtId="0" fontId="51" fillId="3" borderId="54" xfId="0" applyFont="1" applyFill="1" applyBorder="1" applyAlignment="1">
      <alignment horizontal="justify" vertical="center" wrapText="1"/>
    </xf>
    <xf numFmtId="0" fontId="51" fillId="3" borderId="55" xfId="0" applyFont="1" applyFill="1" applyBorder="1" applyAlignment="1">
      <alignment horizontal="justify" vertical="center" wrapText="1"/>
    </xf>
    <xf numFmtId="0" fontId="46" fillId="14" borderId="36" xfId="2" applyFont="1" applyFill="1" applyBorder="1" applyAlignment="1">
      <alignment horizontal="center" vertical="center" wrapText="1"/>
    </xf>
    <xf numFmtId="0" fontId="46" fillId="14" borderId="37" xfId="2" applyFont="1" applyFill="1" applyBorder="1" applyAlignment="1">
      <alignment horizontal="center" vertical="center" wrapText="1"/>
    </xf>
    <xf numFmtId="0" fontId="46" fillId="14" borderId="38" xfId="2" applyFont="1" applyFill="1" applyBorder="1" applyAlignment="1">
      <alignment horizontal="center" vertical="center" wrapText="1"/>
    </xf>
    <xf numFmtId="0" fontId="45" fillId="0" borderId="7" xfId="2" quotePrefix="1" applyFont="1" applyBorder="1" applyAlignment="1">
      <alignment horizontal="left" vertical="center" wrapText="1"/>
    </xf>
    <xf numFmtId="0" fontId="45" fillId="0" borderId="0" xfId="2" quotePrefix="1" applyFont="1" applyAlignment="1">
      <alignment horizontal="left" vertical="center" wrapText="1"/>
    </xf>
    <xf numFmtId="0" fontId="45" fillId="0" borderId="8" xfId="2" quotePrefix="1" applyFont="1" applyBorder="1" applyAlignment="1">
      <alignment horizontal="left" vertical="center" wrapText="1"/>
    </xf>
    <xf numFmtId="0" fontId="45" fillId="0" borderId="56" xfId="2" quotePrefix="1" applyFont="1" applyBorder="1" applyAlignment="1">
      <alignment horizontal="left" vertical="center" wrapText="1"/>
    </xf>
    <xf numFmtId="0" fontId="45" fillId="0" borderId="57" xfId="2" quotePrefix="1" applyFont="1" applyBorder="1" applyAlignment="1">
      <alignment horizontal="left" vertical="center" wrapText="1"/>
    </xf>
    <xf numFmtId="0" fontId="45" fillId="0" borderId="58" xfId="2" quotePrefix="1" applyFont="1" applyBorder="1" applyAlignment="1">
      <alignment horizontal="left" vertical="center" wrapText="1"/>
    </xf>
    <xf numFmtId="0" fontId="47" fillId="3" borderId="39" xfId="2" quotePrefix="1" applyFont="1" applyFill="1" applyBorder="1" applyAlignment="1">
      <alignment horizontal="left" vertical="top" wrapText="1"/>
    </xf>
    <xf numFmtId="0" fontId="48" fillId="3" borderId="40" xfId="2" quotePrefix="1" applyFont="1" applyFill="1" applyBorder="1" applyAlignment="1">
      <alignment horizontal="left" vertical="top" wrapText="1"/>
    </xf>
    <xf numFmtId="0" fontId="48" fillId="3" borderId="41" xfId="2" quotePrefix="1" applyFont="1" applyFill="1" applyBorder="1" applyAlignment="1">
      <alignment horizontal="left" vertical="top" wrapText="1"/>
    </xf>
    <xf numFmtId="0" fontId="45" fillId="0" borderId="7" xfId="2" quotePrefix="1" applyFont="1" applyBorder="1" applyAlignment="1">
      <alignment horizontal="left" vertical="top" wrapText="1"/>
    </xf>
    <xf numFmtId="0" fontId="45" fillId="0" borderId="0" xfId="2" quotePrefix="1" applyFont="1" applyAlignment="1">
      <alignment horizontal="left" vertical="top" wrapText="1"/>
    </xf>
    <xf numFmtId="0" fontId="45" fillId="0" borderId="8" xfId="2" quotePrefix="1" applyFont="1" applyBorder="1" applyAlignment="1">
      <alignment horizontal="left" vertical="top" wrapText="1"/>
    </xf>
    <xf numFmtId="0" fontId="50" fillId="14" borderId="42" xfId="3" applyFont="1" applyFill="1" applyBorder="1" applyAlignment="1">
      <alignment horizontal="center" vertical="center" wrapText="1"/>
    </xf>
    <xf numFmtId="0" fontId="50" fillId="14" borderId="43" xfId="3" applyFont="1" applyFill="1" applyBorder="1" applyAlignment="1">
      <alignment horizontal="center" vertical="center" wrapText="1"/>
    </xf>
    <xf numFmtId="0" fontId="50" fillId="14" borderId="44" xfId="2" applyFont="1" applyFill="1" applyBorder="1" applyAlignment="1">
      <alignment horizontal="center" vertical="center"/>
    </xf>
    <xf numFmtId="0" fontId="50" fillId="14" borderId="45" xfId="2" applyFont="1" applyFill="1" applyBorder="1" applyAlignment="1">
      <alignment horizontal="center" vertical="center"/>
    </xf>
    <xf numFmtId="0" fontId="1" fillId="3" borderId="56" xfId="2" quotePrefix="1" applyFont="1" applyFill="1" applyBorder="1" applyAlignment="1">
      <alignment horizontal="justify" vertical="center" wrapText="1"/>
    </xf>
    <xf numFmtId="0" fontId="1" fillId="3" borderId="57" xfId="2" quotePrefix="1" applyFont="1" applyFill="1" applyBorder="1" applyAlignment="1">
      <alignment horizontal="justify" vertical="center" wrapText="1"/>
    </xf>
    <xf numFmtId="0" fontId="1" fillId="3" borderId="58" xfId="2" quotePrefix="1" applyFont="1" applyFill="1" applyBorder="1" applyAlignment="1">
      <alignment horizontal="justify" vertical="center" wrapText="1"/>
    </xf>
    <xf numFmtId="165" fontId="65" fillId="0" borderId="23" xfId="0" applyNumberFormat="1" applyFont="1" applyBorder="1" applyAlignment="1">
      <alignment horizontal="center" vertical="center"/>
    </xf>
    <xf numFmtId="165" fontId="65" fillId="0" borderId="35" xfId="0" applyNumberFormat="1" applyFont="1" applyBorder="1" applyAlignment="1">
      <alignment horizontal="center" vertical="center"/>
    </xf>
    <xf numFmtId="0" fontId="65" fillId="0" borderId="81" xfId="0" applyFont="1" applyBorder="1" applyAlignment="1">
      <alignment horizontal="center" vertical="center" wrapText="1"/>
    </xf>
    <xf numFmtId="0" fontId="65" fillId="0" borderId="33" xfId="0" applyFont="1" applyBorder="1" applyAlignment="1">
      <alignment horizontal="center" vertical="center" wrapText="1"/>
    </xf>
    <xf numFmtId="0" fontId="65" fillId="0" borderId="33" xfId="0" applyFont="1" applyBorder="1" applyAlignment="1">
      <alignment horizontal="left" vertical="center" wrapText="1"/>
    </xf>
    <xf numFmtId="0" fontId="65" fillId="0" borderId="34" xfId="0" applyFont="1" applyBorder="1" applyAlignment="1">
      <alignment horizontal="left" vertical="center" wrapText="1"/>
    </xf>
    <xf numFmtId="0" fontId="75" fillId="0" borderId="0" xfId="0" applyFont="1" applyAlignment="1">
      <alignment horizontal="left" wrapText="1"/>
    </xf>
    <xf numFmtId="0" fontId="73" fillId="0" borderId="7" xfId="0" applyFont="1" applyBorder="1" applyAlignment="1">
      <alignment horizontal="center" vertical="center" wrapText="1"/>
    </xf>
    <xf numFmtId="0" fontId="74" fillId="0" borderId="0" xfId="0" applyFont="1" applyAlignment="1">
      <alignment horizontal="center" vertical="center" wrapText="1"/>
    </xf>
    <xf numFmtId="0" fontId="73" fillId="0" borderId="0" xfId="0" applyFont="1" applyAlignment="1">
      <alignment horizontal="center" vertical="center" wrapText="1"/>
    </xf>
    <xf numFmtId="0" fontId="73" fillId="0" borderId="8" xfId="0" applyFont="1" applyBorder="1" applyAlignment="1">
      <alignment horizontal="center" vertical="center" wrapText="1"/>
    </xf>
    <xf numFmtId="0" fontId="65" fillId="0" borderId="9" xfId="0" applyFont="1" applyBorder="1" applyAlignment="1">
      <alignment horizontal="center" vertical="center" wrapText="1"/>
    </xf>
    <xf numFmtId="0" fontId="65" fillId="0" borderId="11" xfId="0" applyFont="1" applyBorder="1" applyAlignment="1">
      <alignment horizontal="center" vertical="center" wrapText="1"/>
    </xf>
    <xf numFmtId="0" fontId="65" fillId="0" borderId="10" xfId="0" applyFont="1" applyBorder="1" applyAlignment="1">
      <alignment horizontal="center" vertical="center" wrapText="1"/>
    </xf>
    <xf numFmtId="0" fontId="65" fillId="0" borderId="11" xfId="0" applyFont="1" applyBorder="1" applyAlignment="1">
      <alignment horizontal="center"/>
    </xf>
    <xf numFmtId="0" fontId="66" fillId="0" borderId="23" xfId="0" applyFont="1" applyBorder="1" applyAlignment="1">
      <alignment horizontal="center" vertical="center" wrapText="1"/>
    </xf>
    <xf numFmtId="0" fontId="66" fillId="0" borderId="24" xfId="0" applyFont="1" applyBorder="1" applyAlignment="1">
      <alignment horizontal="center" vertical="center" wrapText="1"/>
    </xf>
    <xf numFmtId="0" fontId="66" fillId="0" borderId="35" xfId="0" applyFont="1" applyBorder="1" applyAlignment="1">
      <alignment horizontal="center" vertical="center" wrapText="1"/>
    </xf>
    <xf numFmtId="0" fontId="71" fillId="0" borderId="0" xfId="0" applyFont="1" applyAlignment="1">
      <alignment horizontal="center" vertical="center"/>
    </xf>
    <xf numFmtId="0" fontId="72" fillId="16" borderId="82" xfId="0" applyFont="1" applyFill="1" applyBorder="1" applyAlignment="1">
      <alignment horizontal="center" vertical="center" wrapText="1"/>
    </xf>
    <xf numFmtId="0" fontId="72" fillId="16" borderId="83" xfId="0" applyFont="1" applyFill="1" applyBorder="1" applyAlignment="1">
      <alignment horizontal="center" vertical="center" wrapText="1"/>
    </xf>
    <xf numFmtId="0" fontId="72" fillId="16" borderId="84" xfId="0" applyFont="1" applyFill="1" applyBorder="1" applyAlignment="1">
      <alignment horizontal="center" vertical="center" wrapText="1"/>
    </xf>
    <xf numFmtId="0" fontId="72" fillId="16" borderId="5" xfId="0" applyFont="1" applyFill="1" applyBorder="1" applyAlignment="1">
      <alignment horizontal="center" vertical="center" wrapText="1"/>
    </xf>
    <xf numFmtId="0" fontId="72" fillId="16" borderId="12" xfId="0" applyFont="1" applyFill="1" applyBorder="1" applyAlignment="1">
      <alignment horizontal="center" vertical="center" wrapText="1"/>
    </xf>
    <xf numFmtId="0" fontId="72" fillId="16" borderId="6" xfId="0" applyFont="1" applyFill="1" applyBorder="1" applyAlignment="1">
      <alignment horizontal="center" vertical="center" wrapText="1"/>
    </xf>
    <xf numFmtId="0" fontId="72" fillId="16" borderId="75" xfId="0" applyFont="1" applyFill="1" applyBorder="1" applyAlignment="1">
      <alignment horizontal="center" vertical="center" wrapText="1"/>
    </xf>
    <xf numFmtId="0" fontId="72" fillId="16" borderId="76" xfId="0" applyFont="1" applyFill="1" applyBorder="1" applyAlignment="1">
      <alignment horizontal="center" vertical="center" wrapText="1"/>
    </xf>
    <xf numFmtId="0" fontId="73" fillId="0" borderId="5" xfId="0" applyFont="1" applyBorder="1" applyAlignment="1">
      <alignment horizontal="center" vertical="center" wrapText="1"/>
    </xf>
    <xf numFmtId="0" fontId="73" fillId="0" borderId="12" xfId="0" applyFont="1" applyBorder="1" applyAlignment="1">
      <alignment horizontal="center" vertical="center" wrapText="1"/>
    </xf>
    <xf numFmtId="0" fontId="65" fillId="0" borderId="12" xfId="0" applyFont="1" applyBorder="1" applyAlignment="1">
      <alignment horizontal="center"/>
    </xf>
    <xf numFmtId="0" fontId="65" fillId="0" borderId="6" xfId="0" applyFont="1" applyBorder="1" applyAlignment="1">
      <alignment horizontal="center"/>
    </xf>
    <xf numFmtId="0" fontId="70" fillId="16" borderId="32" xfId="0" applyFont="1" applyFill="1" applyBorder="1" applyAlignment="1">
      <alignment horizontal="center" vertical="center" wrapText="1"/>
    </xf>
    <xf numFmtId="0" fontId="70" fillId="16" borderId="33" xfId="0" applyFont="1" applyFill="1" applyBorder="1" applyAlignment="1">
      <alignment horizontal="center" vertical="center" wrapText="1"/>
    </xf>
    <xf numFmtId="0" fontId="70" fillId="16" borderId="80" xfId="0" applyFont="1" applyFill="1" applyBorder="1" applyAlignment="1">
      <alignment horizontal="center" vertical="center" wrapText="1"/>
    </xf>
    <xf numFmtId="0" fontId="70" fillId="16" borderId="81" xfId="0" applyFont="1" applyFill="1" applyBorder="1" applyAlignment="1">
      <alignment horizontal="center" vertical="center" wrapText="1"/>
    </xf>
    <xf numFmtId="0" fontId="70" fillId="16" borderId="24" xfId="0" applyFont="1" applyFill="1" applyBorder="1" applyAlignment="1">
      <alignment horizontal="center" vertical="center" wrapText="1"/>
    </xf>
    <xf numFmtId="0" fontId="70" fillId="16" borderId="35" xfId="0" applyFont="1" applyFill="1" applyBorder="1" applyAlignment="1">
      <alignment horizontal="center" vertical="center" wrapText="1"/>
    </xf>
    <xf numFmtId="0" fontId="67" fillId="0" borderId="69" xfId="0" applyFont="1" applyBorder="1" applyAlignment="1">
      <alignment horizontal="center" wrapText="1"/>
    </xf>
    <xf numFmtId="0" fontId="66" fillId="0" borderId="70" xfId="0" applyFont="1" applyBorder="1" applyAlignment="1">
      <alignment horizontal="center" wrapText="1"/>
    </xf>
    <xf numFmtId="0" fontId="66" fillId="0" borderId="73" xfId="0" applyFont="1" applyBorder="1" applyAlignment="1">
      <alignment horizontal="center" wrapText="1"/>
    </xf>
    <xf numFmtId="0" fontId="69" fillId="0" borderId="5" xfId="0" applyFont="1" applyBorder="1" applyAlignment="1">
      <alignment horizontal="center" vertical="center" wrapText="1"/>
    </xf>
    <xf numFmtId="0" fontId="69" fillId="0" borderId="12" xfId="0" applyFont="1" applyBorder="1" applyAlignment="1">
      <alignment horizontal="center" vertical="center" wrapText="1"/>
    </xf>
    <xf numFmtId="0" fontId="69" fillId="0" borderId="7" xfId="0" applyFont="1" applyBorder="1" applyAlignment="1">
      <alignment horizontal="center" vertical="center" wrapText="1"/>
    </xf>
    <xf numFmtId="0" fontId="69" fillId="0" borderId="0" xfId="0" applyFont="1" applyAlignment="1">
      <alignment horizontal="center" vertical="center" wrapText="1"/>
    </xf>
    <xf numFmtId="0" fontId="69" fillId="0" borderId="9" xfId="0" applyFont="1" applyBorder="1" applyAlignment="1">
      <alignment horizontal="center" vertical="center" wrapText="1"/>
    </xf>
    <xf numFmtId="0" fontId="69" fillId="0" borderId="11" xfId="0" applyFont="1" applyBorder="1" applyAlignment="1">
      <alignment horizontal="center" vertical="center" wrapText="1"/>
    </xf>
    <xf numFmtId="0" fontId="21" fillId="0" borderId="0" xfId="0" applyFont="1" applyAlignment="1">
      <alignment horizontal="center" vertical="center"/>
    </xf>
    <xf numFmtId="0" fontId="41" fillId="0" borderId="0" xfId="0" applyFont="1" applyAlignment="1">
      <alignment horizontal="center" vertical="center"/>
    </xf>
    <xf numFmtId="0" fontId="36" fillId="15" borderId="23" xfId="0" applyFont="1" applyFill="1" applyBorder="1" applyAlignment="1">
      <alignment horizontal="center" vertical="center" wrapText="1" readingOrder="1"/>
    </xf>
    <xf numFmtId="0" fontId="36" fillId="15" borderId="24" xfId="0" applyFont="1" applyFill="1" applyBorder="1" applyAlignment="1">
      <alignment horizontal="center" vertical="center" wrapText="1" readingOrder="1"/>
    </xf>
    <xf numFmtId="0" fontId="36" fillId="15" borderId="35" xfId="0" applyFont="1" applyFill="1" applyBorder="1" applyAlignment="1">
      <alignment horizontal="center" vertical="center" wrapText="1" readingOrder="1"/>
    </xf>
    <xf numFmtId="0" fontId="31" fillId="3" borderId="0" xfId="0" applyFont="1" applyFill="1" applyAlignment="1">
      <alignment horizontal="justify" vertical="center" wrapText="1"/>
    </xf>
    <xf numFmtId="0" fontId="33" fillId="15" borderId="32" xfId="0" applyFont="1" applyFill="1" applyBorder="1" applyAlignment="1">
      <alignment horizontal="center" vertical="center" wrapText="1" readingOrder="1"/>
    </xf>
    <xf numFmtId="0" fontId="33" fillId="15" borderId="33" xfId="0" applyFont="1" applyFill="1" applyBorder="1" applyAlignment="1">
      <alignment horizontal="center" vertical="center" wrapText="1" readingOrder="1"/>
    </xf>
    <xf numFmtId="0" fontId="33" fillId="3" borderId="30" xfId="0" applyFont="1" applyFill="1" applyBorder="1" applyAlignment="1">
      <alignment horizontal="center" vertical="center" wrapText="1" readingOrder="1"/>
    </xf>
    <xf numFmtId="0" fontId="33" fillId="3" borderId="25"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7"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0" fontId="102" fillId="0" borderId="100" xfId="0" applyFont="1" applyBorder="1" applyAlignment="1" applyProtection="1">
      <alignment vertical="center" wrapText="1"/>
      <protection locked="0"/>
    </xf>
    <xf numFmtId="14" fontId="102" fillId="0" borderId="100" xfId="0" applyNumberFormat="1" applyFont="1" applyBorder="1" applyAlignment="1" applyProtection="1">
      <alignment horizontal="center" vertical="center" wrapText="1"/>
      <protection locked="0"/>
    </xf>
    <xf numFmtId="14" fontId="102" fillId="0" borderId="100" xfId="0" applyNumberFormat="1" applyFont="1" applyBorder="1" applyAlignment="1" applyProtection="1">
      <alignment vertical="center" wrapText="1"/>
      <protection locked="0"/>
    </xf>
    <xf numFmtId="0" fontId="102" fillId="0" borderId="21" xfId="0" applyFont="1" applyBorder="1" applyAlignment="1" applyProtection="1">
      <alignment vertical="center" wrapText="1"/>
      <protection locked="0"/>
    </xf>
    <xf numFmtId="14" fontId="102" fillId="0" borderId="21" xfId="0" applyNumberFormat="1" applyFont="1" applyBorder="1" applyAlignment="1" applyProtection="1">
      <alignment horizontal="center" vertical="center" wrapText="1"/>
      <protection locked="0"/>
    </xf>
    <xf numFmtId="14" fontId="102" fillId="0" borderId="21" xfId="0" applyNumberFormat="1" applyFont="1" applyBorder="1" applyAlignment="1" applyProtection="1">
      <alignment horizontal="left" vertical="center" wrapText="1"/>
      <protection locked="0"/>
    </xf>
    <xf numFmtId="14" fontId="102" fillId="0" borderId="21" xfId="0" applyNumberFormat="1" applyFont="1" applyBorder="1" applyAlignment="1" applyProtection="1">
      <alignment vertical="center" wrapText="1"/>
      <protection locked="0"/>
    </xf>
    <xf numFmtId="0" fontId="102" fillId="0" borderId="102" xfId="0" applyFont="1" applyBorder="1" applyAlignment="1" applyProtection="1">
      <alignment vertical="center" wrapText="1"/>
      <protection locked="0"/>
    </xf>
    <xf numFmtId="14" fontId="102" fillId="0" borderId="102" xfId="0" applyNumberFormat="1" applyFont="1" applyBorder="1" applyAlignment="1" applyProtection="1">
      <alignment vertical="center" wrapText="1"/>
      <protection locked="0"/>
    </xf>
    <xf numFmtId="14" fontId="65" fillId="0" borderId="102" xfId="0" applyNumberFormat="1" applyFont="1" applyBorder="1" applyAlignment="1" applyProtection="1">
      <alignment vertical="center" wrapText="1"/>
      <protection locked="0"/>
    </xf>
    <xf numFmtId="14" fontId="65" fillId="0" borderId="100" xfId="0" applyNumberFormat="1" applyFont="1" applyBorder="1" applyAlignment="1" applyProtection="1">
      <alignment vertical="center" wrapText="1"/>
      <protection locked="0"/>
    </xf>
    <xf numFmtId="0" fontId="102" fillId="0" borderId="28" xfId="0" applyFont="1" applyBorder="1" applyAlignment="1" applyProtection="1">
      <alignment vertical="center" wrapText="1"/>
      <protection locked="0"/>
    </xf>
    <xf numFmtId="14" fontId="102" fillId="0" borderId="28" xfId="0" applyNumberFormat="1" applyFont="1" applyBorder="1" applyAlignment="1" applyProtection="1">
      <alignment vertical="center" wrapText="1"/>
      <protection locked="0"/>
    </xf>
    <xf numFmtId="14" fontId="65" fillId="0" borderId="28" xfId="0" applyNumberFormat="1" applyFont="1" applyBorder="1" applyAlignment="1" applyProtection="1">
      <alignment vertical="center" wrapText="1"/>
      <protection locked="0"/>
    </xf>
    <xf numFmtId="14" fontId="43" fillId="27" borderId="100" xfId="0" applyNumberFormat="1" applyFont="1" applyFill="1" applyBorder="1" applyAlignment="1">
      <alignment horizontal="center" vertical="center" wrapText="1"/>
    </xf>
    <xf numFmtId="14" fontId="43" fillId="27" borderId="21" xfId="0" applyNumberFormat="1" applyFont="1" applyFill="1" applyBorder="1" applyAlignment="1">
      <alignment horizontal="center" vertical="center" wrapText="1"/>
    </xf>
    <xf numFmtId="14" fontId="43" fillId="27" borderId="101" xfId="0" applyNumberFormat="1" applyFont="1" applyFill="1" applyBorder="1" applyAlignment="1">
      <alignment horizontal="center" vertical="center" wrapText="1"/>
    </xf>
    <xf numFmtId="14" fontId="43" fillId="27" borderId="28" xfId="0" applyNumberFormat="1" applyFont="1" applyFill="1" applyBorder="1" applyAlignment="1">
      <alignment horizontal="center" vertical="center" wrapText="1"/>
    </xf>
    <xf numFmtId="0" fontId="106" fillId="0" borderId="21" xfId="0" applyFont="1" applyBorder="1" applyAlignment="1" applyProtection="1">
      <alignment horizontal="justify" vertical="center" wrapText="1"/>
      <protection locked="0"/>
    </xf>
    <xf numFmtId="0" fontId="106" fillId="0" borderId="21" xfId="0" quotePrefix="1" applyFont="1" applyBorder="1" applyAlignment="1" applyProtection="1">
      <alignment horizontal="left" vertical="center" wrapText="1"/>
      <protection locked="0"/>
    </xf>
    <xf numFmtId="0" fontId="106" fillId="0" borderId="101" xfId="0" applyFont="1" applyBorder="1" applyAlignment="1" applyProtection="1">
      <alignment horizontal="justify" vertical="center" wrapText="1"/>
      <protection locked="0"/>
    </xf>
    <xf numFmtId="0" fontId="106" fillId="0" borderId="101" xfId="0" quotePrefix="1" applyFont="1" applyBorder="1" applyAlignment="1" applyProtection="1">
      <alignment horizontal="left" vertical="center" wrapText="1"/>
      <protection locked="0"/>
    </xf>
    <xf numFmtId="0" fontId="106" fillId="0" borderId="100" xfId="0" applyFont="1" applyBorder="1" applyAlignment="1" applyProtection="1">
      <alignment horizontal="justify" vertical="center" wrapText="1"/>
      <protection locked="0"/>
    </xf>
    <xf numFmtId="0" fontId="106" fillId="0" borderId="100" xfId="0" applyFont="1" applyBorder="1" applyAlignment="1" applyProtection="1">
      <alignment horizontal="left" vertical="center" wrapText="1"/>
      <protection locked="0"/>
    </xf>
    <xf numFmtId="0" fontId="106" fillId="0" borderId="28" xfId="0" applyFont="1" applyBorder="1" applyAlignment="1" applyProtection="1">
      <alignment horizontal="justify" vertical="center" wrapText="1"/>
      <protection locked="0"/>
    </xf>
    <xf numFmtId="0" fontId="106" fillId="0" borderId="28" xfId="0" applyFont="1" applyBorder="1" applyAlignment="1" applyProtection="1">
      <alignment horizontal="left" vertical="center" wrapText="1"/>
      <protection locked="0"/>
    </xf>
    <xf numFmtId="0" fontId="65" fillId="0" borderId="100" xfId="0" applyFont="1" applyBorder="1" applyAlignment="1" applyProtection="1">
      <alignment horizontal="center" vertical="center" textRotation="90" wrapText="1"/>
      <protection locked="0"/>
    </xf>
    <xf numFmtId="0" fontId="0" fillId="0" borderId="28" xfId="0" applyFont="1" applyBorder="1" applyAlignment="1">
      <alignment vertical="center" wrapText="1"/>
    </xf>
    <xf numFmtId="0" fontId="65" fillId="0" borderId="21" xfId="0" applyFont="1" applyBorder="1" applyAlignment="1" applyProtection="1">
      <alignment horizontal="center" vertical="center" textRotation="90" wrapText="1"/>
      <protection locked="0"/>
    </xf>
    <xf numFmtId="0" fontId="65" fillId="0" borderId="101" xfId="0" applyFont="1" applyBorder="1" applyAlignment="1" applyProtection="1">
      <alignment horizontal="center" vertical="center" textRotation="90" wrapText="1"/>
      <protection locked="0"/>
    </xf>
    <xf numFmtId="0" fontId="71" fillId="0" borderId="100" xfId="0" applyFont="1" applyBorder="1" applyAlignment="1" applyProtection="1">
      <alignment horizontal="center" vertical="center" wrapText="1"/>
      <protection locked="0"/>
    </xf>
    <xf numFmtId="0" fontId="65" fillId="0" borderId="28" xfId="0" applyFont="1" applyBorder="1" applyAlignment="1" applyProtection="1">
      <alignment horizontal="center" vertical="center" textRotation="90" wrapText="1"/>
      <protection locked="0"/>
    </xf>
    <xf numFmtId="0" fontId="0" fillId="0" borderId="100" xfId="0" applyFont="1" applyBorder="1" applyAlignment="1">
      <alignment vertical="center" wrapText="1"/>
    </xf>
  </cellXfs>
  <cellStyles count="7">
    <cellStyle name="Hipervínculo" xfId="5" builtinId="8"/>
    <cellStyle name="Hyperlink" xfId="6" xr:uid="{00000000-000B-0000-0000-000008000000}"/>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26">
    <dxf>
      <fill>
        <patternFill>
          <bgColor rgb="FFFFFF00"/>
        </patternFill>
      </fill>
    </dxf>
    <dxf>
      <fill>
        <patternFill>
          <bgColor rgb="FF00B050"/>
        </patternFill>
      </fill>
    </dxf>
    <dxf>
      <fill>
        <patternFill>
          <bgColor rgb="FFFF0000"/>
        </patternFill>
      </fill>
    </dxf>
    <dxf>
      <font>
        <color theme="1"/>
      </font>
      <fill>
        <patternFill>
          <bgColor rgb="FF92D050"/>
        </patternFill>
      </fill>
    </dxf>
    <dxf>
      <font>
        <color auto="1"/>
      </font>
      <fill>
        <patternFill>
          <bgColor rgb="FFFFFF00"/>
        </patternFill>
      </fill>
    </dxf>
    <dxf>
      <font>
        <color auto="1"/>
      </font>
      <fill>
        <patternFill>
          <bgColor rgb="FFC00000"/>
        </patternFill>
      </fill>
    </dxf>
    <dxf>
      <font>
        <color auto="1"/>
      </font>
      <fill>
        <patternFill>
          <bgColor rgb="FF92D050"/>
        </patternFill>
      </fill>
    </dxf>
    <dxf>
      <font>
        <color auto="1"/>
      </font>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B4B3B6"/>
      <color rgb="FF287840"/>
      <color rgb="FF00CC66"/>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Mapa final'!A1"/><Relationship Id="rId7" Type="http://schemas.openxmlformats.org/officeDocument/2006/relationships/image" Target="../media/image2.svg"/><Relationship Id="rId2" Type="http://schemas.openxmlformats.org/officeDocument/2006/relationships/hyperlink" Target="#'Matriz Calor Residual'!A1"/><Relationship Id="rId1" Type="http://schemas.openxmlformats.org/officeDocument/2006/relationships/hyperlink" Target="#'CAMBIOS REGISTRO'!A1"/><Relationship Id="rId6" Type="http://schemas.openxmlformats.org/officeDocument/2006/relationships/image" Target="../media/image1.png"/><Relationship Id="rId5" Type="http://schemas.openxmlformats.org/officeDocument/2006/relationships/hyperlink" Target="#'CRITERIOS R CORRUPCION'!A1"/><Relationship Id="rId4" Type="http://schemas.openxmlformats.org/officeDocument/2006/relationships/hyperlink" Target="#'Matriz Calor Inherente'!A1"/></Relationships>
</file>

<file path=xl/drawings/_rels/drawing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PORTADA '!A1"/><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ORTADA '!A1"/></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12</xdr:col>
      <xdr:colOff>80211</xdr:colOff>
      <xdr:row>31</xdr:row>
      <xdr:rowOff>50132</xdr:rowOff>
    </xdr:from>
    <xdr:to>
      <xdr:col>13</xdr:col>
      <xdr:colOff>604086</xdr:colOff>
      <xdr:row>37</xdr:row>
      <xdr:rowOff>50132</xdr:rowOff>
    </xdr:to>
    <xdr:sp macro="" textlink="">
      <xdr:nvSpPr>
        <xdr:cNvPr id="3" name="Diagrama de flujo: multidocumento 2">
          <a:hlinkClick xmlns:r="http://schemas.openxmlformats.org/officeDocument/2006/relationships" r:id="rId1"/>
          <a:extLst>
            <a:ext uri="{FF2B5EF4-FFF2-40B4-BE49-F238E27FC236}">
              <a16:creationId xmlns:a16="http://schemas.microsoft.com/office/drawing/2014/main" id="{561EEA2B-EE45-474B-B261-C2F77FE53BED}"/>
            </a:ext>
            <a:ext uri="{147F2762-F138-4A5C-976F-8EAC2B608ADB}">
              <a16:predDERef xmlns:a16="http://schemas.microsoft.com/office/drawing/2014/main" pred="{A0CA84D1-D22B-4210-8FA4-F089CFE3202B}"/>
            </a:ext>
          </a:extLst>
        </xdr:cNvPr>
        <xdr:cNvSpPr/>
      </xdr:nvSpPr>
      <xdr:spPr>
        <a:xfrm>
          <a:off x="9314448" y="6035843"/>
          <a:ext cx="1285875" cy="1143000"/>
        </a:xfrm>
        <a:prstGeom prst="flowChartMultidocument">
          <a:avLst/>
        </a:prstGeom>
        <a:solidFill>
          <a:srgbClr val="28784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ctr"/>
          <a:r>
            <a:rPr lang="en-US" sz="1100" b="1" i="0" u="none" strike="noStrike">
              <a:solidFill>
                <a:schemeClr val="lt1"/>
              </a:solidFill>
              <a:latin typeface="Calibri" panose="020F0502020204030204" pitchFamily="34" charset="0"/>
              <a:cs typeface="Calibri" panose="020F0502020204030204" pitchFamily="34" charset="0"/>
            </a:rPr>
            <a:t>CONTROL DE CAMBIOS </a:t>
          </a:r>
        </a:p>
      </xdr:txBody>
    </xdr:sp>
    <xdr:clientData/>
  </xdr:twoCellAnchor>
  <xdr:twoCellAnchor>
    <xdr:from>
      <xdr:col>2</xdr:col>
      <xdr:colOff>280736</xdr:colOff>
      <xdr:row>8</xdr:row>
      <xdr:rowOff>130342</xdr:rowOff>
    </xdr:from>
    <xdr:to>
      <xdr:col>12</xdr:col>
      <xdr:colOff>601579</xdr:colOff>
      <xdr:row>28</xdr:row>
      <xdr:rowOff>40105</xdr:rowOff>
    </xdr:to>
    <xdr:grpSp>
      <xdr:nvGrpSpPr>
        <xdr:cNvPr id="4" name="Google Shape;6040;p62">
          <a:extLst>
            <a:ext uri="{FF2B5EF4-FFF2-40B4-BE49-F238E27FC236}">
              <a16:creationId xmlns:a16="http://schemas.microsoft.com/office/drawing/2014/main" id="{B3F5F72E-E959-4301-B587-7E1224BDEF5E}"/>
            </a:ext>
          </a:extLst>
        </xdr:cNvPr>
        <xdr:cNvGrpSpPr/>
      </xdr:nvGrpSpPr>
      <xdr:grpSpPr>
        <a:xfrm>
          <a:off x="1831473" y="1761289"/>
          <a:ext cx="9571790" cy="3920290"/>
          <a:chOff x="238125" y="1188750"/>
          <a:chExt cx="7140450" cy="3335550"/>
        </a:xfrm>
      </xdr:grpSpPr>
      <xdr:sp macro="" textlink="">
        <xdr:nvSpPr>
          <xdr:cNvPr id="5" name="Google Shape;6041;p62">
            <a:extLst>
              <a:ext uri="{FF2B5EF4-FFF2-40B4-BE49-F238E27FC236}">
                <a16:creationId xmlns:a16="http://schemas.microsoft.com/office/drawing/2014/main" id="{18AB30EA-3692-4E95-AC57-A61DDC3B62D6}"/>
              </a:ext>
            </a:extLst>
          </xdr:cNvPr>
          <xdr:cNvSpPr/>
        </xdr:nvSpPr>
        <xdr:spPr>
          <a:xfrm>
            <a:off x="238125" y="1188750"/>
            <a:ext cx="3507025" cy="1584000"/>
          </a:xfrm>
          <a:custGeom>
            <a:avLst/>
            <a:gdLst/>
            <a:ahLst/>
            <a:cxnLst/>
            <a:rect l="l" t="t" r="r" b="b"/>
            <a:pathLst>
              <a:path w="140281" h="63360" extrusionOk="0">
                <a:moveTo>
                  <a:pt x="4021" y="0"/>
                </a:moveTo>
                <a:cubicBezTo>
                  <a:pt x="1801" y="6"/>
                  <a:pt x="6" y="1801"/>
                  <a:pt x="0" y="4021"/>
                </a:cubicBezTo>
                <a:lnTo>
                  <a:pt x="0" y="59338"/>
                </a:lnTo>
                <a:cubicBezTo>
                  <a:pt x="6" y="61552"/>
                  <a:pt x="1801" y="63354"/>
                  <a:pt x="4021" y="63359"/>
                </a:cubicBezTo>
                <a:lnTo>
                  <a:pt x="98272" y="63359"/>
                </a:lnTo>
                <a:cubicBezTo>
                  <a:pt x="99963" y="41512"/>
                  <a:pt x="118098" y="24204"/>
                  <a:pt x="140280" y="23813"/>
                </a:cubicBezTo>
                <a:lnTo>
                  <a:pt x="140280" y="4021"/>
                </a:lnTo>
                <a:cubicBezTo>
                  <a:pt x="140275" y="1801"/>
                  <a:pt x="138474" y="6"/>
                  <a:pt x="136259"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CONTEXTO -</a:t>
            </a:r>
            <a:r>
              <a:rPr lang="es-MX" b="1" baseline="0">
                <a:solidFill>
                  <a:schemeClr val="bg1"/>
                </a:solidFill>
              </a:rPr>
              <a:t> DOFA</a:t>
            </a:r>
          </a:p>
          <a:p>
            <a:pPr marL="0" lvl="0" indent="0" algn="ctr" rtl="0">
              <a:spcBef>
                <a:spcPts val="0"/>
              </a:spcBef>
              <a:spcAft>
                <a:spcPts val="0"/>
              </a:spcAft>
              <a:buNone/>
            </a:pPr>
            <a:r>
              <a:rPr lang="es-MX" b="1" baseline="0">
                <a:solidFill>
                  <a:schemeClr val="bg1"/>
                </a:solidFill>
              </a:rPr>
              <a:t>(KAWAK)</a:t>
            </a:r>
            <a:endParaRPr b="1">
              <a:solidFill>
                <a:schemeClr val="bg1"/>
              </a:solidFill>
            </a:endParaRPr>
          </a:p>
        </xdr:txBody>
      </xdr:sp>
      <xdr:sp macro="" textlink="">
        <xdr:nvSpPr>
          <xdr:cNvPr id="6" name="Google Shape;6042;p62">
            <a:hlinkClick xmlns:r="http://schemas.openxmlformats.org/officeDocument/2006/relationships" r:id="rId2"/>
            <a:extLst>
              <a:ext uri="{FF2B5EF4-FFF2-40B4-BE49-F238E27FC236}">
                <a16:creationId xmlns:a16="http://schemas.microsoft.com/office/drawing/2014/main" id="{BD507546-1AC8-44E1-93E6-7187A5D8A960}"/>
              </a:ext>
            </a:extLst>
          </xdr:cNvPr>
          <xdr:cNvSpPr/>
        </xdr:nvSpPr>
        <xdr:spPr>
          <a:xfrm>
            <a:off x="238125" y="2940300"/>
            <a:ext cx="3507025" cy="1584000"/>
          </a:xfrm>
          <a:custGeom>
            <a:avLst/>
            <a:gdLst/>
            <a:ahLst/>
            <a:cxnLst/>
            <a:rect l="l" t="t" r="r" b="b"/>
            <a:pathLst>
              <a:path w="140281" h="63360" extrusionOk="0">
                <a:moveTo>
                  <a:pt x="4021" y="1"/>
                </a:moveTo>
                <a:cubicBezTo>
                  <a:pt x="1801" y="6"/>
                  <a:pt x="6" y="1808"/>
                  <a:pt x="0" y="4022"/>
                </a:cubicBezTo>
                <a:lnTo>
                  <a:pt x="0" y="59339"/>
                </a:lnTo>
                <a:cubicBezTo>
                  <a:pt x="6" y="61559"/>
                  <a:pt x="1801" y="63354"/>
                  <a:pt x="4021" y="63360"/>
                </a:cubicBezTo>
                <a:lnTo>
                  <a:pt x="136259" y="63360"/>
                </a:lnTo>
                <a:cubicBezTo>
                  <a:pt x="138474" y="63354"/>
                  <a:pt x="140275" y="61559"/>
                  <a:pt x="140280" y="59339"/>
                </a:cubicBezTo>
                <a:lnTo>
                  <a:pt x="140280" y="39547"/>
                </a:lnTo>
                <a:cubicBezTo>
                  <a:pt x="118098" y="39155"/>
                  <a:pt x="99963" y="21848"/>
                  <a:pt x="98272" y="1"/>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a:t>
            </a:r>
          </a:p>
          <a:p>
            <a:pPr algn="ctr"/>
            <a:r>
              <a:rPr lang="es-CO" sz="1400" b="1" i="0" u="none" strike="noStrike" cap="none">
                <a:solidFill>
                  <a:schemeClr val="bg1"/>
                </a:solidFill>
                <a:effectLst/>
                <a:latin typeface="Arial"/>
                <a:ea typeface="Arial"/>
                <a:cs typeface="Arial"/>
                <a:sym typeface="Arial"/>
              </a:rPr>
              <a:t> RESIDUAL</a:t>
            </a:r>
          </a:p>
          <a:p>
            <a:pPr marL="0" lvl="0" indent="0" algn="ctr" rtl="0">
              <a:spcBef>
                <a:spcPts val="0"/>
              </a:spcBef>
              <a:spcAft>
                <a:spcPts val="0"/>
              </a:spcAft>
              <a:buNone/>
            </a:pPr>
            <a:endParaRPr/>
          </a:p>
        </xdr:txBody>
      </xdr:sp>
      <xdr:sp macro="" textlink="">
        <xdr:nvSpPr>
          <xdr:cNvPr id="7" name="Google Shape;6043;p62">
            <a:hlinkClick xmlns:r="http://schemas.openxmlformats.org/officeDocument/2006/relationships" r:id="rId3"/>
            <a:extLst>
              <a:ext uri="{FF2B5EF4-FFF2-40B4-BE49-F238E27FC236}">
                <a16:creationId xmlns:a16="http://schemas.microsoft.com/office/drawing/2014/main" id="{B42689E8-C2D2-49B1-8850-0208BA377BE1}"/>
              </a:ext>
            </a:extLst>
          </xdr:cNvPr>
          <xdr:cNvSpPr/>
        </xdr:nvSpPr>
        <xdr:spPr>
          <a:xfrm>
            <a:off x="3871550" y="1188750"/>
            <a:ext cx="3507025" cy="1584000"/>
          </a:xfrm>
          <a:custGeom>
            <a:avLst/>
            <a:gdLst/>
            <a:ahLst/>
            <a:cxnLst/>
            <a:rect l="l" t="t" r="r" b="b"/>
            <a:pathLst>
              <a:path w="140281" h="63360" extrusionOk="0">
                <a:moveTo>
                  <a:pt x="4022" y="0"/>
                </a:moveTo>
                <a:cubicBezTo>
                  <a:pt x="1807" y="6"/>
                  <a:pt x="6" y="1801"/>
                  <a:pt x="0" y="4021"/>
                </a:cubicBezTo>
                <a:lnTo>
                  <a:pt x="0" y="24017"/>
                </a:lnTo>
                <a:cubicBezTo>
                  <a:pt x="20553" y="26066"/>
                  <a:pt x="36886" y="42675"/>
                  <a:pt x="38494" y="63359"/>
                </a:cubicBezTo>
                <a:lnTo>
                  <a:pt x="136260" y="63359"/>
                </a:lnTo>
                <a:cubicBezTo>
                  <a:pt x="138480" y="63354"/>
                  <a:pt x="140275" y="61552"/>
                  <a:pt x="140281" y="59338"/>
                </a:cubicBezTo>
                <a:lnTo>
                  <a:pt x="140281" y="4021"/>
                </a:lnTo>
                <a:cubicBezTo>
                  <a:pt x="140275" y="1801"/>
                  <a:pt x="138480" y="6"/>
                  <a:pt x="136260" y="0"/>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MAPA DE</a:t>
            </a:r>
            <a:r>
              <a:rPr lang="es-MX" b="1" baseline="0">
                <a:solidFill>
                  <a:schemeClr val="bg1"/>
                </a:solidFill>
              </a:rPr>
              <a:t> </a:t>
            </a:r>
            <a:r>
              <a:rPr lang="es-MX" b="1">
                <a:solidFill>
                  <a:schemeClr val="bg1"/>
                </a:solidFill>
              </a:rPr>
              <a:t>RIESGOS</a:t>
            </a:r>
            <a:r>
              <a:rPr lang="es-MX" b="1" baseline="0">
                <a:solidFill>
                  <a:schemeClr val="bg1"/>
                </a:solidFill>
              </a:rPr>
              <a:t>  </a:t>
            </a:r>
          </a:p>
          <a:p>
            <a:pPr marL="0" lvl="0" indent="0" algn="ctr" rtl="0">
              <a:spcBef>
                <a:spcPts val="0"/>
              </a:spcBef>
              <a:spcAft>
                <a:spcPts val="0"/>
              </a:spcAft>
              <a:buNone/>
            </a:pPr>
            <a:r>
              <a:rPr lang="es-MX" b="1" baseline="0">
                <a:solidFill>
                  <a:schemeClr val="bg1"/>
                </a:solidFill>
              </a:rPr>
              <a:t>DE PROCESO</a:t>
            </a:r>
            <a:endParaRPr b="1">
              <a:solidFill>
                <a:schemeClr val="bg1"/>
              </a:solidFill>
            </a:endParaRPr>
          </a:p>
        </xdr:txBody>
      </xdr:sp>
      <xdr:sp macro="" textlink="">
        <xdr:nvSpPr>
          <xdr:cNvPr id="8" name="Google Shape;6044;p62">
            <a:hlinkClick xmlns:r="http://schemas.openxmlformats.org/officeDocument/2006/relationships" r:id="rId4"/>
            <a:extLst>
              <a:ext uri="{FF2B5EF4-FFF2-40B4-BE49-F238E27FC236}">
                <a16:creationId xmlns:a16="http://schemas.microsoft.com/office/drawing/2014/main" id="{CDE12DC8-5FFF-4D49-BD61-EB6409C00729}"/>
              </a:ext>
            </a:extLst>
          </xdr:cNvPr>
          <xdr:cNvSpPr/>
        </xdr:nvSpPr>
        <xdr:spPr>
          <a:xfrm>
            <a:off x="3871550" y="2940300"/>
            <a:ext cx="3507025" cy="1584000"/>
          </a:xfrm>
          <a:custGeom>
            <a:avLst/>
            <a:gdLst/>
            <a:ahLst/>
            <a:cxnLst/>
            <a:rect l="l" t="t" r="r" b="b"/>
            <a:pathLst>
              <a:path w="140281" h="63360" extrusionOk="0">
                <a:moveTo>
                  <a:pt x="38494" y="1"/>
                </a:moveTo>
                <a:cubicBezTo>
                  <a:pt x="36886" y="20680"/>
                  <a:pt x="20553" y="37294"/>
                  <a:pt x="0" y="39343"/>
                </a:cubicBezTo>
                <a:lnTo>
                  <a:pt x="0" y="59339"/>
                </a:lnTo>
                <a:cubicBezTo>
                  <a:pt x="6" y="61559"/>
                  <a:pt x="1807" y="63354"/>
                  <a:pt x="4022" y="63360"/>
                </a:cubicBezTo>
                <a:lnTo>
                  <a:pt x="136260" y="63360"/>
                </a:lnTo>
                <a:cubicBezTo>
                  <a:pt x="138480" y="63354"/>
                  <a:pt x="140275" y="61559"/>
                  <a:pt x="140281" y="59339"/>
                </a:cubicBezTo>
                <a:lnTo>
                  <a:pt x="140281" y="4022"/>
                </a:lnTo>
                <a:cubicBezTo>
                  <a:pt x="140275" y="1808"/>
                  <a:pt x="138480" y="6"/>
                  <a:pt x="136260" y="1"/>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 </a:t>
            </a:r>
          </a:p>
          <a:p>
            <a:pPr algn="ctr"/>
            <a:r>
              <a:rPr lang="es-CO" sz="1400" b="1" i="0" u="none" strike="noStrike" cap="none">
                <a:solidFill>
                  <a:schemeClr val="bg1"/>
                </a:solidFill>
                <a:effectLst/>
                <a:latin typeface="Arial"/>
                <a:ea typeface="Arial"/>
                <a:cs typeface="Arial"/>
                <a:sym typeface="Arial"/>
              </a:rPr>
              <a:t>INHERENTE</a:t>
            </a:r>
          </a:p>
        </xdr:txBody>
      </xdr:sp>
      <xdr:sp macro="" textlink="">
        <xdr:nvSpPr>
          <xdr:cNvPr id="9" name="Google Shape;6045;p62">
            <a:extLst>
              <a:ext uri="{FF2B5EF4-FFF2-40B4-BE49-F238E27FC236}">
                <a16:creationId xmlns:a16="http://schemas.microsoft.com/office/drawing/2014/main" id="{4F08F53C-068E-4448-BD7A-AC4DC9C52EAA}"/>
              </a:ext>
            </a:extLst>
          </xdr:cNvPr>
          <xdr:cNvSpPr/>
        </xdr:nvSpPr>
        <xdr:spPr>
          <a:xfrm>
            <a:off x="2842425" y="1934600"/>
            <a:ext cx="1843850" cy="1843850"/>
          </a:xfrm>
          <a:custGeom>
            <a:avLst/>
            <a:gdLst/>
            <a:ahLst/>
            <a:cxnLst/>
            <a:rect l="l" t="t" r="r" b="b"/>
            <a:pathLst>
              <a:path w="73754" h="73754" extrusionOk="0">
                <a:moveTo>
                  <a:pt x="36880" y="0"/>
                </a:moveTo>
                <a:cubicBezTo>
                  <a:pt x="36621" y="0"/>
                  <a:pt x="36362" y="6"/>
                  <a:pt x="36108" y="11"/>
                </a:cubicBezTo>
                <a:cubicBezTo>
                  <a:pt x="17253" y="397"/>
                  <a:pt x="1834" y="15011"/>
                  <a:pt x="154" y="33525"/>
                </a:cubicBezTo>
                <a:cubicBezTo>
                  <a:pt x="55" y="34627"/>
                  <a:pt x="0" y="35745"/>
                  <a:pt x="0" y="36874"/>
                </a:cubicBezTo>
                <a:cubicBezTo>
                  <a:pt x="0" y="38009"/>
                  <a:pt x="55" y="39122"/>
                  <a:pt x="154" y="40229"/>
                </a:cubicBezTo>
                <a:cubicBezTo>
                  <a:pt x="1834" y="58749"/>
                  <a:pt x="17253" y="73357"/>
                  <a:pt x="36108" y="73743"/>
                </a:cubicBezTo>
                <a:cubicBezTo>
                  <a:pt x="36362" y="73748"/>
                  <a:pt x="36621" y="73754"/>
                  <a:pt x="36880" y="73754"/>
                </a:cubicBezTo>
                <a:cubicBezTo>
                  <a:pt x="38312" y="73754"/>
                  <a:pt x="39744" y="73666"/>
                  <a:pt x="41165" y="73500"/>
                </a:cubicBezTo>
                <a:cubicBezTo>
                  <a:pt x="58391" y="71495"/>
                  <a:pt x="72030" y="57581"/>
                  <a:pt x="73600" y="40229"/>
                </a:cubicBezTo>
                <a:cubicBezTo>
                  <a:pt x="73699" y="39127"/>
                  <a:pt x="73754" y="38009"/>
                  <a:pt x="73754" y="36874"/>
                </a:cubicBezTo>
                <a:cubicBezTo>
                  <a:pt x="73754" y="35745"/>
                  <a:pt x="73699" y="34632"/>
                  <a:pt x="73600" y="33525"/>
                </a:cubicBezTo>
                <a:cubicBezTo>
                  <a:pt x="72024" y="16173"/>
                  <a:pt x="58391" y="2259"/>
                  <a:pt x="41165" y="254"/>
                </a:cubicBezTo>
                <a:cubicBezTo>
                  <a:pt x="39744" y="88"/>
                  <a:pt x="38312" y="0"/>
                  <a:pt x="36880"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SISTEMA DE GESTION INTEGRADO</a:t>
            </a:r>
            <a:r>
              <a:rPr lang="es-MX" b="1" baseline="0">
                <a:solidFill>
                  <a:schemeClr val="bg1"/>
                </a:solidFill>
              </a:rPr>
              <a:t> ETITC</a:t>
            </a:r>
            <a:endParaRPr b="1">
              <a:solidFill>
                <a:schemeClr val="bg1"/>
              </a:solidFill>
            </a:endParaRPr>
          </a:p>
        </xdr:txBody>
      </xdr:sp>
    </xdr:grpSp>
    <xdr:clientData/>
  </xdr:twoCellAnchor>
  <xdr:twoCellAnchor editAs="oneCell">
    <xdr:from>
      <xdr:col>3</xdr:col>
      <xdr:colOff>180473</xdr:colOff>
      <xdr:row>31</xdr:row>
      <xdr:rowOff>82217</xdr:rowOff>
    </xdr:from>
    <xdr:to>
      <xdr:col>5</xdr:col>
      <xdr:colOff>10027</xdr:colOff>
      <xdr:row>38</xdr:row>
      <xdr:rowOff>92244</xdr:rowOff>
    </xdr:to>
    <xdr:pic>
      <xdr:nvPicPr>
        <xdr:cNvPr id="11" name="Gráfico 10" descr="Lista de comprobación">
          <a:hlinkClick xmlns:r="http://schemas.openxmlformats.org/officeDocument/2006/relationships" r:id="rId5"/>
          <a:extLst>
            <a:ext uri="{FF2B5EF4-FFF2-40B4-BE49-F238E27FC236}">
              <a16:creationId xmlns:a16="http://schemas.microsoft.com/office/drawing/2014/main" id="{B2681AEC-BB6E-40BC-9B5F-2C3C98ED353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3168315" y="6458954"/>
          <a:ext cx="1353553" cy="1353553"/>
        </a:xfrm>
        <a:prstGeom prst="rect">
          <a:avLst/>
        </a:prstGeom>
      </xdr:spPr>
    </xdr:pic>
    <xdr:clientData/>
  </xdr:twoCellAnchor>
  <xdr:twoCellAnchor editAs="oneCell">
    <xdr:from>
      <xdr:col>1</xdr:col>
      <xdr:colOff>1112920</xdr:colOff>
      <xdr:row>1</xdr:row>
      <xdr:rowOff>120316</xdr:rowOff>
    </xdr:from>
    <xdr:to>
      <xdr:col>2</xdr:col>
      <xdr:colOff>533399</xdr:colOff>
      <xdr:row>4</xdr:row>
      <xdr:rowOff>391</xdr:rowOff>
    </xdr:to>
    <xdr:pic>
      <xdr:nvPicPr>
        <xdr:cNvPr id="2" name="Imagen 4">
          <a:extLst>
            <a:ext uri="{FF2B5EF4-FFF2-40B4-BE49-F238E27FC236}">
              <a16:creationId xmlns:a16="http://schemas.microsoft.com/office/drawing/2014/main" id="{57AE46B9-8CF0-4183-B042-FA91EA9C8AC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63578" y="280737"/>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62593</xdr:colOff>
      <xdr:row>7</xdr:row>
      <xdr:rowOff>21771</xdr:rowOff>
    </xdr:from>
    <xdr:to>
      <xdr:col>3</xdr:col>
      <xdr:colOff>189235</xdr:colOff>
      <xdr:row>9</xdr:row>
      <xdr:rowOff>124772</xdr:rowOff>
    </xdr:to>
    <xdr:pic>
      <xdr:nvPicPr>
        <xdr:cNvPr id="6" name="Gráfico 5" descr="Escena suburbana">
          <a:hlinkClick xmlns:r="http://schemas.openxmlformats.org/officeDocument/2006/relationships" r:id="rId1"/>
          <a:extLst>
            <a:ext uri="{FF2B5EF4-FFF2-40B4-BE49-F238E27FC236}">
              <a16:creationId xmlns:a16="http://schemas.microsoft.com/office/drawing/2014/main" id="{2A21950B-AED9-4C7D-A227-4B209EC561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593" y="2174421"/>
          <a:ext cx="923925" cy="930728"/>
        </a:xfrm>
        <a:prstGeom prst="rect">
          <a:avLst/>
        </a:prstGeom>
      </xdr:spPr>
    </xdr:pic>
    <xdr:clientData/>
  </xdr:twoCellAnchor>
  <xdr:twoCellAnchor editAs="oneCell">
    <xdr:from>
      <xdr:col>5</xdr:col>
      <xdr:colOff>372071</xdr:colOff>
      <xdr:row>1</xdr:row>
      <xdr:rowOff>193477</xdr:rowOff>
    </xdr:from>
    <xdr:to>
      <xdr:col>10</xdr:col>
      <xdr:colOff>773906</xdr:colOff>
      <xdr:row>3</xdr:row>
      <xdr:rowOff>286860</xdr:rowOff>
    </xdr:to>
    <xdr:pic>
      <xdr:nvPicPr>
        <xdr:cNvPr id="2" name="Imagen 4">
          <a:extLst>
            <a:ext uri="{FF2B5EF4-FFF2-40B4-BE49-F238E27FC236}">
              <a16:creationId xmlns:a16="http://schemas.microsoft.com/office/drawing/2014/main" id="{982481E6-8388-4A39-BA8D-5F1279B28E7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797969" y="386954"/>
          <a:ext cx="773906" cy="811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458788</xdr:colOff>
      <xdr:row>1</xdr:row>
      <xdr:rowOff>38100</xdr:rowOff>
    </xdr:from>
    <xdr:to>
      <xdr:col>2</xdr:col>
      <xdr:colOff>342899</xdr:colOff>
      <xdr:row>3</xdr:row>
      <xdr:rowOff>87829</xdr:rowOff>
    </xdr:to>
    <xdr:pic>
      <xdr:nvPicPr>
        <xdr:cNvPr id="2" name="Imagen 4">
          <a:extLst>
            <a:ext uri="{FF2B5EF4-FFF2-40B4-BE49-F238E27FC236}">
              <a16:creationId xmlns:a16="http://schemas.microsoft.com/office/drawing/2014/main" id="{3C1CD76F-FE75-4CE9-BCB2-B45BD421A5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0788" y="238125"/>
          <a:ext cx="531811" cy="545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952500</xdr:colOff>
      <xdr:row>4</xdr:row>
      <xdr:rowOff>85725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2EC4FEF1-A890-48AB-8460-EBD7D26D13F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8100" y="114300"/>
          <a:ext cx="914400" cy="914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44450</xdr:colOff>
      <xdr:row>0</xdr:row>
      <xdr:rowOff>0</xdr:rowOff>
    </xdr:from>
    <xdr:to>
      <xdr:col>11</xdr:col>
      <xdr:colOff>495300</xdr:colOff>
      <xdr:row>26</xdr:row>
      <xdr:rowOff>155042</xdr:rowOff>
    </xdr:to>
    <xdr:pic>
      <xdr:nvPicPr>
        <xdr:cNvPr id="2" name="Imagen 1">
          <a:extLst>
            <a:ext uri="{FF2B5EF4-FFF2-40B4-BE49-F238E27FC236}">
              <a16:creationId xmlns:a16="http://schemas.microsoft.com/office/drawing/2014/main" id="{05936C09-E2DB-C52B-4972-F52956DF6CB7}"/>
            </a:ext>
          </a:extLst>
        </xdr:cNvPr>
        <xdr:cNvPicPr>
          <a:picLocks noChangeAspect="1"/>
        </xdr:cNvPicPr>
      </xdr:nvPicPr>
      <xdr:blipFill>
        <a:blip xmlns:r="http://schemas.openxmlformats.org/officeDocument/2006/relationships" r:embed="rId1"/>
        <a:stretch>
          <a:fillRect/>
        </a:stretch>
      </xdr:blipFill>
      <xdr:spPr>
        <a:xfrm>
          <a:off x="3092450" y="0"/>
          <a:ext cx="5784850" cy="5108042"/>
        </a:xfrm>
        <a:prstGeom prst="rect">
          <a:avLst/>
        </a:prstGeom>
      </xdr:spPr>
    </xdr:pic>
    <xdr:clientData/>
  </xdr:twoCellAnchor>
  <xdr:twoCellAnchor editAs="oneCell">
    <xdr:from>
      <xdr:col>4</xdr:col>
      <xdr:colOff>76200</xdr:colOff>
      <xdr:row>27</xdr:row>
      <xdr:rowOff>47624</xdr:rowOff>
    </xdr:from>
    <xdr:to>
      <xdr:col>11</xdr:col>
      <xdr:colOff>485775</xdr:colOff>
      <xdr:row>42</xdr:row>
      <xdr:rowOff>180975</xdr:rowOff>
    </xdr:to>
    <xdr:pic>
      <xdr:nvPicPr>
        <xdr:cNvPr id="3" name="Imagen 2">
          <a:extLst>
            <a:ext uri="{FF2B5EF4-FFF2-40B4-BE49-F238E27FC236}">
              <a16:creationId xmlns:a16="http://schemas.microsoft.com/office/drawing/2014/main" id="{C26438EB-DE44-1D10-37E8-2751E58C62E8}"/>
            </a:ext>
          </a:extLst>
        </xdr:cNvPr>
        <xdr:cNvPicPr>
          <a:picLocks noChangeAspect="1"/>
        </xdr:cNvPicPr>
      </xdr:nvPicPr>
      <xdr:blipFill>
        <a:blip xmlns:r="http://schemas.openxmlformats.org/officeDocument/2006/relationships" r:embed="rId2"/>
        <a:stretch>
          <a:fillRect/>
        </a:stretch>
      </xdr:blipFill>
      <xdr:spPr>
        <a:xfrm>
          <a:off x="3124200" y="5191124"/>
          <a:ext cx="5743575" cy="29908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87313</xdr:colOff>
      <xdr:row>1</xdr:row>
      <xdr:rowOff>19050</xdr:rowOff>
    </xdr:from>
    <xdr:to>
      <xdr:col>7</xdr:col>
      <xdr:colOff>239713</xdr:colOff>
      <xdr:row>4</xdr:row>
      <xdr:rowOff>6908</xdr:rowOff>
    </xdr:to>
    <xdr:pic>
      <xdr:nvPicPr>
        <xdr:cNvPr id="2" name="Imagen 4">
          <a:extLst>
            <a:ext uri="{FF2B5EF4-FFF2-40B4-BE49-F238E27FC236}">
              <a16:creationId xmlns:a16="http://schemas.microsoft.com/office/drawing/2014/main" id="{C9EC256A-DB6F-4832-A5C7-920A72533D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16313" y="22542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476250</xdr:colOff>
      <xdr:row>2</xdr:row>
      <xdr:rowOff>31750</xdr:rowOff>
    </xdr:from>
    <xdr:to>
      <xdr:col>2</xdr:col>
      <xdr:colOff>330200</xdr:colOff>
      <xdr:row>6</xdr:row>
      <xdr:rowOff>168275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AC2E177A-875D-4A57-A129-BCFB879CD9A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76250" y="428625"/>
          <a:ext cx="914400" cy="914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100013</xdr:colOff>
      <xdr:row>1</xdr:row>
      <xdr:rowOff>19050</xdr:rowOff>
    </xdr:from>
    <xdr:to>
      <xdr:col>6</xdr:col>
      <xdr:colOff>252413</xdr:colOff>
      <xdr:row>4</xdr:row>
      <xdr:rowOff>6908</xdr:rowOff>
    </xdr:to>
    <xdr:pic>
      <xdr:nvPicPr>
        <xdr:cNvPr id="2" name="Imagen 4">
          <a:extLst>
            <a:ext uri="{FF2B5EF4-FFF2-40B4-BE49-F238E27FC236}">
              <a16:creationId xmlns:a16="http://schemas.microsoft.com/office/drawing/2014/main" id="{7FBAA5E0-89AF-4E19-B8BD-77A8F16D9C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7013" y="228600"/>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269875</xdr:colOff>
      <xdr:row>1</xdr:row>
      <xdr:rowOff>127000</xdr:rowOff>
    </xdr:from>
    <xdr:to>
      <xdr:col>1</xdr:col>
      <xdr:colOff>422275</xdr:colOff>
      <xdr:row>6</xdr:row>
      <xdr:rowOff>66675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B215EECA-2602-46E7-BD53-16D06B6CA53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69875" y="333375"/>
          <a:ext cx="914400" cy="9080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95250</xdr:rowOff>
    </xdr:from>
    <xdr:to>
      <xdr:col>0</xdr:col>
      <xdr:colOff>676275</xdr:colOff>
      <xdr:row>5</xdr:row>
      <xdr:rowOff>66675</xdr:rowOff>
    </xdr:to>
    <xdr:grpSp>
      <xdr:nvGrpSpPr>
        <xdr:cNvPr id="3" name="Google Shape;6703;p64">
          <a:hlinkClick xmlns:r="http://schemas.openxmlformats.org/officeDocument/2006/relationships" r:id="rId1"/>
          <a:extLst>
            <a:ext uri="{FF2B5EF4-FFF2-40B4-BE49-F238E27FC236}">
              <a16:creationId xmlns:a16="http://schemas.microsoft.com/office/drawing/2014/main" id="{A9FAA5E6-A202-4E28-876A-E71E3D293F7D}"/>
            </a:ext>
          </a:extLst>
        </xdr:cNvPr>
        <xdr:cNvGrpSpPr/>
      </xdr:nvGrpSpPr>
      <xdr:grpSpPr>
        <a:xfrm>
          <a:off x="0" y="196850"/>
          <a:ext cx="676275" cy="746125"/>
          <a:chOff x="2508373" y="2779889"/>
          <a:chExt cx="337523" cy="337680"/>
        </a:xfrm>
      </xdr:grpSpPr>
      <xdr:sp macro="" textlink="">
        <xdr:nvSpPr>
          <xdr:cNvPr id="4" name="Google Shape;6704;p64">
            <a:extLst>
              <a:ext uri="{FF2B5EF4-FFF2-40B4-BE49-F238E27FC236}">
                <a16:creationId xmlns:a16="http://schemas.microsoft.com/office/drawing/2014/main" id="{38E993DD-8DD4-4BB8-BFD1-6897219496B3}"/>
              </a:ext>
            </a:extLst>
          </xdr:cNvPr>
          <xdr:cNvSpPr/>
        </xdr:nvSpPr>
        <xdr:spPr>
          <a:xfrm>
            <a:off x="2508373" y="2779889"/>
            <a:ext cx="256971" cy="256971"/>
          </a:xfrm>
          <a:custGeom>
            <a:avLst/>
            <a:gdLst/>
            <a:ahLst/>
            <a:cxnLst/>
            <a:rect l="l" t="t" r="r" b="b"/>
            <a:pathLst>
              <a:path w="9781" h="9781" extrusionOk="0">
                <a:moveTo>
                  <a:pt x="4585" y="0"/>
                </a:moveTo>
                <a:cubicBezTo>
                  <a:pt x="4377" y="0"/>
                  <a:pt x="4190" y="153"/>
                  <a:pt x="4155" y="354"/>
                </a:cubicBezTo>
                <a:lnTo>
                  <a:pt x="3933" y="1464"/>
                </a:lnTo>
                <a:cubicBezTo>
                  <a:pt x="3656" y="1540"/>
                  <a:pt x="3392" y="1651"/>
                  <a:pt x="3149" y="1790"/>
                </a:cubicBezTo>
                <a:lnTo>
                  <a:pt x="2213" y="1165"/>
                </a:lnTo>
                <a:cubicBezTo>
                  <a:pt x="2138" y="1116"/>
                  <a:pt x="2053" y="1092"/>
                  <a:pt x="1969" y="1092"/>
                </a:cubicBezTo>
                <a:cubicBezTo>
                  <a:pt x="1852" y="1092"/>
                  <a:pt x="1736" y="1139"/>
                  <a:pt x="1651" y="1228"/>
                </a:cubicBezTo>
                <a:lnTo>
                  <a:pt x="1221" y="1658"/>
                </a:lnTo>
                <a:cubicBezTo>
                  <a:pt x="1068" y="1803"/>
                  <a:pt x="1048" y="2039"/>
                  <a:pt x="1166" y="2220"/>
                </a:cubicBezTo>
                <a:lnTo>
                  <a:pt x="1790" y="3156"/>
                </a:lnTo>
                <a:cubicBezTo>
                  <a:pt x="1651" y="3399"/>
                  <a:pt x="1547" y="3662"/>
                  <a:pt x="1471" y="3940"/>
                </a:cubicBezTo>
                <a:lnTo>
                  <a:pt x="361" y="4162"/>
                </a:lnTo>
                <a:cubicBezTo>
                  <a:pt x="153" y="4196"/>
                  <a:pt x="7" y="4384"/>
                  <a:pt x="0" y="4592"/>
                </a:cubicBezTo>
                <a:lnTo>
                  <a:pt x="0" y="5202"/>
                </a:lnTo>
                <a:cubicBezTo>
                  <a:pt x="7" y="5410"/>
                  <a:pt x="153" y="5591"/>
                  <a:pt x="361" y="5632"/>
                </a:cubicBezTo>
                <a:lnTo>
                  <a:pt x="1471" y="5854"/>
                </a:lnTo>
                <a:cubicBezTo>
                  <a:pt x="1547" y="6125"/>
                  <a:pt x="1651" y="6388"/>
                  <a:pt x="1790" y="6638"/>
                </a:cubicBezTo>
                <a:lnTo>
                  <a:pt x="1166" y="7574"/>
                </a:lnTo>
                <a:cubicBezTo>
                  <a:pt x="1048" y="7748"/>
                  <a:pt x="1068" y="7984"/>
                  <a:pt x="1221" y="8136"/>
                </a:cubicBezTo>
                <a:lnTo>
                  <a:pt x="1651" y="8566"/>
                </a:lnTo>
                <a:cubicBezTo>
                  <a:pt x="1735" y="8650"/>
                  <a:pt x="1848" y="8692"/>
                  <a:pt x="1964" y="8692"/>
                </a:cubicBezTo>
                <a:cubicBezTo>
                  <a:pt x="2049" y="8692"/>
                  <a:pt x="2136" y="8669"/>
                  <a:pt x="2213" y="8622"/>
                </a:cubicBezTo>
                <a:lnTo>
                  <a:pt x="3156" y="7990"/>
                </a:lnTo>
                <a:cubicBezTo>
                  <a:pt x="3399" y="8129"/>
                  <a:pt x="3663" y="8233"/>
                  <a:pt x="3933" y="8310"/>
                </a:cubicBezTo>
                <a:lnTo>
                  <a:pt x="4155" y="9419"/>
                </a:lnTo>
                <a:cubicBezTo>
                  <a:pt x="4197" y="9627"/>
                  <a:pt x="4377" y="9773"/>
                  <a:pt x="4592" y="9780"/>
                </a:cubicBezTo>
                <a:lnTo>
                  <a:pt x="5195" y="9780"/>
                </a:lnTo>
                <a:cubicBezTo>
                  <a:pt x="5404" y="9773"/>
                  <a:pt x="5591" y="9627"/>
                  <a:pt x="5632" y="9419"/>
                </a:cubicBezTo>
                <a:lnTo>
                  <a:pt x="5854" y="8310"/>
                </a:lnTo>
                <a:cubicBezTo>
                  <a:pt x="6125" y="8233"/>
                  <a:pt x="6389" y="8129"/>
                  <a:pt x="6631" y="7990"/>
                </a:cubicBezTo>
                <a:lnTo>
                  <a:pt x="7568" y="8615"/>
                </a:lnTo>
                <a:cubicBezTo>
                  <a:pt x="7644" y="8664"/>
                  <a:pt x="7730" y="8688"/>
                  <a:pt x="7814" y="8688"/>
                </a:cubicBezTo>
                <a:cubicBezTo>
                  <a:pt x="7931" y="8688"/>
                  <a:pt x="8045" y="8643"/>
                  <a:pt x="8129" y="8559"/>
                </a:cubicBezTo>
                <a:lnTo>
                  <a:pt x="8560" y="8129"/>
                </a:lnTo>
                <a:cubicBezTo>
                  <a:pt x="8712" y="7984"/>
                  <a:pt x="8733" y="7748"/>
                  <a:pt x="8615" y="7567"/>
                </a:cubicBezTo>
                <a:lnTo>
                  <a:pt x="7991" y="6631"/>
                </a:lnTo>
                <a:cubicBezTo>
                  <a:pt x="8129" y="6381"/>
                  <a:pt x="8234" y="6118"/>
                  <a:pt x="8310" y="5847"/>
                </a:cubicBezTo>
                <a:lnTo>
                  <a:pt x="9420" y="5625"/>
                </a:lnTo>
                <a:cubicBezTo>
                  <a:pt x="9628" y="5584"/>
                  <a:pt x="9773" y="5403"/>
                  <a:pt x="9780" y="5195"/>
                </a:cubicBezTo>
                <a:lnTo>
                  <a:pt x="9780" y="4585"/>
                </a:lnTo>
                <a:cubicBezTo>
                  <a:pt x="9780" y="4377"/>
                  <a:pt x="9628" y="4189"/>
                  <a:pt x="9420" y="4148"/>
                </a:cubicBezTo>
                <a:lnTo>
                  <a:pt x="8310" y="3926"/>
                </a:lnTo>
                <a:cubicBezTo>
                  <a:pt x="8234" y="3655"/>
                  <a:pt x="8129" y="3392"/>
                  <a:pt x="7991" y="3149"/>
                </a:cubicBezTo>
                <a:lnTo>
                  <a:pt x="8615" y="2206"/>
                </a:lnTo>
                <a:cubicBezTo>
                  <a:pt x="8733" y="2032"/>
                  <a:pt x="8712" y="1796"/>
                  <a:pt x="8560" y="1644"/>
                </a:cubicBezTo>
                <a:lnTo>
                  <a:pt x="8129" y="1221"/>
                </a:lnTo>
                <a:cubicBezTo>
                  <a:pt x="8046" y="1134"/>
                  <a:pt x="7934" y="1090"/>
                  <a:pt x="7821" y="1090"/>
                </a:cubicBezTo>
                <a:cubicBezTo>
                  <a:pt x="7735" y="1090"/>
                  <a:pt x="7649" y="1115"/>
                  <a:pt x="7575" y="1165"/>
                </a:cubicBezTo>
                <a:lnTo>
                  <a:pt x="6631" y="1790"/>
                </a:lnTo>
                <a:cubicBezTo>
                  <a:pt x="6389" y="1651"/>
                  <a:pt x="6125" y="1540"/>
                  <a:pt x="5854" y="1464"/>
                </a:cubicBezTo>
                <a:lnTo>
                  <a:pt x="5626" y="354"/>
                </a:lnTo>
                <a:cubicBezTo>
                  <a:pt x="5584" y="153"/>
                  <a:pt x="5404" y="0"/>
                  <a:pt x="5195" y="0"/>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5" name="Google Shape;6705;p64">
            <a:extLst>
              <a:ext uri="{FF2B5EF4-FFF2-40B4-BE49-F238E27FC236}">
                <a16:creationId xmlns:a16="http://schemas.microsoft.com/office/drawing/2014/main" id="{7CE847CD-5FCA-4405-BB52-E6893161F724}"/>
              </a:ext>
            </a:extLst>
          </xdr:cNvPr>
          <xdr:cNvSpPr/>
        </xdr:nvSpPr>
        <xdr:spPr>
          <a:xfrm>
            <a:off x="2561391" y="2852034"/>
            <a:ext cx="131783" cy="112814"/>
          </a:xfrm>
          <a:custGeom>
            <a:avLst/>
            <a:gdLst/>
            <a:ahLst/>
            <a:cxnLst/>
            <a:rect l="l" t="t" r="r" b="b"/>
            <a:pathLst>
              <a:path w="5016" h="4294" extrusionOk="0">
                <a:moveTo>
                  <a:pt x="2872" y="1"/>
                </a:moveTo>
                <a:cubicBezTo>
                  <a:pt x="958" y="1"/>
                  <a:pt x="1" y="2310"/>
                  <a:pt x="1353" y="3663"/>
                </a:cubicBezTo>
                <a:cubicBezTo>
                  <a:pt x="1791" y="4098"/>
                  <a:pt x="2328" y="4293"/>
                  <a:pt x="2855" y="4293"/>
                </a:cubicBezTo>
                <a:cubicBezTo>
                  <a:pt x="3958" y="4293"/>
                  <a:pt x="5016" y="3439"/>
                  <a:pt x="5016" y="2144"/>
                </a:cubicBezTo>
                <a:cubicBezTo>
                  <a:pt x="5016" y="958"/>
                  <a:pt x="4058" y="1"/>
                  <a:pt x="2872" y="1"/>
                </a:cubicBezTo>
                <a:close/>
              </a:path>
            </a:pathLst>
          </a:custGeom>
          <a:solidFill>
            <a:srgbClr val="DEE5EB"/>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6" name="Google Shape;6706;p64">
            <a:extLst>
              <a:ext uri="{FF2B5EF4-FFF2-40B4-BE49-F238E27FC236}">
                <a16:creationId xmlns:a16="http://schemas.microsoft.com/office/drawing/2014/main" id="{1947E24B-2236-4B10-B0A4-19ABD26BF976}"/>
              </a:ext>
            </a:extLst>
          </xdr:cNvPr>
          <xdr:cNvSpPr/>
        </xdr:nvSpPr>
        <xdr:spPr>
          <a:xfrm>
            <a:off x="2599302" y="2880277"/>
            <a:ext cx="65629" cy="56223"/>
          </a:xfrm>
          <a:custGeom>
            <a:avLst/>
            <a:gdLst/>
            <a:ahLst/>
            <a:cxnLst/>
            <a:rect l="l" t="t" r="r" b="b"/>
            <a:pathLst>
              <a:path w="2498" h="2140" extrusionOk="0">
                <a:moveTo>
                  <a:pt x="1429" y="1"/>
                </a:moveTo>
                <a:cubicBezTo>
                  <a:pt x="479" y="1"/>
                  <a:pt x="0" y="1152"/>
                  <a:pt x="673" y="1825"/>
                </a:cubicBezTo>
                <a:cubicBezTo>
                  <a:pt x="891" y="2042"/>
                  <a:pt x="1158" y="2140"/>
                  <a:pt x="1420" y="2140"/>
                </a:cubicBezTo>
                <a:cubicBezTo>
                  <a:pt x="1970" y="2140"/>
                  <a:pt x="2497" y="1712"/>
                  <a:pt x="2497" y="1069"/>
                </a:cubicBezTo>
                <a:cubicBezTo>
                  <a:pt x="2497" y="479"/>
                  <a:pt x="2019" y="1"/>
                  <a:pt x="1429" y="1"/>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7" name="Google Shape;6707;p64">
            <a:extLst>
              <a:ext uri="{FF2B5EF4-FFF2-40B4-BE49-F238E27FC236}">
                <a16:creationId xmlns:a16="http://schemas.microsoft.com/office/drawing/2014/main" id="{DD835CD5-BE0C-4FE1-976F-DD597D594F0C}"/>
              </a:ext>
            </a:extLst>
          </xdr:cNvPr>
          <xdr:cNvSpPr/>
        </xdr:nvSpPr>
        <xdr:spPr>
          <a:xfrm>
            <a:off x="2677121" y="2948611"/>
            <a:ext cx="168775" cy="168958"/>
          </a:xfrm>
          <a:custGeom>
            <a:avLst/>
            <a:gdLst/>
            <a:ahLst/>
            <a:cxnLst/>
            <a:rect l="l" t="t" r="r" b="b"/>
            <a:pathLst>
              <a:path w="6424" h="6431" extrusionOk="0">
                <a:moveTo>
                  <a:pt x="3017" y="1"/>
                </a:moveTo>
                <a:cubicBezTo>
                  <a:pt x="2879" y="1"/>
                  <a:pt x="2754" y="98"/>
                  <a:pt x="2733" y="237"/>
                </a:cubicBezTo>
                <a:lnTo>
                  <a:pt x="2587" y="965"/>
                </a:lnTo>
                <a:cubicBezTo>
                  <a:pt x="2407" y="1014"/>
                  <a:pt x="2234" y="1090"/>
                  <a:pt x="2067" y="1180"/>
                </a:cubicBezTo>
                <a:lnTo>
                  <a:pt x="1450" y="764"/>
                </a:lnTo>
                <a:cubicBezTo>
                  <a:pt x="1404" y="733"/>
                  <a:pt x="1350" y="718"/>
                  <a:pt x="1296" y="718"/>
                </a:cubicBezTo>
                <a:cubicBezTo>
                  <a:pt x="1218" y="718"/>
                  <a:pt x="1139" y="748"/>
                  <a:pt x="1082" y="805"/>
                </a:cubicBezTo>
                <a:lnTo>
                  <a:pt x="805" y="1083"/>
                </a:lnTo>
                <a:cubicBezTo>
                  <a:pt x="701" y="1180"/>
                  <a:pt x="687" y="1340"/>
                  <a:pt x="763" y="1451"/>
                </a:cubicBezTo>
                <a:lnTo>
                  <a:pt x="1179" y="2068"/>
                </a:lnTo>
                <a:cubicBezTo>
                  <a:pt x="1089" y="2234"/>
                  <a:pt x="1013" y="2408"/>
                  <a:pt x="964" y="2588"/>
                </a:cubicBezTo>
                <a:lnTo>
                  <a:pt x="236" y="2734"/>
                </a:lnTo>
                <a:cubicBezTo>
                  <a:pt x="97" y="2761"/>
                  <a:pt x="0" y="2879"/>
                  <a:pt x="0" y="3018"/>
                </a:cubicBezTo>
                <a:lnTo>
                  <a:pt x="0" y="3413"/>
                </a:lnTo>
                <a:cubicBezTo>
                  <a:pt x="0" y="3552"/>
                  <a:pt x="97" y="3670"/>
                  <a:pt x="236" y="3698"/>
                </a:cubicBezTo>
                <a:lnTo>
                  <a:pt x="964" y="3844"/>
                </a:lnTo>
                <a:cubicBezTo>
                  <a:pt x="1013" y="4024"/>
                  <a:pt x="1089" y="4197"/>
                  <a:pt x="1179" y="4364"/>
                </a:cubicBezTo>
                <a:lnTo>
                  <a:pt x="763" y="4981"/>
                </a:lnTo>
                <a:cubicBezTo>
                  <a:pt x="687" y="5092"/>
                  <a:pt x="701" y="5252"/>
                  <a:pt x="805" y="5349"/>
                </a:cubicBezTo>
                <a:lnTo>
                  <a:pt x="1082" y="5626"/>
                </a:lnTo>
                <a:cubicBezTo>
                  <a:pt x="1139" y="5683"/>
                  <a:pt x="1218" y="5714"/>
                  <a:pt x="1296" y="5714"/>
                </a:cubicBezTo>
                <a:cubicBezTo>
                  <a:pt x="1350" y="5714"/>
                  <a:pt x="1404" y="5699"/>
                  <a:pt x="1450" y="5668"/>
                </a:cubicBezTo>
                <a:lnTo>
                  <a:pt x="2067" y="5252"/>
                </a:lnTo>
                <a:cubicBezTo>
                  <a:pt x="2234" y="5342"/>
                  <a:pt x="2407" y="5418"/>
                  <a:pt x="2587" y="5467"/>
                </a:cubicBezTo>
                <a:lnTo>
                  <a:pt x="2733" y="6195"/>
                </a:lnTo>
                <a:cubicBezTo>
                  <a:pt x="2754" y="6334"/>
                  <a:pt x="2879" y="6431"/>
                  <a:pt x="3017" y="6431"/>
                </a:cubicBezTo>
                <a:lnTo>
                  <a:pt x="3413" y="6431"/>
                </a:lnTo>
                <a:cubicBezTo>
                  <a:pt x="3552" y="6431"/>
                  <a:pt x="3669" y="6334"/>
                  <a:pt x="3697" y="6195"/>
                </a:cubicBezTo>
                <a:lnTo>
                  <a:pt x="3843" y="5467"/>
                </a:lnTo>
                <a:cubicBezTo>
                  <a:pt x="4023" y="5418"/>
                  <a:pt x="4197" y="5342"/>
                  <a:pt x="4356" y="5252"/>
                </a:cubicBezTo>
                <a:lnTo>
                  <a:pt x="4980" y="5668"/>
                </a:lnTo>
                <a:cubicBezTo>
                  <a:pt x="5027" y="5697"/>
                  <a:pt x="5080" y="5711"/>
                  <a:pt x="5134" y="5711"/>
                </a:cubicBezTo>
                <a:cubicBezTo>
                  <a:pt x="5209" y="5711"/>
                  <a:pt x="5284" y="5683"/>
                  <a:pt x="5341" y="5626"/>
                </a:cubicBezTo>
                <a:lnTo>
                  <a:pt x="5625" y="5342"/>
                </a:lnTo>
                <a:cubicBezTo>
                  <a:pt x="5723" y="5245"/>
                  <a:pt x="5736" y="5092"/>
                  <a:pt x="5660" y="4974"/>
                </a:cubicBezTo>
                <a:lnTo>
                  <a:pt x="5251" y="4357"/>
                </a:lnTo>
                <a:cubicBezTo>
                  <a:pt x="5341" y="4190"/>
                  <a:pt x="5410" y="4024"/>
                  <a:pt x="5466" y="3844"/>
                </a:cubicBezTo>
                <a:lnTo>
                  <a:pt x="6194" y="3698"/>
                </a:lnTo>
                <a:cubicBezTo>
                  <a:pt x="6326" y="3670"/>
                  <a:pt x="6423" y="3552"/>
                  <a:pt x="6423" y="3413"/>
                </a:cubicBezTo>
                <a:lnTo>
                  <a:pt x="6423" y="3018"/>
                </a:lnTo>
                <a:cubicBezTo>
                  <a:pt x="6423" y="2879"/>
                  <a:pt x="6333" y="2761"/>
                  <a:pt x="6194" y="2734"/>
                </a:cubicBezTo>
                <a:lnTo>
                  <a:pt x="5466" y="2588"/>
                </a:lnTo>
                <a:cubicBezTo>
                  <a:pt x="5417" y="2408"/>
                  <a:pt x="5348" y="2234"/>
                  <a:pt x="5251" y="2068"/>
                </a:cubicBezTo>
                <a:lnTo>
                  <a:pt x="5667" y="1451"/>
                </a:lnTo>
                <a:cubicBezTo>
                  <a:pt x="5743" y="1340"/>
                  <a:pt x="5729" y="1180"/>
                  <a:pt x="5632" y="1083"/>
                </a:cubicBezTo>
                <a:lnTo>
                  <a:pt x="5348" y="805"/>
                </a:lnTo>
                <a:cubicBezTo>
                  <a:pt x="5291" y="748"/>
                  <a:pt x="5214" y="718"/>
                  <a:pt x="5137" y="718"/>
                </a:cubicBezTo>
                <a:cubicBezTo>
                  <a:pt x="5083" y="718"/>
                  <a:pt x="5029" y="733"/>
                  <a:pt x="4980" y="764"/>
                </a:cubicBezTo>
                <a:lnTo>
                  <a:pt x="4363" y="1180"/>
                </a:lnTo>
                <a:cubicBezTo>
                  <a:pt x="4197" y="1090"/>
                  <a:pt x="4030" y="1014"/>
                  <a:pt x="3850" y="965"/>
                </a:cubicBezTo>
                <a:lnTo>
                  <a:pt x="3704" y="237"/>
                </a:lnTo>
                <a:cubicBezTo>
                  <a:pt x="3676" y="98"/>
                  <a:pt x="3558" y="1"/>
                  <a:pt x="3420" y="1"/>
                </a:cubicBezTo>
                <a:close/>
              </a:path>
            </a:pathLst>
          </a:custGeom>
          <a:solidFill>
            <a:srgbClr val="445D73"/>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8" name="Google Shape;6708;p64">
            <a:extLst>
              <a:ext uri="{FF2B5EF4-FFF2-40B4-BE49-F238E27FC236}">
                <a16:creationId xmlns:a16="http://schemas.microsoft.com/office/drawing/2014/main" id="{E6B00809-D949-41E4-9F22-19E36042DF88}"/>
              </a:ext>
            </a:extLst>
          </xdr:cNvPr>
          <xdr:cNvSpPr/>
        </xdr:nvSpPr>
        <xdr:spPr>
          <a:xfrm>
            <a:off x="2705180" y="2990910"/>
            <a:ext cx="98601" cy="84466"/>
          </a:xfrm>
          <a:custGeom>
            <a:avLst/>
            <a:gdLst/>
            <a:ahLst/>
            <a:cxnLst/>
            <a:rect l="l" t="t" r="r" b="b"/>
            <a:pathLst>
              <a:path w="3753" h="3215" extrusionOk="0">
                <a:moveTo>
                  <a:pt x="2144" y="0"/>
                </a:moveTo>
                <a:cubicBezTo>
                  <a:pt x="715" y="0"/>
                  <a:pt x="0" y="1727"/>
                  <a:pt x="1013" y="2740"/>
                </a:cubicBezTo>
                <a:cubicBezTo>
                  <a:pt x="1341" y="3068"/>
                  <a:pt x="1743" y="3215"/>
                  <a:pt x="2138" y="3215"/>
                </a:cubicBezTo>
                <a:cubicBezTo>
                  <a:pt x="2963" y="3215"/>
                  <a:pt x="3753" y="2573"/>
                  <a:pt x="3753" y="1602"/>
                </a:cubicBezTo>
                <a:cubicBezTo>
                  <a:pt x="3753" y="721"/>
                  <a:pt x="3031" y="0"/>
                  <a:pt x="2144" y="0"/>
                </a:cubicBezTo>
                <a:close/>
              </a:path>
            </a:pathLst>
          </a:custGeom>
          <a:solidFill>
            <a:srgbClr val="BAC2CA"/>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9" name="Google Shape;6709;p64">
            <a:extLst>
              <a:ext uri="{FF2B5EF4-FFF2-40B4-BE49-F238E27FC236}">
                <a16:creationId xmlns:a16="http://schemas.microsoft.com/office/drawing/2014/main" id="{FE1B5E96-0894-4403-A969-355EA50B80B2}"/>
              </a:ext>
            </a:extLst>
          </xdr:cNvPr>
          <xdr:cNvSpPr/>
        </xdr:nvSpPr>
        <xdr:spPr>
          <a:xfrm>
            <a:off x="2727774" y="3007856"/>
            <a:ext cx="59061" cy="50601"/>
          </a:xfrm>
          <a:custGeom>
            <a:avLst/>
            <a:gdLst/>
            <a:ahLst/>
            <a:cxnLst/>
            <a:rect l="l" t="t" r="r" b="b"/>
            <a:pathLst>
              <a:path w="2248" h="1926" extrusionOk="0">
                <a:moveTo>
                  <a:pt x="1284" y="0"/>
                </a:moveTo>
                <a:cubicBezTo>
                  <a:pt x="430" y="0"/>
                  <a:pt x="0" y="1034"/>
                  <a:pt x="604" y="1644"/>
                </a:cubicBezTo>
                <a:cubicBezTo>
                  <a:pt x="801" y="1839"/>
                  <a:pt x="1041" y="1926"/>
                  <a:pt x="1277" y="1926"/>
                </a:cubicBezTo>
                <a:cubicBezTo>
                  <a:pt x="1773" y="1926"/>
                  <a:pt x="2248" y="1540"/>
                  <a:pt x="2248" y="957"/>
                </a:cubicBezTo>
                <a:cubicBezTo>
                  <a:pt x="2248" y="430"/>
                  <a:pt x="1818" y="0"/>
                  <a:pt x="1284" y="0"/>
                </a:cubicBezTo>
                <a:close/>
              </a:path>
            </a:pathLst>
          </a:custGeom>
          <a:solidFill>
            <a:schemeClr val="bg1">
              <a:lumMod val="50000"/>
            </a:schemeClr>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grpSp>
    <xdr:clientData/>
  </xdr:twoCellAnchor>
  <xdr:twoCellAnchor editAs="oneCell">
    <xdr:from>
      <xdr:col>1</xdr:col>
      <xdr:colOff>657225</xdr:colOff>
      <xdr:row>1</xdr:row>
      <xdr:rowOff>0</xdr:rowOff>
    </xdr:from>
    <xdr:to>
      <xdr:col>1</xdr:col>
      <xdr:colOff>1190625</xdr:colOff>
      <xdr:row>3</xdr:row>
      <xdr:rowOff>159308</xdr:rowOff>
    </xdr:to>
    <xdr:pic>
      <xdr:nvPicPr>
        <xdr:cNvPr id="2" name="Imagen 4">
          <a:extLst>
            <a:ext uri="{FF2B5EF4-FFF2-40B4-BE49-F238E27FC236}">
              <a16:creationId xmlns:a16="http://schemas.microsoft.com/office/drawing/2014/main" id="{A717D3CA-0607-4F20-B71A-3AE6DB9E2F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3025" y="95250"/>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866775</xdr:colOff>
      <xdr:row>0</xdr:row>
      <xdr:rowOff>66675</xdr:rowOff>
    </xdr:from>
    <xdr:to>
      <xdr:col>1</xdr:col>
      <xdr:colOff>1400175</xdr:colOff>
      <xdr:row>3</xdr:row>
      <xdr:rowOff>156133</xdr:rowOff>
    </xdr:to>
    <xdr:pic>
      <xdr:nvPicPr>
        <xdr:cNvPr id="2" name="Imagen 4">
          <a:extLst>
            <a:ext uri="{FF2B5EF4-FFF2-40B4-BE49-F238E27FC236}">
              <a16:creationId xmlns:a16="http://schemas.microsoft.com/office/drawing/2014/main" id="{D0C39065-34D1-428B-8040-82A4986F52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8225" y="6667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alidad ETITC" id="{0CC1AFD7-F2B4-4C19-A5FE-A0839748E464}" userId="S::calidad@itc.edu.co::5f6678ce-6f95-4cba-9a3f-7a65f87216f7"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000-000000000000}" name="TablaDinámica1" cacheId="2"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2AF4852-25AA-4EC0-BA9A-D8EC1A651492}" name="Criterios" displayName="Criterios" ref="A1:B14" totalsRowShown="0">
  <autoFilter ref="A1:B14" xr:uid="{B2AF4852-25AA-4EC0-BA9A-D8EC1A651492}"/>
  <tableColumns count="2">
    <tableColumn id="1" xr3:uid="{DD89DC2E-2661-45C2-B689-DCF22974CBDC}" name="Criterios_Impacto"/>
    <tableColumn id="2" xr3:uid="{43AE9E82-3F6B-4945-A788-0E0C2F144D59}" name="Calificació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25" dataDxfId="24">
  <autoFilter ref="B209:C219" xr:uid="{00000000-0009-0000-0100-000001000000}"/>
  <tableColumns count="2">
    <tableColumn id="1" xr3:uid="{00000000-0010-0000-0000-000001000000}" name="Criterios" dataDxfId="23"/>
    <tableColumn id="2" xr3:uid="{00000000-0010-0000-0000-000002000000}" name="Subcriterios" dataDxfId="22"/>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3" dT="2026-05-05T18:23:33.08" personId="{0CC1AFD7-F2B4-4C19-A5FE-A0839748E464}" id="{31DE014E-1502-4058-AF14-D12B122223C2}">
    <text>Para el riesgo Fiscal, solo aplica IMPACTO ECONÓMICO</text>
  </threadedComment>
  <threadedComment ref="G13" dT="2026-05-05T16:05:30.86" personId="{0CC1AFD7-F2B4-4C19-A5FE-A0839748E464}" id="{7319F458-F751-4993-B913-0ED035E30CF3}">
    <text>Aplica para Riesgo FISCAL</text>
  </threadedComment>
  <threadedComment ref="AU13" dT="2026-05-04T15:28:03.86" personId="{0CC1AFD7-F2B4-4C19-A5FE-A0839748E464}" id="{1816B48D-01BB-448B-AFCC-2FEDB756BA42}">
    <text xml:space="preserve">Se realiza una descripción breve de lo ejecutado en el periodo. Así como las desviaciones presentadas en la aplicación del control. </text>
  </threadedComment>
  <threadedComment ref="AV13" dT="2026-05-04T15:29:01.83" personId="{0CC1AFD7-F2B4-4C19-A5FE-A0839748E464}" id="{8ADAA9EE-5890-4480-85AE-C33717331CF8}">
    <text>Se debe describir los soportes de la ejecución del control y punto de uso de la información. Ejemplo (enlaces de carpetas)</text>
  </threadedComment>
  <threadedComment ref="AW13" dT="2026-05-04T15:28:03.86" personId="{0CC1AFD7-F2B4-4C19-A5FE-A0839748E464}" id="{975DE72D-945A-4BAE-A64E-E42069A0D1CB}">
    <text>Se realiza una descripción breve de lo ejecutado en el periodo</text>
  </threadedComment>
  <threadedComment ref="AX13" dT="2026-05-04T15:29:01.83" personId="{0CC1AFD7-F2B4-4C19-A5FE-A0839748E464}" id="{837D0758-B511-4B9B-885F-44B15625A2B0}">
    <text>Se debe describir los soportes de la ejecución del control y punto de uso de la información. Ejemplo (enlaces de carpetas)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app.powerbi.com/view?r=eyJrIjoiYzJmNjgxMjktODQzZS00Y2NlLTgxOGYtNTE1MDIyOGNjZmE2IiwidCI6IjQ5NWZkMDQ2LWQ4NjQtNDY2Ny05ZWU4LTUwNjc5NzY0ZDgzNCIsImMiOjR9"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N38"/>
  <sheetViews>
    <sheetView showGridLines="0" topLeftCell="A15" zoomScale="95" zoomScaleNormal="95" workbookViewId="0">
      <selection activeCell="P13" sqref="P13"/>
    </sheetView>
  </sheetViews>
  <sheetFormatPr baseColWidth="10" defaultColWidth="11.5" defaultRowHeight="15"/>
  <cols>
    <col min="1" max="1" width="3.6640625" style="68" customWidth="1"/>
    <col min="2" max="2" width="16.6640625" customWidth="1"/>
    <col min="3" max="3" width="25" customWidth="1"/>
    <col min="4" max="12" width="10.6640625" customWidth="1"/>
    <col min="13" max="13" width="13.33203125" customWidth="1"/>
    <col min="14" max="14" width="15.5" customWidth="1"/>
    <col min="15" max="16384" width="11.5" style="68"/>
  </cols>
  <sheetData>
    <row r="1" spans="2:14" ht="12.75" customHeight="1" thickBot="1">
      <c r="B1" s="68"/>
      <c r="C1" s="68"/>
      <c r="D1" s="68"/>
      <c r="E1" s="68"/>
      <c r="F1" s="68"/>
      <c r="G1" s="68"/>
      <c r="H1" s="68"/>
      <c r="I1" s="68"/>
      <c r="J1" s="68"/>
      <c r="K1" s="68"/>
      <c r="L1" s="68"/>
      <c r="M1" s="68"/>
      <c r="N1" s="68"/>
    </row>
    <row r="2" spans="2:14" ht="18.75" customHeight="1">
      <c r="B2" s="275" t="s">
        <v>0</v>
      </c>
      <c r="C2" s="276"/>
      <c r="D2" s="266" t="s">
        <v>1</v>
      </c>
      <c r="E2" s="267"/>
      <c r="F2" s="267"/>
      <c r="G2" s="267"/>
      <c r="H2" s="267"/>
      <c r="I2" s="267"/>
      <c r="J2" s="267"/>
      <c r="K2" s="267"/>
      <c r="L2" s="268"/>
      <c r="M2" s="281" t="s">
        <v>2</v>
      </c>
      <c r="N2" s="282"/>
    </row>
    <row r="3" spans="2:14" ht="15.75" customHeight="1">
      <c r="B3" s="277"/>
      <c r="C3" s="278"/>
      <c r="D3" s="269"/>
      <c r="E3" s="270"/>
      <c r="F3" s="270"/>
      <c r="G3" s="270"/>
      <c r="H3" s="270"/>
      <c r="I3" s="270"/>
      <c r="J3" s="270"/>
      <c r="K3" s="270"/>
      <c r="L3" s="271"/>
      <c r="M3" s="283" t="s">
        <v>3</v>
      </c>
      <c r="N3" s="284"/>
    </row>
    <row r="4" spans="2:14" ht="18.75" customHeight="1">
      <c r="B4" s="277"/>
      <c r="C4" s="278"/>
      <c r="D4" s="269"/>
      <c r="E4" s="270"/>
      <c r="F4" s="270"/>
      <c r="G4" s="270"/>
      <c r="H4" s="270"/>
      <c r="I4" s="270"/>
      <c r="J4" s="270"/>
      <c r="K4" s="270"/>
      <c r="L4" s="271"/>
      <c r="M4" s="283" t="s">
        <v>4</v>
      </c>
      <c r="N4" s="284"/>
    </row>
    <row r="5" spans="2:14" ht="29.25" customHeight="1" thickBot="1">
      <c r="B5" s="279"/>
      <c r="C5" s="280"/>
      <c r="D5" s="272"/>
      <c r="E5" s="273"/>
      <c r="F5" s="273"/>
      <c r="G5" s="273"/>
      <c r="H5" s="273"/>
      <c r="I5" s="273"/>
      <c r="J5" s="273"/>
      <c r="K5" s="273"/>
      <c r="L5" s="274"/>
      <c r="M5" s="285" t="s">
        <v>5</v>
      </c>
      <c r="N5" s="286"/>
    </row>
    <row r="6" spans="2:14" ht="7.5" customHeight="1" thickBot="1"/>
    <row r="7" spans="2:14">
      <c r="B7" s="126"/>
      <c r="C7" s="127"/>
      <c r="D7" s="127"/>
      <c r="E7" s="127"/>
      <c r="F7" s="127"/>
      <c r="G7" s="127"/>
      <c r="H7" s="127"/>
      <c r="I7" s="127"/>
      <c r="J7" s="127"/>
      <c r="K7" s="127"/>
      <c r="L7" s="127"/>
      <c r="M7" s="127"/>
      <c r="N7" s="128"/>
    </row>
    <row r="8" spans="2:14">
      <c r="B8" s="129"/>
      <c r="N8" s="130"/>
    </row>
    <row r="9" spans="2:14">
      <c r="B9" s="129"/>
      <c r="N9" s="130"/>
    </row>
    <row r="10" spans="2:14">
      <c r="B10" s="129"/>
      <c r="N10" s="130"/>
    </row>
    <row r="11" spans="2:14">
      <c r="B11" s="129"/>
      <c r="N11" s="130"/>
    </row>
    <row r="12" spans="2:14">
      <c r="B12" s="129"/>
      <c r="N12" s="130"/>
    </row>
    <row r="13" spans="2:14">
      <c r="B13" s="129"/>
      <c r="N13" s="130"/>
    </row>
    <row r="14" spans="2:14">
      <c r="B14" s="129"/>
      <c r="N14" s="130"/>
    </row>
    <row r="15" spans="2:14">
      <c r="B15" s="129"/>
      <c r="N15" s="130"/>
    </row>
    <row r="16" spans="2:14" ht="21" customHeight="1">
      <c r="B16" s="129"/>
      <c r="N16" s="130"/>
    </row>
    <row r="17" spans="2:14" ht="18.75" customHeight="1">
      <c r="B17" s="129"/>
      <c r="N17" s="130"/>
    </row>
    <row r="18" spans="2:14" ht="17.25" customHeight="1">
      <c r="B18" s="129"/>
      <c r="N18" s="130"/>
    </row>
    <row r="19" spans="2:14" ht="18.75" customHeight="1">
      <c r="B19" s="129"/>
      <c r="N19" s="130"/>
    </row>
    <row r="20" spans="2:14" ht="21" customHeight="1">
      <c r="B20" s="129"/>
      <c r="N20" s="130"/>
    </row>
    <row r="21" spans="2:14">
      <c r="B21" s="129"/>
      <c r="N21" s="130"/>
    </row>
    <row r="22" spans="2:14">
      <c r="B22" s="129"/>
      <c r="N22" s="130"/>
    </row>
    <row r="23" spans="2:14">
      <c r="B23" s="129"/>
      <c r="N23" s="130"/>
    </row>
    <row r="24" spans="2:14">
      <c r="B24" s="129"/>
      <c r="N24" s="130"/>
    </row>
    <row r="25" spans="2:14">
      <c r="B25" s="129"/>
      <c r="N25" s="130"/>
    </row>
    <row r="26" spans="2:14">
      <c r="B26" s="129"/>
      <c r="N26" s="130"/>
    </row>
    <row r="27" spans="2:14">
      <c r="B27" s="129"/>
      <c r="N27" s="130"/>
    </row>
    <row r="28" spans="2:14">
      <c r="B28" s="129"/>
      <c r="N28" s="130"/>
    </row>
    <row r="29" spans="2:14">
      <c r="B29" s="129"/>
      <c r="N29" s="130"/>
    </row>
    <row r="30" spans="2:14">
      <c r="B30" s="129"/>
      <c r="N30" s="130"/>
    </row>
    <row r="31" spans="2:14">
      <c r="B31" s="129"/>
      <c r="D31" s="265" t="s">
        <v>6</v>
      </c>
      <c r="E31" s="265"/>
      <c r="N31" s="130"/>
    </row>
    <row r="32" spans="2:14">
      <c r="B32" s="129"/>
      <c r="D32" s="265"/>
      <c r="E32" s="265"/>
      <c r="N32" s="130"/>
    </row>
    <row r="33" spans="2:14">
      <c r="B33" s="129"/>
      <c r="N33" s="130"/>
    </row>
    <row r="34" spans="2:14">
      <c r="B34" s="129"/>
      <c r="N34" s="130"/>
    </row>
    <row r="35" spans="2:14">
      <c r="B35" s="129"/>
      <c r="N35" s="130"/>
    </row>
    <row r="36" spans="2:14">
      <c r="B36" s="129"/>
      <c r="N36" s="130"/>
    </row>
    <row r="37" spans="2:14">
      <c r="B37" s="129"/>
      <c r="N37" s="130"/>
    </row>
    <row r="38" spans="2:14" ht="16" thickBot="1">
      <c r="B38" s="131"/>
      <c r="C38" s="132"/>
      <c r="D38" s="132"/>
      <c r="E38" s="132"/>
      <c r="F38" s="132"/>
      <c r="G38" s="132"/>
      <c r="H38" s="132"/>
      <c r="I38" s="132"/>
      <c r="J38" s="132"/>
      <c r="K38" s="132"/>
      <c r="L38" s="132"/>
      <c r="M38" s="132"/>
      <c r="N38" s="133"/>
    </row>
  </sheetData>
  <mergeCells count="7">
    <mergeCell ref="D31:E32"/>
    <mergeCell ref="D2:L5"/>
    <mergeCell ref="B2:C5"/>
    <mergeCell ref="M2:N2"/>
    <mergeCell ref="M3:N3"/>
    <mergeCell ref="M4:N4"/>
    <mergeCell ref="M5:N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26783C"/>
    <pageSetUpPr fitToPage="1"/>
  </sheetPr>
  <dimension ref="A1:F25"/>
  <sheetViews>
    <sheetView workbookViewId="0">
      <selection activeCell="G7" sqref="G7"/>
    </sheetView>
  </sheetViews>
  <sheetFormatPr baseColWidth="10" defaultColWidth="11.5" defaultRowHeight="15"/>
  <cols>
    <col min="1" max="1" width="10.33203125" style="116" customWidth="1"/>
    <col min="2" max="2" width="32.5" style="116" customWidth="1"/>
    <col min="3" max="3" width="77" style="116" customWidth="1"/>
    <col min="4" max="4" width="21" style="116" customWidth="1"/>
    <col min="5" max="5" width="23.6640625" style="116" customWidth="1"/>
    <col min="6" max="16384" width="11.5" style="116"/>
  </cols>
  <sheetData>
    <row r="1" spans="1:6" ht="8" customHeight="1"/>
    <row r="2" spans="1:6" ht="15.75" customHeight="1">
      <c r="B2" s="568" t="s">
        <v>337</v>
      </c>
      <c r="C2" s="571" t="s">
        <v>1</v>
      </c>
      <c r="D2" s="267"/>
      <c r="E2" s="200" t="s">
        <v>2</v>
      </c>
      <c r="F2" s="117"/>
    </row>
    <row r="3" spans="1:6" ht="15.75" customHeight="1">
      <c r="B3" s="569"/>
      <c r="C3" s="572"/>
      <c r="D3" s="270"/>
      <c r="E3" s="201" t="s">
        <v>3</v>
      </c>
      <c r="F3" s="117"/>
    </row>
    <row r="4" spans="1:6" ht="16.5" customHeight="1">
      <c r="B4" s="569"/>
      <c r="C4" s="572"/>
      <c r="D4" s="270"/>
      <c r="E4" s="201" t="s">
        <v>4</v>
      </c>
      <c r="F4" s="117"/>
    </row>
    <row r="5" spans="1:6" ht="15" customHeight="1">
      <c r="B5" s="570"/>
      <c r="C5" s="573"/>
      <c r="D5" s="273"/>
      <c r="E5" s="202" t="s">
        <v>5</v>
      </c>
      <c r="F5" s="117"/>
    </row>
    <row r="7" spans="1:6">
      <c r="A7" s="574" t="s">
        <v>18</v>
      </c>
      <c r="B7" s="134" t="s">
        <v>338</v>
      </c>
      <c r="C7" s="135" t="s">
        <v>339</v>
      </c>
      <c r="D7" s="135" t="s">
        <v>340</v>
      </c>
      <c r="E7" s="135" t="s">
        <v>341</v>
      </c>
    </row>
    <row r="8" spans="1:6" ht="30">
      <c r="A8" s="574"/>
      <c r="B8" s="118">
        <v>45687</v>
      </c>
      <c r="C8" s="197" t="s">
        <v>342</v>
      </c>
      <c r="D8" s="120" t="s">
        <v>343</v>
      </c>
      <c r="E8" s="120" t="s">
        <v>344</v>
      </c>
    </row>
    <row r="9" spans="1:6" ht="161.5" customHeight="1">
      <c r="A9" s="574"/>
      <c r="B9" s="118">
        <v>45777</v>
      </c>
      <c r="C9" s="197" t="s">
        <v>345</v>
      </c>
      <c r="D9" s="120" t="s">
        <v>343</v>
      </c>
      <c r="E9" s="120" t="s">
        <v>344</v>
      </c>
    </row>
    <row r="10" spans="1:6">
      <c r="A10" s="574"/>
      <c r="B10" s="118"/>
      <c r="C10" s="119"/>
      <c r="D10" s="120"/>
      <c r="E10" s="120"/>
    </row>
    <row r="11" spans="1:6">
      <c r="A11" s="574"/>
      <c r="B11" s="118"/>
      <c r="C11" s="119"/>
      <c r="D11" s="120"/>
      <c r="E11" s="120"/>
    </row>
    <row r="12" spans="1:6">
      <c r="A12" s="574"/>
      <c r="B12" s="118"/>
      <c r="C12" s="119"/>
      <c r="D12" s="120"/>
      <c r="E12" s="120"/>
    </row>
    <row r="13" spans="1:6">
      <c r="A13" s="136"/>
      <c r="B13" s="118"/>
      <c r="C13" s="119"/>
      <c r="D13" s="120"/>
      <c r="E13" s="120"/>
    </row>
    <row r="14" spans="1:6">
      <c r="A14" s="136"/>
      <c r="B14" s="118"/>
      <c r="C14" s="119"/>
      <c r="D14" s="120"/>
      <c r="E14" s="120"/>
    </row>
    <row r="15" spans="1:6">
      <c r="A15" s="136"/>
      <c r="B15" s="118"/>
      <c r="C15" s="119"/>
      <c r="D15" s="120"/>
      <c r="E15" s="120"/>
    </row>
    <row r="16" spans="1:6">
      <c r="A16" s="136"/>
      <c r="B16" s="118"/>
      <c r="C16" s="119"/>
      <c r="D16" s="120"/>
      <c r="E16" s="120"/>
    </row>
    <row r="17" spans="1:5">
      <c r="A17" s="136"/>
      <c r="B17" s="118"/>
      <c r="C17" s="119"/>
      <c r="D17" s="120"/>
      <c r="E17" s="120"/>
    </row>
    <row r="18" spans="1:5">
      <c r="A18" s="136"/>
      <c r="B18" s="118"/>
      <c r="C18" s="119"/>
      <c r="D18" s="120"/>
      <c r="E18" s="120"/>
    </row>
    <row r="19" spans="1:5">
      <c r="B19" s="118"/>
      <c r="C19" s="121"/>
      <c r="D19" s="120"/>
      <c r="E19" s="120"/>
    </row>
    <row r="20" spans="1:5">
      <c r="B20" s="118"/>
      <c r="C20" s="119"/>
      <c r="D20" s="120"/>
      <c r="E20" s="120"/>
    </row>
    <row r="25" spans="1:5">
      <c r="C25" s="122"/>
    </row>
  </sheetData>
  <mergeCells count="3">
    <mergeCell ref="B2:B5"/>
    <mergeCell ref="C2:D5"/>
    <mergeCell ref="A7:A12"/>
  </mergeCells>
  <pageMargins left="0.7" right="0.7" top="0.75" bottom="0.75" header="0.3" footer="0.3"/>
  <pageSetup scale="6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
  <sheetViews>
    <sheetView workbookViewId="0">
      <selection activeCell="C28" sqref="C28"/>
    </sheetView>
  </sheetViews>
  <sheetFormatPr baseColWidth="10" defaultColWidth="11.5" defaultRowHeight="1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B1:J45"/>
  <sheetViews>
    <sheetView topLeftCell="A2" zoomScale="80" zoomScaleNormal="80" workbookViewId="0">
      <selection activeCell="H20" sqref="H20"/>
    </sheetView>
  </sheetViews>
  <sheetFormatPr baseColWidth="10" defaultColWidth="11.5" defaultRowHeight="15"/>
  <cols>
    <col min="1" max="1" width="2.6640625" style="68" customWidth="1"/>
    <col min="2" max="3" width="24.6640625" style="68" customWidth="1"/>
    <col min="4" max="4" width="16" style="68" customWidth="1"/>
    <col min="5" max="5" width="24.6640625" style="68" customWidth="1"/>
    <col min="6" max="6" width="27.6640625" style="68" customWidth="1"/>
    <col min="7" max="8" width="24.6640625" style="68" customWidth="1"/>
    <col min="9" max="10" width="11.5" style="142"/>
    <col min="11" max="16384" width="11.5" style="68"/>
  </cols>
  <sheetData>
    <row r="1" spans="2:10" ht="16" thickBot="1"/>
    <row r="2" spans="2:10" ht="18" customHeight="1">
      <c r="B2" s="592" t="s">
        <v>346</v>
      </c>
      <c r="C2" s="593"/>
      <c r="D2" s="593"/>
      <c r="E2" s="593"/>
      <c r="F2" s="593"/>
      <c r="G2" s="593"/>
      <c r="H2" s="594"/>
      <c r="J2" s="143" t="s">
        <v>246</v>
      </c>
    </row>
    <row r="3" spans="2:10" ht="20">
      <c r="B3" s="69"/>
      <c r="C3" s="70"/>
      <c r="D3" s="70"/>
      <c r="E3" s="70"/>
      <c r="F3" s="70"/>
      <c r="G3" s="70"/>
      <c r="H3" s="71"/>
      <c r="J3" s="143"/>
    </row>
    <row r="4" spans="2:10" ht="63" customHeight="1">
      <c r="B4" s="595" t="s">
        <v>347</v>
      </c>
      <c r="C4" s="596"/>
      <c r="D4" s="596"/>
      <c r="E4" s="596"/>
      <c r="F4" s="596"/>
      <c r="G4" s="596"/>
      <c r="H4" s="597"/>
    </row>
    <row r="5" spans="2:10" ht="63" customHeight="1">
      <c r="B5" s="598"/>
      <c r="C5" s="599"/>
      <c r="D5" s="599"/>
      <c r="E5" s="599"/>
      <c r="F5" s="599"/>
      <c r="G5" s="599"/>
      <c r="H5" s="600"/>
    </row>
    <row r="6" spans="2:10">
      <c r="B6" s="601" t="s">
        <v>348</v>
      </c>
      <c r="C6" s="602"/>
      <c r="D6" s="602"/>
      <c r="E6" s="602"/>
      <c r="F6" s="602"/>
      <c r="G6" s="602"/>
      <c r="H6" s="603"/>
    </row>
    <row r="7" spans="2:10" ht="95.25" customHeight="1">
      <c r="B7" s="611" t="s">
        <v>349</v>
      </c>
      <c r="C7" s="612"/>
      <c r="D7" s="612"/>
      <c r="E7" s="612"/>
      <c r="F7" s="612"/>
      <c r="G7" s="612"/>
      <c r="H7" s="613"/>
    </row>
    <row r="8" spans="2:10">
      <c r="B8" s="101"/>
      <c r="C8" s="102"/>
      <c r="D8" s="102"/>
      <c r="E8" s="102"/>
      <c r="F8" s="102"/>
      <c r="G8" s="102"/>
      <c r="H8" s="103"/>
    </row>
    <row r="9" spans="2:10" ht="16.5" customHeight="1">
      <c r="B9" s="604" t="s">
        <v>350</v>
      </c>
      <c r="C9" s="605"/>
      <c r="D9" s="605"/>
      <c r="E9" s="605"/>
      <c r="F9" s="605"/>
      <c r="G9" s="605"/>
      <c r="H9" s="606"/>
    </row>
    <row r="10" spans="2:10" ht="44.25" customHeight="1">
      <c r="B10" s="604"/>
      <c r="C10" s="605"/>
      <c r="D10" s="605"/>
      <c r="E10" s="605"/>
      <c r="F10" s="605"/>
      <c r="G10" s="605"/>
      <c r="H10" s="606"/>
    </row>
    <row r="11" spans="2:10" ht="16" thickBot="1">
      <c r="B11" s="90"/>
      <c r="C11" s="93"/>
      <c r="D11" s="98"/>
      <c r="E11" s="99"/>
      <c r="F11" s="99"/>
      <c r="G11" s="100"/>
      <c r="H11" s="94"/>
    </row>
    <row r="12" spans="2:10" ht="16" thickTop="1">
      <c r="B12" s="90"/>
      <c r="C12" s="607" t="s">
        <v>351</v>
      </c>
      <c r="D12" s="608"/>
      <c r="E12" s="609" t="s">
        <v>352</v>
      </c>
      <c r="F12" s="610"/>
      <c r="G12" s="93"/>
      <c r="H12" s="94"/>
    </row>
    <row r="13" spans="2:10" ht="35.25" customHeight="1">
      <c r="B13" s="90"/>
      <c r="C13" s="579" t="s">
        <v>353</v>
      </c>
      <c r="D13" s="580"/>
      <c r="E13" s="581" t="s">
        <v>354</v>
      </c>
      <c r="F13" s="582"/>
      <c r="G13" s="93"/>
      <c r="H13" s="94"/>
    </row>
    <row r="14" spans="2:10" ht="17.25" customHeight="1">
      <c r="B14" s="90"/>
      <c r="C14" s="579" t="s">
        <v>355</v>
      </c>
      <c r="D14" s="580"/>
      <c r="E14" s="581" t="s">
        <v>356</v>
      </c>
      <c r="F14" s="582"/>
      <c r="G14" s="93"/>
      <c r="H14" s="94"/>
    </row>
    <row r="15" spans="2:10" ht="19.5" customHeight="1">
      <c r="B15" s="90"/>
      <c r="C15" s="579" t="s">
        <v>357</v>
      </c>
      <c r="D15" s="580"/>
      <c r="E15" s="581" t="s">
        <v>358</v>
      </c>
      <c r="F15" s="582"/>
      <c r="G15" s="93"/>
      <c r="H15" s="94"/>
    </row>
    <row r="16" spans="2:10" ht="69.75" customHeight="1">
      <c r="B16" s="90"/>
      <c r="C16" s="579" t="s">
        <v>359</v>
      </c>
      <c r="D16" s="580"/>
      <c r="E16" s="581" t="s">
        <v>360</v>
      </c>
      <c r="F16" s="582"/>
      <c r="G16" s="93"/>
      <c r="H16" s="94"/>
    </row>
    <row r="17" spans="2:8" ht="34.5" customHeight="1">
      <c r="B17" s="90"/>
      <c r="C17" s="583" t="s">
        <v>31</v>
      </c>
      <c r="D17" s="584"/>
      <c r="E17" s="575" t="s">
        <v>361</v>
      </c>
      <c r="F17" s="576"/>
      <c r="G17" s="93"/>
      <c r="H17" s="94"/>
    </row>
    <row r="18" spans="2:8" ht="27.75" customHeight="1">
      <c r="B18" s="90"/>
      <c r="C18" s="583" t="s">
        <v>362</v>
      </c>
      <c r="D18" s="584"/>
      <c r="E18" s="575" t="s">
        <v>363</v>
      </c>
      <c r="F18" s="576"/>
      <c r="G18" s="93"/>
      <c r="H18" s="94"/>
    </row>
    <row r="19" spans="2:8" ht="28.5" customHeight="1">
      <c r="B19" s="90"/>
      <c r="C19" s="583" t="s">
        <v>364</v>
      </c>
      <c r="D19" s="584"/>
      <c r="E19" s="575" t="s">
        <v>365</v>
      </c>
      <c r="F19" s="576"/>
      <c r="G19" s="93"/>
      <c r="H19" s="94"/>
    </row>
    <row r="20" spans="2:8" ht="72.75" customHeight="1">
      <c r="B20" s="90"/>
      <c r="C20" s="583" t="s">
        <v>366</v>
      </c>
      <c r="D20" s="584"/>
      <c r="E20" s="575" t="s">
        <v>367</v>
      </c>
      <c r="F20" s="576"/>
      <c r="G20" s="93"/>
      <c r="H20" s="94"/>
    </row>
    <row r="21" spans="2:8" ht="64.5" customHeight="1">
      <c r="B21" s="90"/>
      <c r="C21" s="583" t="s">
        <v>37</v>
      </c>
      <c r="D21" s="584"/>
      <c r="E21" s="575" t="s">
        <v>368</v>
      </c>
      <c r="F21" s="576"/>
      <c r="G21" s="93"/>
      <c r="H21" s="94"/>
    </row>
    <row r="22" spans="2:8" ht="71.25" customHeight="1">
      <c r="B22" s="90"/>
      <c r="C22" s="583" t="s">
        <v>369</v>
      </c>
      <c r="D22" s="584"/>
      <c r="E22" s="575" t="s">
        <v>370</v>
      </c>
      <c r="F22" s="576"/>
      <c r="G22" s="93"/>
      <c r="H22" s="94"/>
    </row>
    <row r="23" spans="2:8" ht="55.5" customHeight="1">
      <c r="B23" s="90"/>
      <c r="C23" s="577" t="s">
        <v>371</v>
      </c>
      <c r="D23" s="578"/>
      <c r="E23" s="575" t="s">
        <v>372</v>
      </c>
      <c r="F23" s="576"/>
      <c r="G23" s="93"/>
      <c r="H23" s="94"/>
    </row>
    <row r="24" spans="2:8" ht="42" customHeight="1">
      <c r="B24" s="90"/>
      <c r="C24" s="577" t="s">
        <v>44</v>
      </c>
      <c r="D24" s="578"/>
      <c r="E24" s="575" t="s">
        <v>373</v>
      </c>
      <c r="F24" s="576"/>
      <c r="G24" s="93"/>
      <c r="H24" s="94"/>
    </row>
    <row r="25" spans="2:8" ht="59.25" customHeight="1">
      <c r="B25" s="90"/>
      <c r="C25" s="577" t="s">
        <v>374</v>
      </c>
      <c r="D25" s="578"/>
      <c r="E25" s="575" t="s">
        <v>375</v>
      </c>
      <c r="F25" s="576"/>
      <c r="G25" s="93"/>
      <c r="H25" s="94"/>
    </row>
    <row r="26" spans="2:8" ht="23.25" customHeight="1">
      <c r="B26" s="90"/>
      <c r="C26" s="577" t="s">
        <v>48</v>
      </c>
      <c r="D26" s="578"/>
      <c r="E26" s="575" t="s">
        <v>376</v>
      </c>
      <c r="F26" s="576"/>
      <c r="G26" s="93"/>
      <c r="H26" s="94"/>
    </row>
    <row r="27" spans="2:8" ht="30.75" customHeight="1">
      <c r="B27" s="90"/>
      <c r="C27" s="577" t="s">
        <v>377</v>
      </c>
      <c r="D27" s="578"/>
      <c r="E27" s="575" t="s">
        <v>378</v>
      </c>
      <c r="F27" s="576"/>
      <c r="G27" s="93"/>
      <c r="H27" s="94"/>
    </row>
    <row r="28" spans="2:8" ht="35.25" customHeight="1">
      <c r="B28" s="90"/>
      <c r="C28" s="577" t="s">
        <v>379</v>
      </c>
      <c r="D28" s="578"/>
      <c r="E28" s="575" t="s">
        <v>380</v>
      </c>
      <c r="F28" s="576"/>
      <c r="G28" s="93"/>
      <c r="H28" s="94"/>
    </row>
    <row r="29" spans="2:8" ht="33" customHeight="1">
      <c r="B29" s="90"/>
      <c r="C29" s="577" t="s">
        <v>379</v>
      </c>
      <c r="D29" s="578"/>
      <c r="E29" s="575" t="s">
        <v>380</v>
      </c>
      <c r="F29" s="576"/>
      <c r="G29" s="93"/>
      <c r="H29" s="94"/>
    </row>
    <row r="30" spans="2:8" ht="30" customHeight="1">
      <c r="B30" s="90"/>
      <c r="C30" s="577" t="s">
        <v>381</v>
      </c>
      <c r="D30" s="578"/>
      <c r="E30" s="575" t="s">
        <v>382</v>
      </c>
      <c r="F30" s="576"/>
      <c r="G30" s="93"/>
      <c r="H30" s="94"/>
    </row>
    <row r="31" spans="2:8" ht="35.25" customHeight="1">
      <c r="B31" s="90"/>
      <c r="C31" s="577" t="s">
        <v>383</v>
      </c>
      <c r="D31" s="578"/>
      <c r="E31" s="575" t="s">
        <v>384</v>
      </c>
      <c r="F31" s="576"/>
      <c r="G31" s="93"/>
      <c r="H31" s="94"/>
    </row>
    <row r="32" spans="2:8" ht="31.5" customHeight="1">
      <c r="B32" s="90"/>
      <c r="C32" s="577" t="s">
        <v>385</v>
      </c>
      <c r="D32" s="578"/>
      <c r="E32" s="575" t="s">
        <v>386</v>
      </c>
      <c r="F32" s="576"/>
      <c r="G32" s="93"/>
      <c r="H32" s="94"/>
    </row>
    <row r="33" spans="2:8" ht="35.25" customHeight="1">
      <c r="B33" s="90"/>
      <c r="C33" s="577" t="s">
        <v>387</v>
      </c>
      <c r="D33" s="578"/>
      <c r="E33" s="575" t="s">
        <v>388</v>
      </c>
      <c r="F33" s="576"/>
      <c r="G33" s="93"/>
      <c r="H33" s="94"/>
    </row>
    <row r="34" spans="2:8" ht="59.25" customHeight="1">
      <c r="B34" s="90"/>
      <c r="C34" s="577" t="s">
        <v>389</v>
      </c>
      <c r="D34" s="578"/>
      <c r="E34" s="575" t="s">
        <v>390</v>
      </c>
      <c r="F34" s="576"/>
      <c r="G34" s="93"/>
      <c r="H34" s="94"/>
    </row>
    <row r="35" spans="2:8" ht="29.25" customHeight="1">
      <c r="B35" s="90"/>
      <c r="C35" s="577" t="s">
        <v>54</v>
      </c>
      <c r="D35" s="578"/>
      <c r="E35" s="575" t="s">
        <v>391</v>
      </c>
      <c r="F35" s="576"/>
      <c r="G35" s="93"/>
      <c r="H35" s="94"/>
    </row>
    <row r="36" spans="2:8" ht="82.5" customHeight="1">
      <c r="B36" s="90"/>
      <c r="C36" s="577" t="s">
        <v>392</v>
      </c>
      <c r="D36" s="578"/>
      <c r="E36" s="575" t="s">
        <v>393</v>
      </c>
      <c r="F36" s="576"/>
      <c r="G36" s="93"/>
      <c r="H36" s="94"/>
    </row>
    <row r="37" spans="2:8" ht="46.5" customHeight="1">
      <c r="B37" s="90"/>
      <c r="C37" s="577" t="s">
        <v>394</v>
      </c>
      <c r="D37" s="578"/>
      <c r="E37" s="575" t="s">
        <v>395</v>
      </c>
      <c r="F37" s="576"/>
      <c r="G37" s="93"/>
      <c r="H37" s="94"/>
    </row>
    <row r="38" spans="2:8" ht="6.75" customHeight="1" thickBot="1">
      <c r="B38" s="90"/>
      <c r="C38" s="588"/>
      <c r="D38" s="589"/>
      <c r="E38" s="590"/>
      <c r="F38" s="591"/>
      <c r="G38" s="93"/>
      <c r="H38" s="94"/>
    </row>
    <row r="39" spans="2:8" ht="16" thickTop="1">
      <c r="B39" s="90"/>
      <c r="C39" s="91"/>
      <c r="D39" s="91"/>
      <c r="E39" s="92"/>
      <c r="F39" s="92"/>
      <c r="G39" s="93"/>
      <c r="H39" s="94"/>
    </row>
    <row r="40" spans="2:8" ht="21" customHeight="1">
      <c r="B40" s="585" t="s">
        <v>396</v>
      </c>
      <c r="C40" s="586"/>
      <c r="D40" s="586"/>
      <c r="E40" s="586"/>
      <c r="F40" s="586"/>
      <c r="G40" s="586"/>
      <c r="H40" s="587"/>
    </row>
    <row r="41" spans="2:8" ht="20.25" customHeight="1">
      <c r="B41" s="585" t="s">
        <v>397</v>
      </c>
      <c r="C41" s="586"/>
      <c r="D41" s="586"/>
      <c r="E41" s="586"/>
      <c r="F41" s="586"/>
      <c r="G41" s="586"/>
      <c r="H41" s="587"/>
    </row>
    <row r="42" spans="2:8" ht="20.25" customHeight="1">
      <c r="B42" s="585" t="s">
        <v>398</v>
      </c>
      <c r="C42" s="586"/>
      <c r="D42" s="586"/>
      <c r="E42" s="586"/>
      <c r="F42" s="586"/>
      <c r="G42" s="586"/>
      <c r="H42" s="587"/>
    </row>
    <row r="43" spans="2:8" ht="20.25" customHeight="1">
      <c r="B43" s="585" t="s">
        <v>399</v>
      </c>
      <c r="C43" s="586"/>
      <c r="D43" s="586"/>
      <c r="E43" s="586"/>
      <c r="F43" s="586"/>
      <c r="G43" s="586"/>
      <c r="H43" s="587"/>
    </row>
    <row r="44" spans="2:8" ht="15" customHeight="1">
      <c r="B44" s="585" t="s">
        <v>400</v>
      </c>
      <c r="C44" s="586"/>
      <c r="D44" s="586"/>
      <c r="E44" s="586"/>
      <c r="F44" s="586"/>
      <c r="G44" s="586"/>
      <c r="H44" s="587"/>
    </row>
    <row r="45" spans="2:8" ht="16" thickBot="1">
      <c r="B45" s="95"/>
      <c r="C45" s="96"/>
      <c r="D45" s="96"/>
      <c r="E45" s="96"/>
      <c r="F45" s="96"/>
      <c r="G45" s="96"/>
      <c r="H45" s="97"/>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
  <sheetViews>
    <sheetView workbookViewId="0">
      <selection activeCell="A2" sqref="A2"/>
    </sheetView>
  </sheetViews>
  <sheetFormatPr baseColWidth="10" defaultColWidth="11.5" defaultRowHeight="1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D9"/>
  <sheetViews>
    <sheetView workbookViewId="0">
      <selection activeCell="K15" sqref="K15"/>
    </sheetView>
  </sheetViews>
  <sheetFormatPr baseColWidth="10" defaultColWidth="11.5" defaultRowHeight="15"/>
  <sheetData>
    <row r="1" spans="1:4">
      <c r="A1" t="s">
        <v>401</v>
      </c>
      <c r="B1" t="s">
        <v>33</v>
      </c>
      <c r="C1" t="s">
        <v>194</v>
      </c>
      <c r="D1" t="s">
        <v>195</v>
      </c>
    </row>
    <row r="2" spans="1:4">
      <c r="A2" t="s">
        <v>402</v>
      </c>
      <c r="B2" t="s">
        <v>198</v>
      </c>
      <c r="C2" t="s">
        <v>221</v>
      </c>
      <c r="D2" t="s">
        <v>202</v>
      </c>
    </row>
    <row r="3" spans="1:4">
      <c r="A3" t="s">
        <v>78</v>
      </c>
      <c r="B3" t="s">
        <v>128</v>
      </c>
      <c r="C3" t="s">
        <v>403</v>
      </c>
      <c r="D3" t="s">
        <v>212</v>
      </c>
    </row>
    <row r="4" spans="1:4">
      <c r="A4" t="s">
        <v>404</v>
      </c>
      <c r="B4" t="s">
        <v>219</v>
      </c>
      <c r="C4" t="s">
        <v>228</v>
      </c>
      <c r="D4" t="s">
        <v>222</v>
      </c>
    </row>
    <row r="5" spans="1:4">
      <c r="A5" t="s">
        <v>128</v>
      </c>
      <c r="B5" t="s">
        <v>145</v>
      </c>
      <c r="C5" t="s">
        <v>405</v>
      </c>
      <c r="D5" t="s">
        <v>155</v>
      </c>
    </row>
    <row r="6" spans="1:4">
      <c r="A6" t="s">
        <v>144</v>
      </c>
      <c r="B6" t="s">
        <v>80</v>
      </c>
      <c r="C6" t="s">
        <v>155</v>
      </c>
    </row>
    <row r="7" spans="1:4">
      <c r="A7" t="s">
        <v>406</v>
      </c>
      <c r="B7" t="s">
        <v>233</v>
      </c>
    </row>
    <row r="8" spans="1:4">
      <c r="A8" t="s">
        <v>407</v>
      </c>
    </row>
    <row r="9" spans="1:4">
      <c r="A9" t="s">
        <v>408</v>
      </c>
    </row>
  </sheetData>
  <sheetProtection algorithmName="SHA-512" hashValue="v7i/xahZG2C7t5BslLITKnVU2aeqZ2qUUc7D3ggQN7269OWOf4ZVULOvpishKqJW79vwiv5Gp2BFg470cY4dqQ==" saltValue="yCXLobWCYjK/kLc7JEpQfQ=="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
  <sheetViews>
    <sheetView workbookViewId="0"/>
  </sheetViews>
  <sheetFormatPr baseColWidth="10" defaultColWidth="11.5" defaultRowHeight="1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B1:L27"/>
  <sheetViews>
    <sheetView showGridLines="0" view="pageBreakPreview" zoomScaleNormal="100" zoomScaleSheetLayoutView="100" workbookViewId="0">
      <selection activeCell="M16" sqref="M16"/>
    </sheetView>
  </sheetViews>
  <sheetFormatPr baseColWidth="10" defaultColWidth="11.5" defaultRowHeight="15"/>
  <cols>
    <col min="1" max="1" width="2.5" style="68" customWidth="1"/>
    <col min="2" max="2" width="33.33203125" style="68" customWidth="1"/>
    <col min="3" max="4" width="11.5" style="68"/>
    <col min="5" max="5" width="5.6640625" style="68" customWidth="1"/>
    <col min="6" max="6" width="16.33203125" style="68" customWidth="1"/>
    <col min="7" max="7" width="11.5" style="68"/>
    <col min="8" max="8" width="13.6640625" style="68" customWidth="1"/>
    <col min="9" max="9" width="14.33203125" style="68" customWidth="1"/>
    <col min="10" max="10" width="14.6640625" style="68" customWidth="1"/>
    <col min="11" max="11" width="7.5" style="68" customWidth="1"/>
    <col min="12" max="12" width="2.33203125" style="68" customWidth="1"/>
    <col min="13" max="16384" width="11.5" style="68"/>
  </cols>
  <sheetData>
    <row r="1" spans="2:11" ht="6" customHeight="1" thickBot="1"/>
    <row r="2" spans="2:11" ht="15" customHeight="1">
      <c r="B2" s="651" t="s">
        <v>317</v>
      </c>
      <c r="C2" s="654" t="s">
        <v>1</v>
      </c>
      <c r="D2" s="655"/>
      <c r="E2" s="655"/>
      <c r="F2" s="655"/>
      <c r="G2" s="655"/>
      <c r="H2" s="655"/>
      <c r="I2" s="655"/>
      <c r="J2" s="402" t="s">
        <v>318</v>
      </c>
      <c r="K2" s="282"/>
    </row>
    <row r="3" spans="2:11" ht="15" customHeight="1">
      <c r="B3" s="652"/>
      <c r="C3" s="656"/>
      <c r="D3" s="657"/>
      <c r="E3" s="657"/>
      <c r="F3" s="657"/>
      <c r="G3" s="657"/>
      <c r="H3" s="657"/>
      <c r="I3" s="657"/>
      <c r="J3" s="403" t="s">
        <v>409</v>
      </c>
      <c r="K3" s="284"/>
    </row>
    <row r="4" spans="2:11" ht="15" customHeight="1">
      <c r="B4" s="652"/>
      <c r="C4" s="656"/>
      <c r="D4" s="657"/>
      <c r="E4" s="657"/>
      <c r="F4" s="657"/>
      <c r="G4" s="657"/>
      <c r="H4" s="657"/>
      <c r="I4" s="657"/>
      <c r="J4" s="403" t="s">
        <v>319</v>
      </c>
      <c r="K4" s="284" t="s">
        <v>319</v>
      </c>
    </row>
    <row r="5" spans="2:11" ht="15" customHeight="1" thickBot="1">
      <c r="B5" s="653"/>
      <c r="C5" s="658"/>
      <c r="D5" s="659"/>
      <c r="E5" s="659"/>
      <c r="F5" s="659"/>
      <c r="G5" s="659"/>
      <c r="H5" s="659"/>
      <c r="I5" s="659"/>
      <c r="J5" s="404" t="s">
        <v>5</v>
      </c>
      <c r="K5" s="286" t="s">
        <v>5</v>
      </c>
    </row>
    <row r="6" spans="2:11" ht="16" thickBot="1"/>
    <row r="7" spans="2:11" customFormat="1" ht="16" thickBot="1">
      <c r="B7" s="645" t="s">
        <v>338</v>
      </c>
      <c r="C7" s="646"/>
      <c r="D7" s="647" t="s">
        <v>410</v>
      </c>
      <c r="E7" s="648"/>
      <c r="F7" s="647" t="s">
        <v>411</v>
      </c>
      <c r="G7" s="649"/>
      <c r="H7" s="649"/>
      <c r="I7" s="649"/>
      <c r="J7" s="649"/>
      <c r="K7" s="650"/>
    </row>
    <row r="8" spans="2:11" customFormat="1" ht="18" customHeight="1" thickBot="1">
      <c r="B8" s="614"/>
      <c r="C8" s="615"/>
      <c r="D8" s="616">
        <v>1</v>
      </c>
      <c r="E8" s="617"/>
      <c r="F8" s="618"/>
      <c r="G8" s="618"/>
      <c r="H8" s="618"/>
      <c r="I8" s="618"/>
      <c r="J8" s="618"/>
      <c r="K8" s="619"/>
    </row>
    <row r="9" spans="2:11" customFormat="1" ht="18" customHeight="1" thickBot="1">
      <c r="B9" s="614"/>
      <c r="C9" s="615"/>
      <c r="D9" s="616">
        <v>2</v>
      </c>
      <c r="E9" s="617"/>
      <c r="F9" s="618"/>
      <c r="G9" s="618"/>
      <c r="H9" s="618"/>
      <c r="I9" s="618"/>
      <c r="J9" s="618"/>
      <c r="K9" s="619"/>
    </row>
    <row r="10" spans="2:11" customFormat="1" ht="18" customHeight="1" thickBot="1">
      <c r="B10" s="614"/>
      <c r="C10" s="615"/>
      <c r="D10" s="616">
        <v>3</v>
      </c>
      <c r="E10" s="617"/>
      <c r="F10" s="618"/>
      <c r="G10" s="618"/>
      <c r="H10" s="618"/>
      <c r="I10" s="618"/>
      <c r="J10" s="618"/>
      <c r="K10" s="619"/>
    </row>
    <row r="11" spans="2:11" customFormat="1" ht="18" customHeight="1" thickBot="1">
      <c r="B11" s="614"/>
      <c r="C11" s="615"/>
      <c r="D11" s="616">
        <v>4</v>
      </c>
      <c r="E11" s="617"/>
      <c r="F11" s="618"/>
      <c r="G11" s="618"/>
      <c r="H11" s="618"/>
      <c r="I11" s="618"/>
      <c r="J11" s="618"/>
      <c r="K11" s="619"/>
    </row>
    <row r="12" spans="2:11" customFormat="1" ht="18" customHeight="1" thickBot="1">
      <c r="B12" s="614"/>
      <c r="C12" s="615"/>
      <c r="D12" s="616">
        <v>5</v>
      </c>
      <c r="E12" s="617"/>
      <c r="F12" s="618"/>
      <c r="G12" s="618"/>
      <c r="H12" s="618"/>
      <c r="I12" s="618"/>
      <c r="J12" s="618"/>
      <c r="K12" s="619"/>
    </row>
    <row r="13" spans="2:11" customFormat="1" ht="18" customHeight="1" thickBot="1">
      <c r="B13" s="614"/>
      <c r="C13" s="615"/>
      <c r="D13" s="616">
        <v>6</v>
      </c>
      <c r="E13" s="617"/>
      <c r="F13" s="618"/>
      <c r="G13" s="618"/>
      <c r="H13" s="618"/>
      <c r="I13" s="618"/>
      <c r="J13" s="618"/>
      <c r="K13" s="619"/>
    </row>
    <row r="14" spans="2:11" customFormat="1" ht="18" customHeight="1" thickBot="1">
      <c r="B14" s="614"/>
      <c r="C14" s="615"/>
      <c r="D14" s="616">
        <v>7</v>
      </c>
      <c r="E14" s="617"/>
      <c r="F14" s="618"/>
      <c r="G14" s="618"/>
      <c r="H14" s="618"/>
      <c r="I14" s="618"/>
      <c r="J14" s="618"/>
      <c r="K14" s="619"/>
    </row>
    <row r="15" spans="2:11" customFormat="1" ht="18" customHeight="1">
      <c r="B15" s="614">
        <v>45352</v>
      </c>
      <c r="C15" s="615"/>
      <c r="D15" s="616">
        <v>8</v>
      </c>
      <c r="E15" s="617"/>
      <c r="F15" s="618" t="s">
        <v>412</v>
      </c>
      <c r="G15" s="618"/>
      <c r="H15" s="618"/>
      <c r="I15" s="618"/>
      <c r="J15" s="618"/>
      <c r="K15" s="619"/>
    </row>
    <row r="16" spans="2:11" customFormat="1" ht="150.75" customHeight="1">
      <c r="B16" s="614" t="s">
        <v>413</v>
      </c>
      <c r="C16" s="615"/>
      <c r="D16" s="616">
        <v>9</v>
      </c>
      <c r="E16" s="617"/>
      <c r="F16" s="618" t="s">
        <v>414</v>
      </c>
      <c r="G16" s="618"/>
      <c r="H16" s="618"/>
      <c r="I16" s="618"/>
      <c r="J16" s="618"/>
      <c r="K16" s="619"/>
    </row>
    <row r="17" spans="2:12" customFormat="1" ht="15.75" customHeight="1">
      <c r="B17" s="632"/>
      <c r="C17" s="632"/>
      <c r="D17" s="632"/>
      <c r="E17" s="632"/>
      <c r="F17" s="632"/>
      <c r="G17" s="632"/>
      <c r="H17" s="632"/>
      <c r="I17" s="632"/>
      <c r="J17" s="632"/>
      <c r="K17" s="632"/>
    </row>
    <row r="18" spans="2:12" customFormat="1" ht="15.75" customHeight="1" thickBot="1">
      <c r="B18" s="633" t="s">
        <v>415</v>
      </c>
      <c r="C18" s="634"/>
      <c r="D18" s="634"/>
      <c r="E18" s="635"/>
      <c r="F18" s="636" t="s">
        <v>416</v>
      </c>
      <c r="G18" s="637"/>
      <c r="H18" s="638"/>
      <c r="I18" s="639" t="s">
        <v>417</v>
      </c>
      <c r="J18" s="640"/>
      <c r="K18" s="635"/>
    </row>
    <row r="19" spans="2:12" customFormat="1" ht="27" customHeight="1">
      <c r="B19" s="641"/>
      <c r="C19" s="642"/>
      <c r="D19" s="642"/>
      <c r="E19" s="642"/>
      <c r="F19" s="642"/>
      <c r="G19" s="642"/>
      <c r="H19" s="642"/>
      <c r="I19" s="643"/>
      <c r="J19" s="643"/>
      <c r="K19" s="644"/>
    </row>
    <row r="20" spans="2:12" customFormat="1" ht="15" customHeight="1">
      <c r="B20" s="621" t="s">
        <v>418</v>
      </c>
      <c r="C20" s="622"/>
      <c r="D20" s="622"/>
      <c r="E20" s="622"/>
      <c r="F20" s="623" t="s">
        <v>419</v>
      </c>
      <c r="G20" s="623"/>
      <c r="H20" s="624"/>
      <c r="I20" s="623" t="s">
        <v>419</v>
      </c>
      <c r="J20" s="623"/>
      <c r="K20" s="624"/>
    </row>
    <row r="21" spans="2:12" customFormat="1" ht="22.5" customHeight="1" thickBot="1">
      <c r="B21" s="625" t="s">
        <v>420</v>
      </c>
      <c r="C21" s="626"/>
      <c r="D21" s="626"/>
      <c r="E21" s="626"/>
      <c r="F21" s="626" t="s">
        <v>421</v>
      </c>
      <c r="G21" s="626"/>
      <c r="H21" s="627"/>
      <c r="I21" s="626" t="s">
        <v>421</v>
      </c>
      <c r="J21" s="626"/>
      <c r="K21" s="627"/>
    </row>
    <row r="22" spans="2:12" customFormat="1" ht="9" customHeight="1" thickBot="1">
      <c r="B22" s="628"/>
      <c r="C22" s="628"/>
      <c r="D22" s="628"/>
      <c r="E22" s="628"/>
      <c r="F22" s="628"/>
      <c r="G22" s="628"/>
      <c r="H22" s="628"/>
      <c r="I22" s="628"/>
      <c r="J22" s="628"/>
      <c r="K22" s="628"/>
    </row>
    <row r="23" spans="2:12" customFormat="1" ht="16" thickBot="1">
      <c r="B23" s="629" t="s">
        <v>164</v>
      </c>
      <c r="C23" s="630"/>
      <c r="D23" s="631"/>
      <c r="E23" s="123" t="s">
        <v>165</v>
      </c>
      <c r="F23" s="629" t="s">
        <v>166</v>
      </c>
      <c r="G23" s="631"/>
      <c r="H23" s="124" t="s">
        <v>167</v>
      </c>
      <c r="I23" s="629" t="s">
        <v>168</v>
      </c>
      <c r="J23" s="631"/>
      <c r="K23" s="125">
        <v>1</v>
      </c>
    </row>
    <row r="24" spans="2:12" ht="8.25" customHeight="1"/>
    <row r="25" spans="2:12">
      <c r="B25" s="620" t="s">
        <v>422</v>
      </c>
      <c r="C25" s="620"/>
      <c r="D25" s="620"/>
      <c r="E25" s="620"/>
      <c r="F25" s="620"/>
      <c r="G25" s="620"/>
      <c r="H25" s="620"/>
      <c r="I25" s="620"/>
      <c r="J25" s="620"/>
      <c r="K25" s="620"/>
      <c r="L25" s="620"/>
    </row>
    <row r="26" spans="2:12">
      <c r="B26" s="620" t="s">
        <v>423</v>
      </c>
      <c r="C26" s="620"/>
      <c r="D26" s="620"/>
      <c r="E26" s="620"/>
      <c r="F26" s="620"/>
      <c r="G26" s="620"/>
      <c r="H26" s="620"/>
      <c r="I26" s="620"/>
      <c r="J26" s="620"/>
      <c r="K26" s="620"/>
      <c r="L26" s="620"/>
    </row>
    <row r="27" spans="2:12" ht="9" customHeight="1"/>
  </sheetData>
  <mergeCells count="55">
    <mergeCell ref="B2:B5"/>
    <mergeCell ref="C2:I5"/>
    <mergeCell ref="J2:K2"/>
    <mergeCell ref="J3:K3"/>
    <mergeCell ref="J4:K4"/>
    <mergeCell ref="J5:K5"/>
    <mergeCell ref="B7:C7"/>
    <mergeCell ref="D7:E7"/>
    <mergeCell ref="F7:K7"/>
    <mergeCell ref="B15:C15"/>
    <mergeCell ref="D15:E15"/>
    <mergeCell ref="F15:K15"/>
    <mergeCell ref="B8:C8"/>
    <mergeCell ref="D8:E8"/>
    <mergeCell ref="F8:K8"/>
    <mergeCell ref="B13:C13"/>
    <mergeCell ref="B9:C9"/>
    <mergeCell ref="D9:E9"/>
    <mergeCell ref="F9:K9"/>
    <mergeCell ref="B10:C10"/>
    <mergeCell ref="D10:E10"/>
    <mergeCell ref="F10:K10"/>
    <mergeCell ref="B17:K17"/>
    <mergeCell ref="B18:E18"/>
    <mergeCell ref="F18:H18"/>
    <mergeCell ref="I18:K18"/>
    <mergeCell ref="B19:E19"/>
    <mergeCell ref="F19:H19"/>
    <mergeCell ref="I19:K19"/>
    <mergeCell ref="B26:L26"/>
    <mergeCell ref="B20:E20"/>
    <mergeCell ref="F20:H20"/>
    <mergeCell ref="I20:K20"/>
    <mergeCell ref="B21:E21"/>
    <mergeCell ref="F21:H21"/>
    <mergeCell ref="I21:K21"/>
    <mergeCell ref="B22:K22"/>
    <mergeCell ref="B23:D23"/>
    <mergeCell ref="F23:G23"/>
    <mergeCell ref="I23:J23"/>
    <mergeCell ref="B25:L25"/>
    <mergeCell ref="B16:C16"/>
    <mergeCell ref="D16:E16"/>
    <mergeCell ref="F16:K16"/>
    <mergeCell ref="F11:K11"/>
    <mergeCell ref="B12:C12"/>
    <mergeCell ref="D12:E12"/>
    <mergeCell ref="F12:K12"/>
    <mergeCell ref="B14:C14"/>
    <mergeCell ref="D14:E14"/>
    <mergeCell ref="F14:K14"/>
    <mergeCell ref="D13:E13"/>
    <mergeCell ref="F13:K13"/>
    <mergeCell ref="B11:C11"/>
    <mergeCell ref="D11:E11"/>
  </mergeCells>
  <pageMargins left="0.7" right="0.7" top="0.75" bottom="0.75" header="0.3" footer="0.3"/>
  <pageSetup paperSize="9" scale="60"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rgb="FF00B0F0"/>
  </sheetPr>
  <dimension ref="A1:AK55"/>
  <sheetViews>
    <sheetView zoomScale="90" zoomScaleNormal="90" workbookViewId="0">
      <selection activeCell="K13" sqref="K13"/>
    </sheetView>
  </sheetViews>
  <sheetFormatPr baseColWidth="10" defaultColWidth="11.5" defaultRowHeight="15"/>
  <cols>
    <col min="2" max="2" width="24.33203125" customWidth="1"/>
    <col min="3" max="3" width="70.33203125" customWidth="1"/>
    <col min="4" max="4" width="29.6640625" customWidth="1"/>
  </cols>
  <sheetData>
    <row r="1" spans="1:37" ht="23">
      <c r="A1" s="68"/>
      <c r="B1" s="660" t="s">
        <v>424</v>
      </c>
      <c r="C1" s="660"/>
      <c r="D1" s="660"/>
      <c r="E1" s="68"/>
      <c r="F1" s="68"/>
      <c r="G1" s="68"/>
      <c r="H1" s="68"/>
      <c r="I1" s="68"/>
      <c r="J1" s="68"/>
      <c r="K1" s="68"/>
      <c r="L1" s="68"/>
      <c r="M1" s="68"/>
      <c r="N1" s="68"/>
      <c r="O1" s="68"/>
      <c r="P1" s="68"/>
      <c r="Q1" s="68"/>
      <c r="R1" s="68"/>
      <c r="S1" s="68"/>
      <c r="T1" s="68"/>
      <c r="U1" s="68"/>
      <c r="V1" s="68"/>
      <c r="W1" s="68"/>
      <c r="X1" s="68"/>
      <c r="Y1" s="68"/>
      <c r="Z1" s="68"/>
      <c r="AA1" s="68"/>
      <c r="AB1" s="68"/>
      <c r="AC1" s="68"/>
      <c r="AD1" s="68"/>
      <c r="AE1" s="68"/>
    </row>
    <row r="2" spans="1:37">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row>
    <row r="3" spans="1:37" ht="26">
      <c r="A3" s="68"/>
      <c r="B3" s="3"/>
      <c r="C3" s="4" t="s">
        <v>425</v>
      </c>
      <c r="D3" s="4" t="s">
        <v>321</v>
      </c>
      <c r="E3" s="68"/>
      <c r="F3" s="68"/>
      <c r="G3" s="68"/>
      <c r="H3" s="68"/>
      <c r="I3" s="68"/>
      <c r="J3" s="68"/>
      <c r="K3" s="68"/>
      <c r="L3" s="68"/>
      <c r="M3" s="68"/>
      <c r="N3" s="68"/>
      <c r="O3" s="68"/>
      <c r="P3" s="68"/>
      <c r="Q3" s="68"/>
      <c r="R3" s="68"/>
      <c r="S3" s="68"/>
      <c r="T3" s="68"/>
      <c r="U3" s="68"/>
      <c r="V3" s="68"/>
      <c r="W3" s="68"/>
      <c r="X3" s="68"/>
      <c r="Y3" s="68"/>
      <c r="Z3" s="68"/>
      <c r="AA3" s="68"/>
      <c r="AB3" s="68"/>
      <c r="AC3" s="68"/>
      <c r="AD3" s="68"/>
      <c r="AE3" s="68"/>
    </row>
    <row r="4" spans="1:37" ht="52">
      <c r="A4" s="68"/>
      <c r="B4" s="5" t="s">
        <v>426</v>
      </c>
      <c r="C4" s="6" t="s">
        <v>427</v>
      </c>
      <c r="D4" s="7">
        <v>0.2</v>
      </c>
      <c r="E4" s="68"/>
      <c r="F4" s="68"/>
      <c r="G4" s="68"/>
      <c r="H4" s="68"/>
      <c r="I4" s="68"/>
      <c r="J4" s="68"/>
      <c r="K4" s="68"/>
      <c r="L4" s="68"/>
      <c r="M4" s="68"/>
      <c r="N4" s="68"/>
      <c r="O4" s="68"/>
      <c r="P4" s="68"/>
      <c r="Q4" s="68"/>
      <c r="R4" s="68"/>
      <c r="S4" s="68"/>
      <c r="T4" s="68"/>
      <c r="U4" s="68"/>
      <c r="V4" s="68"/>
      <c r="W4" s="68"/>
      <c r="X4" s="68"/>
      <c r="Y4" s="68"/>
      <c r="Z4" s="68"/>
      <c r="AA4" s="68"/>
      <c r="AB4" s="68"/>
      <c r="AC4" s="68"/>
      <c r="AD4" s="68"/>
      <c r="AE4" s="68"/>
    </row>
    <row r="5" spans="1:37" ht="52">
      <c r="A5" s="68"/>
      <c r="B5" s="8" t="s">
        <v>428</v>
      </c>
      <c r="C5" s="9" t="s">
        <v>429</v>
      </c>
      <c r="D5" s="10">
        <v>0.4</v>
      </c>
      <c r="E5" s="68"/>
      <c r="F5" s="68"/>
      <c r="G5" s="68"/>
      <c r="H5" s="68"/>
      <c r="I5" s="68"/>
      <c r="J5" s="68"/>
      <c r="K5" s="68"/>
      <c r="L5" s="68"/>
      <c r="M5" s="68"/>
      <c r="N5" s="68"/>
      <c r="O5" s="68"/>
      <c r="P5" s="68"/>
      <c r="Q5" s="68"/>
      <c r="R5" s="68"/>
      <c r="S5" s="68"/>
      <c r="T5" s="68"/>
      <c r="U5" s="68"/>
      <c r="V5" s="68"/>
      <c r="W5" s="68"/>
      <c r="X5" s="68"/>
      <c r="Y5" s="68"/>
      <c r="Z5" s="68"/>
      <c r="AA5" s="68"/>
      <c r="AB5" s="68"/>
      <c r="AC5" s="68"/>
      <c r="AD5" s="68"/>
      <c r="AE5" s="68"/>
    </row>
    <row r="6" spans="1:37" ht="52">
      <c r="A6" s="68"/>
      <c r="B6" s="11" t="s">
        <v>430</v>
      </c>
      <c r="C6" s="9" t="s">
        <v>431</v>
      </c>
      <c r="D6" s="10">
        <v>0.6</v>
      </c>
      <c r="E6" s="68"/>
      <c r="F6" s="68"/>
      <c r="G6" s="68"/>
      <c r="H6" s="68"/>
      <c r="I6" s="68"/>
      <c r="J6" s="68"/>
      <c r="K6" s="68"/>
      <c r="L6" s="68"/>
      <c r="M6" s="68"/>
      <c r="N6" s="68"/>
      <c r="O6" s="68"/>
      <c r="P6" s="68"/>
      <c r="Q6" s="68"/>
      <c r="R6" s="68"/>
      <c r="S6" s="68"/>
      <c r="T6" s="68"/>
      <c r="U6" s="68"/>
      <c r="V6" s="68"/>
      <c r="W6" s="68"/>
      <c r="X6" s="68"/>
      <c r="Y6" s="68"/>
      <c r="Z6" s="68"/>
      <c r="AA6" s="68"/>
      <c r="AB6" s="68"/>
      <c r="AC6" s="68"/>
      <c r="AD6" s="68"/>
      <c r="AE6" s="68"/>
    </row>
    <row r="7" spans="1:37" ht="52">
      <c r="A7" s="68"/>
      <c r="B7" s="12" t="s">
        <v>432</v>
      </c>
      <c r="C7" s="9" t="s">
        <v>433</v>
      </c>
      <c r="D7" s="10">
        <v>0.8</v>
      </c>
      <c r="E7" s="68"/>
      <c r="F7" s="68"/>
      <c r="G7" s="68"/>
      <c r="H7" s="68"/>
      <c r="I7" s="68"/>
      <c r="J7" s="68"/>
      <c r="K7" s="68"/>
      <c r="L7" s="68"/>
      <c r="M7" s="68"/>
      <c r="N7" s="68"/>
      <c r="O7" s="68"/>
      <c r="P7" s="68"/>
      <c r="Q7" s="68"/>
      <c r="R7" s="68"/>
      <c r="S7" s="68"/>
      <c r="T7" s="68"/>
      <c r="U7" s="68"/>
      <c r="V7" s="68"/>
      <c r="W7" s="68"/>
      <c r="X7" s="68"/>
      <c r="Y7" s="68"/>
      <c r="Z7" s="68"/>
      <c r="AA7" s="68"/>
      <c r="AB7" s="68"/>
      <c r="AC7" s="68"/>
      <c r="AD7" s="68"/>
      <c r="AE7" s="68"/>
    </row>
    <row r="8" spans="1:37" ht="52">
      <c r="A8" s="68"/>
      <c r="B8" s="13" t="s">
        <v>434</v>
      </c>
      <c r="C8" s="9" t="s">
        <v>435</v>
      </c>
      <c r="D8" s="10">
        <v>1</v>
      </c>
      <c r="E8" s="68"/>
      <c r="F8" s="68"/>
      <c r="G8" s="68"/>
      <c r="H8" s="68"/>
      <c r="I8" s="68"/>
      <c r="J8" s="68"/>
      <c r="K8" s="68"/>
      <c r="L8" s="68"/>
      <c r="M8" s="68"/>
      <c r="N8" s="68"/>
      <c r="O8" s="68"/>
      <c r="P8" s="68"/>
      <c r="Q8" s="68"/>
      <c r="R8" s="68"/>
      <c r="S8" s="68"/>
      <c r="T8" s="68"/>
      <c r="U8" s="68"/>
      <c r="V8" s="68"/>
      <c r="W8" s="68"/>
      <c r="X8" s="68"/>
      <c r="Y8" s="68"/>
      <c r="Z8" s="68"/>
      <c r="AA8" s="68"/>
      <c r="AB8" s="68"/>
      <c r="AC8" s="68"/>
      <c r="AD8" s="68"/>
      <c r="AE8" s="68"/>
    </row>
    <row r="9" spans="1:37">
      <c r="A9" s="68"/>
      <c r="B9" s="88"/>
      <c r="C9" s="88"/>
      <c r="D9" s="8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row>
    <row r="10" spans="1:37">
      <c r="A10" s="68"/>
      <c r="B10" s="89"/>
      <c r="C10" s="88"/>
      <c r="D10" s="8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row>
    <row r="11" spans="1:37">
      <c r="A11" s="68"/>
      <c r="B11" s="88"/>
      <c r="C11" s="88"/>
      <c r="D11" s="8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row>
    <row r="12" spans="1:37">
      <c r="A12" s="68"/>
      <c r="B12" s="88"/>
      <c r="C12" s="88"/>
      <c r="D12" s="8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row>
    <row r="13" spans="1:37">
      <c r="A13" s="68"/>
      <c r="B13" s="88"/>
      <c r="C13" s="88"/>
      <c r="D13" s="8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row>
    <row r="14" spans="1:37">
      <c r="A14" s="68"/>
      <c r="B14" s="88"/>
      <c r="C14" s="88"/>
      <c r="D14" s="8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row>
    <row r="15" spans="1:37">
      <c r="A15" s="68"/>
      <c r="B15" s="88"/>
      <c r="C15" s="88"/>
      <c r="D15" s="8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row>
    <row r="16" spans="1:37">
      <c r="A16" s="68"/>
      <c r="B16" s="88"/>
      <c r="C16" s="88"/>
      <c r="D16" s="8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row>
    <row r="17" spans="1:37">
      <c r="A17" s="68"/>
      <c r="B17" s="88"/>
      <c r="C17" s="88"/>
      <c r="D17" s="8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row>
    <row r="18" spans="1:37">
      <c r="A18" s="68"/>
      <c r="B18" s="88"/>
      <c r="C18" s="88"/>
      <c r="D18" s="8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row>
    <row r="19" spans="1:37">
      <c r="A19" s="68"/>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row>
    <row r="20" spans="1:37">
      <c r="A20" s="68"/>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row>
    <row r="21" spans="1:37">
      <c r="A21" s="68"/>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row>
    <row r="22" spans="1:37">
      <c r="A22" s="68"/>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row>
    <row r="23" spans="1:37">
      <c r="A23" s="68"/>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row>
    <row r="24" spans="1:37">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row>
    <row r="25" spans="1:37">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row>
    <row r="26" spans="1:37">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row>
    <row r="27" spans="1:37">
      <c r="A27" s="6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row>
    <row r="28" spans="1:37">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row>
    <row r="29" spans="1:37">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row>
    <row r="30" spans="1:37">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row>
    <row r="31" spans="1:37">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row>
    <row r="32" spans="1:37">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row>
    <row r="33" spans="1:31">
      <c r="A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row>
    <row r="34" spans="1:31">
      <c r="A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row>
    <row r="35" spans="1:31">
      <c r="A35" s="68"/>
    </row>
    <row r="36" spans="1:31">
      <c r="A36" s="68"/>
    </row>
    <row r="37" spans="1:31">
      <c r="A37" s="68"/>
    </row>
    <row r="38" spans="1:31">
      <c r="A38" s="68"/>
    </row>
    <row r="39" spans="1:31">
      <c r="A39" s="68"/>
    </row>
    <row r="40" spans="1:31">
      <c r="A40" s="68"/>
    </row>
    <row r="41" spans="1:31">
      <c r="A41" s="68"/>
    </row>
    <row r="42" spans="1:31">
      <c r="A42" s="68"/>
    </row>
    <row r="43" spans="1:31">
      <c r="A43" s="68"/>
    </row>
    <row r="44" spans="1:31">
      <c r="A44" s="68"/>
    </row>
    <row r="45" spans="1:31">
      <c r="A45" s="68"/>
    </row>
    <row r="46" spans="1:31">
      <c r="A46" s="68"/>
    </row>
    <row r="47" spans="1:31">
      <c r="A47" s="68"/>
    </row>
    <row r="48" spans="1:31">
      <c r="A48" s="68"/>
    </row>
    <row r="49" spans="1:1">
      <c r="A49" s="68"/>
    </row>
    <row r="50" spans="1:1">
      <c r="A50" s="68"/>
    </row>
    <row r="51" spans="1:1">
      <c r="A51" s="68"/>
    </row>
    <row r="52" spans="1:1">
      <c r="A52" s="68"/>
    </row>
    <row r="53" spans="1:1">
      <c r="A53" s="68"/>
    </row>
    <row r="54" spans="1:1">
      <c r="A54" s="68"/>
    </row>
    <row r="55" spans="1:1">
      <c r="A55" s="68"/>
    </row>
  </sheetData>
  <mergeCells count="1">
    <mergeCell ref="B1:D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theme="6" tint="-0.249977111117893"/>
  </sheetPr>
  <dimension ref="A1:U232"/>
  <sheetViews>
    <sheetView topLeftCell="D173" zoomScale="55" zoomScaleNormal="55" workbookViewId="0">
      <selection activeCell="G1" sqref="G1"/>
    </sheetView>
  </sheetViews>
  <sheetFormatPr baseColWidth="10" defaultColWidth="11.5" defaultRowHeight="15"/>
  <cols>
    <col min="2" max="2" width="40.5" customWidth="1"/>
    <col min="3" max="3" width="74.6640625" customWidth="1"/>
    <col min="4" max="4" width="135" bestFit="1" customWidth="1"/>
    <col min="5" max="5" width="144.6640625" bestFit="1" customWidth="1"/>
    <col min="6" max="6" width="136.5" bestFit="1" customWidth="1"/>
  </cols>
  <sheetData>
    <row r="1" spans="1:21" ht="33">
      <c r="A1" s="68"/>
      <c r="B1" s="661" t="s">
        <v>436</v>
      </c>
      <c r="C1" s="661"/>
      <c r="D1" s="661"/>
      <c r="E1" s="68"/>
      <c r="F1" s="68"/>
      <c r="G1" s="68"/>
      <c r="H1" s="68"/>
      <c r="I1" s="68"/>
      <c r="J1" s="68"/>
      <c r="K1" s="68"/>
      <c r="L1" s="68"/>
      <c r="M1" s="68"/>
      <c r="N1" s="68"/>
      <c r="O1" s="68"/>
      <c r="P1" s="68"/>
      <c r="Q1" s="68"/>
      <c r="R1" s="68"/>
      <c r="S1" s="68"/>
      <c r="T1" s="68"/>
      <c r="U1" s="68"/>
    </row>
    <row r="2" spans="1:21">
      <c r="A2" s="68"/>
      <c r="B2" s="68"/>
      <c r="C2" s="68"/>
      <c r="D2" s="68"/>
      <c r="E2" s="68"/>
      <c r="F2" s="68"/>
      <c r="G2" s="68"/>
      <c r="H2" s="68"/>
      <c r="I2" s="68"/>
      <c r="J2" s="68"/>
      <c r="K2" s="68"/>
      <c r="L2" s="68"/>
      <c r="M2" s="68"/>
      <c r="N2" s="68"/>
      <c r="O2" s="68"/>
      <c r="P2" s="68"/>
      <c r="Q2" s="68"/>
      <c r="R2" s="68"/>
      <c r="S2" s="68"/>
      <c r="T2" s="68"/>
      <c r="U2" s="68"/>
    </row>
    <row r="3" spans="1:21" ht="31">
      <c r="A3" s="68"/>
      <c r="B3" s="85"/>
      <c r="C3" s="22" t="s">
        <v>437</v>
      </c>
      <c r="D3" s="22" t="s">
        <v>438</v>
      </c>
      <c r="E3" s="68"/>
      <c r="F3" s="68"/>
      <c r="G3" s="68"/>
      <c r="H3" s="68"/>
      <c r="I3" s="68"/>
      <c r="J3" s="68"/>
      <c r="K3" s="68"/>
      <c r="L3" s="68"/>
      <c r="M3" s="68"/>
      <c r="N3" s="68"/>
      <c r="O3" s="68"/>
      <c r="P3" s="68"/>
      <c r="Q3" s="68"/>
      <c r="R3" s="68"/>
      <c r="S3" s="68"/>
      <c r="T3" s="68"/>
      <c r="U3" s="68"/>
    </row>
    <row r="4" spans="1:21" ht="34">
      <c r="A4" s="84" t="s">
        <v>439</v>
      </c>
      <c r="B4" s="25" t="s">
        <v>440</v>
      </c>
      <c r="C4" s="30" t="s">
        <v>441</v>
      </c>
      <c r="D4" s="23" t="s">
        <v>442</v>
      </c>
      <c r="E4" s="68"/>
      <c r="F4" s="68"/>
      <c r="G4" s="68"/>
      <c r="H4" s="68"/>
      <c r="I4" s="68"/>
      <c r="J4" s="68"/>
      <c r="K4" s="68"/>
      <c r="L4" s="68"/>
      <c r="M4" s="68"/>
      <c r="N4" s="68"/>
      <c r="O4" s="68"/>
      <c r="P4" s="68"/>
      <c r="Q4" s="68"/>
      <c r="R4" s="68"/>
      <c r="S4" s="68"/>
      <c r="T4" s="68"/>
      <c r="U4" s="68"/>
    </row>
    <row r="5" spans="1:21" ht="68">
      <c r="A5" s="84" t="s">
        <v>176</v>
      </c>
      <c r="B5" s="26" t="s">
        <v>443</v>
      </c>
      <c r="C5" s="31" t="s">
        <v>444</v>
      </c>
      <c r="D5" s="24" t="s">
        <v>445</v>
      </c>
      <c r="E5" s="68"/>
      <c r="F5" s="68"/>
      <c r="G5" s="68"/>
      <c r="H5" s="68"/>
      <c r="I5" s="68"/>
      <c r="J5" s="68"/>
      <c r="K5" s="68"/>
      <c r="L5" s="68"/>
      <c r="M5" s="68"/>
      <c r="N5" s="68"/>
      <c r="O5" s="68"/>
      <c r="P5" s="68"/>
      <c r="Q5" s="68"/>
      <c r="R5" s="68"/>
      <c r="S5" s="68"/>
      <c r="T5" s="68"/>
      <c r="U5" s="68"/>
    </row>
    <row r="6" spans="1:21" ht="68">
      <c r="A6" s="84" t="s">
        <v>178</v>
      </c>
      <c r="B6" s="27" t="s">
        <v>446</v>
      </c>
      <c r="C6" s="31" t="s">
        <v>447</v>
      </c>
      <c r="D6" s="24" t="s">
        <v>448</v>
      </c>
      <c r="E6" s="68"/>
      <c r="F6" s="68"/>
      <c r="G6" s="68"/>
      <c r="H6" s="68"/>
      <c r="I6" s="68"/>
      <c r="J6" s="68"/>
      <c r="K6" s="68"/>
      <c r="L6" s="68"/>
      <c r="M6" s="68"/>
      <c r="N6" s="68"/>
      <c r="O6" s="68"/>
      <c r="P6" s="68"/>
      <c r="Q6" s="68"/>
      <c r="R6" s="68"/>
      <c r="S6" s="68"/>
      <c r="T6" s="68"/>
      <c r="U6" s="68"/>
    </row>
    <row r="7" spans="1:21" ht="68">
      <c r="A7" s="84" t="s">
        <v>180</v>
      </c>
      <c r="B7" s="28" t="s">
        <v>449</v>
      </c>
      <c r="C7" s="31" t="s">
        <v>450</v>
      </c>
      <c r="D7" s="24" t="s">
        <v>451</v>
      </c>
      <c r="E7" s="68"/>
      <c r="F7" s="68"/>
      <c r="G7" s="68"/>
      <c r="H7" s="68"/>
      <c r="I7" s="68"/>
      <c r="J7" s="68"/>
      <c r="K7" s="68"/>
      <c r="L7" s="68"/>
      <c r="M7" s="68"/>
      <c r="N7" s="68"/>
      <c r="O7" s="68"/>
      <c r="P7" s="68"/>
      <c r="Q7" s="68"/>
      <c r="R7" s="68"/>
      <c r="S7" s="68"/>
      <c r="T7" s="68"/>
      <c r="U7" s="68"/>
    </row>
    <row r="8" spans="1:21" ht="68">
      <c r="A8" s="84" t="s">
        <v>181</v>
      </c>
      <c r="B8" s="29" t="s">
        <v>452</v>
      </c>
      <c r="C8" s="31" t="s">
        <v>453</v>
      </c>
      <c r="D8" s="24" t="s">
        <v>454</v>
      </c>
      <c r="E8" s="68"/>
      <c r="F8" s="68"/>
      <c r="G8" s="68"/>
      <c r="H8" s="68"/>
      <c r="I8" s="68"/>
      <c r="J8" s="68"/>
      <c r="K8" s="68"/>
      <c r="L8" s="68"/>
      <c r="M8" s="68"/>
      <c r="N8" s="68"/>
      <c r="O8" s="68"/>
      <c r="P8" s="68"/>
      <c r="Q8" s="68"/>
      <c r="R8" s="68"/>
      <c r="S8" s="68"/>
      <c r="T8" s="68"/>
      <c r="U8" s="68"/>
    </row>
    <row r="9" spans="1:21" ht="20">
      <c r="A9" s="84"/>
      <c r="B9" s="84"/>
      <c r="C9" s="86"/>
      <c r="D9" s="86"/>
      <c r="E9" s="68"/>
      <c r="F9" s="68"/>
      <c r="G9" s="68"/>
      <c r="H9" s="68"/>
      <c r="I9" s="68"/>
      <c r="J9" s="68"/>
      <c r="K9" s="68"/>
      <c r="L9" s="68"/>
      <c r="M9" s="68"/>
      <c r="N9" s="68"/>
      <c r="O9" s="68"/>
      <c r="P9" s="68"/>
      <c r="Q9" s="68"/>
      <c r="R9" s="68"/>
      <c r="S9" s="68"/>
      <c r="T9" s="68"/>
      <c r="U9" s="68"/>
    </row>
    <row r="10" spans="1:21">
      <c r="A10" s="84"/>
      <c r="B10" s="87"/>
      <c r="C10" s="87"/>
      <c r="D10" s="87"/>
      <c r="E10" s="68"/>
      <c r="F10" s="68"/>
      <c r="G10" s="68"/>
      <c r="H10" s="68"/>
      <c r="I10" s="68"/>
      <c r="J10" s="68"/>
      <c r="K10" s="68"/>
      <c r="L10" s="68"/>
      <c r="M10" s="68"/>
      <c r="N10" s="68"/>
      <c r="O10" s="68"/>
      <c r="P10" s="68"/>
      <c r="Q10" s="68"/>
      <c r="R10" s="68"/>
      <c r="S10" s="68"/>
      <c r="T10" s="68"/>
      <c r="U10" s="68"/>
    </row>
    <row r="11" spans="1:21">
      <c r="A11" s="84"/>
      <c r="B11" s="84" t="s">
        <v>455</v>
      </c>
      <c r="C11" s="84" t="s">
        <v>173</v>
      </c>
      <c r="D11" s="84" t="s">
        <v>182</v>
      </c>
      <c r="E11" s="68"/>
      <c r="F11" s="68"/>
      <c r="G11" s="68"/>
      <c r="H11" s="68"/>
      <c r="I11" s="68"/>
      <c r="J11" s="68"/>
      <c r="K11" s="68"/>
      <c r="L11" s="68"/>
      <c r="M11" s="68"/>
      <c r="N11" s="68"/>
      <c r="O11" s="68"/>
      <c r="P11" s="68"/>
      <c r="Q11" s="68"/>
      <c r="R11" s="68"/>
      <c r="S11" s="68"/>
      <c r="T11" s="68"/>
      <c r="U11" s="68"/>
    </row>
    <row r="12" spans="1:21">
      <c r="A12" s="84"/>
      <c r="B12" s="84" t="s">
        <v>456</v>
      </c>
      <c r="C12" s="84" t="s">
        <v>175</v>
      </c>
      <c r="D12" s="84" t="s">
        <v>183</v>
      </c>
      <c r="E12" s="68"/>
      <c r="F12" s="68"/>
      <c r="G12" s="68"/>
      <c r="H12" s="68"/>
      <c r="I12" s="68"/>
      <c r="J12" s="68"/>
      <c r="K12" s="68"/>
      <c r="L12" s="68"/>
      <c r="M12" s="68"/>
      <c r="N12" s="68"/>
      <c r="O12" s="68"/>
      <c r="P12" s="68"/>
      <c r="Q12" s="68"/>
      <c r="R12" s="68"/>
      <c r="S12" s="68"/>
      <c r="T12" s="68"/>
      <c r="U12" s="68"/>
    </row>
    <row r="13" spans="1:21">
      <c r="A13" s="84"/>
      <c r="B13" s="84"/>
      <c r="C13" s="84" t="s">
        <v>177</v>
      </c>
      <c r="D13" s="84" t="s">
        <v>184</v>
      </c>
      <c r="E13" s="68"/>
      <c r="F13" s="68"/>
      <c r="G13" s="68"/>
      <c r="H13" s="68"/>
      <c r="I13" s="68"/>
      <c r="J13" s="68"/>
      <c r="K13" s="68"/>
      <c r="L13" s="68"/>
      <c r="M13" s="68"/>
      <c r="N13" s="68"/>
      <c r="O13" s="68"/>
      <c r="P13" s="68"/>
      <c r="Q13" s="68"/>
      <c r="R13" s="68"/>
      <c r="S13" s="68"/>
      <c r="T13" s="68"/>
      <c r="U13" s="68"/>
    </row>
    <row r="14" spans="1:21">
      <c r="A14" s="84"/>
      <c r="B14" s="84"/>
      <c r="C14" s="84" t="s">
        <v>179</v>
      </c>
      <c r="D14" s="84" t="s">
        <v>185</v>
      </c>
      <c r="E14" s="68"/>
      <c r="F14" s="68"/>
      <c r="G14" s="68"/>
      <c r="H14" s="68"/>
      <c r="I14" s="68"/>
      <c r="J14" s="68"/>
      <c r="K14" s="68"/>
      <c r="L14" s="68"/>
      <c r="M14" s="68"/>
      <c r="N14" s="68"/>
      <c r="O14" s="68"/>
      <c r="P14" s="68"/>
      <c r="Q14" s="68"/>
      <c r="R14" s="68"/>
      <c r="S14" s="68"/>
      <c r="T14" s="68"/>
      <c r="U14" s="68"/>
    </row>
    <row r="15" spans="1:21">
      <c r="A15" s="84"/>
      <c r="B15" s="84"/>
      <c r="C15" s="84" t="s">
        <v>133</v>
      </c>
      <c r="D15" s="84" t="s">
        <v>149</v>
      </c>
      <c r="E15" s="68"/>
      <c r="F15" s="68"/>
      <c r="G15" s="68"/>
      <c r="H15" s="68"/>
      <c r="I15" s="68"/>
      <c r="J15" s="68"/>
      <c r="K15" s="68"/>
      <c r="L15" s="68"/>
      <c r="M15" s="68"/>
      <c r="N15" s="68"/>
      <c r="O15" s="68"/>
      <c r="P15" s="68"/>
      <c r="Q15" s="68"/>
      <c r="R15" s="68"/>
      <c r="S15" s="68"/>
      <c r="T15" s="68"/>
      <c r="U15" s="68"/>
    </row>
    <row r="16" spans="1:21">
      <c r="A16" s="84"/>
      <c r="B16" s="84"/>
      <c r="C16" s="84"/>
      <c r="D16" s="84"/>
      <c r="E16" s="68"/>
      <c r="F16" s="68"/>
      <c r="G16" s="68"/>
      <c r="H16" s="68"/>
      <c r="I16" s="68"/>
      <c r="J16" s="68"/>
      <c r="K16" s="68"/>
      <c r="L16" s="68"/>
      <c r="M16" s="68"/>
      <c r="N16" s="68"/>
      <c r="O16" s="68"/>
    </row>
    <row r="17" spans="1:15">
      <c r="A17" s="84"/>
      <c r="B17" s="84"/>
      <c r="C17" s="84"/>
      <c r="D17" s="84"/>
      <c r="E17" s="68"/>
      <c r="F17" s="68"/>
      <c r="G17" s="68"/>
      <c r="H17" s="68"/>
      <c r="I17" s="68"/>
      <c r="J17" s="68"/>
      <c r="K17" s="68"/>
      <c r="L17" s="68"/>
      <c r="M17" s="68"/>
      <c r="N17" s="68"/>
      <c r="O17" s="68"/>
    </row>
    <row r="18" spans="1:15">
      <c r="A18" s="84"/>
      <c r="B18" s="88"/>
      <c r="C18" s="88"/>
      <c r="D18" s="88"/>
      <c r="E18" s="68"/>
      <c r="F18" s="68"/>
      <c r="G18" s="68"/>
      <c r="H18" s="68"/>
      <c r="I18" s="68"/>
      <c r="J18" s="68"/>
      <c r="K18" s="68"/>
      <c r="L18" s="68"/>
      <c r="M18" s="68"/>
      <c r="N18" s="68"/>
      <c r="O18" s="68"/>
    </row>
    <row r="19" spans="1:15">
      <c r="A19" s="84"/>
      <c r="B19" s="88"/>
      <c r="C19" s="88"/>
      <c r="D19" s="88"/>
      <c r="E19" s="68"/>
      <c r="F19" s="68"/>
      <c r="G19" s="68"/>
      <c r="H19" s="68"/>
      <c r="I19" s="68"/>
      <c r="J19" s="68"/>
      <c r="K19" s="68"/>
      <c r="L19" s="68"/>
      <c r="M19" s="68"/>
      <c r="N19" s="68"/>
      <c r="O19" s="68"/>
    </row>
    <row r="20" spans="1:15">
      <c r="A20" s="84"/>
      <c r="B20" s="88"/>
      <c r="C20" s="88"/>
      <c r="D20" s="88"/>
      <c r="E20" s="68"/>
      <c r="F20" s="68"/>
      <c r="G20" s="68"/>
      <c r="H20" s="68"/>
      <c r="I20" s="68"/>
      <c r="J20" s="68"/>
      <c r="K20" s="68"/>
      <c r="L20" s="68"/>
      <c r="M20" s="68"/>
      <c r="N20" s="68"/>
      <c r="O20" s="68"/>
    </row>
    <row r="21" spans="1:15">
      <c r="A21" s="84"/>
      <c r="B21" s="88"/>
      <c r="C21" s="88"/>
      <c r="D21" s="88"/>
      <c r="E21" s="68"/>
      <c r="F21" s="68"/>
      <c r="G21" s="68"/>
      <c r="H21" s="68"/>
      <c r="I21" s="68"/>
      <c r="J21" s="68"/>
      <c r="K21" s="68"/>
      <c r="L21" s="68"/>
      <c r="M21" s="68"/>
      <c r="N21" s="68"/>
      <c r="O21" s="68"/>
    </row>
    <row r="22" spans="1:15" ht="20">
      <c r="A22" s="84"/>
      <c r="B22" s="84"/>
      <c r="C22" s="86"/>
      <c r="D22" s="86"/>
      <c r="E22" s="68"/>
      <c r="F22" s="68"/>
      <c r="G22" s="68"/>
      <c r="H22" s="68"/>
      <c r="I22" s="68"/>
      <c r="J22" s="68"/>
      <c r="K22" s="68"/>
      <c r="L22" s="68"/>
      <c r="M22" s="68"/>
      <c r="N22" s="68"/>
      <c r="O22" s="68"/>
    </row>
    <row r="23" spans="1:15" ht="20">
      <c r="A23" s="84"/>
      <c r="B23" s="84"/>
      <c r="C23" s="86"/>
      <c r="D23" s="86"/>
      <c r="E23" s="68"/>
      <c r="F23" s="68"/>
      <c r="G23" s="68"/>
      <c r="H23" s="68"/>
      <c r="I23" s="68"/>
      <c r="J23" s="68"/>
      <c r="K23" s="68"/>
      <c r="L23" s="68"/>
      <c r="M23" s="68"/>
      <c r="N23" s="68"/>
      <c r="O23" s="68"/>
    </row>
    <row r="24" spans="1:15" ht="20">
      <c r="A24" s="84"/>
      <c r="B24" s="84"/>
      <c r="C24" s="86"/>
      <c r="D24" s="86"/>
      <c r="E24" s="68"/>
      <c r="F24" s="68"/>
      <c r="G24" s="68"/>
      <c r="H24" s="68"/>
      <c r="I24" s="68"/>
      <c r="J24" s="68"/>
      <c r="K24" s="68"/>
      <c r="L24" s="68"/>
      <c r="M24" s="68"/>
      <c r="N24" s="68"/>
      <c r="O24" s="68"/>
    </row>
    <row r="25" spans="1:15" ht="20">
      <c r="A25" s="84"/>
      <c r="B25" s="84"/>
      <c r="C25" s="86"/>
      <c r="D25" s="86"/>
      <c r="E25" s="68"/>
      <c r="F25" s="68"/>
      <c r="G25" s="68"/>
      <c r="H25" s="68"/>
      <c r="I25" s="68"/>
      <c r="J25" s="68"/>
      <c r="K25" s="68"/>
      <c r="L25" s="68"/>
      <c r="M25" s="68"/>
      <c r="N25" s="68"/>
      <c r="O25" s="68"/>
    </row>
    <row r="26" spans="1:15" ht="20">
      <c r="A26" s="84"/>
      <c r="B26" s="84"/>
      <c r="C26" s="86"/>
      <c r="D26" s="86"/>
      <c r="E26" s="68"/>
      <c r="F26" s="68"/>
      <c r="G26" s="68"/>
      <c r="H26" s="68"/>
      <c r="I26" s="68"/>
      <c r="J26" s="68"/>
      <c r="K26" s="68"/>
      <c r="L26" s="68"/>
      <c r="M26" s="68"/>
      <c r="N26" s="68"/>
      <c r="O26" s="68"/>
    </row>
    <row r="27" spans="1:15" ht="20">
      <c r="A27" s="84"/>
      <c r="B27" s="84"/>
      <c r="C27" s="86"/>
      <c r="D27" s="86"/>
      <c r="E27" s="68"/>
      <c r="F27" s="68"/>
      <c r="G27" s="68"/>
      <c r="H27" s="68"/>
      <c r="I27" s="68"/>
      <c r="J27" s="68"/>
      <c r="K27" s="68"/>
      <c r="L27" s="68"/>
      <c r="M27" s="68"/>
      <c r="N27" s="68"/>
      <c r="O27" s="68"/>
    </row>
    <row r="28" spans="1:15" ht="20">
      <c r="A28" s="84"/>
      <c r="B28" s="84"/>
      <c r="C28" s="86"/>
      <c r="D28" s="86"/>
      <c r="E28" s="68"/>
      <c r="F28" s="68"/>
      <c r="G28" s="68"/>
      <c r="H28" s="68"/>
      <c r="I28" s="68"/>
      <c r="J28" s="68"/>
      <c r="K28" s="68"/>
      <c r="L28" s="68"/>
      <c r="M28" s="68"/>
      <c r="N28" s="68"/>
      <c r="O28" s="68"/>
    </row>
    <row r="29" spans="1:15" ht="20">
      <c r="A29" s="84"/>
      <c r="B29" s="84"/>
      <c r="C29" s="86"/>
      <c r="D29" s="86"/>
      <c r="E29" s="68"/>
      <c r="F29" s="68"/>
      <c r="G29" s="68"/>
      <c r="H29" s="68"/>
      <c r="I29" s="68"/>
      <c r="J29" s="68"/>
      <c r="K29" s="68"/>
      <c r="L29" s="68"/>
      <c r="M29" s="68"/>
      <c r="N29" s="68"/>
      <c r="O29" s="68"/>
    </row>
    <row r="30" spans="1:15" ht="20">
      <c r="A30" s="84"/>
      <c r="B30" s="84"/>
      <c r="C30" s="86"/>
      <c r="D30" s="86"/>
      <c r="E30" s="68"/>
      <c r="F30" s="68"/>
      <c r="G30" s="68"/>
      <c r="H30" s="68"/>
      <c r="I30" s="68"/>
      <c r="J30" s="68"/>
      <c r="K30" s="68"/>
      <c r="L30" s="68"/>
      <c r="M30" s="68"/>
      <c r="N30" s="68"/>
      <c r="O30" s="68"/>
    </row>
    <row r="31" spans="1:15" ht="20">
      <c r="A31" s="84"/>
      <c r="B31" s="84"/>
      <c r="C31" s="86"/>
      <c r="D31" s="86"/>
      <c r="E31" s="68"/>
      <c r="F31" s="68"/>
      <c r="G31" s="68"/>
      <c r="H31" s="68"/>
      <c r="I31" s="68"/>
      <c r="J31" s="68"/>
      <c r="K31" s="68"/>
      <c r="L31" s="68"/>
      <c r="M31" s="68"/>
      <c r="N31" s="68"/>
      <c r="O31" s="68"/>
    </row>
    <row r="32" spans="1:15" ht="20">
      <c r="A32" s="84"/>
      <c r="B32" s="84"/>
      <c r="C32" s="86"/>
      <c r="D32" s="86"/>
      <c r="E32" s="68"/>
      <c r="F32" s="68"/>
      <c r="G32" s="68"/>
      <c r="H32" s="68"/>
      <c r="I32" s="68"/>
      <c r="J32" s="68"/>
      <c r="K32" s="68"/>
      <c r="L32" s="68"/>
      <c r="M32" s="68"/>
      <c r="N32" s="68"/>
      <c r="O32" s="68"/>
    </row>
    <row r="33" spans="1:15" ht="20">
      <c r="A33" s="84"/>
      <c r="B33" s="84"/>
      <c r="C33" s="86"/>
      <c r="D33" s="86"/>
      <c r="E33" s="68"/>
      <c r="F33" s="68"/>
      <c r="G33" s="68"/>
      <c r="H33" s="68"/>
      <c r="I33" s="68"/>
      <c r="J33" s="68"/>
      <c r="K33" s="68"/>
      <c r="L33" s="68"/>
      <c r="M33" s="68"/>
      <c r="N33" s="68"/>
      <c r="O33" s="68"/>
    </row>
    <row r="34" spans="1:15" ht="20">
      <c r="A34" s="84"/>
      <c r="B34" s="84"/>
      <c r="C34" s="86"/>
      <c r="D34" s="86"/>
      <c r="E34" s="68"/>
      <c r="F34" s="68"/>
      <c r="G34" s="68"/>
      <c r="H34" s="68"/>
      <c r="I34" s="68"/>
      <c r="J34" s="68"/>
      <c r="K34" s="68"/>
      <c r="L34" s="68"/>
      <c r="M34" s="68"/>
      <c r="N34" s="68"/>
      <c r="O34" s="68"/>
    </row>
    <row r="35" spans="1:15" ht="20">
      <c r="A35" s="84"/>
      <c r="B35" s="84"/>
      <c r="C35" s="86"/>
      <c r="D35" s="86"/>
      <c r="E35" s="68"/>
      <c r="F35" s="68"/>
      <c r="G35" s="68"/>
      <c r="H35" s="68"/>
      <c r="I35" s="68"/>
      <c r="J35" s="68"/>
      <c r="K35" s="68"/>
      <c r="L35" s="68"/>
      <c r="M35" s="68"/>
      <c r="N35" s="68"/>
      <c r="O35" s="68"/>
    </row>
    <row r="36" spans="1:15" ht="20">
      <c r="A36" s="84"/>
      <c r="B36" s="84"/>
      <c r="C36" s="86"/>
      <c r="D36" s="86"/>
      <c r="E36" s="68"/>
      <c r="F36" s="68"/>
      <c r="G36" s="68"/>
      <c r="H36" s="68"/>
      <c r="I36" s="68"/>
      <c r="J36" s="68"/>
      <c r="K36" s="68"/>
      <c r="L36" s="68"/>
      <c r="M36" s="68"/>
      <c r="N36" s="68"/>
      <c r="O36" s="68"/>
    </row>
    <row r="37" spans="1:15" ht="20">
      <c r="A37" s="84"/>
      <c r="B37" s="84"/>
      <c r="C37" s="86"/>
      <c r="D37" s="86"/>
      <c r="E37" s="68"/>
      <c r="F37" s="68"/>
      <c r="G37" s="68"/>
      <c r="H37" s="68"/>
      <c r="I37" s="68"/>
      <c r="J37" s="68"/>
      <c r="K37" s="68"/>
      <c r="L37" s="68"/>
      <c r="M37" s="68"/>
      <c r="N37" s="68"/>
      <c r="O37" s="68"/>
    </row>
    <row r="38" spans="1:15" ht="20">
      <c r="A38" s="84"/>
      <c r="B38" s="84"/>
      <c r="C38" s="86"/>
      <c r="D38" s="86"/>
      <c r="E38" s="68"/>
      <c r="F38" s="68"/>
      <c r="G38" s="68"/>
      <c r="H38" s="68"/>
      <c r="I38" s="68"/>
      <c r="J38" s="68"/>
      <c r="K38" s="68"/>
      <c r="L38" s="68"/>
      <c r="M38" s="68"/>
      <c r="N38" s="68"/>
      <c r="O38" s="68"/>
    </row>
    <row r="39" spans="1:15" ht="20">
      <c r="A39" s="84"/>
      <c r="B39" s="84"/>
      <c r="C39" s="86"/>
      <c r="D39" s="86"/>
      <c r="E39" s="68"/>
      <c r="F39" s="68"/>
      <c r="G39" s="68"/>
      <c r="H39" s="68"/>
      <c r="I39" s="68"/>
      <c r="J39" s="68"/>
      <c r="K39" s="68"/>
      <c r="L39" s="68"/>
      <c r="M39" s="68"/>
      <c r="N39" s="68"/>
      <c r="O39" s="68"/>
    </row>
    <row r="40" spans="1:15" ht="20">
      <c r="A40" s="84"/>
      <c r="B40" s="84"/>
      <c r="C40" s="86"/>
      <c r="D40" s="86"/>
      <c r="E40" s="68"/>
      <c r="F40" s="68"/>
      <c r="G40" s="68"/>
      <c r="H40" s="68"/>
      <c r="I40" s="68"/>
      <c r="J40" s="68"/>
      <c r="K40" s="68"/>
      <c r="L40" s="68"/>
      <c r="M40" s="68"/>
      <c r="N40" s="68"/>
      <c r="O40" s="68"/>
    </row>
    <row r="41" spans="1:15" ht="20">
      <c r="A41" s="84"/>
      <c r="B41" s="84"/>
      <c r="C41" s="86"/>
      <c r="D41" s="86"/>
      <c r="E41" s="68"/>
      <c r="F41" s="68"/>
      <c r="G41" s="68"/>
      <c r="H41" s="68"/>
      <c r="I41" s="68"/>
      <c r="J41" s="68"/>
      <c r="K41" s="68"/>
      <c r="L41" s="68"/>
      <c r="M41" s="68"/>
      <c r="N41" s="68"/>
      <c r="O41" s="68"/>
    </row>
    <row r="42" spans="1:15" ht="20">
      <c r="A42" s="84"/>
      <c r="B42" s="84"/>
      <c r="C42" s="86"/>
      <c r="D42" s="86"/>
      <c r="E42" s="68"/>
      <c r="F42" s="68"/>
      <c r="G42" s="68"/>
      <c r="H42" s="68"/>
      <c r="I42" s="68"/>
      <c r="J42" s="68"/>
      <c r="K42" s="68"/>
      <c r="L42" s="68"/>
      <c r="M42" s="68"/>
      <c r="N42" s="68"/>
      <c r="O42" s="68"/>
    </row>
    <row r="43" spans="1:15" ht="20">
      <c r="A43" s="84"/>
      <c r="B43" s="84"/>
      <c r="C43" s="86"/>
      <c r="D43" s="86"/>
      <c r="E43" s="68"/>
      <c r="F43" s="68"/>
      <c r="G43" s="68"/>
      <c r="H43" s="68"/>
      <c r="I43" s="68"/>
      <c r="J43" s="68"/>
      <c r="K43" s="68"/>
      <c r="L43" s="68"/>
      <c r="M43" s="68"/>
      <c r="N43" s="68"/>
      <c r="O43" s="68"/>
    </row>
    <row r="44" spans="1:15" ht="20">
      <c r="A44" s="84"/>
      <c r="B44" s="84"/>
      <c r="C44" s="86"/>
      <c r="D44" s="86"/>
      <c r="E44" s="68"/>
      <c r="F44" s="68"/>
      <c r="G44" s="68"/>
      <c r="H44" s="68"/>
      <c r="I44" s="68"/>
      <c r="J44" s="68"/>
      <c r="K44" s="68"/>
      <c r="L44" s="68"/>
      <c r="M44" s="68"/>
      <c r="N44" s="68"/>
      <c r="O44" s="68"/>
    </row>
    <row r="45" spans="1:15" ht="20">
      <c r="A45" s="84"/>
      <c r="B45" s="84"/>
      <c r="C45" s="86"/>
      <c r="D45" s="86"/>
      <c r="E45" s="68"/>
      <c r="F45" s="68"/>
      <c r="G45" s="68"/>
      <c r="H45" s="68"/>
      <c r="I45" s="68"/>
      <c r="J45" s="68"/>
      <c r="K45" s="68"/>
      <c r="L45" s="68"/>
      <c r="M45" s="68"/>
      <c r="N45" s="68"/>
      <c r="O45" s="68"/>
    </row>
    <row r="46" spans="1:15" ht="20">
      <c r="A46" s="84"/>
      <c r="B46" s="84"/>
      <c r="C46" s="86"/>
      <c r="D46" s="86"/>
      <c r="E46" s="68"/>
      <c r="F46" s="68"/>
      <c r="G46" s="68"/>
      <c r="H46" s="68"/>
      <c r="I46" s="68"/>
      <c r="J46" s="68"/>
      <c r="K46" s="68"/>
      <c r="L46" s="68"/>
      <c r="M46" s="68"/>
      <c r="N46" s="68"/>
      <c r="O46" s="68"/>
    </row>
    <row r="47" spans="1:15" ht="20">
      <c r="A47" s="84"/>
      <c r="B47" s="84"/>
      <c r="C47" s="86"/>
      <c r="D47" s="86"/>
      <c r="E47" s="68"/>
      <c r="F47" s="68"/>
      <c r="G47" s="68"/>
      <c r="H47" s="68"/>
      <c r="I47" s="68"/>
      <c r="J47" s="68"/>
      <c r="K47" s="68"/>
      <c r="L47" s="68"/>
      <c r="M47" s="68"/>
      <c r="N47" s="68"/>
      <c r="O47" s="68"/>
    </row>
    <row r="48" spans="1:15" ht="20">
      <c r="A48" s="84"/>
      <c r="B48" s="84"/>
      <c r="C48" s="86"/>
      <c r="D48" s="86"/>
      <c r="E48" s="68"/>
      <c r="F48" s="68"/>
      <c r="G48" s="68"/>
      <c r="H48" s="68"/>
      <c r="I48" s="68"/>
      <c r="J48" s="68"/>
      <c r="K48" s="68"/>
      <c r="L48" s="68"/>
      <c r="M48" s="68"/>
      <c r="N48" s="68"/>
      <c r="O48" s="68"/>
    </row>
    <row r="49" spans="1:15" ht="20">
      <c r="A49" s="84"/>
      <c r="B49" s="84"/>
      <c r="C49" s="86"/>
      <c r="D49" s="86"/>
      <c r="E49" s="68"/>
      <c r="F49" s="68"/>
      <c r="G49" s="68"/>
      <c r="H49" s="68"/>
      <c r="I49" s="68"/>
      <c r="J49" s="68"/>
      <c r="K49" s="68"/>
      <c r="L49" s="68"/>
      <c r="M49" s="68"/>
      <c r="N49" s="68"/>
      <c r="O49" s="68"/>
    </row>
    <row r="50" spans="1:15" ht="20">
      <c r="A50" s="84"/>
      <c r="B50" s="84"/>
      <c r="C50" s="86"/>
      <c r="D50" s="86"/>
      <c r="E50" s="68"/>
      <c r="F50" s="68"/>
      <c r="G50" s="68"/>
      <c r="H50" s="68"/>
      <c r="I50" s="68"/>
      <c r="J50" s="68"/>
      <c r="K50" s="68"/>
      <c r="L50" s="68"/>
      <c r="M50" s="68"/>
      <c r="N50" s="68"/>
      <c r="O50" s="68"/>
    </row>
    <row r="51" spans="1:15" ht="20">
      <c r="A51" s="84"/>
      <c r="B51" s="84"/>
      <c r="C51" s="86"/>
      <c r="D51" s="86"/>
      <c r="E51" s="68"/>
      <c r="F51" s="68"/>
      <c r="G51" s="68"/>
      <c r="H51" s="68"/>
      <c r="I51" s="68"/>
      <c r="J51" s="68"/>
      <c r="K51" s="68"/>
      <c r="L51" s="68"/>
      <c r="M51" s="68"/>
      <c r="N51" s="68"/>
      <c r="O51" s="68"/>
    </row>
    <row r="52" spans="1:15" ht="20">
      <c r="A52" s="84"/>
      <c r="B52" s="15"/>
      <c r="C52" s="20"/>
      <c r="D52" s="20"/>
    </row>
    <row r="53" spans="1:15" ht="20">
      <c r="A53" s="84"/>
      <c r="B53" s="15"/>
      <c r="C53" s="20"/>
      <c r="D53" s="20"/>
    </row>
    <row r="54" spans="1:15" ht="20">
      <c r="A54" s="84"/>
      <c r="B54" s="15"/>
      <c r="C54" s="20"/>
      <c r="D54" s="20"/>
    </row>
    <row r="55" spans="1:15" ht="20">
      <c r="A55" s="84"/>
      <c r="B55" s="15"/>
      <c r="C55" s="20"/>
      <c r="D55" s="20"/>
    </row>
    <row r="56" spans="1:15" ht="20">
      <c r="A56" s="84"/>
      <c r="B56" s="15"/>
      <c r="C56" s="20"/>
      <c r="D56" s="20"/>
    </row>
    <row r="57" spans="1:15" ht="20">
      <c r="A57" s="84"/>
      <c r="B57" s="15"/>
      <c r="C57" s="20"/>
      <c r="D57" s="20"/>
    </row>
    <row r="58" spans="1:15" ht="20">
      <c r="A58" s="84"/>
      <c r="B58" s="15"/>
      <c r="C58" s="20"/>
      <c r="D58" s="20"/>
    </row>
    <row r="59" spans="1:15" ht="20">
      <c r="A59" s="84"/>
      <c r="B59" s="15"/>
      <c r="C59" s="20"/>
      <c r="D59" s="20"/>
    </row>
    <row r="60" spans="1:15" ht="20">
      <c r="A60" s="84"/>
      <c r="B60" s="15"/>
      <c r="C60" s="20"/>
      <c r="D60" s="20"/>
    </row>
    <row r="61" spans="1:15" ht="20">
      <c r="A61" s="84"/>
      <c r="B61" s="15"/>
      <c r="C61" s="20"/>
      <c r="D61" s="20"/>
    </row>
    <row r="62" spans="1:15" ht="20">
      <c r="A62" s="84"/>
      <c r="B62" s="15"/>
      <c r="C62" s="20"/>
      <c r="D62" s="20"/>
    </row>
    <row r="63" spans="1:15" ht="20">
      <c r="A63" s="84"/>
      <c r="B63" s="15"/>
      <c r="C63" s="20"/>
      <c r="D63" s="20"/>
    </row>
    <row r="64" spans="1:15" ht="20">
      <c r="A64" s="84"/>
      <c r="B64" s="15"/>
      <c r="C64" s="20"/>
      <c r="D64" s="20"/>
    </row>
    <row r="65" spans="1:4" ht="20">
      <c r="A65" s="84"/>
      <c r="B65" s="15"/>
      <c r="C65" s="20"/>
      <c r="D65" s="20"/>
    </row>
    <row r="66" spans="1:4" ht="20">
      <c r="A66" s="84"/>
      <c r="B66" s="15"/>
      <c r="C66" s="20"/>
      <c r="D66" s="20"/>
    </row>
    <row r="67" spans="1:4" ht="20">
      <c r="A67" s="84"/>
      <c r="B67" s="15"/>
      <c r="C67" s="20"/>
      <c r="D67" s="20"/>
    </row>
    <row r="68" spans="1:4" ht="20">
      <c r="A68" s="84"/>
      <c r="B68" s="15"/>
      <c r="C68" s="20"/>
      <c r="D68" s="20"/>
    </row>
    <row r="69" spans="1:4" ht="20">
      <c r="A69" s="84"/>
      <c r="B69" s="15"/>
      <c r="C69" s="20"/>
      <c r="D69" s="20"/>
    </row>
    <row r="70" spans="1:4" ht="20">
      <c r="A70" s="84"/>
      <c r="B70" s="15"/>
      <c r="C70" s="20"/>
      <c r="D70" s="20"/>
    </row>
    <row r="71" spans="1:4" ht="20">
      <c r="A71" s="84"/>
      <c r="B71" s="15"/>
      <c r="C71" s="20"/>
      <c r="D71" s="20"/>
    </row>
    <row r="72" spans="1:4" ht="20">
      <c r="A72" s="84"/>
      <c r="B72" s="15"/>
      <c r="C72" s="20"/>
      <c r="D72" s="20"/>
    </row>
    <row r="73" spans="1:4" ht="20">
      <c r="A73" s="84"/>
      <c r="B73" s="15"/>
      <c r="C73" s="20"/>
      <c r="D73" s="20"/>
    </row>
    <row r="74" spans="1:4" ht="20">
      <c r="A74" s="84"/>
      <c r="B74" s="15"/>
      <c r="C74" s="20"/>
      <c r="D74" s="20"/>
    </row>
    <row r="75" spans="1:4" ht="20">
      <c r="A75" s="84"/>
      <c r="B75" s="15"/>
      <c r="C75" s="20"/>
      <c r="D75" s="20"/>
    </row>
    <row r="76" spans="1:4" ht="20">
      <c r="A76" s="84"/>
      <c r="B76" s="15"/>
      <c r="C76" s="20"/>
      <c r="D76" s="20"/>
    </row>
    <row r="77" spans="1:4" ht="20">
      <c r="A77" s="84"/>
      <c r="B77" s="15"/>
      <c r="C77" s="20"/>
      <c r="D77" s="20"/>
    </row>
    <row r="78" spans="1:4" ht="20">
      <c r="A78" s="84"/>
      <c r="B78" s="15"/>
      <c r="C78" s="20"/>
      <c r="D78" s="20"/>
    </row>
    <row r="79" spans="1:4" ht="20">
      <c r="A79" s="84"/>
      <c r="B79" s="15"/>
      <c r="C79" s="20"/>
      <c r="D79" s="20"/>
    </row>
    <row r="80" spans="1:4" ht="20">
      <c r="A80" s="84"/>
      <c r="B80" s="15"/>
      <c r="C80" s="20"/>
      <c r="D80" s="20"/>
    </row>
    <row r="81" spans="1:4" ht="20">
      <c r="A81" s="84"/>
      <c r="B81" s="15"/>
      <c r="C81" s="20"/>
      <c r="D81" s="20"/>
    </row>
    <row r="82" spans="1:4" ht="20">
      <c r="A82" s="84"/>
      <c r="B82" s="15"/>
      <c r="C82" s="20"/>
      <c r="D82" s="20"/>
    </row>
    <row r="83" spans="1:4" ht="20">
      <c r="A83" s="84"/>
      <c r="B83" s="15"/>
      <c r="C83" s="20"/>
      <c r="D83" s="20"/>
    </row>
    <row r="84" spans="1:4" ht="20">
      <c r="A84" s="84"/>
      <c r="B84" s="15"/>
      <c r="C84" s="20"/>
      <c r="D84" s="20"/>
    </row>
    <row r="85" spans="1:4" ht="20">
      <c r="A85" s="84"/>
      <c r="B85" s="15"/>
      <c r="C85" s="20"/>
      <c r="D85" s="20"/>
    </row>
    <row r="86" spans="1:4" ht="20">
      <c r="A86" s="84"/>
      <c r="B86" s="15"/>
      <c r="C86" s="20"/>
      <c r="D86" s="20"/>
    </row>
    <row r="87" spans="1:4" ht="20">
      <c r="A87" s="84"/>
      <c r="B87" s="15"/>
      <c r="C87" s="20"/>
      <c r="D87" s="20"/>
    </row>
    <row r="88" spans="1:4" ht="20">
      <c r="A88" s="84"/>
      <c r="B88" s="15"/>
      <c r="C88" s="20"/>
      <c r="D88" s="20"/>
    </row>
    <row r="89" spans="1:4" ht="20">
      <c r="A89" s="84"/>
      <c r="B89" s="15"/>
      <c r="C89" s="20"/>
      <c r="D89" s="20"/>
    </row>
    <row r="90" spans="1:4" ht="20">
      <c r="A90" s="84"/>
      <c r="B90" s="15"/>
      <c r="C90" s="20"/>
      <c r="D90" s="20"/>
    </row>
    <row r="91" spans="1:4" ht="20">
      <c r="A91" s="84"/>
      <c r="B91" s="15"/>
      <c r="C91" s="20"/>
      <c r="D91" s="20"/>
    </row>
    <row r="92" spans="1:4" ht="20">
      <c r="A92" s="84"/>
      <c r="B92" s="15"/>
      <c r="C92" s="20"/>
      <c r="D92" s="20"/>
    </row>
    <row r="93" spans="1:4" ht="20">
      <c r="A93" s="84"/>
      <c r="B93" s="15"/>
      <c r="C93" s="20"/>
      <c r="D93" s="20"/>
    </row>
    <row r="94" spans="1:4" ht="20">
      <c r="A94" s="84"/>
      <c r="B94" s="15"/>
      <c r="C94" s="20"/>
      <c r="D94" s="20"/>
    </row>
    <row r="95" spans="1:4" ht="20">
      <c r="A95" s="84"/>
      <c r="B95" s="15"/>
      <c r="C95" s="20"/>
      <c r="D95" s="20"/>
    </row>
    <row r="96" spans="1:4" ht="20">
      <c r="A96" s="84"/>
      <c r="B96" s="15"/>
      <c r="C96" s="20"/>
      <c r="D96" s="20"/>
    </row>
    <row r="97" spans="1:4" ht="20">
      <c r="A97" s="84"/>
      <c r="B97" s="15"/>
      <c r="C97" s="20"/>
      <c r="D97" s="20"/>
    </row>
    <row r="98" spans="1:4" ht="20">
      <c r="A98" s="84"/>
      <c r="B98" s="15"/>
      <c r="C98" s="20"/>
      <c r="D98" s="20"/>
    </row>
    <row r="99" spans="1:4" ht="20">
      <c r="A99" s="84"/>
      <c r="B99" s="15"/>
      <c r="C99" s="20"/>
      <c r="D99" s="20"/>
    </row>
    <row r="100" spans="1:4" ht="20">
      <c r="A100" s="84"/>
      <c r="B100" s="15"/>
      <c r="C100" s="20"/>
      <c r="D100" s="20"/>
    </row>
    <row r="101" spans="1:4" ht="20">
      <c r="A101" s="84"/>
      <c r="B101" s="15"/>
      <c r="C101" s="20"/>
      <c r="D101" s="20"/>
    </row>
    <row r="102" spans="1:4" ht="20">
      <c r="A102" s="84"/>
      <c r="B102" s="15"/>
      <c r="C102" s="20"/>
      <c r="D102" s="20"/>
    </row>
    <row r="103" spans="1:4" ht="20">
      <c r="A103" s="84"/>
      <c r="B103" s="15"/>
      <c r="C103" s="20"/>
      <c r="D103" s="20"/>
    </row>
    <row r="104" spans="1:4" ht="20">
      <c r="A104" s="84"/>
      <c r="B104" s="15"/>
      <c r="C104" s="20"/>
      <c r="D104" s="20"/>
    </row>
    <row r="105" spans="1:4" ht="20">
      <c r="A105" s="84"/>
      <c r="B105" s="15"/>
      <c r="C105" s="20"/>
      <c r="D105" s="20"/>
    </row>
    <row r="106" spans="1:4" ht="20">
      <c r="A106" s="84"/>
      <c r="B106" s="15"/>
      <c r="C106" s="20"/>
      <c r="D106" s="20"/>
    </row>
    <row r="107" spans="1:4" ht="20">
      <c r="A107" s="84"/>
      <c r="B107" s="15"/>
      <c r="C107" s="20"/>
      <c r="D107" s="20"/>
    </row>
    <row r="108" spans="1:4" ht="20">
      <c r="A108" s="84"/>
      <c r="B108" s="15"/>
      <c r="C108" s="20"/>
      <c r="D108" s="20"/>
    </row>
    <row r="109" spans="1:4" ht="20">
      <c r="A109" s="84"/>
      <c r="B109" s="15"/>
      <c r="C109" s="20"/>
      <c r="D109" s="20"/>
    </row>
    <row r="110" spans="1:4" ht="20">
      <c r="A110" s="84"/>
      <c r="B110" s="15"/>
      <c r="C110" s="20"/>
      <c r="D110" s="20"/>
    </row>
    <row r="111" spans="1:4" ht="20">
      <c r="A111" s="84"/>
      <c r="B111" s="15"/>
      <c r="C111" s="20"/>
      <c r="D111" s="20"/>
    </row>
    <row r="112" spans="1:4" ht="20">
      <c r="A112" s="84"/>
      <c r="B112" s="15"/>
      <c r="C112" s="20"/>
      <c r="D112" s="20"/>
    </row>
    <row r="113" spans="1:4" ht="20">
      <c r="A113" s="84"/>
      <c r="B113" s="15"/>
      <c r="C113" s="20"/>
      <c r="D113" s="20"/>
    </row>
    <row r="114" spans="1:4" ht="20">
      <c r="A114" s="84"/>
      <c r="B114" s="15"/>
      <c r="C114" s="20"/>
      <c r="D114" s="20"/>
    </row>
    <row r="115" spans="1:4" ht="20">
      <c r="A115" s="84"/>
      <c r="B115" s="15"/>
      <c r="C115" s="20"/>
      <c r="D115" s="20"/>
    </row>
    <row r="116" spans="1:4" ht="20">
      <c r="A116" s="84"/>
      <c r="B116" s="15"/>
      <c r="C116" s="20"/>
      <c r="D116" s="20"/>
    </row>
    <row r="117" spans="1:4" ht="20">
      <c r="A117" s="84"/>
      <c r="B117" s="15"/>
      <c r="C117" s="20"/>
      <c r="D117" s="20"/>
    </row>
    <row r="118" spans="1:4" ht="20">
      <c r="A118" s="84"/>
      <c r="B118" s="15"/>
      <c r="C118" s="20"/>
      <c r="D118" s="20"/>
    </row>
    <row r="119" spans="1:4" ht="20">
      <c r="A119" s="84"/>
      <c r="B119" s="15"/>
      <c r="C119" s="20"/>
      <c r="D119" s="20"/>
    </row>
    <row r="120" spans="1:4" ht="20">
      <c r="A120" s="84"/>
      <c r="B120" s="15"/>
      <c r="C120" s="20"/>
      <c r="D120" s="20"/>
    </row>
    <row r="121" spans="1:4" ht="20">
      <c r="A121" s="84"/>
      <c r="B121" s="15"/>
      <c r="C121" s="20"/>
      <c r="D121" s="20"/>
    </row>
    <row r="122" spans="1:4" ht="20">
      <c r="A122" s="84"/>
      <c r="B122" s="15"/>
      <c r="C122" s="20"/>
      <c r="D122" s="20"/>
    </row>
    <row r="123" spans="1:4" ht="20">
      <c r="A123" s="84"/>
      <c r="B123" s="15"/>
      <c r="C123" s="20"/>
      <c r="D123" s="20"/>
    </row>
    <row r="124" spans="1:4" ht="20">
      <c r="A124" s="84"/>
      <c r="B124" s="15"/>
      <c r="C124" s="20"/>
      <c r="D124" s="20"/>
    </row>
    <row r="125" spans="1:4" ht="20">
      <c r="A125" s="84"/>
      <c r="B125" s="15"/>
      <c r="C125" s="20"/>
      <c r="D125" s="20"/>
    </row>
    <row r="126" spans="1:4" ht="20">
      <c r="A126" s="84"/>
      <c r="B126" s="15"/>
      <c r="C126" s="20"/>
      <c r="D126" s="20"/>
    </row>
    <row r="127" spans="1:4" ht="20">
      <c r="A127" s="84"/>
      <c r="B127" s="15"/>
      <c r="C127" s="20"/>
      <c r="D127" s="20"/>
    </row>
    <row r="128" spans="1:4" ht="20">
      <c r="A128" s="84"/>
      <c r="B128" s="15"/>
      <c r="C128" s="20"/>
      <c r="D128" s="20"/>
    </row>
    <row r="129" spans="1:4" ht="20">
      <c r="A129" s="84"/>
      <c r="B129" s="15"/>
      <c r="C129" s="20"/>
      <c r="D129" s="20"/>
    </row>
    <row r="130" spans="1:4" ht="20">
      <c r="A130" s="84"/>
      <c r="B130" s="15"/>
      <c r="C130" s="20"/>
      <c r="D130" s="20"/>
    </row>
    <row r="131" spans="1:4" ht="20">
      <c r="A131" s="84"/>
      <c r="B131" s="15"/>
      <c r="C131" s="20"/>
      <c r="D131" s="20"/>
    </row>
    <row r="132" spans="1:4" ht="20">
      <c r="A132" s="84"/>
      <c r="B132" s="15"/>
      <c r="C132" s="20"/>
      <c r="D132" s="20"/>
    </row>
    <row r="133" spans="1:4" ht="20">
      <c r="A133" s="84"/>
      <c r="B133" s="15"/>
      <c r="C133" s="20"/>
      <c r="D133" s="20"/>
    </row>
    <row r="134" spans="1:4" ht="20">
      <c r="A134" s="84"/>
      <c r="B134" s="15"/>
      <c r="C134" s="20"/>
      <c r="D134" s="20"/>
    </row>
    <row r="135" spans="1:4" ht="20">
      <c r="A135" s="84"/>
      <c r="B135" s="15"/>
      <c r="C135" s="20"/>
      <c r="D135" s="20"/>
    </row>
    <row r="136" spans="1:4" ht="20">
      <c r="A136" s="84"/>
      <c r="B136" s="15"/>
      <c r="C136" s="20"/>
      <c r="D136" s="20"/>
    </row>
    <row r="137" spans="1:4" ht="20">
      <c r="A137" s="84"/>
      <c r="B137" s="15"/>
      <c r="C137" s="20"/>
      <c r="D137" s="20"/>
    </row>
    <row r="138" spans="1:4" ht="20">
      <c r="A138" s="84"/>
      <c r="B138" s="15"/>
      <c r="C138" s="20"/>
      <c r="D138" s="20"/>
    </row>
    <row r="139" spans="1:4" ht="20">
      <c r="A139" s="84"/>
      <c r="B139" s="15"/>
      <c r="C139" s="20"/>
      <c r="D139" s="20"/>
    </row>
    <row r="140" spans="1:4" ht="20">
      <c r="A140" s="84"/>
      <c r="B140" s="15"/>
      <c r="C140" s="20"/>
      <c r="D140" s="20"/>
    </row>
    <row r="141" spans="1:4" ht="20">
      <c r="A141" s="84"/>
      <c r="B141" s="15"/>
      <c r="C141" s="20"/>
      <c r="D141" s="20"/>
    </row>
    <row r="142" spans="1:4" ht="20">
      <c r="A142" s="84"/>
      <c r="B142" s="15"/>
      <c r="C142" s="20"/>
      <c r="D142" s="20"/>
    </row>
    <row r="143" spans="1:4" ht="20">
      <c r="A143" s="84"/>
      <c r="B143" s="15"/>
      <c r="C143" s="20"/>
      <c r="D143" s="20"/>
    </row>
    <row r="144" spans="1:4" ht="20">
      <c r="A144" s="84"/>
      <c r="B144" s="15"/>
      <c r="C144" s="20"/>
      <c r="D144" s="20"/>
    </row>
    <row r="145" spans="1:4" ht="20">
      <c r="A145" s="84"/>
      <c r="B145" s="15"/>
      <c r="C145" s="20"/>
      <c r="D145" s="20"/>
    </row>
    <row r="146" spans="1:4" ht="20">
      <c r="A146" s="84"/>
      <c r="B146" s="15"/>
      <c r="C146" s="20"/>
      <c r="D146" s="20"/>
    </row>
    <row r="147" spans="1:4" ht="20">
      <c r="A147" s="84"/>
      <c r="B147" s="15"/>
      <c r="C147" s="20"/>
      <c r="D147" s="20"/>
    </row>
    <row r="148" spans="1:4" ht="20">
      <c r="A148" s="84"/>
      <c r="B148" s="15"/>
      <c r="C148" s="20"/>
      <c r="D148" s="20"/>
    </row>
    <row r="149" spans="1:4" ht="20">
      <c r="A149" s="84"/>
      <c r="B149" s="15"/>
      <c r="C149" s="20"/>
      <c r="D149" s="20"/>
    </row>
    <row r="150" spans="1:4" ht="20">
      <c r="A150" s="84"/>
      <c r="B150" s="15"/>
      <c r="C150" s="20"/>
      <c r="D150" s="20"/>
    </row>
    <row r="151" spans="1:4" ht="20">
      <c r="A151" s="84"/>
      <c r="B151" s="15"/>
      <c r="C151" s="20"/>
      <c r="D151" s="20"/>
    </row>
    <row r="152" spans="1:4" ht="20">
      <c r="A152" s="84"/>
      <c r="B152" s="15"/>
      <c r="C152" s="20"/>
      <c r="D152" s="20"/>
    </row>
    <row r="153" spans="1:4" ht="20">
      <c r="A153" s="84"/>
      <c r="B153" s="15"/>
      <c r="C153" s="20"/>
      <c r="D153" s="20"/>
    </row>
    <row r="154" spans="1:4" ht="20">
      <c r="A154" s="84"/>
      <c r="B154" s="15"/>
      <c r="C154" s="20"/>
      <c r="D154" s="20"/>
    </row>
    <row r="155" spans="1:4" ht="20">
      <c r="A155" s="84"/>
      <c r="B155" s="15"/>
      <c r="C155" s="20"/>
      <c r="D155" s="20"/>
    </row>
    <row r="156" spans="1:4" ht="20">
      <c r="A156" s="84"/>
      <c r="B156" s="15"/>
      <c r="C156" s="20"/>
      <c r="D156" s="20"/>
    </row>
    <row r="157" spans="1:4" ht="20">
      <c r="A157" s="84"/>
      <c r="B157" s="15"/>
      <c r="C157" s="20"/>
      <c r="D157" s="20"/>
    </row>
    <row r="158" spans="1:4" ht="20">
      <c r="A158" s="84"/>
      <c r="B158" s="15"/>
      <c r="C158" s="20"/>
      <c r="D158" s="20"/>
    </row>
    <row r="159" spans="1:4" ht="20">
      <c r="A159" s="84"/>
      <c r="B159" s="15"/>
      <c r="C159" s="20"/>
      <c r="D159" s="20"/>
    </row>
    <row r="160" spans="1:4" ht="20">
      <c r="A160" s="84"/>
      <c r="B160" s="15"/>
      <c r="C160" s="20"/>
      <c r="D160" s="20"/>
    </row>
    <row r="161" spans="1:4" ht="20">
      <c r="A161" s="84"/>
      <c r="B161" s="15"/>
      <c r="C161" s="20"/>
      <c r="D161" s="20"/>
    </row>
    <row r="162" spans="1:4" ht="20">
      <c r="A162" s="84"/>
      <c r="B162" s="15"/>
      <c r="C162" s="20"/>
      <c r="D162" s="20"/>
    </row>
    <row r="163" spans="1:4" ht="20">
      <c r="A163" s="84"/>
      <c r="B163" s="15"/>
      <c r="C163" s="20"/>
      <c r="D163" s="20"/>
    </row>
    <row r="164" spans="1:4" ht="20">
      <c r="A164" s="84"/>
      <c r="B164" s="15"/>
      <c r="C164" s="20"/>
      <c r="D164" s="20"/>
    </row>
    <row r="165" spans="1:4" ht="20">
      <c r="A165" s="84"/>
      <c r="B165" s="15"/>
      <c r="C165" s="20"/>
      <c r="D165" s="20"/>
    </row>
    <row r="166" spans="1:4" ht="20">
      <c r="A166" s="84"/>
      <c r="B166" s="15"/>
      <c r="C166" s="20"/>
      <c r="D166" s="20"/>
    </row>
    <row r="167" spans="1:4" ht="20">
      <c r="A167" s="84"/>
      <c r="B167" s="15"/>
      <c r="C167" s="20"/>
      <c r="D167" s="20"/>
    </row>
    <row r="168" spans="1:4" ht="20">
      <c r="A168" s="84"/>
      <c r="B168" s="15"/>
      <c r="C168" s="20"/>
      <c r="D168" s="20"/>
    </row>
    <row r="169" spans="1:4" ht="20">
      <c r="A169" s="84"/>
      <c r="B169" s="15"/>
      <c r="C169" s="20"/>
      <c r="D169" s="20"/>
    </row>
    <row r="170" spans="1:4" ht="20">
      <c r="A170" s="84"/>
      <c r="B170" s="15"/>
      <c r="C170" s="20"/>
      <c r="D170" s="20"/>
    </row>
    <row r="171" spans="1:4" ht="20">
      <c r="A171" s="84"/>
      <c r="B171" s="15"/>
      <c r="C171" s="20"/>
      <c r="D171" s="20"/>
    </row>
    <row r="172" spans="1:4" ht="20">
      <c r="A172" s="84"/>
      <c r="B172" s="15"/>
      <c r="C172" s="20"/>
      <c r="D172" s="20"/>
    </row>
    <row r="173" spans="1:4" ht="20">
      <c r="A173" s="84"/>
      <c r="B173" s="15"/>
      <c r="C173" s="20"/>
      <c r="D173" s="20"/>
    </row>
    <row r="174" spans="1:4" ht="20">
      <c r="A174" s="84"/>
      <c r="B174" s="15"/>
      <c r="C174" s="20"/>
      <c r="D174" s="20"/>
    </row>
    <row r="175" spans="1:4" ht="20">
      <c r="A175" s="84"/>
      <c r="B175" s="15"/>
      <c r="C175" s="20"/>
      <c r="D175" s="20"/>
    </row>
    <row r="176" spans="1:4" ht="20">
      <c r="A176" s="84"/>
      <c r="B176" s="15"/>
      <c r="C176" s="20"/>
      <c r="D176" s="20"/>
    </row>
    <row r="177" spans="1:4" ht="20">
      <c r="A177" s="84"/>
      <c r="B177" s="15"/>
      <c r="C177" s="20"/>
      <c r="D177" s="20"/>
    </row>
    <row r="178" spans="1:4" ht="20">
      <c r="A178" s="84"/>
      <c r="B178" s="15"/>
      <c r="C178" s="20"/>
      <c r="D178" s="20"/>
    </row>
    <row r="179" spans="1:4" ht="20">
      <c r="A179" s="84"/>
      <c r="B179" s="15"/>
      <c r="C179" s="20"/>
      <c r="D179" s="20"/>
    </row>
    <row r="180" spans="1:4" ht="20">
      <c r="A180" s="84"/>
      <c r="B180" s="15"/>
      <c r="C180" s="20"/>
      <c r="D180" s="20"/>
    </row>
    <row r="181" spans="1:4" ht="20">
      <c r="A181" s="84"/>
      <c r="B181" s="15"/>
      <c r="C181" s="20"/>
      <c r="D181" s="20"/>
    </row>
    <row r="182" spans="1:4" ht="20">
      <c r="A182" s="84"/>
      <c r="B182" s="15"/>
      <c r="C182" s="20"/>
      <c r="D182" s="20"/>
    </row>
    <row r="183" spans="1:4" ht="20">
      <c r="A183" s="84"/>
      <c r="B183" s="15"/>
      <c r="C183" s="20"/>
      <c r="D183" s="20"/>
    </row>
    <row r="184" spans="1:4" ht="20">
      <c r="A184" s="84"/>
      <c r="B184" s="15"/>
      <c r="C184" s="20"/>
      <c r="D184" s="20"/>
    </row>
    <row r="185" spans="1:4" ht="20">
      <c r="A185" s="84"/>
      <c r="B185" s="15"/>
      <c r="C185" s="20"/>
      <c r="D185" s="20"/>
    </row>
    <row r="186" spans="1:4" ht="20">
      <c r="A186" s="84"/>
      <c r="B186" s="15"/>
      <c r="C186" s="20"/>
      <c r="D186" s="20"/>
    </row>
    <row r="187" spans="1:4" ht="20">
      <c r="A187" s="84"/>
      <c r="B187" s="15"/>
      <c r="C187" s="20"/>
      <c r="D187" s="20"/>
    </row>
    <row r="188" spans="1:4" ht="20">
      <c r="A188" s="84"/>
      <c r="B188" s="15"/>
      <c r="C188" s="20"/>
      <c r="D188" s="20"/>
    </row>
    <row r="189" spans="1:4" ht="20">
      <c r="A189" s="84"/>
      <c r="B189" s="15"/>
      <c r="C189" s="20"/>
      <c r="D189" s="20"/>
    </row>
    <row r="190" spans="1:4" ht="20">
      <c r="A190" s="84"/>
      <c r="B190" s="15"/>
      <c r="C190" s="20"/>
      <c r="D190" s="20"/>
    </row>
    <row r="191" spans="1:4" ht="20">
      <c r="A191" s="84"/>
      <c r="B191" s="15"/>
      <c r="C191" s="20"/>
      <c r="D191" s="20"/>
    </row>
    <row r="192" spans="1:4" ht="20">
      <c r="A192" s="84"/>
      <c r="B192" s="15"/>
      <c r="C192" s="20"/>
      <c r="D192" s="20"/>
    </row>
    <row r="193" spans="1:4" ht="20">
      <c r="A193" s="84"/>
      <c r="B193" s="15"/>
      <c r="C193" s="20"/>
      <c r="D193" s="20"/>
    </row>
    <row r="194" spans="1:4" ht="20">
      <c r="A194" s="84"/>
      <c r="B194" s="15"/>
      <c r="C194" s="20"/>
      <c r="D194" s="20"/>
    </row>
    <row r="195" spans="1:4" ht="20">
      <c r="A195" s="84"/>
      <c r="B195" s="15"/>
      <c r="C195" s="20"/>
      <c r="D195" s="20"/>
    </row>
    <row r="196" spans="1:4" ht="20">
      <c r="A196" s="84"/>
      <c r="B196" s="15"/>
      <c r="C196" s="20"/>
      <c r="D196" s="20"/>
    </row>
    <row r="197" spans="1:4" ht="20">
      <c r="A197" s="84"/>
      <c r="B197" s="15"/>
      <c r="C197" s="20"/>
      <c r="D197" s="20"/>
    </row>
    <row r="198" spans="1:4" ht="20">
      <c r="A198" s="84"/>
      <c r="B198" s="15"/>
      <c r="C198" s="20"/>
      <c r="D198" s="20"/>
    </row>
    <row r="199" spans="1:4" ht="20">
      <c r="A199" s="84"/>
      <c r="B199" s="15"/>
      <c r="C199" s="20"/>
      <c r="D199" s="20"/>
    </row>
    <row r="200" spans="1:4" ht="20">
      <c r="A200" s="84"/>
      <c r="B200" s="15"/>
      <c r="C200" s="20"/>
      <c r="D200" s="20"/>
    </row>
    <row r="201" spans="1:4" ht="20">
      <c r="A201" s="84"/>
      <c r="B201" s="15"/>
      <c r="C201" s="20"/>
      <c r="D201" s="20"/>
    </row>
    <row r="202" spans="1:4" ht="20">
      <c r="A202" s="84"/>
      <c r="B202" s="15"/>
      <c r="C202" s="20"/>
      <c r="D202" s="20"/>
    </row>
    <row r="203" spans="1:4" ht="20">
      <c r="A203" s="84"/>
      <c r="B203" s="15"/>
      <c r="C203" s="20"/>
      <c r="D203" s="20"/>
    </row>
    <row r="204" spans="1:4" ht="20">
      <c r="A204" s="84"/>
      <c r="B204" s="15"/>
      <c r="C204" s="20"/>
      <c r="D204" s="20"/>
    </row>
    <row r="205" spans="1:4" ht="20">
      <c r="A205" s="84"/>
      <c r="B205" s="15"/>
      <c r="C205" s="20"/>
      <c r="D205" s="20"/>
    </row>
    <row r="206" spans="1:4" ht="20">
      <c r="A206" s="84"/>
      <c r="B206" s="15"/>
      <c r="C206" s="20"/>
      <c r="D206" s="20"/>
    </row>
    <row r="207" spans="1:4" ht="20">
      <c r="A207" s="84"/>
      <c r="B207" s="15"/>
      <c r="C207" s="20"/>
      <c r="D207" s="20"/>
    </row>
    <row r="208" spans="1:4">
      <c r="A208" s="68"/>
      <c r="B208" s="15"/>
      <c r="C208" s="15"/>
      <c r="D208" s="15"/>
    </row>
    <row r="209" spans="1:8" ht="20">
      <c r="A209" s="68"/>
      <c r="B209" s="16" t="s">
        <v>457</v>
      </c>
      <c r="C209" s="16" t="s">
        <v>458</v>
      </c>
      <c r="D209" s="19" t="s">
        <v>457</v>
      </c>
      <c r="E209" s="19" t="s">
        <v>458</v>
      </c>
    </row>
    <row r="210" spans="1:8" ht="21">
      <c r="A210" s="68"/>
      <c r="B210" s="17" t="s">
        <v>459</v>
      </c>
      <c r="C210" s="17" t="s">
        <v>460</v>
      </c>
      <c r="D210" t="s">
        <v>459</v>
      </c>
      <c r="F210" t="str">
        <f>IF(NOT(ISBLANK(D210)),D210,IF(NOT(ISBLANK(E210)),"     "&amp;E210,FALSE))</f>
        <v>Afectación Económica o presupuestal</v>
      </c>
      <c r="G210" t="s">
        <v>459</v>
      </c>
      <c r="H210" t="str">
        <f>IF(NOT(ISERROR(MATCH(G210,_xlfn.ANCHORARRAY(B221),0))),F223&amp;"Por favor no seleccionar los criterios de impacto",G210)</f>
        <v>❌Por favor no seleccionar los criterios de impacto</v>
      </c>
    </row>
    <row r="211" spans="1:8" ht="21">
      <c r="A211" s="68"/>
      <c r="B211" s="17" t="s">
        <v>459</v>
      </c>
      <c r="C211" s="17" t="s">
        <v>444</v>
      </c>
      <c r="E211" t="s">
        <v>460</v>
      </c>
      <c r="F211" t="str">
        <f t="shared" ref="F211:F221" si="0">IF(NOT(ISBLANK(D211)),D211,IF(NOT(ISBLANK(E211)),"     "&amp;E211,FALSE))</f>
        <v xml:space="preserve">     Afectación menor a 10 SMLMV .</v>
      </c>
    </row>
    <row r="212" spans="1:8" ht="21">
      <c r="A212" s="68"/>
      <c r="B212" s="17" t="s">
        <v>459</v>
      </c>
      <c r="C212" s="17" t="s">
        <v>447</v>
      </c>
      <c r="E212" t="s">
        <v>444</v>
      </c>
      <c r="F212" t="str">
        <f t="shared" si="0"/>
        <v xml:space="preserve">     Entre 10 y 50 SMLMV </v>
      </c>
    </row>
    <row r="213" spans="1:8" ht="21">
      <c r="A213" s="68"/>
      <c r="B213" s="17" t="s">
        <v>459</v>
      </c>
      <c r="C213" s="17" t="s">
        <v>450</v>
      </c>
      <c r="E213" t="s">
        <v>447</v>
      </c>
      <c r="F213" t="str">
        <f t="shared" si="0"/>
        <v xml:space="preserve">     Entre 50 y 100 SMLMV </v>
      </c>
    </row>
    <row r="214" spans="1:8" ht="21">
      <c r="A214" s="68"/>
      <c r="B214" s="17" t="s">
        <v>459</v>
      </c>
      <c r="C214" s="17" t="s">
        <v>453</v>
      </c>
      <c r="E214" t="s">
        <v>450</v>
      </c>
      <c r="F214" t="str">
        <f t="shared" si="0"/>
        <v xml:space="preserve">     Entre 100 y 500 SMLMV </v>
      </c>
    </row>
    <row r="215" spans="1:8" ht="21">
      <c r="A215" s="68"/>
      <c r="B215" s="17" t="s">
        <v>438</v>
      </c>
      <c r="C215" s="17" t="s">
        <v>442</v>
      </c>
      <c r="E215" t="s">
        <v>453</v>
      </c>
      <c r="F215" t="str">
        <f t="shared" si="0"/>
        <v xml:space="preserve">     Mayor a 500 SMLMV </v>
      </c>
    </row>
    <row r="216" spans="1:8" ht="21">
      <c r="A216" s="68"/>
      <c r="B216" s="17" t="s">
        <v>438</v>
      </c>
      <c r="C216" s="17" t="s">
        <v>445</v>
      </c>
      <c r="D216" t="s">
        <v>438</v>
      </c>
      <c r="F216" t="str">
        <f t="shared" si="0"/>
        <v>Pérdida Reputacional</v>
      </c>
    </row>
    <row r="217" spans="1:8" ht="21">
      <c r="A217" s="68"/>
      <c r="B217" s="17" t="s">
        <v>438</v>
      </c>
      <c r="C217" s="17" t="s">
        <v>448</v>
      </c>
      <c r="E217" t="s">
        <v>442</v>
      </c>
      <c r="F217" t="str">
        <f t="shared" si="0"/>
        <v xml:space="preserve">     El riesgo afecta la imagen de alguna área de la organización</v>
      </c>
    </row>
    <row r="218" spans="1:8" ht="21">
      <c r="A218" s="68"/>
      <c r="B218" s="17" t="s">
        <v>438</v>
      </c>
      <c r="C218" s="17" t="s">
        <v>461</v>
      </c>
      <c r="E218" t="s">
        <v>445</v>
      </c>
      <c r="F218" t="str">
        <f t="shared" si="0"/>
        <v xml:space="preserve">     El riesgo afecta la imagen de la entidad internamente, de conocimiento general, nivel interno, de junta dircetiva y accionistas y/o de provedores</v>
      </c>
    </row>
    <row r="219" spans="1:8" ht="21">
      <c r="A219" s="68"/>
      <c r="B219" s="17" t="s">
        <v>438</v>
      </c>
      <c r="C219" s="17" t="s">
        <v>454</v>
      </c>
      <c r="E219" t="s">
        <v>448</v>
      </c>
      <c r="F219" t="str">
        <f t="shared" si="0"/>
        <v xml:space="preserve">     El riesgo afecta la imagen de la entidad con algunos usuarios de relevancia frente al logro de los objetivos</v>
      </c>
    </row>
    <row r="220" spans="1:8">
      <c r="A220" s="68"/>
      <c r="B220" s="18"/>
      <c r="C220" s="18"/>
      <c r="E220" t="s">
        <v>461</v>
      </c>
      <c r="F220" t="str">
        <f t="shared" si="0"/>
        <v xml:space="preserve">     El riesgo afecta la imagen de de la entidad con efecto publicitario sostenido a nivel de sector administrativo, nivel departamental o municipal</v>
      </c>
    </row>
    <row r="221" spans="1:8">
      <c r="A221" s="68"/>
      <c r="B221" s="18" t="str">
        <f t="array" ref="B221:B223">_xlfn.UNIQUE(Tabla1[[#All],[Criterios]])</f>
        <v>Criterios</v>
      </c>
      <c r="C221" s="18"/>
      <c r="E221" t="s">
        <v>454</v>
      </c>
      <c r="F221" t="str">
        <f t="shared" si="0"/>
        <v xml:space="preserve">     El riesgo afecta la imagen de la entidad a nivel nacional, con efecto publicitarios sostenible a nivel país</v>
      </c>
    </row>
    <row r="222" spans="1:8">
      <c r="A222" s="68"/>
      <c r="B222" s="18" t="str">
        <v>Afectación Económica o presupuestal</v>
      </c>
      <c r="C222" s="18"/>
    </row>
    <row r="223" spans="1:8">
      <c r="B223" s="18" t="str">
        <v>Pérdida Reputacional</v>
      </c>
      <c r="C223" s="18"/>
      <c r="F223" s="21" t="s">
        <v>462</v>
      </c>
    </row>
    <row r="224" spans="1:8">
      <c r="B224" s="14"/>
      <c r="C224" s="14"/>
      <c r="F224" s="21" t="s">
        <v>463</v>
      </c>
    </row>
    <row r="225" spans="2:4">
      <c r="B225" s="14"/>
      <c r="C225" s="14"/>
    </row>
    <row r="226" spans="2:4">
      <c r="B226" s="14"/>
      <c r="C226" s="14"/>
    </row>
    <row r="227" spans="2:4">
      <c r="B227" s="14"/>
      <c r="C227" s="14"/>
      <c r="D227" s="14"/>
    </row>
    <row r="228" spans="2:4">
      <c r="B228" s="14"/>
      <c r="C228" s="14"/>
      <c r="D228" s="14"/>
    </row>
    <row r="229" spans="2:4">
      <c r="B229" s="14"/>
      <c r="C229" s="14"/>
      <c r="D229" s="14"/>
    </row>
    <row r="230" spans="2:4">
      <c r="B230" s="14"/>
      <c r="C230" s="14"/>
      <c r="D230" s="14"/>
    </row>
    <row r="231" spans="2:4">
      <c r="B231" s="14"/>
      <c r="C231" s="14"/>
      <c r="D231" s="14"/>
    </row>
    <row r="232" spans="2:4">
      <c r="B232" s="14"/>
      <c r="C232" s="14"/>
      <c r="D232" s="14"/>
    </row>
  </sheetData>
  <mergeCells count="1">
    <mergeCell ref="B1:D1"/>
  </mergeCells>
  <dataValidations count="1">
    <dataValidation type="list" allowBlank="1" showInputMessage="1" showErrorMessage="1" sqref="G210" xr:uid="{00000000-0002-0000-1000-000000000000}">
      <formula1>$F$210:$F$221</formula1>
    </dataValidation>
  </dataValidations>
  <pageMargins left="0.7" right="0.7" top="0.75" bottom="0.75" header="0.3" footer="0.3"/>
  <pageSetup orientation="portrait"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theme="7" tint="-0.249977111117893"/>
  </sheetPr>
  <dimension ref="B1:F16"/>
  <sheetViews>
    <sheetView topLeftCell="A10" workbookViewId="0">
      <selection activeCell="I11" sqref="I11"/>
    </sheetView>
  </sheetViews>
  <sheetFormatPr baseColWidth="10" defaultColWidth="14.33203125" defaultRowHeight="14"/>
  <cols>
    <col min="1" max="2" width="14.33203125" style="73"/>
    <col min="3" max="3" width="17" style="73" customWidth="1"/>
    <col min="4" max="4" width="14.33203125" style="73"/>
    <col min="5" max="5" width="46" style="73" customWidth="1"/>
    <col min="6" max="16384" width="14.33203125" style="73"/>
  </cols>
  <sheetData>
    <row r="1" spans="2:6" ht="24" customHeight="1" thickBot="1">
      <c r="B1" s="662" t="s">
        <v>464</v>
      </c>
      <c r="C1" s="663"/>
      <c r="D1" s="663"/>
      <c r="E1" s="663"/>
      <c r="F1" s="664"/>
    </row>
    <row r="2" spans="2:6" ht="17" thickBot="1">
      <c r="B2" s="74"/>
      <c r="C2" s="74"/>
      <c r="D2" s="74"/>
      <c r="E2" s="74"/>
      <c r="F2" s="74"/>
    </row>
    <row r="3" spans="2:6" ht="18" thickBot="1">
      <c r="B3" s="666" t="s">
        <v>465</v>
      </c>
      <c r="C3" s="667"/>
      <c r="D3" s="667"/>
      <c r="E3" s="204" t="s">
        <v>466</v>
      </c>
      <c r="F3" s="83" t="s">
        <v>467</v>
      </c>
    </row>
    <row r="4" spans="2:6" ht="34">
      <c r="B4" s="668" t="s">
        <v>468</v>
      </c>
      <c r="C4" s="670" t="s">
        <v>73</v>
      </c>
      <c r="D4" s="205" t="s">
        <v>88</v>
      </c>
      <c r="E4" s="75" t="s">
        <v>469</v>
      </c>
      <c r="F4" s="76">
        <v>0.25</v>
      </c>
    </row>
    <row r="5" spans="2:6" ht="51">
      <c r="B5" s="669"/>
      <c r="C5" s="671"/>
      <c r="D5" s="206" t="s">
        <v>111</v>
      </c>
      <c r="E5" s="77" t="s">
        <v>470</v>
      </c>
      <c r="F5" s="78">
        <v>0.15</v>
      </c>
    </row>
    <row r="6" spans="2:6" ht="34">
      <c r="B6" s="669"/>
      <c r="C6" s="671"/>
      <c r="D6" s="206" t="s">
        <v>223</v>
      </c>
      <c r="E6" s="77" t="s">
        <v>471</v>
      </c>
      <c r="F6" s="78">
        <v>0.1</v>
      </c>
    </row>
    <row r="7" spans="2:6" ht="51">
      <c r="B7" s="669"/>
      <c r="C7" s="671" t="s">
        <v>74</v>
      </c>
      <c r="D7" s="206" t="s">
        <v>203</v>
      </c>
      <c r="E7" s="77" t="s">
        <v>472</v>
      </c>
      <c r="F7" s="78">
        <v>0.25</v>
      </c>
    </row>
    <row r="8" spans="2:6" ht="34">
      <c r="B8" s="669"/>
      <c r="C8" s="671"/>
      <c r="D8" s="206" t="s">
        <v>89</v>
      </c>
      <c r="E8" s="77" t="s">
        <v>473</v>
      </c>
      <c r="F8" s="78">
        <v>0.15</v>
      </c>
    </row>
    <row r="9" spans="2:6" ht="51">
      <c r="B9" s="669" t="s">
        <v>474</v>
      </c>
      <c r="C9" s="671" t="s">
        <v>26</v>
      </c>
      <c r="D9" s="206" t="s">
        <v>90</v>
      </c>
      <c r="E9" s="77" t="s">
        <v>475</v>
      </c>
      <c r="F9" s="79" t="s">
        <v>476</v>
      </c>
    </row>
    <row r="10" spans="2:6" ht="51">
      <c r="B10" s="669"/>
      <c r="C10" s="671"/>
      <c r="D10" s="206" t="s">
        <v>103</v>
      </c>
      <c r="E10" s="77" t="s">
        <v>477</v>
      </c>
      <c r="F10" s="79" t="s">
        <v>476</v>
      </c>
    </row>
    <row r="11" spans="2:6" ht="34">
      <c r="B11" s="669"/>
      <c r="C11" s="671" t="s">
        <v>76</v>
      </c>
      <c r="D11" s="206" t="s">
        <v>91</v>
      </c>
      <c r="E11" s="77" t="s">
        <v>478</v>
      </c>
      <c r="F11" s="79" t="s">
        <v>476</v>
      </c>
    </row>
    <row r="12" spans="2:6" ht="34">
      <c r="B12" s="669"/>
      <c r="C12" s="671"/>
      <c r="D12" s="206" t="s">
        <v>213</v>
      </c>
      <c r="E12" s="77" t="s">
        <v>479</v>
      </c>
      <c r="F12" s="79" t="s">
        <v>476</v>
      </c>
    </row>
    <row r="13" spans="2:6" ht="34">
      <c r="B13" s="669"/>
      <c r="C13" s="671" t="s">
        <v>77</v>
      </c>
      <c r="D13" s="206" t="s">
        <v>92</v>
      </c>
      <c r="E13" s="77" t="s">
        <v>480</v>
      </c>
      <c r="F13" s="79" t="s">
        <v>476</v>
      </c>
    </row>
    <row r="14" spans="2:6" ht="18" thickBot="1">
      <c r="B14" s="672"/>
      <c r="C14" s="673"/>
      <c r="D14" s="207" t="s">
        <v>135</v>
      </c>
      <c r="E14" s="80" t="s">
        <v>481</v>
      </c>
      <c r="F14" s="81" t="s">
        <v>476</v>
      </c>
    </row>
    <row r="15" spans="2:6" ht="49.5" customHeight="1">
      <c r="B15" s="665" t="s">
        <v>482</v>
      </c>
      <c r="C15" s="665"/>
      <c r="D15" s="665"/>
      <c r="E15" s="665"/>
      <c r="F15" s="665"/>
    </row>
    <row r="16" spans="2:6" ht="27" customHeight="1">
      <c r="B16" s="82"/>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287840"/>
  </sheetPr>
  <dimension ref="A1:CD29"/>
  <sheetViews>
    <sheetView tabSelected="1" topLeftCell="C7" zoomScale="118" zoomScaleNormal="118" workbookViewId="0">
      <pane ySplit="8" topLeftCell="A22" activePane="bottomLeft" state="frozen"/>
      <selection activeCell="C7" sqref="C7"/>
      <selection pane="bottomLeft" activeCell="K36" sqref="K36"/>
    </sheetView>
  </sheetViews>
  <sheetFormatPr baseColWidth="10" defaultColWidth="11.5" defaultRowHeight="14"/>
  <cols>
    <col min="1" max="1" width="0" style="169" hidden="1" customWidth="1"/>
    <col min="2" max="2" width="4.5" style="169" customWidth="1"/>
    <col min="3" max="3" width="6.33203125" style="169" customWidth="1"/>
    <col min="4" max="4" width="4.6640625" style="170" customWidth="1"/>
    <col min="5" max="5" width="21" style="170" customWidth="1"/>
    <col min="6" max="7" width="20.6640625" style="170" hidden="1" customWidth="1"/>
    <col min="8" max="8" width="18.33203125" style="170" hidden="1" customWidth="1"/>
    <col min="9" max="9" width="31" style="170" hidden="1" customWidth="1"/>
    <col min="10" max="10" width="25.5" style="170" hidden="1" customWidth="1"/>
    <col min="11" max="11" width="58.33203125" style="169" customWidth="1"/>
    <col min="12" max="12" width="25.5" style="171" customWidth="1"/>
    <col min="13" max="13" width="31.83203125" style="171" customWidth="1"/>
    <col min="14" max="14" width="23.83203125" style="171" customWidth="1"/>
    <col min="15" max="15" width="14.83203125" style="169" customWidth="1"/>
    <col min="16" max="16" width="16.5" style="169" customWidth="1"/>
    <col min="17" max="17" width="8.83203125" style="169" customWidth="1"/>
    <col min="18" max="18" width="21.33203125" style="169" customWidth="1"/>
    <col min="19" max="19" width="17.5" style="169" customWidth="1"/>
    <col min="20" max="20" width="10.5" style="169" customWidth="1"/>
    <col min="21" max="21" width="16" style="169" customWidth="1"/>
    <col min="22" max="22" width="5.6640625" style="169" customWidth="1"/>
    <col min="23" max="23" width="63.5" style="169" customWidth="1"/>
    <col min="24" max="24" width="57.33203125" style="169" customWidth="1"/>
    <col min="25" max="25" width="15.33203125" style="169" customWidth="1"/>
    <col min="26" max="26" width="6.6640625" style="169" customWidth="1"/>
    <col min="27" max="27" width="5" style="169" customWidth="1"/>
    <col min="28" max="28" width="5.5" style="169" customWidth="1"/>
    <col min="29" max="29" width="7.33203125" style="169" customWidth="1"/>
    <col min="30" max="30" width="6.6640625" style="169" customWidth="1"/>
    <col min="31" max="31" width="8.33203125" style="169" customWidth="1"/>
    <col min="32" max="32" width="29.33203125" style="169" customWidth="1"/>
    <col min="33" max="33" width="13.6640625" style="169" customWidth="1"/>
    <col min="34" max="38" width="16.1640625" style="169" customWidth="1"/>
    <col min="39" max="40" width="7.33203125" style="169" customWidth="1"/>
    <col min="41" max="41" width="46.5" style="169" customWidth="1"/>
    <col min="42" max="42" width="24.33203125" style="169" customWidth="1"/>
    <col min="43" max="43" width="23.1640625" style="169" customWidth="1"/>
    <col min="44" max="46" width="19.6640625" style="169" customWidth="1"/>
    <col min="47" max="47" width="35.5" style="169" customWidth="1"/>
    <col min="48" max="50" width="34.6640625" style="169" customWidth="1"/>
    <col min="51" max="51" width="29" style="169" customWidth="1"/>
    <col min="52" max="52" width="23.33203125" style="169" customWidth="1"/>
    <col min="53" max="53" width="68.5" style="169" customWidth="1"/>
    <col min="54" max="54" width="31.5" style="169" customWidth="1"/>
    <col min="55" max="55" width="30.5" style="169" customWidth="1"/>
    <col min="56" max="56" width="53" style="169" customWidth="1"/>
    <col min="57" max="59" width="0" style="169" hidden="1" customWidth="1"/>
    <col min="60" max="61" width="11.5" style="169" hidden="1" customWidth="1"/>
    <col min="62" max="63" width="0" style="169" hidden="1" customWidth="1"/>
    <col min="64" max="16384" width="11.5" style="169"/>
  </cols>
  <sheetData>
    <row r="1" spans="1:82" ht="15" thickBot="1"/>
    <row r="2" spans="1:82" ht="27.75" customHeight="1">
      <c r="D2" s="332" t="s">
        <v>7</v>
      </c>
      <c r="E2" s="333"/>
      <c r="F2" s="333"/>
      <c r="G2" s="333"/>
      <c r="H2" s="334"/>
      <c r="I2" s="341" t="s">
        <v>8</v>
      </c>
      <c r="J2" s="341"/>
      <c r="K2" s="341"/>
      <c r="L2" s="341"/>
      <c r="M2" s="341"/>
      <c r="N2" s="341"/>
      <c r="O2" s="341"/>
      <c r="P2" s="341"/>
      <c r="Q2" s="341"/>
      <c r="R2" s="341"/>
      <c r="S2" s="341"/>
      <c r="T2" s="341"/>
      <c r="U2" s="341"/>
      <c r="V2" s="341"/>
      <c r="W2" s="341"/>
      <c r="X2" s="341"/>
      <c r="Y2" s="341"/>
      <c r="Z2" s="341"/>
      <c r="AA2" s="341"/>
      <c r="AB2" s="341"/>
      <c r="AC2" s="341"/>
      <c r="AD2" s="341"/>
      <c r="AE2" s="341"/>
      <c r="AF2" s="341"/>
      <c r="AG2" s="341"/>
      <c r="AH2" s="341"/>
      <c r="AI2" s="341"/>
      <c r="AJ2" s="341"/>
      <c r="AK2" s="341"/>
      <c r="AL2" s="341"/>
      <c r="AM2" s="341"/>
      <c r="AN2" s="341"/>
      <c r="AO2" s="341"/>
      <c r="AP2" s="341"/>
      <c r="AQ2" s="341"/>
      <c r="AR2" s="341"/>
      <c r="AS2" s="341"/>
      <c r="AT2" s="341"/>
      <c r="AU2" s="341"/>
      <c r="AV2" s="341"/>
      <c r="AW2" s="341"/>
      <c r="AX2" s="341"/>
      <c r="AY2" s="341"/>
      <c r="AZ2" s="341"/>
      <c r="BA2" s="341"/>
      <c r="BB2" s="341"/>
      <c r="BC2" s="341"/>
      <c r="BD2" s="210" t="s">
        <v>9</v>
      </c>
    </row>
    <row r="3" spans="1:82" ht="27.75" customHeight="1">
      <c r="D3" s="335"/>
      <c r="E3" s="336"/>
      <c r="F3" s="336"/>
      <c r="G3" s="336"/>
      <c r="H3" s="337"/>
      <c r="I3" s="341"/>
      <c r="J3" s="341"/>
      <c r="K3" s="341"/>
      <c r="L3" s="341"/>
      <c r="M3" s="341"/>
      <c r="N3" s="341"/>
      <c r="O3" s="341"/>
      <c r="P3" s="341"/>
      <c r="Q3" s="341"/>
      <c r="R3" s="341"/>
      <c r="S3" s="341"/>
      <c r="T3" s="341"/>
      <c r="U3" s="341"/>
      <c r="V3" s="341"/>
      <c r="W3" s="341"/>
      <c r="X3" s="341"/>
      <c r="Y3" s="341"/>
      <c r="Z3" s="341"/>
      <c r="AA3" s="341"/>
      <c r="AB3" s="341"/>
      <c r="AC3" s="341"/>
      <c r="AD3" s="341"/>
      <c r="AE3" s="341"/>
      <c r="AF3" s="341"/>
      <c r="AG3" s="341"/>
      <c r="AH3" s="341"/>
      <c r="AI3" s="341"/>
      <c r="AJ3" s="341"/>
      <c r="AK3" s="341"/>
      <c r="AL3" s="341"/>
      <c r="AM3" s="341"/>
      <c r="AN3" s="341"/>
      <c r="AO3" s="341"/>
      <c r="AP3" s="341"/>
      <c r="AQ3" s="341"/>
      <c r="AR3" s="341"/>
      <c r="AS3" s="341"/>
      <c r="AT3" s="341"/>
      <c r="AU3" s="341"/>
      <c r="AV3" s="341"/>
      <c r="AW3" s="341"/>
      <c r="AX3" s="341"/>
      <c r="AY3" s="341"/>
      <c r="AZ3" s="341"/>
      <c r="BA3" s="341"/>
      <c r="BB3" s="341"/>
      <c r="BC3" s="341"/>
      <c r="BD3" s="216" t="s">
        <v>10</v>
      </c>
    </row>
    <row r="4" spans="1:82" ht="27.75" customHeight="1">
      <c r="D4" s="335"/>
      <c r="E4" s="336"/>
      <c r="F4" s="336"/>
      <c r="G4" s="336"/>
      <c r="H4" s="337"/>
      <c r="I4" s="341"/>
      <c r="J4" s="341"/>
      <c r="K4" s="341"/>
      <c r="L4" s="341"/>
      <c r="M4" s="341"/>
      <c r="N4" s="341"/>
      <c r="O4" s="341"/>
      <c r="P4" s="341"/>
      <c r="Q4" s="341"/>
      <c r="R4" s="341"/>
      <c r="S4" s="341"/>
      <c r="T4" s="341"/>
      <c r="U4" s="341"/>
      <c r="V4" s="341"/>
      <c r="W4" s="341"/>
      <c r="X4" s="341"/>
      <c r="Y4" s="341"/>
      <c r="Z4" s="341"/>
      <c r="AA4" s="341"/>
      <c r="AB4" s="341"/>
      <c r="AC4" s="341"/>
      <c r="AD4" s="341"/>
      <c r="AE4" s="341"/>
      <c r="AF4" s="341"/>
      <c r="AG4" s="341"/>
      <c r="AH4" s="341"/>
      <c r="AI4" s="341"/>
      <c r="AJ4" s="341"/>
      <c r="AK4" s="341"/>
      <c r="AL4" s="341"/>
      <c r="AM4" s="341"/>
      <c r="AN4" s="341"/>
      <c r="AO4" s="341"/>
      <c r="AP4" s="341"/>
      <c r="AQ4" s="341"/>
      <c r="AR4" s="341"/>
      <c r="AS4" s="341"/>
      <c r="AT4" s="341"/>
      <c r="AU4" s="341"/>
      <c r="AV4" s="341"/>
      <c r="AW4" s="341"/>
      <c r="AX4" s="341"/>
      <c r="AY4" s="341"/>
      <c r="AZ4" s="341"/>
      <c r="BA4" s="341"/>
      <c r="BB4" s="341"/>
      <c r="BC4" s="341"/>
      <c r="BD4" s="211" t="s">
        <v>4</v>
      </c>
    </row>
    <row r="5" spans="1:82" ht="27.75" customHeight="1" thickBot="1">
      <c r="D5" s="338"/>
      <c r="E5" s="339"/>
      <c r="F5" s="339"/>
      <c r="G5" s="339"/>
      <c r="H5" s="340"/>
      <c r="I5" s="341"/>
      <c r="J5" s="341"/>
      <c r="K5" s="341"/>
      <c r="L5" s="341"/>
      <c r="M5" s="341"/>
      <c r="N5" s="341"/>
      <c r="O5" s="341"/>
      <c r="P5" s="341"/>
      <c r="Q5" s="341"/>
      <c r="R5" s="341"/>
      <c r="S5" s="341"/>
      <c r="T5" s="341"/>
      <c r="U5" s="341"/>
      <c r="V5" s="341"/>
      <c r="W5" s="341"/>
      <c r="X5" s="341"/>
      <c r="Y5" s="341"/>
      <c r="Z5" s="341"/>
      <c r="AA5" s="341"/>
      <c r="AB5" s="341"/>
      <c r="AC5" s="341"/>
      <c r="AD5" s="341"/>
      <c r="AE5" s="341"/>
      <c r="AF5" s="341"/>
      <c r="AG5" s="341"/>
      <c r="AH5" s="341"/>
      <c r="AI5" s="341"/>
      <c r="AJ5" s="341"/>
      <c r="AK5" s="341"/>
      <c r="AL5" s="341"/>
      <c r="AM5" s="341"/>
      <c r="AN5" s="341"/>
      <c r="AO5" s="341"/>
      <c r="AP5" s="341"/>
      <c r="AQ5" s="341"/>
      <c r="AR5" s="341"/>
      <c r="AS5" s="341"/>
      <c r="AT5" s="341"/>
      <c r="AU5" s="341"/>
      <c r="AV5" s="341"/>
      <c r="AW5" s="341"/>
      <c r="AX5" s="341"/>
      <c r="AY5" s="341"/>
      <c r="AZ5" s="341"/>
      <c r="BA5" s="341"/>
      <c r="BB5" s="341"/>
      <c r="BC5" s="341"/>
      <c r="BD5" s="211" t="s">
        <v>11</v>
      </c>
    </row>
    <row r="6" spans="1:82" ht="14" customHeight="1">
      <c r="D6" s="113"/>
      <c r="E6" s="114"/>
      <c r="F6" s="114"/>
      <c r="G6" s="114"/>
      <c r="H6" s="114"/>
      <c r="I6" s="172"/>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15"/>
    </row>
    <row r="7" spans="1:82" ht="26.25" customHeight="1">
      <c r="D7" s="350" t="s">
        <v>12</v>
      </c>
      <c r="E7" s="351"/>
      <c r="F7" s="351"/>
      <c r="G7" s="352"/>
      <c r="H7" s="342" t="s">
        <v>13</v>
      </c>
      <c r="I7" s="343"/>
      <c r="J7" s="343"/>
      <c r="K7" s="343"/>
      <c r="L7" s="343"/>
      <c r="M7" s="343"/>
      <c r="N7" s="343"/>
      <c r="O7" s="343"/>
      <c r="P7" s="343"/>
      <c r="Q7" s="343"/>
      <c r="R7" s="343"/>
      <c r="S7" s="343"/>
      <c r="T7" s="343"/>
      <c r="U7" s="343"/>
      <c r="V7" s="343"/>
      <c r="W7" s="343"/>
      <c r="X7" s="343"/>
      <c r="Y7" s="343"/>
      <c r="Z7" s="343"/>
      <c r="AA7" s="343"/>
      <c r="AB7" s="343"/>
      <c r="AC7" s="343"/>
      <c r="AD7" s="343"/>
      <c r="AE7" s="343"/>
      <c r="AF7" s="343"/>
      <c r="AG7" s="343"/>
      <c r="AH7" s="343"/>
      <c r="AI7" s="343"/>
      <c r="AJ7" s="343"/>
      <c r="AK7" s="343"/>
      <c r="AL7" s="343"/>
      <c r="AM7" s="343"/>
      <c r="AN7" s="343"/>
      <c r="AO7" s="343"/>
      <c r="AP7" s="343"/>
      <c r="AQ7" s="343"/>
      <c r="AR7" s="343"/>
      <c r="AS7" s="343"/>
      <c r="AT7" s="343"/>
      <c r="AU7" s="343"/>
      <c r="AV7" s="343"/>
      <c r="AW7" s="343"/>
      <c r="AX7" s="343"/>
      <c r="AY7" s="343"/>
      <c r="AZ7" s="343"/>
      <c r="BA7" s="343"/>
      <c r="BB7" s="343"/>
      <c r="BC7" s="343"/>
      <c r="BD7" s="343"/>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row>
    <row r="8" spans="1:82" ht="43" customHeight="1">
      <c r="D8" s="350" t="s">
        <v>14</v>
      </c>
      <c r="E8" s="351"/>
      <c r="F8" s="351"/>
      <c r="G8" s="352"/>
      <c r="H8" s="353" t="s">
        <v>15</v>
      </c>
      <c r="I8" s="354"/>
      <c r="J8" s="354"/>
      <c r="K8" s="354"/>
      <c r="L8" s="354"/>
      <c r="M8" s="354"/>
      <c r="N8" s="354"/>
      <c r="O8" s="354"/>
      <c r="P8" s="354"/>
      <c r="Q8" s="354"/>
      <c r="R8" s="354"/>
      <c r="S8" s="354"/>
      <c r="T8" s="354"/>
      <c r="U8" s="354"/>
      <c r="V8" s="354"/>
      <c r="W8" s="354"/>
      <c r="X8" s="354"/>
      <c r="Y8" s="354"/>
      <c r="Z8" s="354"/>
      <c r="AA8" s="354"/>
      <c r="AB8" s="354"/>
      <c r="AC8" s="354"/>
      <c r="AD8" s="354"/>
      <c r="AE8" s="354"/>
      <c r="AF8" s="354"/>
      <c r="AG8" s="354"/>
      <c r="AH8" s="354"/>
      <c r="AI8" s="354"/>
      <c r="AJ8" s="354"/>
      <c r="AK8" s="354"/>
      <c r="AL8" s="354"/>
      <c r="AM8" s="354"/>
      <c r="AN8" s="354"/>
      <c r="AO8" s="354"/>
      <c r="AP8" s="354"/>
      <c r="AQ8" s="354"/>
      <c r="AR8" s="354"/>
      <c r="AS8" s="354"/>
      <c r="AT8" s="354"/>
      <c r="AU8" s="354"/>
      <c r="AV8" s="354"/>
      <c r="AW8" s="354"/>
      <c r="AX8" s="354"/>
      <c r="AY8" s="354"/>
      <c r="AZ8" s="354"/>
      <c r="BA8" s="354"/>
      <c r="BB8" s="354"/>
      <c r="BC8" s="354"/>
      <c r="BD8" s="354"/>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row>
    <row r="9" spans="1:82" ht="24" customHeight="1">
      <c r="D9" s="350" t="s">
        <v>16</v>
      </c>
      <c r="E9" s="351"/>
      <c r="F9" s="351"/>
      <c r="G9" s="352"/>
      <c r="H9" s="342" t="s">
        <v>17</v>
      </c>
      <c r="I9" s="343"/>
      <c r="J9" s="343"/>
      <c r="K9" s="343"/>
      <c r="L9" s="343"/>
      <c r="M9" s="343"/>
      <c r="N9" s="343"/>
      <c r="O9" s="343"/>
      <c r="P9" s="343"/>
      <c r="Q9" s="343"/>
      <c r="R9" s="343"/>
      <c r="S9" s="343"/>
      <c r="T9" s="343"/>
      <c r="U9" s="343"/>
      <c r="V9" s="343"/>
      <c r="W9" s="343"/>
      <c r="X9" s="343"/>
      <c r="Y9" s="343"/>
      <c r="Z9" s="343"/>
      <c r="AA9" s="343"/>
      <c r="AB9" s="343"/>
      <c r="AC9" s="343"/>
      <c r="AD9" s="343"/>
      <c r="AE9" s="343"/>
      <c r="AF9" s="343"/>
      <c r="AG9" s="343"/>
      <c r="AH9" s="343"/>
      <c r="AI9" s="343"/>
      <c r="AJ9" s="343"/>
      <c r="AK9" s="343"/>
      <c r="AL9" s="343"/>
      <c r="AM9" s="343"/>
      <c r="AN9" s="343"/>
      <c r="AO9" s="343"/>
      <c r="AP9" s="343"/>
      <c r="AQ9" s="343"/>
      <c r="AR9" s="343"/>
      <c r="AS9" s="343"/>
      <c r="AT9" s="343"/>
      <c r="AU9" s="343"/>
      <c r="AV9" s="343"/>
      <c r="AW9" s="343"/>
      <c r="AX9" s="343"/>
      <c r="AY9" s="343"/>
      <c r="AZ9" s="343"/>
      <c r="BA9" s="343"/>
      <c r="BB9" s="343"/>
      <c r="BC9" s="343"/>
      <c r="BD9" s="343"/>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row>
    <row r="10" spans="1:82" s="174" customFormat="1" ht="24" customHeight="1">
      <c r="D10" s="175"/>
      <c r="E10" s="176"/>
      <c r="F10" s="177"/>
      <c r="G10" s="177"/>
      <c r="H10" s="175"/>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212"/>
      <c r="AT10" s="212"/>
      <c r="AU10" s="212"/>
      <c r="AV10" s="212"/>
      <c r="AW10" s="212"/>
      <c r="AX10" s="212"/>
      <c r="AY10" s="212"/>
      <c r="AZ10" s="179"/>
      <c r="BA10" s="179"/>
      <c r="BB10" s="179"/>
      <c r="BC10" s="179"/>
      <c r="BD10" s="179"/>
    </row>
    <row r="11" spans="1:82" s="174" customFormat="1" ht="25.5" customHeight="1">
      <c r="A11" s="366" t="s">
        <v>18</v>
      </c>
      <c r="B11" s="366"/>
      <c r="C11" s="367"/>
      <c r="D11" s="327" t="s">
        <v>19</v>
      </c>
      <c r="E11" s="328"/>
      <c r="F11" s="328"/>
      <c r="G11" s="328"/>
      <c r="H11" s="328"/>
      <c r="I11" s="328"/>
      <c r="J11" s="328"/>
      <c r="K11" s="328"/>
      <c r="L11" s="328"/>
      <c r="M11" s="328"/>
      <c r="N11" s="328"/>
      <c r="O11" s="328"/>
      <c r="P11" s="328"/>
      <c r="Q11" s="328"/>
      <c r="R11" s="328"/>
      <c r="S11" s="328"/>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69"/>
      <c r="AS11" s="331" t="s">
        <v>20</v>
      </c>
      <c r="AT11" s="331"/>
      <c r="AU11" s="331"/>
      <c r="AV11" s="331"/>
      <c r="AW11" s="331"/>
      <c r="AX11" s="331"/>
      <c r="AY11" s="331"/>
      <c r="AZ11" s="357" t="s">
        <v>21</v>
      </c>
      <c r="BA11" s="358"/>
      <c r="BB11" s="358"/>
      <c r="BC11" s="306" t="s">
        <v>22</v>
      </c>
      <c r="BD11" s="307"/>
    </row>
    <row r="12" spans="1:82" ht="27" customHeight="1">
      <c r="D12" s="348" t="s">
        <v>23</v>
      </c>
      <c r="E12" s="348"/>
      <c r="F12" s="348"/>
      <c r="G12" s="348"/>
      <c r="H12" s="348"/>
      <c r="I12" s="325"/>
      <c r="J12" s="325"/>
      <c r="K12" s="325"/>
      <c r="L12" s="325"/>
      <c r="M12" s="325"/>
      <c r="N12" s="325"/>
      <c r="O12" s="325"/>
      <c r="P12" s="325" t="s">
        <v>24</v>
      </c>
      <c r="Q12" s="325"/>
      <c r="R12" s="325"/>
      <c r="S12" s="325"/>
      <c r="T12" s="325"/>
      <c r="U12" s="325"/>
      <c r="V12" s="325" t="s">
        <v>25</v>
      </c>
      <c r="W12" s="325"/>
      <c r="X12" s="325"/>
      <c r="Y12" s="325"/>
      <c r="Z12" s="325"/>
      <c r="AA12" s="325"/>
      <c r="AB12" s="325"/>
      <c r="AC12" s="325"/>
      <c r="AD12" s="325"/>
      <c r="AE12" s="325"/>
      <c r="AF12" s="356" t="s">
        <v>26</v>
      </c>
      <c r="AG12" s="325" t="s">
        <v>27</v>
      </c>
      <c r="AH12" s="325"/>
      <c r="AI12" s="325"/>
      <c r="AJ12" s="325"/>
      <c r="AK12" s="325"/>
      <c r="AL12" s="325"/>
      <c r="AM12" s="325"/>
      <c r="AN12" s="213"/>
      <c r="AO12" s="327" t="s">
        <v>28</v>
      </c>
      <c r="AP12" s="328"/>
      <c r="AQ12" s="328"/>
      <c r="AR12" s="328"/>
      <c r="AS12" s="331"/>
      <c r="AT12" s="331"/>
      <c r="AU12" s="331"/>
      <c r="AV12" s="331"/>
      <c r="AW12" s="331"/>
      <c r="AX12" s="331"/>
      <c r="AY12" s="331"/>
      <c r="AZ12" s="357"/>
      <c r="BA12" s="358"/>
      <c r="BB12" s="358"/>
      <c r="BC12" s="308"/>
      <c r="BD12" s="309"/>
      <c r="BE12" s="173"/>
      <c r="BF12" s="173"/>
      <c r="BG12" s="173"/>
      <c r="BH12" s="173"/>
      <c r="BI12" s="173"/>
      <c r="BJ12" s="173"/>
      <c r="BK12" s="173"/>
      <c r="BL12" s="173"/>
      <c r="BM12" s="173"/>
      <c r="BN12" s="173"/>
      <c r="BO12" s="173"/>
      <c r="BP12" s="173"/>
      <c r="BQ12" s="173"/>
      <c r="BR12" s="173"/>
      <c r="BS12" s="173"/>
      <c r="BT12" s="173"/>
      <c r="BU12" s="173"/>
      <c r="BV12" s="173"/>
      <c r="BW12" s="173"/>
      <c r="BX12" s="173"/>
      <c r="BY12" s="173"/>
      <c r="BZ12" s="173"/>
      <c r="CA12" s="173"/>
      <c r="CB12" s="173"/>
      <c r="CC12" s="173"/>
      <c r="CD12" s="173"/>
    </row>
    <row r="13" spans="1:82" ht="45.75" customHeight="1">
      <c r="D13" s="355" t="s">
        <v>29</v>
      </c>
      <c r="E13" s="326" t="s">
        <v>30</v>
      </c>
      <c r="F13" s="349" t="s">
        <v>31</v>
      </c>
      <c r="G13" s="346" t="s">
        <v>32</v>
      </c>
      <c r="H13" s="348" t="s">
        <v>33</v>
      </c>
      <c r="I13" s="326" t="s">
        <v>34</v>
      </c>
      <c r="J13" s="326" t="s">
        <v>35</v>
      </c>
      <c r="K13" s="326" t="s">
        <v>36</v>
      </c>
      <c r="L13" s="346" t="s">
        <v>37</v>
      </c>
      <c r="M13" s="363" t="s">
        <v>38</v>
      </c>
      <c r="N13" s="364"/>
      <c r="O13" s="326" t="s">
        <v>39</v>
      </c>
      <c r="P13" s="326" t="s">
        <v>40</v>
      </c>
      <c r="Q13" s="348" t="s">
        <v>41</v>
      </c>
      <c r="R13" s="326" t="s">
        <v>42</v>
      </c>
      <c r="S13" s="326" t="s">
        <v>43</v>
      </c>
      <c r="T13" s="348" t="s">
        <v>41</v>
      </c>
      <c r="U13" s="326" t="s">
        <v>44</v>
      </c>
      <c r="V13" s="344" t="s">
        <v>45</v>
      </c>
      <c r="W13" s="326" t="s">
        <v>46</v>
      </c>
      <c r="X13" s="326" t="s">
        <v>47</v>
      </c>
      <c r="Y13" s="326" t="s">
        <v>48</v>
      </c>
      <c r="Z13" s="326" t="s">
        <v>49</v>
      </c>
      <c r="AA13" s="326"/>
      <c r="AB13" s="326"/>
      <c r="AC13" s="326"/>
      <c r="AD13" s="326"/>
      <c r="AE13" s="326"/>
      <c r="AF13" s="365"/>
      <c r="AG13" s="344" t="s">
        <v>50</v>
      </c>
      <c r="AH13" s="344" t="s">
        <v>51</v>
      </c>
      <c r="AI13" s="344" t="s">
        <v>41</v>
      </c>
      <c r="AJ13" s="344" t="s">
        <v>52</v>
      </c>
      <c r="AK13" s="344" t="s">
        <v>41</v>
      </c>
      <c r="AL13" s="344" t="s">
        <v>53</v>
      </c>
      <c r="AM13" s="344" t="s">
        <v>54</v>
      </c>
      <c r="AN13" s="344" t="s">
        <v>55</v>
      </c>
      <c r="AO13" s="326" t="s">
        <v>56</v>
      </c>
      <c r="AP13" s="326" t="s">
        <v>57</v>
      </c>
      <c r="AQ13" s="326" t="s">
        <v>58</v>
      </c>
      <c r="AR13" s="346" t="s">
        <v>59</v>
      </c>
      <c r="AS13" s="361" t="s">
        <v>60</v>
      </c>
      <c r="AT13" s="361" t="s">
        <v>61</v>
      </c>
      <c r="AU13" s="359" t="s">
        <v>62</v>
      </c>
      <c r="AV13" s="359" t="s">
        <v>63</v>
      </c>
      <c r="AW13" s="361" t="s">
        <v>64</v>
      </c>
      <c r="AX13" s="361" t="s">
        <v>65</v>
      </c>
      <c r="AY13" s="361" t="s">
        <v>66</v>
      </c>
      <c r="AZ13" s="326" t="s">
        <v>67</v>
      </c>
      <c r="BA13" s="326" t="s">
        <v>68</v>
      </c>
      <c r="BB13" s="326" t="s">
        <v>69</v>
      </c>
      <c r="BC13" s="359" t="s">
        <v>67</v>
      </c>
      <c r="BD13" s="359" t="s">
        <v>70</v>
      </c>
      <c r="BE13" s="173"/>
      <c r="BF13" s="173"/>
      <c r="BG13" s="173"/>
      <c r="BH13" s="173"/>
      <c r="BI13" s="173"/>
      <c r="BJ13" s="173"/>
      <c r="BK13" s="173"/>
      <c r="BL13" s="173"/>
      <c r="BM13" s="173"/>
      <c r="BN13" s="173"/>
      <c r="BO13" s="173"/>
      <c r="BP13" s="173"/>
      <c r="BQ13" s="173"/>
      <c r="BR13" s="173"/>
      <c r="BS13" s="173"/>
      <c r="BT13" s="173"/>
      <c r="BU13" s="173"/>
      <c r="BV13" s="173"/>
      <c r="BW13" s="173"/>
      <c r="BX13" s="173"/>
      <c r="BY13" s="173"/>
      <c r="BZ13" s="173"/>
      <c r="CA13" s="173"/>
      <c r="CB13" s="173"/>
      <c r="CC13" s="173"/>
      <c r="CD13" s="173"/>
    </row>
    <row r="14" spans="1:82" s="182" customFormat="1" ht="40" customHeight="1" thickBot="1">
      <c r="A14" s="180"/>
      <c r="B14" s="180"/>
      <c r="C14" s="180"/>
      <c r="D14" s="356"/>
      <c r="E14" s="346"/>
      <c r="F14" s="368"/>
      <c r="G14" s="347"/>
      <c r="H14" s="349"/>
      <c r="I14" s="346"/>
      <c r="J14" s="346"/>
      <c r="K14" s="349"/>
      <c r="L14" s="347"/>
      <c r="M14" s="225" t="s">
        <v>71</v>
      </c>
      <c r="N14" s="225" t="s">
        <v>72</v>
      </c>
      <c r="O14" s="346"/>
      <c r="P14" s="346"/>
      <c r="Q14" s="349"/>
      <c r="R14" s="346"/>
      <c r="S14" s="349"/>
      <c r="T14" s="349"/>
      <c r="U14" s="346"/>
      <c r="V14" s="345"/>
      <c r="W14" s="346"/>
      <c r="X14" s="346"/>
      <c r="Y14" s="346"/>
      <c r="Z14" s="222" t="s">
        <v>73</v>
      </c>
      <c r="AA14" s="222" t="s">
        <v>74</v>
      </c>
      <c r="AB14" s="222" t="s">
        <v>75</v>
      </c>
      <c r="AC14" s="222" t="s">
        <v>26</v>
      </c>
      <c r="AD14" s="222" t="s">
        <v>76</v>
      </c>
      <c r="AE14" s="222" t="s">
        <v>77</v>
      </c>
      <c r="AF14" s="365"/>
      <c r="AG14" s="345"/>
      <c r="AH14" s="345"/>
      <c r="AI14" s="345"/>
      <c r="AJ14" s="345"/>
      <c r="AK14" s="345"/>
      <c r="AL14" s="345"/>
      <c r="AM14" s="345"/>
      <c r="AN14" s="345"/>
      <c r="AO14" s="346"/>
      <c r="AP14" s="346"/>
      <c r="AQ14" s="346"/>
      <c r="AR14" s="347"/>
      <c r="AS14" s="362"/>
      <c r="AT14" s="362"/>
      <c r="AU14" s="360"/>
      <c r="AV14" s="360"/>
      <c r="AW14" s="362"/>
      <c r="AX14" s="362"/>
      <c r="AY14" s="362"/>
      <c r="AZ14" s="346"/>
      <c r="BA14" s="346"/>
      <c r="BB14" s="346"/>
      <c r="BC14" s="360"/>
      <c r="BD14" s="360"/>
      <c r="BE14" s="181"/>
      <c r="BF14" s="181"/>
      <c r="BG14" s="181"/>
      <c r="BH14" s="181"/>
      <c r="BI14" s="181"/>
      <c r="BJ14" s="181"/>
      <c r="BK14" s="181"/>
      <c r="BL14" s="181"/>
      <c r="BM14" s="181"/>
      <c r="BN14" s="181"/>
      <c r="BO14" s="181"/>
      <c r="BP14" s="181"/>
      <c r="BQ14" s="181"/>
      <c r="BR14" s="181"/>
      <c r="BS14" s="181"/>
      <c r="BT14" s="181"/>
      <c r="BU14" s="181"/>
      <c r="BV14" s="181"/>
      <c r="BW14" s="181"/>
      <c r="BX14" s="181"/>
      <c r="BY14" s="181"/>
      <c r="BZ14" s="181"/>
      <c r="CA14" s="181"/>
      <c r="CB14" s="181"/>
      <c r="CC14" s="181"/>
      <c r="CD14" s="181"/>
    </row>
    <row r="15" spans="1:82" s="188" customFormat="1" ht="121" customHeight="1">
      <c r="D15" s="294">
        <v>1</v>
      </c>
      <c r="E15" s="292" t="s">
        <v>78</v>
      </c>
      <c r="F15" s="292" t="s">
        <v>79</v>
      </c>
      <c r="G15" s="320"/>
      <c r="H15" s="292" t="s">
        <v>80</v>
      </c>
      <c r="I15" s="296" t="s">
        <v>81</v>
      </c>
      <c r="J15" s="317" t="s">
        <v>82</v>
      </c>
      <c r="K15" s="296" t="s">
        <v>83</v>
      </c>
      <c r="L15" s="298" t="s">
        <v>84</v>
      </c>
      <c r="M15" s="300"/>
      <c r="N15" s="300"/>
      <c r="O15" s="298">
        <v>356</v>
      </c>
      <c r="P15" s="302" t="str">
        <f>IF(O15&lt;=0,"",IF(O15&lt;=2,"Muy Baja",IF(O15&lt;=24,"Baja",IF(O15&lt;=500,"Media",IF(O15&lt;=5000,"Alta","Muy Alta")))))</f>
        <v>Media</v>
      </c>
      <c r="Q15" s="287">
        <f>IF(P15="","",IF(P15="Muy Baja",0.2,IF(P15="Baja",0.4,IF(P15="Media",0.6,IF(P15="Alta",0.8,IF(P15="Muy Alta",1,))))))</f>
        <v>0.6</v>
      </c>
      <c r="R15" s="304" t="s">
        <v>85</v>
      </c>
      <c r="S15" s="302" t="str">
        <f>IFERROR(VLOOKUP(R15,Criterios[],2,FALSE),"")</f>
        <v>Catastrófico</v>
      </c>
      <c r="T15" s="287">
        <f t="shared" ref="T15" si="0">IF(S15="","",IF(S15="Leve",0.2,IF(S15="Menor",0.4,IF(S15="Moderado",0.6,IF(S15="Mayor",0.8,IF(S15="Catastrófico",1,))))))</f>
        <v>1</v>
      </c>
      <c r="U15" s="302" t="str">
        <f>IF(OR(AND(P15="Muy Baja",S15="Leve"),AND(P15="Muy Baja",S15="Menor"),AND(P15="Baja",S15="Leve")),"Bajo",IF(OR(AND(P15="Muy baja",S15="Moderado"),AND(P15="Baja",S15="Menor"),AND(P15="Baja",S15="Moderado"),AND(P15="Media",S15="Leve"),AND(P15="Media",S15="Menor"),AND(P15="Media",S15="Moderado"),AND(P15="Alta",S15="Leve"),AND(P15="Alta",S15="Menor")),"Moderado",IF(OR(AND(P15="Muy Baja",S15="Mayor"),AND(P15="Baja",S15="Mayor"),AND(P15="Media",S15="Mayor"),AND(P15="Alta",S15="Moderado"),AND(P15="Alta",S15="Mayor"),AND(P15="Muy Alta",S15="Leve"),AND(P15="Muy Alta",S15="Menor"),AND(P15="Muy Alta",S15="Moderado"),AND(P15="Muy Alta",S15="Mayor")),"Alto",IF(OR(AND(P15="Muy Baja",S15="Catastrófico"),AND(P15="Baja",S15="Catastrófico"),AND(P15="Media",S15="Catastrófico"),AND(P15="Alta",S15="Catastrófico"),AND(P15="Muy Alta",S15="Catastrófico")),"Extremo",""))))</f>
        <v>Extremo</v>
      </c>
      <c r="V15" s="226">
        <v>1</v>
      </c>
      <c r="W15" s="227" t="s">
        <v>86</v>
      </c>
      <c r="X15" s="228" t="s">
        <v>87</v>
      </c>
      <c r="Y15" s="229" t="str">
        <f>IF(OR(Z15="Preventivo",Z15="Detectivo"),"Probabilidad",IF(Z15="Correctivo","Impacto",""))</f>
        <v>Probabilidad</v>
      </c>
      <c r="Z15" s="230" t="s">
        <v>88</v>
      </c>
      <c r="AA15" s="230" t="s">
        <v>89</v>
      </c>
      <c r="AB15" s="231" t="str">
        <f t="shared" ref="AB15:AB22" si="1">IF(AND(Z15="Preventivo",AA15="Automático"),"50%",IF(AND(Z15="Preventivo",AA15="Manual"),"40%",IF(AND(Z15="Detectivo",AA15="Automático"),"40%",IF(AND(Z15="Detectivo",AA15="Manual"),"30%",IF(AND(Z15="Correctivo",AA15="Automático"),"35%",IF(AND(Z15="Correctivo",AA15="Manual"),"25%",""))))))</f>
        <v>40%</v>
      </c>
      <c r="AC15" s="700" t="s">
        <v>90</v>
      </c>
      <c r="AD15" s="700" t="s">
        <v>91</v>
      </c>
      <c r="AE15" s="700" t="s">
        <v>92</v>
      </c>
      <c r="AF15" s="701" t="s">
        <v>93</v>
      </c>
      <c r="AG15" s="232">
        <f>IFERROR(IF(Y15="Probabilidad",(Q15-(+ Q15*AB15)),IF(Y15="Impacto",Q15,"")),"")</f>
        <v>0.36</v>
      </c>
      <c r="AH15" s="233" t="str">
        <f>IFERROR(IF(AG15="","",IF(AG15&lt;=0.2,"Muy Baja",IF(AG15&lt;=0.4,"Baja",IF(AG15&lt;=0.6,"Media",IF(AG15&lt;=0.8,"Alta","Muy Alta"))))),"")</f>
        <v>Baja</v>
      </c>
      <c r="AI15" s="231">
        <f>+AG15</f>
        <v>0.36</v>
      </c>
      <c r="AJ15" s="233" t="str">
        <f>IFERROR(IF(AK15="","",IF(AK15&lt;=0.2,"Leve",IF(AK15&lt;=0.4,"Menor",IF(AK15&lt;=0.6,"Moderado",IF(AK15&lt;=0.8,"Mayor","Catastrófico"))))),"")</f>
        <v>Catastrófico</v>
      </c>
      <c r="AK15" s="231">
        <f>IFERROR(IF(Y15="Impacto",(T15-(+T15*AB15)),IF(Y15="Probabilidad",T15,"")),"")</f>
        <v>1</v>
      </c>
      <c r="AL15" s="233" t="str">
        <f>IFERROR(IF(OR(AND(AH15="Muy Baja",AJ15="Leve"),AND(AH15="Muy Baja",AJ15="Menor"),AND(AH15="Baja",AJ15="Leve")),"Bajo",IF(OR(AND(AH15="Muy baja",AJ15="Moderado"),AND(AH15="Baja",AJ15="Menor"),AND(AH15="Baja",AJ15="Moderado"),AND(AH15="Media",AJ15="Leve"),AND(AH15="Media",AJ15="Menor"),AND(AH15="Media",AJ15="Moderado"),AND(AH15="Alta",AJ15="Leve"),AND(AH15="Alta",AJ15="Menor")),"Moderado",IF(OR(AND(AH15="Muy Baja",AJ15="Mayor"),AND(AH15="Baja",AJ15="Mayor"),AND(AH15="Media",AJ15="Mayor"),AND(AH15="Alta",AJ15="Moderado"),AND(AH15="Alta",AJ15="Mayor"),AND(AH15="Muy Alta",AJ15="Leve"),AND(AH15="Muy Alta",AJ15="Menor"),AND(AH15="Muy Alta",AJ15="Moderado"),AND(AH15="Muy Alta",AJ15="Mayor")),"Alto",IF(OR(AND(AH15="Muy Baja",AJ15="Catastrófico"),AND(AH15="Baja",AJ15="Catastrófico"),AND(AH15="Media",AJ15="Catastrófico"),AND(AH15="Alta",AJ15="Catastrófico"),AND(AH15="Muy Alta",AJ15="Catastrófico")),"Extremo","")))),"")</f>
        <v>Extremo</v>
      </c>
      <c r="AM15" s="371" t="s">
        <v>94</v>
      </c>
      <c r="AN15" s="226">
        <v>1</v>
      </c>
      <c r="AO15" s="674" t="s">
        <v>95</v>
      </c>
      <c r="AP15" s="675" t="s">
        <v>96</v>
      </c>
      <c r="AQ15" s="676" t="s">
        <v>97</v>
      </c>
      <c r="AR15" s="676" t="s">
        <v>98</v>
      </c>
      <c r="AS15" s="688"/>
      <c r="AT15" s="290"/>
      <c r="AU15" s="260" t="s">
        <v>99</v>
      </c>
      <c r="AV15" s="261" t="s">
        <v>100</v>
      </c>
      <c r="AW15" s="234"/>
      <c r="AX15" s="234"/>
      <c r="AY15" s="234"/>
      <c r="AZ15" s="235"/>
      <c r="BA15" s="236"/>
      <c r="BB15" s="237"/>
      <c r="BC15" s="250"/>
      <c r="BD15" s="238"/>
      <c r="BE15" s="208"/>
      <c r="BF15" s="195"/>
      <c r="BG15" s="195"/>
      <c r="BH15" s="195"/>
      <c r="BI15" s="195"/>
      <c r="BJ15" s="195"/>
      <c r="BK15" s="195"/>
      <c r="BL15" s="195"/>
      <c r="BM15" s="195"/>
      <c r="BN15" s="195"/>
      <c r="BO15" s="195"/>
      <c r="BP15" s="195"/>
      <c r="BQ15" s="195"/>
      <c r="BR15" s="195"/>
      <c r="BS15" s="195"/>
      <c r="BT15" s="195"/>
      <c r="BU15" s="195"/>
      <c r="BV15" s="195"/>
      <c r="BW15" s="195"/>
      <c r="BX15" s="195"/>
      <c r="BY15" s="195"/>
      <c r="BZ15" s="195"/>
      <c r="CA15" s="195"/>
      <c r="CB15" s="195"/>
      <c r="CC15" s="195"/>
      <c r="CD15" s="195"/>
    </row>
    <row r="16" spans="1:82" s="188" customFormat="1" ht="162" customHeight="1">
      <c r="D16" s="377"/>
      <c r="E16" s="319"/>
      <c r="F16" s="319"/>
      <c r="G16" s="378"/>
      <c r="H16" s="319"/>
      <c r="I16" s="316"/>
      <c r="J16" s="318"/>
      <c r="K16" s="316"/>
      <c r="L16" s="323"/>
      <c r="M16" s="322"/>
      <c r="N16" s="322"/>
      <c r="O16" s="323"/>
      <c r="P16" s="324"/>
      <c r="Q16" s="289"/>
      <c r="R16" s="379"/>
      <c r="S16" s="324"/>
      <c r="T16" s="289"/>
      <c r="U16" s="324"/>
      <c r="V16" s="196">
        <v>2</v>
      </c>
      <c r="W16" s="189" t="s">
        <v>101</v>
      </c>
      <c r="X16" s="190" t="s">
        <v>102</v>
      </c>
      <c r="Y16" s="191" t="str">
        <f t="shared" ref="Y16" si="2">IF(OR(Z16="Preventivo",Z16="Detectivo"),"Probabilidad",IF(Z16="Correctivo","Impacto",""))</f>
        <v>Probabilidad</v>
      </c>
      <c r="Z16" s="192" t="s">
        <v>88</v>
      </c>
      <c r="AA16" s="192" t="s">
        <v>89</v>
      </c>
      <c r="AB16" s="193" t="str">
        <f t="shared" si="1"/>
        <v>40%</v>
      </c>
      <c r="AC16" s="702" t="s">
        <v>103</v>
      </c>
      <c r="AD16" s="702" t="s">
        <v>91</v>
      </c>
      <c r="AE16" s="702" t="s">
        <v>92</v>
      </c>
      <c r="AF16" s="259" t="s">
        <v>104</v>
      </c>
      <c r="AG16" s="232">
        <f>IFERROR(IF(Y16="Probabilidad",($Q$15-(+ $Q$15*AB16)),IF(Y16="Impacto",$Q$15,"")),"")</f>
        <v>0.36</v>
      </c>
      <c r="AH16" s="194" t="str">
        <f t="shared" ref="AH16" si="3">IFERROR(IF(AG16="","",IF(AG16&lt;=0.2,"Muy Baja",IF(AG16&lt;=0.4,"Baja",IF(AG16&lt;=0.6,"Media",IF(AG16&lt;=0.8,"Alta","Muy Alta"))))),"")</f>
        <v>Baja</v>
      </c>
      <c r="AI16" s="193">
        <f t="shared" ref="AI16" si="4">+AG16</f>
        <v>0.36</v>
      </c>
      <c r="AJ16" s="194" t="str">
        <f t="shared" ref="AJ16" si="5">IFERROR(IF(AK16="","",IF(AK16&lt;=0.2,"Leve",IF(AK16&lt;=0.4,"Menor",IF(AK16&lt;=0.6,"Moderado",IF(AK16&lt;=0.8,"Mayor","Catastrófico"))))),"")</f>
        <v>Catastrófico</v>
      </c>
      <c r="AK16" s="193" t="str">
        <f>IFERROR(IF(Y16="Impacto",(T16-(+T16*AB16)),IF(Y16="Probabilidad",T13,"")),"")</f>
        <v>%</v>
      </c>
      <c r="AL16" s="194" t="str">
        <f t="shared" ref="AL16" si="6">IFERROR(IF(OR(AND(AH16="Muy Baja",AJ16="Leve"),AND(AH16="Muy Baja",AJ16="Menor"),AND(AH16="Baja",AJ16="Leve")),"Bajo",IF(OR(AND(AH16="Muy baja",AJ16="Moderado"),AND(AH16="Baja",AJ16="Menor"),AND(AH16="Baja",AJ16="Moderado"),AND(AH16="Media",AJ16="Leve"),AND(AH16="Media",AJ16="Menor"),AND(AH16="Media",AJ16="Moderado"),AND(AH16="Alta",AJ16="Leve"),AND(AH16="Alta",AJ16="Menor")),"Moderado",IF(OR(AND(AH16="Muy Baja",AJ16="Mayor"),AND(AH16="Baja",AJ16="Mayor"),AND(AH16="Media",AJ16="Mayor"),AND(AH16="Alta",AJ16="Moderado"),AND(AH16="Alta",AJ16="Mayor"),AND(AH16="Muy Alta",AJ16="Leve"),AND(AH16="Muy Alta",AJ16="Menor"),AND(AH16="Muy Alta",AJ16="Moderado"),AND(AH16="Muy Alta",AJ16="Mayor")),"Alto",IF(OR(AND(AH16="Muy Baja",AJ16="Catastrófico"),AND(AH16="Baja",AJ16="Catastrófico"),AND(AH16="Media",AJ16="Catastrófico"),AND(AH16="Alta",AJ16="Catastrófico"),AND(AH16="Muy Alta",AJ16="Catastrófico")),"Extremo","")))),"")</f>
        <v>Extremo</v>
      </c>
      <c r="AM16" s="372"/>
      <c r="AN16" s="196">
        <v>2</v>
      </c>
      <c r="AO16" s="677" t="s">
        <v>105</v>
      </c>
      <c r="AP16" s="678" t="s">
        <v>96</v>
      </c>
      <c r="AQ16" s="679" t="s">
        <v>106</v>
      </c>
      <c r="AR16" s="680" t="s">
        <v>98</v>
      </c>
      <c r="AS16" s="689"/>
      <c r="AT16" s="374"/>
      <c r="AU16" s="260" t="s">
        <v>107</v>
      </c>
      <c r="AV16" s="260" t="s">
        <v>108</v>
      </c>
      <c r="AW16" s="217"/>
      <c r="AX16" s="217"/>
      <c r="AY16" s="217"/>
      <c r="AZ16" s="224"/>
      <c r="BA16" s="214"/>
      <c r="BB16" s="215"/>
      <c r="BC16" s="251"/>
      <c r="BD16" s="239"/>
      <c r="BE16" s="209"/>
      <c r="BF16" s="195"/>
      <c r="BG16" s="195"/>
      <c r="BH16" s="195"/>
      <c r="BI16" s="195"/>
      <c r="BJ16" s="195"/>
      <c r="BK16" s="195"/>
      <c r="BL16" s="195"/>
      <c r="BM16" s="195"/>
      <c r="BN16" s="195"/>
      <c r="BO16" s="195"/>
      <c r="BP16" s="195"/>
      <c r="BQ16" s="195"/>
      <c r="BR16" s="195"/>
      <c r="BS16" s="195"/>
      <c r="BT16" s="195"/>
      <c r="BU16" s="195"/>
      <c r="BV16" s="195"/>
      <c r="BW16" s="195"/>
      <c r="BX16" s="195"/>
      <c r="BY16" s="195"/>
      <c r="BZ16" s="195"/>
      <c r="CA16" s="195"/>
      <c r="CB16" s="195"/>
      <c r="CC16" s="195"/>
      <c r="CD16" s="195"/>
    </row>
    <row r="17" spans="4:82" s="188" customFormat="1" ht="205" customHeight="1">
      <c r="D17" s="377"/>
      <c r="E17" s="319"/>
      <c r="F17" s="319"/>
      <c r="G17" s="378"/>
      <c r="H17" s="319"/>
      <c r="I17" s="316"/>
      <c r="J17" s="318"/>
      <c r="K17" s="316"/>
      <c r="L17" s="323"/>
      <c r="M17" s="322"/>
      <c r="N17" s="322"/>
      <c r="O17" s="323"/>
      <c r="P17" s="324"/>
      <c r="Q17" s="289"/>
      <c r="R17" s="379"/>
      <c r="S17" s="324"/>
      <c r="T17" s="289"/>
      <c r="U17" s="324"/>
      <c r="V17" s="196">
        <v>3</v>
      </c>
      <c r="W17" s="692" t="s">
        <v>109</v>
      </c>
      <c r="X17" s="693" t="s">
        <v>110</v>
      </c>
      <c r="Y17" s="191" t="str">
        <f t="shared" ref="Y17" si="7">IF(OR(Z17="Preventivo",Z17="Detectivo"),"Probabilidad",IF(Z17="Correctivo","Impacto",""))</f>
        <v>Probabilidad</v>
      </c>
      <c r="Z17" s="192" t="s">
        <v>111</v>
      </c>
      <c r="AA17" s="192" t="s">
        <v>89</v>
      </c>
      <c r="AB17" s="193" t="str">
        <f t="shared" ref="AB17" si="8">IF(AND(Z17="Preventivo",AA17="Automático"),"50%",IF(AND(Z17="Preventivo",AA17="Manual"),"40%",IF(AND(Z17="Detectivo",AA17="Automático"),"40%",IF(AND(Z17="Detectivo",AA17="Manual"),"30%",IF(AND(Z17="Correctivo",AA17="Automático"),"35%",IF(AND(Z17="Correctivo",AA17="Manual"),"25%",""))))))</f>
        <v>30%</v>
      </c>
      <c r="AC17" s="702" t="s">
        <v>90</v>
      </c>
      <c r="AD17" s="702" t="s">
        <v>91</v>
      </c>
      <c r="AE17" s="702" t="s">
        <v>92</v>
      </c>
      <c r="AF17" s="259" t="s">
        <v>484</v>
      </c>
      <c r="AG17" s="232">
        <f>IFERROR(IF(Y17="Probabilidad",($Q$15-(+ $Q$15*AB17)),IF(Y17="Impacto",$Q$15,"")),"")</f>
        <v>0.42</v>
      </c>
      <c r="AH17" s="194" t="str">
        <f t="shared" ref="AH17" si="9">IFERROR(IF(AG17="","",IF(AG17&lt;=0.2,"Muy Baja",IF(AG17&lt;=0.4,"Baja",IF(AG17&lt;=0.6,"Media",IF(AG17&lt;=0.8,"Alta","Muy Alta"))))),"")</f>
        <v>Media</v>
      </c>
      <c r="AI17" s="193">
        <f t="shared" ref="AI17" si="10">+AG17</f>
        <v>0.42</v>
      </c>
      <c r="AJ17" s="194" t="str">
        <f t="shared" ref="AJ17" si="11">IFERROR(IF(AK17="","",IF(AK17&lt;=0.2,"Leve",IF(AK17&lt;=0.4,"Menor",IF(AK17&lt;=0.6,"Moderado",IF(AK17&lt;=0.8,"Mayor","Catastrófico"))))),"")</f>
        <v>Leve</v>
      </c>
      <c r="AK17" s="193">
        <f>IFERROR(IF(Y17="Impacto",(T17-(+T17*AB17)),IF(Y17="Probabilidad",T14,"")),"")</f>
        <v>0</v>
      </c>
      <c r="AL17" s="194" t="str">
        <f t="shared" ref="AL17" si="12">IFERROR(IF(OR(AND(AH17="Muy Baja",AJ17="Leve"),AND(AH17="Muy Baja",AJ17="Menor"),AND(AH17="Baja",AJ17="Leve")),"Bajo",IF(OR(AND(AH17="Muy baja",AJ17="Moderado"),AND(AH17="Baja",AJ17="Menor"),AND(AH17="Baja",AJ17="Moderado"),AND(AH17="Media",AJ17="Leve"),AND(AH17="Media",AJ17="Menor"),AND(AH17="Media",AJ17="Moderado"),AND(AH17="Alta",AJ17="Leve"),AND(AH17="Alta",AJ17="Menor")),"Moderado",IF(OR(AND(AH17="Muy Baja",AJ17="Mayor"),AND(AH17="Baja",AJ17="Mayor"),AND(AH17="Media",AJ17="Mayor"),AND(AH17="Alta",AJ17="Moderado"),AND(AH17="Alta",AJ17="Mayor"),AND(AH17="Muy Alta",AJ17="Leve"),AND(AH17="Muy Alta",AJ17="Menor"),AND(AH17="Muy Alta",AJ17="Moderado"),AND(AH17="Muy Alta",AJ17="Mayor")),"Alto",IF(OR(AND(AH17="Muy Baja",AJ17="Catastrófico"),AND(AH17="Baja",AJ17="Catastrófico"),AND(AH17="Media",AJ17="Catastrófico"),AND(AH17="Alta",AJ17="Catastrófico"),AND(AH17="Muy Alta",AJ17="Catastrófico")),"Extremo","")))),"")</f>
        <v>Moderado</v>
      </c>
      <c r="AM17" s="372"/>
      <c r="AN17" s="196">
        <v>3</v>
      </c>
      <c r="AO17" s="677" t="s">
        <v>112</v>
      </c>
      <c r="AP17" s="678" t="s">
        <v>113</v>
      </c>
      <c r="AQ17" s="679" t="s">
        <v>114</v>
      </c>
      <c r="AR17" s="680" t="s">
        <v>98</v>
      </c>
      <c r="AS17" s="689"/>
      <c r="AT17" s="374"/>
      <c r="AU17" s="260" t="s">
        <v>115</v>
      </c>
      <c r="AV17" s="260" t="s">
        <v>116</v>
      </c>
      <c r="AW17" s="217"/>
      <c r="AX17" s="217"/>
      <c r="AY17" s="217"/>
      <c r="AZ17" s="224"/>
      <c r="BA17" s="214"/>
      <c r="BB17" s="262" t="s">
        <v>117</v>
      </c>
      <c r="BC17" s="251"/>
      <c r="BD17" s="239"/>
      <c r="BE17" s="209"/>
      <c r="BF17" s="195"/>
      <c r="BG17" s="195"/>
      <c r="BH17" s="195"/>
      <c r="BI17" s="195"/>
      <c r="BJ17" s="195"/>
      <c r="BK17" s="195"/>
      <c r="BL17" s="195"/>
      <c r="BM17" s="195"/>
      <c r="BN17" s="195"/>
      <c r="BO17" s="195"/>
      <c r="BP17" s="195"/>
      <c r="BQ17" s="195"/>
      <c r="BR17" s="195"/>
      <c r="BS17" s="195"/>
      <c r="BT17" s="195"/>
      <c r="BU17" s="195"/>
      <c r="BV17" s="195"/>
      <c r="BW17" s="195"/>
      <c r="BX17" s="195"/>
      <c r="BY17" s="195"/>
      <c r="BZ17" s="195"/>
      <c r="CA17" s="195"/>
      <c r="CB17" s="195"/>
      <c r="CC17" s="195"/>
      <c r="CD17" s="195"/>
    </row>
    <row r="18" spans="4:82" s="188" customFormat="1" ht="164" customHeight="1">
      <c r="D18" s="377"/>
      <c r="E18" s="319"/>
      <c r="F18" s="319"/>
      <c r="G18" s="378"/>
      <c r="H18" s="319"/>
      <c r="I18" s="316"/>
      <c r="J18" s="318"/>
      <c r="K18" s="316"/>
      <c r="L18" s="323"/>
      <c r="M18" s="322"/>
      <c r="N18" s="322"/>
      <c r="O18" s="323"/>
      <c r="P18" s="324"/>
      <c r="Q18" s="289"/>
      <c r="R18" s="379"/>
      <c r="S18" s="324"/>
      <c r="T18" s="289"/>
      <c r="U18" s="324"/>
      <c r="V18" s="253">
        <v>4</v>
      </c>
      <c r="W18" s="694" t="s">
        <v>118</v>
      </c>
      <c r="X18" s="695" t="s">
        <v>119</v>
      </c>
      <c r="Y18" s="254" t="str">
        <f t="shared" ref="Y18:Y22" si="13">IF(OR(Z18="Preventivo",Z18="Detectivo"),"Probabilidad",IF(Z18="Correctivo","Impacto",""))</f>
        <v>Probabilidad</v>
      </c>
      <c r="Z18" s="219" t="s">
        <v>88</v>
      </c>
      <c r="AA18" s="219" t="s">
        <v>89</v>
      </c>
      <c r="AB18" s="220" t="str">
        <f t="shared" si="1"/>
        <v>40%</v>
      </c>
      <c r="AC18" s="703" t="s">
        <v>90</v>
      </c>
      <c r="AD18" s="703" t="s">
        <v>91</v>
      </c>
      <c r="AE18" s="703" t="s">
        <v>92</v>
      </c>
      <c r="AF18" s="259" t="s">
        <v>120</v>
      </c>
      <c r="AG18" s="232">
        <f>IFERROR(IF(Y18="Probabilidad",($Q$15-(+ $Q$15*AB18)),IF(Y18="Impacto",$Q$15,"")),"")</f>
        <v>0.36</v>
      </c>
      <c r="AH18" s="255" t="str">
        <f t="shared" ref="AH18:AH22" si="14">IFERROR(IF(AG18="","",IF(AG18&lt;=0.2,"Muy Baja",IF(AG18&lt;=0.4,"Baja",IF(AG18&lt;=0.6,"Media",IF(AG18&lt;=0.8,"Alta","Muy Alta"))))),"")</f>
        <v>Baja</v>
      </c>
      <c r="AI18" s="220">
        <f t="shared" ref="AI18:AI22" si="15">+AG18</f>
        <v>0.36</v>
      </c>
      <c r="AJ18" s="255" t="str">
        <f t="shared" ref="AJ18:AJ22" si="16">IFERROR(IF(AK18="","",IF(AK18&lt;=0.2,"Leve",IF(AK18&lt;=0.4,"Menor",IF(AK18&lt;=0.6,"Moderado",IF(AK18&lt;=0.8,"Mayor","Catastrófico"))))),"")</f>
        <v>Catastrófico</v>
      </c>
      <c r="AK18" s="220">
        <f>IFERROR(IF(Y18="Impacto",(T18-(+T18*AB18)),IF(Y18="Probabilidad",T15,"")),"")</f>
        <v>1</v>
      </c>
      <c r="AL18" s="255" t="str">
        <f t="shared" ref="AL18:AL22" si="17">IFERROR(IF(OR(AND(AH18="Muy Baja",AJ18="Leve"),AND(AH18="Muy Baja",AJ18="Menor"),AND(AH18="Baja",AJ18="Leve")),"Bajo",IF(OR(AND(AH18="Muy baja",AJ18="Moderado"),AND(AH18="Baja",AJ18="Menor"),AND(AH18="Baja",AJ18="Moderado"),AND(AH18="Media",AJ18="Leve"),AND(AH18="Media",AJ18="Menor"),AND(AH18="Media",AJ18="Moderado"),AND(AH18="Alta",AJ18="Leve"),AND(AH18="Alta",AJ18="Menor")),"Moderado",IF(OR(AND(AH18="Muy Baja",AJ18="Mayor"),AND(AH18="Baja",AJ18="Mayor"),AND(AH18="Media",AJ18="Mayor"),AND(AH18="Alta",AJ18="Moderado"),AND(AH18="Alta",AJ18="Mayor"),AND(AH18="Muy Alta",AJ18="Leve"),AND(AH18="Muy Alta",AJ18="Menor"),AND(AH18="Muy Alta",AJ18="Moderado"),AND(AH18="Muy Alta",AJ18="Mayor")),"Alto",IF(OR(AND(AH18="Muy Baja",AJ18="Catastrófico"),AND(AH18="Baja",AJ18="Catastrófico"),AND(AH18="Media",AJ18="Catastrófico"),AND(AH18="Alta",AJ18="Catastrófico"),AND(AH18="Muy Alta",AJ18="Catastrófico")),"Extremo","")))),"")</f>
        <v>Extremo</v>
      </c>
      <c r="AM18" s="372"/>
      <c r="AN18" s="253">
        <v>4</v>
      </c>
      <c r="AO18" s="681" t="s">
        <v>121</v>
      </c>
      <c r="AP18" s="682" t="s">
        <v>113</v>
      </c>
      <c r="AQ18" s="683" t="s">
        <v>122</v>
      </c>
      <c r="AR18" s="683" t="s">
        <v>98</v>
      </c>
      <c r="AS18" s="690"/>
      <c r="AT18" s="374"/>
      <c r="AU18" s="263" t="s">
        <v>123</v>
      </c>
      <c r="AV18" s="263" t="s">
        <v>124</v>
      </c>
      <c r="AW18" s="218"/>
      <c r="AX18" s="218"/>
      <c r="AY18" s="218"/>
      <c r="AZ18" s="223"/>
      <c r="BA18" s="221"/>
      <c r="BB18" s="256"/>
      <c r="BC18" s="251"/>
      <c r="BD18" s="257"/>
      <c r="BE18" s="209"/>
      <c r="BF18" s="195"/>
      <c r="BG18" s="195"/>
      <c r="BH18" s="195"/>
      <c r="BI18" s="195"/>
      <c r="BJ18" s="195"/>
      <c r="BK18" s="195"/>
      <c r="BL18" s="195"/>
      <c r="BM18" s="195"/>
      <c r="BN18" s="195"/>
      <c r="BO18" s="195"/>
      <c r="BP18" s="195"/>
      <c r="BQ18" s="195"/>
      <c r="BR18" s="195"/>
      <c r="BS18" s="195"/>
      <c r="BT18" s="195"/>
      <c r="BU18" s="195"/>
      <c r="BV18" s="195"/>
      <c r="BW18" s="195"/>
      <c r="BX18" s="195"/>
      <c r="BY18" s="195"/>
      <c r="BZ18" s="195"/>
      <c r="CA18" s="195"/>
      <c r="CB18" s="195"/>
      <c r="CC18" s="195"/>
      <c r="CD18" s="195"/>
    </row>
    <row r="19" spans="4:82" s="188" customFormat="1" ht="176" customHeight="1">
      <c r="D19" s="294">
        <v>2</v>
      </c>
      <c r="E19" s="292" t="s">
        <v>125</v>
      </c>
      <c r="F19" s="292" t="s">
        <v>126</v>
      </c>
      <c r="G19" s="292" t="s">
        <v>127</v>
      </c>
      <c r="H19" s="292" t="s">
        <v>128</v>
      </c>
      <c r="I19" s="296" t="s">
        <v>129</v>
      </c>
      <c r="J19" s="296" t="s">
        <v>130</v>
      </c>
      <c r="K19" s="296" t="s">
        <v>131</v>
      </c>
      <c r="L19" s="298" t="s">
        <v>132</v>
      </c>
      <c r="M19" s="300"/>
      <c r="N19" s="300"/>
      <c r="O19" s="298">
        <f>3+200</f>
        <v>203</v>
      </c>
      <c r="P19" s="302" t="str">
        <f>IF(O19&lt;=0,"",IF(O19&lt;=2,"Muy Baja",IF(O19&lt;=24,"Baja",IF(O19&lt;=500,"Media",IF(O19&lt;=5000,"Alta","Muy Alta")))))</f>
        <v>Media</v>
      </c>
      <c r="Q19" s="287">
        <f t="shared" ref="Q19" si="18">IF(P19="","",IF(P19="Muy Baja",0.2,IF(P19="Baja",0.4,IF(P19="Media",0.6,IF(P19="Alta",0.8,IF(P19="Muy Alta",1,))))))</f>
        <v>0.6</v>
      </c>
      <c r="R19" s="329" t="s">
        <v>133</v>
      </c>
      <c r="S19" s="302" t="str">
        <f>IFERROR(VLOOKUP(R19,Criterios[],2,FALSE),"")</f>
        <v>Catastrófico</v>
      </c>
      <c r="T19" s="287">
        <f t="shared" ref="T19" si="19">IF(S19="","",IF(S19="Leve",0.2,IF(S19="Menor",0.4,IF(S19="Moderado",0.6,IF(S19="Mayor",0.8,IF(S19="Catastrófico",1,))))))</f>
        <v>1</v>
      </c>
      <c r="U19" s="302" t="str">
        <f>IF(OR(AND(P19="Muy Baja",S19="Leve"),AND(P19="Muy Baja",S19="Menor"),AND(P19="Baja",S19="Leve")),"Bajo",IF(OR(AND(P19="Muy baja",S19="Moderado"),AND(P19="Baja",S19="Menor"),AND(P19="Baja",S19="Moderado"),AND(P19="Media",S19="Leve"),AND(P19="Media",S19="Menor"),AND(P19="Media",S19="Moderado"),AND(P19="Alta",S19="Leve"),AND(P19="Alta",S19="Menor")),"Moderado",IF(OR(AND(P19="Muy Baja",S19="Mayor"),AND(P19="Baja",S19="Mayor"),AND(P19="Media",S19="Mayor"),AND(P19="Alta",S19="Moderado"),AND(P19="Alta",S19="Mayor"),AND(P19="Muy Alta",S19="Leve"),AND(P19="Muy Alta",S19="Menor"),AND(P19="Muy Alta",S19="Moderado"),AND(P19="Muy Alta",S19="Mayor")),"Alto",IF(OR(AND(P19="Muy Baja",S19="Catastrófico"),AND(P19="Baja",S19="Catastrófico"),AND(P19="Media",S19="Catastrófico"),AND(P19="Alta",S19="Catastrófico"),AND(P19="Muy Alta",S19="Catastrófico")),"Extremo",""))))</f>
        <v>Extremo</v>
      </c>
      <c r="V19" s="226">
        <v>1</v>
      </c>
      <c r="W19" s="696" t="s">
        <v>483</v>
      </c>
      <c r="X19" s="697" t="s">
        <v>134</v>
      </c>
      <c r="Y19" s="229" t="str">
        <f t="shared" si="13"/>
        <v>Probabilidad</v>
      </c>
      <c r="Z19" s="230" t="s">
        <v>88</v>
      </c>
      <c r="AA19" s="230" t="s">
        <v>89</v>
      </c>
      <c r="AB19" s="231" t="str">
        <f t="shared" si="1"/>
        <v>40%</v>
      </c>
      <c r="AC19" s="700" t="s">
        <v>103</v>
      </c>
      <c r="AD19" s="700" t="s">
        <v>91</v>
      </c>
      <c r="AE19" s="700" t="s">
        <v>135</v>
      </c>
      <c r="AF19" s="704" t="s">
        <v>136</v>
      </c>
      <c r="AG19" s="232">
        <f>IFERROR(IF(Y19="Probabilidad",($Q$19-(+ $Q$19*AB19)),IF(Y19="Impacto",$Q$19,"")),"")</f>
        <v>0.36</v>
      </c>
      <c r="AH19" s="233" t="str">
        <f t="shared" si="14"/>
        <v>Baja</v>
      </c>
      <c r="AI19" s="231">
        <f t="shared" si="15"/>
        <v>0.36</v>
      </c>
      <c r="AJ19" s="233" t="str">
        <f t="shared" si="16"/>
        <v>Catastrófico</v>
      </c>
      <c r="AK19" s="231">
        <f>IFERROR(IF(Y19="Impacto",(T107-(+T19*AB19)),IF(Y19="Probabilidad",T19,"")),"")</f>
        <v>1</v>
      </c>
      <c r="AL19" s="233" t="str">
        <f t="shared" si="17"/>
        <v>Extremo</v>
      </c>
      <c r="AM19" s="371" t="s">
        <v>94</v>
      </c>
      <c r="AN19" s="226">
        <v>1</v>
      </c>
      <c r="AO19" s="674" t="s">
        <v>137</v>
      </c>
      <c r="AP19" s="676" t="s">
        <v>138</v>
      </c>
      <c r="AQ19" s="684" t="s">
        <v>139</v>
      </c>
      <c r="AR19" s="684" t="s">
        <v>98</v>
      </c>
      <c r="AS19" s="688"/>
      <c r="AT19" s="290"/>
      <c r="AU19" s="261"/>
      <c r="AV19" s="261"/>
      <c r="AW19" s="234"/>
      <c r="AX19" s="234"/>
      <c r="AY19" s="234"/>
      <c r="AZ19" s="235"/>
      <c r="BA19" s="236"/>
      <c r="BB19" s="258"/>
      <c r="BC19" s="250"/>
      <c r="BD19" s="238"/>
      <c r="BE19" s="195"/>
      <c r="BF19" s="209"/>
      <c r="BG19" s="195"/>
      <c r="BH19" s="195"/>
      <c r="BI19" s="195"/>
      <c r="BJ19" s="195"/>
      <c r="BK19" s="195"/>
      <c r="BL19" s="195"/>
      <c r="BM19" s="195"/>
      <c r="BN19" s="195"/>
      <c r="BO19" s="195"/>
      <c r="BP19" s="195"/>
      <c r="BQ19" s="195"/>
      <c r="BR19" s="195"/>
      <c r="BS19" s="195"/>
      <c r="BT19" s="195"/>
      <c r="BU19" s="195"/>
      <c r="BV19" s="195"/>
      <c r="BW19" s="195"/>
      <c r="BX19" s="195"/>
      <c r="BY19" s="195"/>
      <c r="BZ19" s="195"/>
      <c r="CA19" s="195"/>
      <c r="CB19" s="195"/>
      <c r="CC19" s="195"/>
      <c r="CD19" s="195"/>
    </row>
    <row r="20" spans="4:82" s="188" customFormat="1" ht="137" customHeight="1">
      <c r="D20" s="295"/>
      <c r="E20" s="293"/>
      <c r="F20" s="293"/>
      <c r="G20" s="293"/>
      <c r="H20" s="293"/>
      <c r="I20" s="297"/>
      <c r="J20" s="297"/>
      <c r="K20" s="297"/>
      <c r="L20" s="299"/>
      <c r="M20" s="301"/>
      <c r="N20" s="301"/>
      <c r="O20" s="299"/>
      <c r="P20" s="303"/>
      <c r="Q20" s="288"/>
      <c r="R20" s="330"/>
      <c r="S20" s="303"/>
      <c r="T20" s="288"/>
      <c r="U20" s="303"/>
      <c r="V20" s="240">
        <v>2</v>
      </c>
      <c r="W20" s="698" t="s">
        <v>140</v>
      </c>
      <c r="X20" s="699" t="s">
        <v>141</v>
      </c>
      <c r="Y20" s="241" t="str">
        <f t="shared" si="13"/>
        <v>Probabilidad</v>
      </c>
      <c r="Z20" s="242" t="s">
        <v>111</v>
      </c>
      <c r="AA20" s="242" t="s">
        <v>89</v>
      </c>
      <c r="AB20" s="243" t="str">
        <f t="shared" si="1"/>
        <v>30%</v>
      </c>
      <c r="AC20" s="705" t="s">
        <v>90</v>
      </c>
      <c r="AD20" s="705" t="s">
        <v>91</v>
      </c>
      <c r="AE20" s="705" t="s">
        <v>92</v>
      </c>
      <c r="AF20" s="701" t="s">
        <v>93</v>
      </c>
      <c r="AG20" s="232">
        <f>IFERROR(IF(Y20="Probabilidad",($Q$19-(+ $Q$19*AB20)),IF(Y20="Impacto",$Q$19,"")),"")</f>
        <v>0.42</v>
      </c>
      <c r="AH20" s="244" t="str">
        <f t="shared" si="14"/>
        <v>Media</v>
      </c>
      <c r="AI20" s="243">
        <f t="shared" si="15"/>
        <v>0.42</v>
      </c>
      <c r="AJ20" s="244" t="str">
        <f t="shared" si="16"/>
        <v>Catastrófico</v>
      </c>
      <c r="AK20" s="243">
        <f>IFERROR(IF(Y20="Impacto",(T20-(+T20*AB20)),IF(Y20="Probabilidad",T19,"")),"")</f>
        <v>1</v>
      </c>
      <c r="AL20" s="244" t="str">
        <f t="shared" si="17"/>
        <v>Extremo</v>
      </c>
      <c r="AM20" s="373"/>
      <c r="AN20" s="240">
        <v>2</v>
      </c>
      <c r="AO20" s="685" t="s">
        <v>142</v>
      </c>
      <c r="AP20" s="686" t="s">
        <v>138</v>
      </c>
      <c r="AQ20" s="687" t="s">
        <v>143</v>
      </c>
      <c r="AR20" s="687" t="s">
        <v>98</v>
      </c>
      <c r="AS20" s="691"/>
      <c r="AT20" s="291"/>
      <c r="AU20" s="264"/>
      <c r="AV20" s="264"/>
      <c r="AW20" s="245"/>
      <c r="AX20" s="245"/>
      <c r="AY20" s="245"/>
      <c r="AZ20" s="246"/>
      <c r="BA20" s="247"/>
      <c r="BB20" s="248"/>
      <c r="BC20" s="252"/>
      <c r="BD20" s="249"/>
      <c r="BE20" s="195"/>
      <c r="BF20" s="209"/>
      <c r="BG20" s="195"/>
      <c r="BH20" s="195"/>
      <c r="BI20" s="195"/>
      <c r="BJ20" s="195"/>
      <c r="BK20" s="195"/>
      <c r="BL20" s="195"/>
      <c r="BM20" s="195"/>
      <c r="BN20" s="195"/>
      <c r="BO20" s="195"/>
      <c r="BP20" s="195"/>
      <c r="BQ20" s="195"/>
      <c r="BR20" s="195"/>
      <c r="BS20" s="195"/>
      <c r="BT20" s="195"/>
      <c r="BU20" s="195"/>
      <c r="BV20" s="195"/>
      <c r="BW20" s="195"/>
      <c r="BX20" s="195"/>
      <c r="BY20" s="195"/>
      <c r="BZ20" s="195"/>
      <c r="CA20" s="195"/>
      <c r="CB20" s="195"/>
      <c r="CC20" s="195"/>
      <c r="CD20" s="195"/>
    </row>
    <row r="21" spans="4:82" s="188" customFormat="1" ht="161" customHeight="1">
      <c r="D21" s="294">
        <v>3</v>
      </c>
      <c r="E21" s="292" t="s">
        <v>144</v>
      </c>
      <c r="F21" s="292" t="s">
        <v>79</v>
      </c>
      <c r="G21" s="320"/>
      <c r="H21" s="292" t="s">
        <v>145</v>
      </c>
      <c r="I21" s="296" t="s">
        <v>146</v>
      </c>
      <c r="J21" s="296" t="s">
        <v>147</v>
      </c>
      <c r="K21" s="296" t="s">
        <v>148</v>
      </c>
      <c r="L21" s="298" t="s">
        <v>132</v>
      </c>
      <c r="M21" s="300"/>
      <c r="N21" s="300"/>
      <c r="O21" s="298">
        <f>8+16+12</f>
        <v>36</v>
      </c>
      <c r="P21" s="302" t="str">
        <f>IF(O21&lt;=0,"",IF(O21&lt;=2,"Muy Baja",IF(O21&lt;=24,"Baja",IF(O21&lt;=500,"Media",IF(O21&lt;=5000,"Alta","Muy Alta")))))</f>
        <v>Media</v>
      </c>
      <c r="Q21" s="287">
        <f t="shared" ref="Q21" si="20">IF(P21="","",IF(P21="Muy Baja",0.2,IF(P21="Baja",0.4,IF(P21="Media",0.6,IF(P21="Alta",0.8,IF(P21="Muy Alta",1,))))))</f>
        <v>0.6</v>
      </c>
      <c r="R21" s="304" t="s">
        <v>149</v>
      </c>
      <c r="S21" s="302" t="str">
        <f>IFERROR(VLOOKUP(R21,Criterios[],2,FALSE),"")</f>
        <v>Catastrófico</v>
      </c>
      <c r="T21" s="287">
        <f t="shared" ref="T21" si="21">IF(S21="","",IF(S21="Leve",0.2,IF(S21="Menor",0.4,IF(S21="Moderado",0.6,IF(S21="Mayor",0.8,IF(S21="Catastrófico",1,))))))</f>
        <v>1</v>
      </c>
      <c r="U21" s="302" t="str">
        <f>IF(OR(AND(P21="Muy Baja",S21="Leve"),AND(P21="Muy Baja",S21="Menor"),AND(P21="Baja",S21="Leve")),"Bajo",IF(OR(AND(P21="Muy baja",S21="Moderado"),AND(P21="Baja",S21="Menor"),AND(P21="Baja",S21="Moderado"),AND(P21="Media",S21="Leve"),AND(P21="Media",S21="Menor"),AND(P21="Media",S21="Moderado"),AND(P21="Alta",S21="Leve"),AND(P21="Alta",S21="Menor")),"Moderado",IF(OR(AND(P21="Muy Baja",S21="Mayor"),AND(P21="Baja",S21="Mayor"),AND(P21="Media",S21="Mayor"),AND(P21="Alta",S21="Moderado"),AND(P21="Alta",S21="Mayor"),AND(P21="Muy Alta",S21="Leve"),AND(P21="Muy Alta",S21="Menor"),AND(P21="Muy Alta",S21="Moderado"),AND(P21="Muy Alta",S21="Mayor")),"Alto",IF(OR(AND(P21="Muy Baja",S21="Catastrófico"),AND(P21="Baja",S21="Catastrófico"),AND(P21="Media",S21="Catastrófico"),AND(P21="Alta",S21="Catastrófico"),AND(P21="Muy Alta",S21="Catastrófico")),"Extremo",""))))</f>
        <v>Extremo</v>
      </c>
      <c r="V21" s="226">
        <v>1</v>
      </c>
      <c r="W21" s="696" t="s">
        <v>150</v>
      </c>
      <c r="X21" s="697" t="s">
        <v>151</v>
      </c>
      <c r="Y21" s="229" t="str">
        <f t="shared" si="13"/>
        <v>Probabilidad</v>
      </c>
      <c r="Z21" s="230" t="s">
        <v>111</v>
      </c>
      <c r="AA21" s="230" t="s">
        <v>89</v>
      </c>
      <c r="AB21" s="231" t="str">
        <f t="shared" si="1"/>
        <v>30%</v>
      </c>
      <c r="AC21" s="700" t="s">
        <v>90</v>
      </c>
      <c r="AD21" s="700" t="s">
        <v>91</v>
      </c>
      <c r="AE21" s="700" t="s">
        <v>92</v>
      </c>
      <c r="AF21" s="706" t="s">
        <v>93</v>
      </c>
      <c r="AG21" s="232">
        <f>IFERROR(IF(Y21="Probabilidad",($Q$21-(+$Q$21*AB21)),IF(Y21="Impacto",$Q$21,"")),"")</f>
        <v>0.42</v>
      </c>
      <c r="AH21" s="233" t="str">
        <f t="shared" si="14"/>
        <v>Media</v>
      </c>
      <c r="AI21" s="231">
        <f t="shared" si="15"/>
        <v>0.42</v>
      </c>
      <c r="AJ21" s="233" t="str">
        <f t="shared" si="16"/>
        <v>Catastrófico</v>
      </c>
      <c r="AK21" s="231">
        <f>IFERROR(IF(Y21="Impacto",(T21-(+T21*AB21)),IF(Y21="Probabilidad",T21,"")),"")</f>
        <v>1</v>
      </c>
      <c r="AL21" s="233" t="str">
        <f t="shared" si="17"/>
        <v>Extremo</v>
      </c>
      <c r="AM21" s="371" t="s">
        <v>94</v>
      </c>
      <c r="AN21" s="226">
        <v>1</v>
      </c>
      <c r="AO21" s="674" t="s">
        <v>152</v>
      </c>
      <c r="AP21" s="676" t="s">
        <v>113</v>
      </c>
      <c r="AQ21" s="684" t="s">
        <v>153</v>
      </c>
      <c r="AR21" s="684" t="s">
        <v>98</v>
      </c>
      <c r="AS21" s="688"/>
      <c r="AT21" s="290"/>
      <c r="AU21" s="261"/>
      <c r="AV21" s="261"/>
      <c r="AW21" s="234"/>
      <c r="AX21" s="234"/>
      <c r="AY21" s="234"/>
      <c r="AZ21" s="235"/>
      <c r="BA21" s="236"/>
      <c r="BB21" s="258"/>
      <c r="BC21" s="250"/>
      <c r="BD21" s="238"/>
      <c r="BE21" s="195"/>
      <c r="BF21" s="209"/>
      <c r="BG21" s="195"/>
      <c r="BH21" s="195"/>
      <c r="BI21" s="195"/>
      <c r="BJ21" s="195"/>
      <c r="BK21" s="195"/>
      <c r="BL21" s="195"/>
      <c r="BM21" s="195"/>
      <c r="BN21" s="195"/>
      <c r="BO21" s="195"/>
      <c r="BP21" s="195"/>
      <c r="BQ21" s="195"/>
      <c r="BR21" s="195"/>
      <c r="BS21" s="195"/>
      <c r="BT21" s="195"/>
      <c r="BU21" s="195"/>
      <c r="BV21" s="195"/>
      <c r="BW21" s="195"/>
      <c r="BX21" s="195"/>
      <c r="BY21" s="195"/>
      <c r="BZ21" s="195"/>
      <c r="CA21" s="195"/>
      <c r="CB21" s="195"/>
      <c r="CC21" s="195"/>
      <c r="CD21" s="195"/>
    </row>
    <row r="22" spans="4:82" s="188" customFormat="1" ht="128" customHeight="1">
      <c r="D22" s="295"/>
      <c r="E22" s="293"/>
      <c r="F22" s="293"/>
      <c r="G22" s="321"/>
      <c r="H22" s="293"/>
      <c r="I22" s="297" t="s">
        <v>154</v>
      </c>
      <c r="J22" s="297"/>
      <c r="K22" s="297"/>
      <c r="L22" s="299"/>
      <c r="M22" s="301" t="s">
        <v>155</v>
      </c>
      <c r="N22" s="301" t="s">
        <v>155</v>
      </c>
      <c r="O22" s="299"/>
      <c r="P22" s="303"/>
      <c r="Q22" s="288"/>
      <c r="R22" s="305"/>
      <c r="S22" s="303"/>
      <c r="T22" s="288"/>
      <c r="U22" s="303"/>
      <c r="V22" s="240">
        <v>2</v>
      </c>
      <c r="W22" s="698" t="s">
        <v>156</v>
      </c>
      <c r="X22" s="699" t="s">
        <v>157</v>
      </c>
      <c r="Y22" s="241" t="str">
        <f t="shared" si="13"/>
        <v>Probabilidad</v>
      </c>
      <c r="Z22" s="242" t="s">
        <v>88</v>
      </c>
      <c r="AA22" s="242" t="s">
        <v>89</v>
      </c>
      <c r="AB22" s="243" t="str">
        <f t="shared" si="1"/>
        <v>40%</v>
      </c>
      <c r="AC22" s="705" t="s">
        <v>103</v>
      </c>
      <c r="AD22" s="705" t="s">
        <v>91</v>
      </c>
      <c r="AE22" s="705" t="s">
        <v>92</v>
      </c>
      <c r="AF22" s="701" t="s">
        <v>93</v>
      </c>
      <c r="AG22" s="232">
        <f>IFERROR(IF(Y22="Probabilidad",($Q$21-(+$Q$21*AB22)),IF(Y22="Impacto",$Q$21,"")),"")</f>
        <v>0.36</v>
      </c>
      <c r="AH22" s="244" t="str">
        <f t="shared" si="14"/>
        <v>Baja</v>
      </c>
      <c r="AI22" s="243">
        <f t="shared" si="15"/>
        <v>0.36</v>
      </c>
      <c r="AJ22" s="244" t="str">
        <f t="shared" si="16"/>
        <v>Catastrófico</v>
      </c>
      <c r="AK22" s="243">
        <f t="shared" ref="AK22" si="22">IFERROR(IF(Y22="Impacto",(T21-(+T21*AB22)),IF(Y22="Probabilidad",T21,"")),"")</f>
        <v>1</v>
      </c>
      <c r="AL22" s="244" t="str">
        <f t="shared" si="17"/>
        <v>Extremo</v>
      </c>
      <c r="AM22" s="373"/>
      <c r="AN22" s="240">
        <v>2</v>
      </c>
      <c r="AO22" s="685" t="s">
        <v>158</v>
      </c>
      <c r="AP22" s="686" t="s">
        <v>96</v>
      </c>
      <c r="AQ22" s="687" t="s">
        <v>159</v>
      </c>
      <c r="AR22" s="687" t="s">
        <v>98</v>
      </c>
      <c r="AS22" s="691"/>
      <c r="AT22" s="291"/>
      <c r="AU22" s="261"/>
      <c r="AV22" s="264"/>
      <c r="AW22" s="245"/>
      <c r="AX22" s="245"/>
      <c r="AY22" s="245"/>
      <c r="AZ22" s="246"/>
      <c r="BA22" s="247"/>
      <c r="BB22" s="248"/>
      <c r="BC22" s="252"/>
      <c r="BD22" s="249"/>
      <c r="BE22" s="209"/>
      <c r="BF22" s="195"/>
      <c r="BG22" s="195"/>
      <c r="BH22" s="195"/>
      <c r="BI22" s="195"/>
      <c r="BJ22" s="195"/>
      <c r="BK22" s="195"/>
      <c r="BL22" s="195"/>
      <c r="BM22" s="195"/>
      <c r="BN22" s="195"/>
      <c r="BO22" s="195"/>
      <c r="BP22" s="195"/>
      <c r="BQ22" s="195"/>
      <c r="BR22" s="195"/>
      <c r="BS22" s="195"/>
      <c r="BT22" s="195"/>
      <c r="BU22" s="195"/>
      <c r="BV22" s="195"/>
      <c r="BW22" s="195"/>
      <c r="BX22" s="195"/>
      <c r="BY22" s="195"/>
      <c r="BZ22" s="195"/>
      <c r="CA22" s="195"/>
      <c r="CB22" s="195"/>
      <c r="CC22" s="195"/>
      <c r="CD22" s="195"/>
    </row>
    <row r="23" spans="4:82" ht="49.5" customHeight="1">
      <c r="D23" s="183"/>
      <c r="E23" s="184"/>
      <c r="F23" s="184"/>
      <c r="G23" s="184"/>
      <c r="H23" s="184"/>
      <c r="I23" s="370" t="s">
        <v>160</v>
      </c>
      <c r="J23" s="370"/>
      <c r="K23" s="370"/>
      <c r="L23" s="370"/>
      <c r="M23" s="370"/>
      <c r="N23" s="370"/>
      <c r="O23" s="370"/>
      <c r="P23" s="370"/>
      <c r="Q23" s="370"/>
      <c r="R23" s="370"/>
      <c r="S23" s="370"/>
      <c r="T23" s="370"/>
      <c r="U23" s="370"/>
      <c r="V23" s="370"/>
      <c r="W23" s="370"/>
      <c r="X23" s="370"/>
      <c r="Y23" s="370"/>
      <c r="Z23" s="370"/>
      <c r="AA23" s="370"/>
      <c r="AB23" s="370"/>
      <c r="AC23" s="370"/>
      <c r="AD23" s="370"/>
      <c r="AE23" s="370"/>
      <c r="AF23" s="370"/>
      <c r="AG23" s="370"/>
      <c r="AH23" s="370"/>
      <c r="AI23" s="370"/>
      <c r="AJ23" s="370"/>
      <c r="AK23" s="370"/>
      <c r="AL23" s="370"/>
      <c r="AM23" s="370"/>
      <c r="AN23" s="370"/>
      <c r="AO23" s="370"/>
      <c r="AP23" s="370"/>
      <c r="AQ23" s="370"/>
      <c r="AR23" s="370"/>
      <c r="AS23" s="370"/>
      <c r="AT23" s="370"/>
      <c r="AU23" s="370"/>
      <c r="AV23" s="370"/>
      <c r="AW23" s="370"/>
      <c r="AX23" s="370"/>
      <c r="AY23" s="370"/>
    </row>
    <row r="25" spans="4:82" ht="16">
      <c r="D25" s="104"/>
      <c r="E25" s="105"/>
      <c r="F25" s="105"/>
      <c r="G25" s="105"/>
      <c r="H25" s="105"/>
      <c r="I25" s="105"/>
      <c r="J25" s="105"/>
      <c r="K25" s="105"/>
      <c r="L25" s="169"/>
      <c r="M25" s="169"/>
      <c r="N25" s="169"/>
      <c r="P25" s="106"/>
      <c r="Q25" s="105"/>
      <c r="R25" s="105"/>
      <c r="S25" s="105"/>
      <c r="T25" s="105"/>
      <c r="U25" s="105"/>
      <c r="V25" s="105"/>
      <c r="W25" s="105"/>
      <c r="X25" s="105"/>
      <c r="Y25" s="107"/>
      <c r="Z25" s="107"/>
      <c r="AA25" s="105"/>
      <c r="AB25" s="105"/>
      <c r="AC25" s="105"/>
      <c r="AD25" s="105"/>
      <c r="AE25" s="105"/>
      <c r="AF25" s="105"/>
      <c r="AG25" s="105"/>
      <c r="AH25" s="105"/>
      <c r="AI25" s="105"/>
      <c r="AJ25" s="105"/>
      <c r="AK25" s="105"/>
      <c r="AL25" s="105"/>
      <c r="AM25" s="108"/>
      <c r="AN25" s="108"/>
      <c r="AO25" s="108"/>
      <c r="AP25" s="105"/>
      <c r="AQ25" s="105"/>
      <c r="AR25" s="105"/>
      <c r="AS25" s="105"/>
      <c r="AT25" s="105"/>
      <c r="AU25" s="105"/>
      <c r="AV25" s="105"/>
      <c r="AW25" s="105"/>
      <c r="AX25" s="105"/>
      <c r="AY25" s="105"/>
      <c r="AZ25" s="105"/>
      <c r="BA25" s="105"/>
    </row>
    <row r="26" spans="4:82" ht="18">
      <c r="D26" s="315" t="s">
        <v>161</v>
      </c>
      <c r="E26" s="315"/>
      <c r="F26" s="315"/>
      <c r="G26" s="315"/>
      <c r="H26" s="315"/>
      <c r="I26" s="315"/>
      <c r="J26" s="315"/>
      <c r="K26" s="315"/>
      <c r="L26" s="169"/>
      <c r="M26" s="169"/>
      <c r="N26" s="169"/>
      <c r="O26" s="311"/>
      <c r="P26" s="312"/>
      <c r="Q26" s="312"/>
      <c r="R26" s="313"/>
      <c r="S26" s="105"/>
      <c r="T26" s="105"/>
      <c r="U26" s="105"/>
      <c r="V26" s="105"/>
      <c r="W26" s="105"/>
      <c r="X26" s="108"/>
      <c r="Y26" s="107"/>
      <c r="Z26" s="107"/>
      <c r="AA26" s="105"/>
      <c r="AB26" s="107"/>
      <c r="AC26" s="107"/>
      <c r="AD26" s="105"/>
      <c r="AE26" s="105"/>
      <c r="AF26" s="105"/>
      <c r="AG26" s="105"/>
      <c r="AH26" s="105"/>
      <c r="AI26" s="105"/>
      <c r="AJ26" s="105"/>
      <c r="AK26" s="105"/>
      <c r="AL26" s="105"/>
      <c r="AM26" s="105"/>
      <c r="AN26" s="105"/>
      <c r="AO26" s="105"/>
      <c r="AP26" s="105"/>
      <c r="AQ26" s="105"/>
      <c r="AR26" s="105"/>
      <c r="AS26" s="105"/>
      <c r="AT26" s="105"/>
      <c r="AU26" s="105"/>
      <c r="AV26" s="105"/>
      <c r="AW26" s="105"/>
      <c r="AX26" s="105"/>
      <c r="AY26" s="105"/>
      <c r="AZ26" s="105"/>
      <c r="BA26" s="105"/>
      <c r="BH26" s="169" t="s">
        <v>162</v>
      </c>
    </row>
    <row r="27" spans="4:82" ht="15" thickBot="1">
      <c r="D27" s="169"/>
      <c r="E27" s="169"/>
      <c r="F27" s="169"/>
      <c r="G27" s="169"/>
      <c r="H27" s="169"/>
      <c r="I27" s="169"/>
      <c r="J27" s="169"/>
      <c r="L27" s="169"/>
      <c r="M27" s="169"/>
      <c r="N27" s="169"/>
      <c r="P27" s="171" t="str">
        <f>+IFERROR(VLOOKUP(L27,$L$182:$P$186,3,FALSE)*VLOOKUP(O27,$O$182:$P$186,3,FALSE),"")</f>
        <v/>
      </c>
      <c r="Y27" s="171"/>
      <c r="Z27" s="185"/>
      <c r="AB27" s="185"/>
      <c r="AC27" s="185"/>
      <c r="AD27" s="186"/>
      <c r="AE27" s="186"/>
      <c r="AF27" s="186"/>
      <c r="AG27" s="186"/>
      <c r="AH27" s="186"/>
      <c r="AI27" s="109"/>
      <c r="AJ27" s="109"/>
      <c r="AK27" s="186"/>
      <c r="AL27" s="187"/>
      <c r="AQ27" s="186"/>
      <c r="AY27" s="186"/>
      <c r="AZ27" s="186"/>
      <c r="BH27" s="169" t="s">
        <v>163</v>
      </c>
    </row>
    <row r="28" spans="4:82" ht="17.75" customHeight="1" thickTop="1" thickBot="1">
      <c r="D28" s="310" t="s">
        <v>164</v>
      </c>
      <c r="E28" s="310"/>
      <c r="F28" s="310"/>
      <c r="G28" s="310"/>
      <c r="H28" s="310"/>
      <c r="I28" s="310"/>
      <c r="J28" s="310"/>
      <c r="K28" s="203" t="s">
        <v>165</v>
      </c>
      <c r="L28" s="310" t="s">
        <v>166</v>
      </c>
      <c r="M28" s="310"/>
      <c r="N28" s="310"/>
      <c r="O28" s="310"/>
      <c r="P28" s="310"/>
      <c r="Q28" s="310"/>
      <c r="R28" s="310"/>
      <c r="S28" s="314" t="s">
        <v>167</v>
      </c>
      <c r="T28" s="314"/>
      <c r="U28" s="314"/>
      <c r="V28" s="310" t="s">
        <v>168</v>
      </c>
      <c r="W28" s="310"/>
      <c r="X28" s="310"/>
      <c r="Y28" s="310"/>
      <c r="Z28" s="314">
        <v>1</v>
      </c>
      <c r="AA28" s="314"/>
      <c r="AB28" s="314"/>
      <c r="AC28" s="314"/>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0"/>
      <c r="BH28" s="169" t="s">
        <v>169</v>
      </c>
    </row>
    <row r="29" spans="4:82" ht="13.5" customHeight="1" thickTop="1">
      <c r="D29" s="375" t="s">
        <v>170</v>
      </c>
      <c r="E29" s="376"/>
      <c r="F29" s="376"/>
      <c r="G29" s="376"/>
      <c r="H29" s="376"/>
      <c r="I29" s="376"/>
      <c r="J29" s="376"/>
      <c r="K29" s="376"/>
      <c r="L29" s="376"/>
      <c r="M29" s="376"/>
      <c r="N29" s="376"/>
      <c r="O29" s="376"/>
      <c r="P29" s="376"/>
      <c r="Q29" s="376"/>
      <c r="R29" s="376"/>
      <c r="S29" s="376"/>
      <c r="T29" s="376"/>
      <c r="U29" s="376"/>
      <c r="V29" s="376"/>
      <c r="W29" s="376"/>
      <c r="X29" s="376"/>
      <c r="Y29" s="376"/>
      <c r="Z29" s="376"/>
      <c r="AA29" s="376"/>
      <c r="AB29" s="376"/>
      <c r="AC29" s="376"/>
      <c r="BH29" s="169" t="s">
        <v>171</v>
      </c>
    </row>
  </sheetData>
  <sheetProtection formatCells="0" formatColumns="0" formatRows="0" selectLockedCells="1"/>
  <protectedRanges>
    <protectedRange sqref="P1:P1048576" name="Rango1"/>
  </protectedRanges>
  <dataConsolidate/>
  <mergeCells count="134">
    <mergeCell ref="V28:Y28"/>
    <mergeCell ref="Z28:AC28"/>
    <mergeCell ref="I23:AY23"/>
    <mergeCell ref="AM15:AM18"/>
    <mergeCell ref="S21:S22"/>
    <mergeCell ref="U21:U22"/>
    <mergeCell ref="AM21:AM22"/>
    <mergeCell ref="AT15:AT18"/>
    <mergeCell ref="D29:AC29"/>
    <mergeCell ref="L15:L18"/>
    <mergeCell ref="M15:M18"/>
    <mergeCell ref="D15:D18"/>
    <mergeCell ref="E15:E18"/>
    <mergeCell ref="U15:U18"/>
    <mergeCell ref="N21:N22"/>
    <mergeCell ref="P21:P22"/>
    <mergeCell ref="U19:U20"/>
    <mergeCell ref="G15:G18"/>
    <mergeCell ref="H15:H18"/>
    <mergeCell ref="R15:R18"/>
    <mergeCell ref="Q15:Q18"/>
    <mergeCell ref="T19:T20"/>
    <mergeCell ref="AM19:AM20"/>
    <mergeCell ref="Q19:Q20"/>
    <mergeCell ref="M13:N13"/>
    <mergeCell ref="AF12:AF14"/>
    <mergeCell ref="A11:C11"/>
    <mergeCell ref="F13:F14"/>
    <mergeCell ref="G13:G14"/>
    <mergeCell ref="AH13:AH14"/>
    <mergeCell ref="AI13:AI14"/>
    <mergeCell ref="O13:O14"/>
    <mergeCell ref="P13:P14"/>
    <mergeCell ref="Q13:Q14"/>
    <mergeCell ref="S13:S14"/>
    <mergeCell ref="T13:T14"/>
    <mergeCell ref="E13:E14"/>
    <mergeCell ref="Y13:Y14"/>
    <mergeCell ref="H13:H14"/>
    <mergeCell ref="D11:AR11"/>
    <mergeCell ref="AZ11:BB12"/>
    <mergeCell ref="BB13:BB14"/>
    <mergeCell ref="BD13:BD14"/>
    <mergeCell ref="AZ13:AZ14"/>
    <mergeCell ref="AU13:AU14"/>
    <mergeCell ref="AV13:AV14"/>
    <mergeCell ref="AT13:AT14"/>
    <mergeCell ref="W13:W14"/>
    <mergeCell ref="U13:U14"/>
    <mergeCell ref="AX13:AX14"/>
    <mergeCell ref="AR13:AR14"/>
    <mergeCell ref="AQ13:AQ14"/>
    <mergeCell ref="AP13:AP14"/>
    <mergeCell ref="AJ13:AJ14"/>
    <mergeCell ref="AO13:AO14"/>
    <mergeCell ref="V13:V14"/>
    <mergeCell ref="BC13:BC14"/>
    <mergeCell ref="AS13:AS14"/>
    <mergeCell ref="BA13:BA14"/>
    <mergeCell ref="AW13:AW14"/>
    <mergeCell ref="AY13:AY14"/>
    <mergeCell ref="AN13:AN14"/>
    <mergeCell ref="S19:S20"/>
    <mergeCell ref="AS11:AY12"/>
    <mergeCell ref="D2:H5"/>
    <mergeCell ref="I2:BC5"/>
    <mergeCell ref="H7:BD7"/>
    <mergeCell ref="AM13:AM14"/>
    <mergeCell ref="AL13:AL14"/>
    <mergeCell ref="AK13:AK14"/>
    <mergeCell ref="AG13:AG14"/>
    <mergeCell ref="X13:X14"/>
    <mergeCell ref="L13:L14"/>
    <mergeCell ref="D12:O12"/>
    <mergeCell ref="P12:U12"/>
    <mergeCell ref="K13:K14"/>
    <mergeCell ref="J13:J14"/>
    <mergeCell ref="I13:I14"/>
    <mergeCell ref="R13:R14"/>
    <mergeCell ref="D7:G7"/>
    <mergeCell ref="V12:AE12"/>
    <mergeCell ref="D8:G8"/>
    <mergeCell ref="D9:G9"/>
    <mergeCell ref="H9:BD9"/>
    <mergeCell ref="H8:BD8"/>
    <mergeCell ref="D13:D14"/>
    <mergeCell ref="M21:M22"/>
    <mergeCell ref="BC11:BD12"/>
    <mergeCell ref="D28:J28"/>
    <mergeCell ref="O26:R26"/>
    <mergeCell ref="L28:R28"/>
    <mergeCell ref="S28:U28"/>
    <mergeCell ref="D26:K26"/>
    <mergeCell ref="I15:I18"/>
    <mergeCell ref="J15:J18"/>
    <mergeCell ref="K15:K18"/>
    <mergeCell ref="F15:F18"/>
    <mergeCell ref="D21:D22"/>
    <mergeCell ref="E21:E22"/>
    <mergeCell ref="F21:F22"/>
    <mergeCell ref="G21:G22"/>
    <mergeCell ref="H21:H22"/>
    <mergeCell ref="N15:N18"/>
    <mergeCell ref="O15:O18"/>
    <mergeCell ref="P15:P18"/>
    <mergeCell ref="S15:S18"/>
    <mergeCell ref="AG12:AM12"/>
    <mergeCell ref="Z13:AE13"/>
    <mergeCell ref="AO12:AR12"/>
    <mergeCell ref="R19:R20"/>
    <mergeCell ref="T21:T22"/>
    <mergeCell ref="T15:T18"/>
    <mergeCell ref="AT19:AT20"/>
    <mergeCell ref="AT21:AT22"/>
    <mergeCell ref="E19:E20"/>
    <mergeCell ref="D19:D20"/>
    <mergeCell ref="F19:F20"/>
    <mergeCell ref="G19:G20"/>
    <mergeCell ref="H19:H20"/>
    <mergeCell ref="J19:J20"/>
    <mergeCell ref="L19:L20"/>
    <mergeCell ref="N19:N20"/>
    <mergeCell ref="P19:P20"/>
    <mergeCell ref="I19:I20"/>
    <mergeCell ref="O19:O20"/>
    <mergeCell ref="K19:K20"/>
    <mergeCell ref="M19:M20"/>
    <mergeCell ref="R21:R22"/>
    <mergeCell ref="Q21:Q22"/>
    <mergeCell ref="O21:O22"/>
    <mergeCell ref="I21:I22"/>
    <mergeCell ref="J21:J22"/>
    <mergeCell ref="L21:L22"/>
    <mergeCell ref="K21:K22"/>
  </mergeCells>
  <conditionalFormatting sqref="P15 AH15:AH22 P19 P21">
    <cfRule type="cellIs" dxfId="21" priority="51" operator="equal">
      <formula>"Muy Alta"</formula>
    </cfRule>
    <cfRule type="cellIs" dxfId="20" priority="52" operator="equal">
      <formula>"Alta"</formula>
    </cfRule>
    <cfRule type="cellIs" dxfId="19" priority="53" operator="equal">
      <formula>"Media"</formula>
    </cfRule>
    <cfRule type="cellIs" dxfId="18" priority="54" operator="equal">
      <formula>"Baja"</formula>
    </cfRule>
    <cfRule type="cellIs" dxfId="17" priority="55" operator="equal">
      <formula>"Muy Baja"</formula>
    </cfRule>
  </conditionalFormatting>
  <conditionalFormatting sqref="S15 AJ15:AJ22 S19 S21">
    <cfRule type="cellIs" dxfId="16" priority="46" operator="equal">
      <formula>"Catastrófico"</formula>
    </cfRule>
    <cfRule type="cellIs" dxfId="15" priority="47" operator="equal">
      <formula>"Mayor"</formula>
    </cfRule>
    <cfRule type="cellIs" dxfId="14" priority="48" operator="equal">
      <formula>"Moderado"</formula>
    </cfRule>
    <cfRule type="cellIs" dxfId="13" priority="49" operator="equal">
      <formula>"Menor"</formula>
    </cfRule>
    <cfRule type="cellIs" dxfId="12" priority="50" operator="equal">
      <formula>"Leve"</formula>
    </cfRule>
  </conditionalFormatting>
  <conditionalFormatting sqref="U15 AL15:AL22 U19 U21">
    <cfRule type="cellIs" dxfId="11" priority="42" operator="equal">
      <formula>"Extremo"</formula>
    </cfRule>
    <cfRule type="cellIs" dxfId="10" priority="43" operator="equal">
      <formula>"Alto"</formula>
    </cfRule>
    <cfRule type="cellIs" dxfId="9" priority="44" operator="equal">
      <formula>"Moderado"</formula>
    </cfRule>
    <cfRule type="cellIs" dxfId="8" priority="45" operator="equal">
      <formula>"Bajo"</formula>
    </cfRule>
  </conditionalFormatting>
  <conditionalFormatting sqref="AI25:AI27">
    <cfRule type="cellIs" dxfId="7" priority="16" operator="equal">
      <formula>#REF!</formula>
    </cfRule>
    <cfRule type="cellIs" dxfId="6" priority="17" operator="equal">
      <formula>#REF!</formula>
    </cfRule>
  </conditionalFormatting>
  <conditionalFormatting sqref="AI25:AJ27">
    <cfRule type="cellIs" dxfId="5" priority="15" stopIfTrue="1" operator="equal">
      <formula>#REF!</formula>
    </cfRule>
  </conditionalFormatting>
  <conditionalFormatting sqref="AJ25:AJ27">
    <cfRule type="cellIs" dxfId="4" priority="19" stopIfTrue="1" operator="equal">
      <formula>#REF!</formula>
    </cfRule>
    <cfRule type="cellIs" dxfId="3" priority="20" stopIfTrue="1" operator="equal">
      <formula>#REF!</formula>
    </cfRule>
  </conditionalFormatting>
  <dataValidations count="9">
    <dataValidation type="list" allowBlank="1" showInputMessage="1" showErrorMessage="1" sqref="K25" xr:uid="{73554A80-BB5B-E643-9F9D-B89E319E74D3}">
      <formula1>$K$182:$K$191</formula1>
    </dataValidation>
    <dataValidation type="list" allowBlank="1" showInputMessage="1" showErrorMessage="1" sqref="K27 AI27:AJ27" xr:uid="{5E9FEBAF-6A53-114C-964F-28C01AE3DC49}">
      <formula1>#REF!</formula1>
    </dataValidation>
    <dataValidation type="list" allowBlank="1" showInputMessage="1" showErrorMessage="1" sqref="Y27" xr:uid="{6299E764-6DAB-AA4B-8A8C-E8DEFB719FA7}">
      <formula1>$R$182:$R$183</formula1>
    </dataValidation>
    <dataValidation type="list" allowBlank="1" showInputMessage="1" showErrorMessage="1" sqref="O27" xr:uid="{809D7AEC-13AF-2E45-9878-E2358BE038BA}">
      <formula1>$O$182:$O$186</formula1>
    </dataValidation>
    <dataValidation type="list" allowBlank="1" showInputMessage="1" showErrorMessage="1" sqref="L27:N27" xr:uid="{2AB28067-0B41-B04D-8016-BE44BC09130B}">
      <formula1>$L$182:$L$186</formula1>
    </dataValidation>
    <dataValidation type="list" allowBlank="1" showInputMessage="1" showErrorMessage="1" sqref="AB27:AH27 AY27:AZ27 AQ27 Z27" xr:uid="{1191FE1A-C805-BD4B-8638-36F5B3BDE7AB}">
      <formula1>$AQ$182:$AQ$189</formula1>
    </dataValidation>
    <dataValidation type="list" allowBlank="1" showInputMessage="1" showErrorMessage="1" error="Recuerde que las acciones se generan bajo la medida de mitigar el riesgo" sqref="AY15:AY22" xr:uid="{98469144-7EA9-D540-83E0-696B63C153D5}">
      <formula1>$BH$26:$BH$29</formula1>
    </dataValidation>
    <dataValidation type="custom" allowBlank="1" showInputMessage="1" showErrorMessage="1" error="Recuerde que las acciones se generan bajo la medida de mitigar el riesgo" sqref="AP19:AP22 AP15:AP17" xr:uid="{C063B990-FA5D-A046-A20F-E6741B71FDB5}"/>
    <dataValidation type="list" allowBlank="1" showInputMessage="1" showErrorMessage="1" sqref="R15:R22" xr:uid="{711F1663-FA70-A743-B0E0-BAF26C464E85}">
      <formula1>Criterios_Impacto</formula1>
    </dataValidation>
  </dataValidations>
  <hyperlinks>
    <hyperlink ref="BB17" r:id="rId1" xr:uid="{83D708F2-1507-421E-B246-DCB04B8F20EA}"/>
  </hyperlinks>
  <pageMargins left="0.7" right="0.7" top="0.75" bottom="0.75" header="0.3" footer="0.3"/>
  <pageSetup orientation="portrait" r:id="rId2"/>
  <drawing r:id="rId3"/>
  <legacyDrawing r:id="rId4"/>
  <extLst>
    <ext xmlns:x14="http://schemas.microsoft.com/office/spreadsheetml/2009/9/main" uri="{CCE6A557-97BC-4b89-ADB6-D9C93CAAB3DF}">
      <x14:dataValidations xmlns:xm="http://schemas.microsoft.com/office/excel/2006/main" count="23">
        <x14:dataValidation type="list" allowBlank="1" showInputMessage="1" showErrorMessage="1" xr:uid="{93BACAF1-9D3A-C84C-A599-152B54719F04}">
          <x14:formula1>
            <xm:f>'Opciones Tratamiento'!$B$13:$B$19</xm:f>
          </x14:formula1>
          <xm:sqref>L19:L22 L15</xm:sqref>
        </x14:dataValidation>
        <x14:dataValidation type="list" allowBlank="1" showInputMessage="1" showErrorMessage="1" xr:uid="{726C4A73-82B9-DE43-84B2-57C9C402E96A}">
          <x14:formula1>
            <xm:f>'Opciones Tratamiento'!$B$2:$B$5</xm:f>
          </x14:formula1>
          <xm:sqref>AM21 AM19 AM15</xm:sqref>
        </x14:dataValidation>
        <x14:dataValidation type="list" allowBlank="1" showInputMessage="1" showErrorMessage="1" xr:uid="{B8F9DA88-F163-DB40-AF93-FDA9D2B9600C}">
          <x14:formula1>
            <xm:f>Listas!$B$2:$B$7</xm:f>
          </x14:formula1>
          <xm:sqref>H19:H22 H15</xm:sqref>
        </x14:dataValidation>
        <x14:dataValidation type="list" allowBlank="1" showInputMessage="1" showErrorMessage="1" xr:uid="{71EAC97E-2CAC-474B-AC9C-5A4A9FDDB0C9}">
          <x14:formula1>
            <xm:f>Listas!$C$2:$C$6</xm:f>
          </x14:formula1>
          <xm:sqref>M19:M22 M15</xm:sqref>
        </x14:dataValidation>
        <x14:dataValidation type="list" allowBlank="1" showInputMessage="1" showErrorMessage="1" xr:uid="{C54400E2-DF12-9049-BF67-E3B47D977741}">
          <x14:formula1>
            <xm:f>Listas!$D$2:$D$5</xm:f>
          </x14:formula1>
          <xm:sqref>N19:N22 N15</xm:sqref>
        </x14:dataValidation>
        <x14:dataValidation type="list" allowBlank="1" showInputMessage="1" showErrorMessage="1" xr:uid="{5067435D-B65D-E24B-8D66-3F66FA7B4372}">
          <x14:formula1>
            <xm:f>Formulas!$B$3:$B$18</xm:f>
          </x14:formula1>
          <xm:sqref>E19:E22</xm:sqref>
        </x14:dataValidation>
        <x14:dataValidation type="list" allowBlank="1" showInputMessage="1" showErrorMessage="1" xr:uid="{D392E9A8-3CBE-0246-BDDF-B60ECB2855A7}">
          <x14:formula1>
            <xm:f>Formulas!$E$3:$E$23</xm:f>
          </x14:formula1>
          <xm:sqref>G19:G22</xm:sqref>
        </x14:dataValidation>
        <x14:dataValidation type="custom" allowBlank="1" showInputMessage="1" showErrorMessage="1" error="Recuerde que las acciones se generan bajo la medida de mitigar el riesgo" xr:uid="{AF0CB129-412D-074D-97D3-007BB08CD188}">
          <x14:formula1>
            <xm:f>IF(OR(AM17='Opciones Tratamiento'!$B$2,AM17='Opciones Tratamiento'!$B$3,AM17='Opciones Tratamiento'!$B$4),ISBLANK(AM17),ISTEXT(AM17))</xm:f>
          </x14:formula1>
          <xm:sqref>AU16:AU18 AU20 AR19:AR22</xm:sqref>
        </x14:dataValidation>
        <x14:dataValidation type="list" allowBlank="1" showInputMessage="1" showErrorMessage="1" xr:uid="{5D54F8BD-65F5-CC43-8198-835EAFA1C51A}">
          <x14:formula1>
            <xm:f>'Tabla Valoración controles'!$D$4:$D$6</xm:f>
          </x14:formula1>
          <xm:sqref>Z15:Z22</xm:sqref>
        </x14:dataValidation>
        <x14:dataValidation type="list" allowBlank="1" showInputMessage="1" showErrorMessage="1" xr:uid="{0C566C50-7438-8B4F-8C92-E6A2458498E9}">
          <x14:formula1>
            <xm:f>'Tabla Valoración controles'!$D$7:$D$8</xm:f>
          </x14:formula1>
          <xm:sqref>AA15:AA22</xm:sqref>
        </x14:dataValidation>
        <x14:dataValidation type="list" allowBlank="1" showInputMessage="1" showErrorMessage="1" xr:uid="{E92B603C-FCD6-6744-8278-B9968FDFF082}">
          <x14:formula1>
            <xm:f>'Tabla Valoración controles'!$D$9:$D$10</xm:f>
          </x14:formula1>
          <xm:sqref>AC15:AC22</xm:sqref>
        </x14:dataValidation>
        <x14:dataValidation type="list" allowBlank="1" showInputMessage="1" showErrorMessage="1" xr:uid="{8E1B9652-9A09-424E-B88B-4C3F215A36CF}">
          <x14:formula1>
            <xm:f>'Tabla Valoración controles'!$D$11:$D$12</xm:f>
          </x14:formula1>
          <xm:sqref>AD15:AD22</xm:sqref>
        </x14:dataValidation>
        <x14:dataValidation type="list" allowBlank="1" showInputMessage="1" showErrorMessage="1" xr:uid="{3D35A068-916F-A146-B432-F460635630A6}">
          <x14:formula1>
            <xm:f>'Tabla Valoración controles'!$D$13:$D$14</xm:f>
          </x14:formula1>
          <xm:sqref>AE15:AE22</xm:sqref>
        </x14:dataValidation>
        <x14:dataValidation type="custom" allowBlank="1" showInputMessage="1" showErrorMessage="1" error="Recuerde que las acciones se generan bajo la medida de mitigar el riesgo" xr:uid="{CD9A2470-46CA-384E-8CA0-BAD9EC606623}">
          <x14:formula1>
            <xm:f>IF(OR(#REF!='Opciones Tratamiento'!$B$2,#REF!='Opciones Tratamiento'!$B$3,#REF!='Opciones Tratamiento'!$B$4),ISBLANK(#REF!),ISTEXT(#REF!))</xm:f>
          </x14:formula1>
          <xm:sqref>BD16:BD22 BC15:BD15 AU22</xm:sqref>
        </x14:dataValidation>
        <x14:dataValidation type="list" allowBlank="1" showInputMessage="1" showErrorMessage="1" xr:uid="{D33420C9-BCCD-4A41-B549-B74AFCDE2F1C}">
          <x14:formula1>
            <xm:f>Formulas!$B$3:$B$6</xm:f>
          </x14:formula1>
          <xm:sqref>E15:E18</xm:sqref>
        </x14:dataValidation>
        <x14:dataValidation type="list" allowBlank="1" showInputMessage="1" showErrorMessage="1" xr:uid="{6D40F580-A998-3D48-8DE0-B93F8EF4C652}">
          <x14:formula1>
            <xm:f>Formulas!$D$3:$D$6</xm:f>
          </x14:formula1>
          <xm:sqref>F15:F22</xm:sqref>
        </x14:dataValidation>
        <x14:dataValidation type="list" allowBlank="1" showInputMessage="1" showErrorMessage="1" xr:uid="{9118D725-E1D3-A445-A918-828A06804D2E}">
          <x14:formula1>
            <xm:f>Formulas!$E$3:$E$5</xm:f>
          </x14:formula1>
          <xm:sqref>G15:G18</xm:sqref>
        </x14:dataValidation>
        <x14:dataValidation type="custom" allowBlank="1" showInputMessage="1" showErrorMessage="1" error="Recuerde que las acciones se generan bajo la medida de mitigar el riesgo" xr:uid="{425F01F9-E551-B047-9A1C-4BBF2BC47077}">
          <x14:formula1>
            <xm:f>IF(OR(AM20='Opciones Tratamiento'!$B$2,AM20='Opciones Tratamiento'!$B$3,AM20='Opciones Tratamiento'!$B$4),ISBLANK(AM20),ISTEXT(AM20))</xm:f>
          </x14:formula1>
          <xm:sqref>AU21 AU19 AQ19:AQ22</xm:sqref>
        </x14:dataValidation>
        <x14:dataValidation type="list" allowBlank="1" showInputMessage="1" showErrorMessage="1" error="Recuerde que las acciones se generan bajo la medida de mitigar el riesgo" xr:uid="{6ADB5633-3CDC-DC47-AC8D-3549919A7D20}">
          <x14:formula1>
            <xm:f>Formulas!$H$3:$H$4</xm:f>
          </x14:formula1>
          <xm:sqref>AT15 AT19 AT21</xm:sqref>
        </x14:dataValidation>
        <x14:dataValidation type="custom" allowBlank="1" showInputMessage="1" showErrorMessage="1" error="Recuerde que las acciones se generan bajo la medida de mitigar el riesgo" xr:uid="{D86364F7-5A16-2740-8F6A-86DD45E62B8E}">
          <x14:formula1>
            <xm:f>IF(OR(AM19='Opciones Tratamiento'!$B$2,AM19='Opciones Tratamiento'!$B$3,AM19='Opciones Tratamiento'!$B$4),ISBLANK(AM19),ISTEXT(AM19))</xm:f>
          </x14:formula1>
          <xm:sqref>AR17</xm:sqref>
        </x14:dataValidation>
        <x14:dataValidation type="custom" allowBlank="1" showInputMessage="1" showErrorMessage="1" error="Recuerde que las acciones se generan bajo la medida de mitigar el riesgo" xr:uid="{BA70EACA-1010-8D47-A9C9-6702F8DBFFFF}">
          <x14:formula1>
            <xm:f>IF(OR(AM18='Opciones Tratamiento'!$B$2,AM18='Opciones Tratamiento'!$B$3,AM18='Opciones Tratamiento'!$B$4),ISBLANK(AM18),ISTEXT(AM18))</xm:f>
          </x14:formula1>
          <xm:sqref>AQ15</xm:sqref>
        </x14:dataValidation>
        <x14:dataValidation type="custom" allowBlank="1" showInputMessage="1" showErrorMessage="1" error="Recuerde que las acciones se generan bajo la medida de mitigar el riesgo" xr:uid="{6AF646F3-8FCB-C447-BFC7-4F23F6A98C18}">
          <x14:formula1>
            <xm:f>IF(OR(AM18='Opciones Tratamiento'!$B$2,AM18='Opciones Tratamiento'!$B$3,AM18='Opciones Tratamiento'!$B$4),ISBLANK(AM18),ISTEXT(AM18))</xm:f>
          </x14:formula1>
          <xm:sqref>AU15:AX15 AR15:AR16</xm:sqref>
        </x14:dataValidation>
        <x14:dataValidation type="custom" allowBlank="1" showInputMessage="1" showErrorMessage="1" error="Recuerde que las acciones se generan bajo la medida de mitigar el riesgo" xr:uid="{A468610A-7A03-4E4B-B192-CFAE15D3F3F6}">
          <x14:formula1>
            <xm:f>IF(OR(AQ19='Opciones Tratamiento'!$B$2,AQ19='Opciones Tratamiento'!$B$3,AQ19='Opciones Tratamiento'!$B$4),ISBLANK(AQ19),ISTEXT(AQ19))</xm:f>
          </x14:formula1>
          <xm:sqref>AV19:AX22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15E6C-1BAB-42A6-9F77-3D9DA9FB7F99}">
  <dimension ref="A1"/>
  <sheetViews>
    <sheetView workbookViewId="0"/>
  </sheetViews>
  <sheetFormatPr baseColWidth="10" defaultColWidth="8.83203125"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A240F-939E-4DF6-BA8B-1D095F22F1E8}">
  <dimension ref="A1"/>
  <sheetViews>
    <sheetView workbookViewId="0"/>
  </sheetViews>
  <sheetFormatPr baseColWidth="10" defaultColWidth="8.83203125" defaultRowHeight="1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B2:E19"/>
  <sheetViews>
    <sheetView workbookViewId="0">
      <selection activeCell="E2" sqref="E2:E4"/>
    </sheetView>
  </sheetViews>
  <sheetFormatPr baseColWidth="10" defaultColWidth="11.5" defaultRowHeight="15"/>
  <sheetData>
    <row r="2" spans="2:5">
      <c r="B2" t="s">
        <v>205</v>
      </c>
      <c r="E2" t="s">
        <v>126</v>
      </c>
    </row>
    <row r="3" spans="2:5">
      <c r="B3" t="s">
        <v>215</v>
      </c>
      <c r="E3" t="s">
        <v>208</v>
      </c>
    </row>
    <row r="4" spans="2:5">
      <c r="B4" t="s">
        <v>232</v>
      </c>
      <c r="E4" t="s">
        <v>79</v>
      </c>
    </row>
    <row r="5" spans="2:5">
      <c r="B5" t="s">
        <v>94</v>
      </c>
    </row>
    <row r="8" spans="2:5">
      <c r="B8" t="s">
        <v>196</v>
      </c>
    </row>
    <row r="9" spans="2:5">
      <c r="B9" t="s">
        <v>206</v>
      </c>
    </row>
    <row r="10" spans="2:5">
      <c r="B10" t="s">
        <v>216</v>
      </c>
    </row>
    <row r="13" spans="2:5">
      <c r="B13" t="s">
        <v>199</v>
      </c>
    </row>
    <row r="14" spans="2:5">
      <c r="B14" t="s">
        <v>132</v>
      </c>
    </row>
    <row r="15" spans="2:5">
      <c r="B15" t="s">
        <v>220</v>
      </c>
    </row>
    <row r="16" spans="2:5">
      <c r="B16" t="s">
        <v>227</v>
      </c>
    </row>
    <row r="17" spans="2:2">
      <c r="B17" t="s">
        <v>84</v>
      </c>
    </row>
    <row r="18" spans="2:2">
      <c r="B18" t="s">
        <v>234</v>
      </c>
    </row>
    <row r="19" spans="2:2">
      <c r="B19" t="s">
        <v>236</v>
      </c>
    </row>
  </sheetData>
  <sortState xmlns:xlrd2="http://schemas.microsoft.com/office/spreadsheetml/2017/richdata2" ref="B2:B5">
    <sortCondition ref="B2:B5"/>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3:A21"/>
  <sheetViews>
    <sheetView workbookViewId="0">
      <selection activeCell="H29" sqref="H29"/>
    </sheetView>
  </sheetViews>
  <sheetFormatPr baseColWidth="10" defaultColWidth="11.5" defaultRowHeight="14"/>
  <cols>
    <col min="1" max="1" width="32.6640625" style="1" customWidth="1"/>
    <col min="2" max="16384" width="11.5" style="1"/>
  </cols>
  <sheetData>
    <row r="3" spans="1:1">
      <c r="A3" s="2" t="s">
        <v>88</v>
      </c>
    </row>
    <row r="4" spans="1:1">
      <c r="A4" s="2" t="s">
        <v>111</v>
      </c>
    </row>
    <row r="5" spans="1:1">
      <c r="A5" s="2" t="s">
        <v>223</v>
      </c>
    </row>
    <row r="6" spans="1:1">
      <c r="A6" s="2" t="s">
        <v>203</v>
      </c>
    </row>
    <row r="7" spans="1:1">
      <c r="A7" s="2" t="s">
        <v>89</v>
      </c>
    </row>
    <row r="8" spans="1:1">
      <c r="A8" s="2" t="s">
        <v>90</v>
      </c>
    </row>
    <row r="9" spans="1:1">
      <c r="A9" s="2" t="s">
        <v>103</v>
      </c>
    </row>
    <row r="10" spans="1:1">
      <c r="A10" s="2" t="s">
        <v>91</v>
      </c>
    </row>
    <row r="11" spans="1:1">
      <c r="A11" s="2" t="s">
        <v>213</v>
      </c>
    </row>
    <row r="12" spans="1:1">
      <c r="A12" s="2" t="s">
        <v>204</v>
      </c>
    </row>
    <row r="13" spans="1:1">
      <c r="A13" s="2" t="s">
        <v>214</v>
      </c>
    </row>
    <row r="14" spans="1:1">
      <c r="A14" s="2" t="s">
        <v>224</v>
      </c>
    </row>
    <row r="16" spans="1:1">
      <c r="A16" s="2" t="s">
        <v>225</v>
      </c>
    </row>
    <row r="17" spans="1:1">
      <c r="A17" s="2" t="s">
        <v>205</v>
      </c>
    </row>
    <row r="18" spans="1:1">
      <c r="A18" s="2" t="s">
        <v>215</v>
      </c>
    </row>
    <row r="20" spans="1:1">
      <c r="A20" s="2" t="s">
        <v>206</v>
      </c>
    </row>
    <row r="21" spans="1:1">
      <c r="A21" s="2" t="s">
        <v>216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65A79-E3BF-4801-A67D-CFEFB6AABDB4}">
  <dimension ref="A1:B14"/>
  <sheetViews>
    <sheetView workbookViewId="0">
      <selection activeCell="A31" sqref="A31"/>
    </sheetView>
  </sheetViews>
  <sheetFormatPr baseColWidth="10" defaultColWidth="11.5" defaultRowHeight="15"/>
  <cols>
    <col min="1" max="1" width="129.6640625" bestFit="1" customWidth="1"/>
  </cols>
  <sheetData>
    <row r="1" spans="1:2">
      <c r="A1" t="s">
        <v>172</v>
      </c>
      <c r="B1" t="s">
        <v>75</v>
      </c>
    </row>
    <row r="2" spans="1:2">
      <c r="A2" t="s">
        <v>173</v>
      </c>
      <c r="B2" t="s">
        <v>174</v>
      </c>
    </row>
    <row r="3" spans="1:2">
      <c r="A3" t="s">
        <v>175</v>
      </c>
      <c r="B3" t="s">
        <v>176</v>
      </c>
    </row>
    <row r="4" spans="1:2">
      <c r="A4" t="s">
        <v>177</v>
      </c>
      <c r="B4" t="s">
        <v>178</v>
      </c>
    </row>
    <row r="5" spans="1:2">
      <c r="A5" t="s">
        <v>179</v>
      </c>
      <c r="B5" t="s">
        <v>180</v>
      </c>
    </row>
    <row r="6" spans="1:2">
      <c r="A6" t="s">
        <v>133</v>
      </c>
      <c r="B6" t="s">
        <v>181</v>
      </c>
    </row>
    <row r="7" spans="1:2">
      <c r="A7" t="s">
        <v>182</v>
      </c>
      <c r="B7" t="s">
        <v>174</v>
      </c>
    </row>
    <row r="8" spans="1:2">
      <c r="A8" t="s">
        <v>183</v>
      </c>
      <c r="B8" t="s">
        <v>176</v>
      </c>
    </row>
    <row r="9" spans="1:2">
      <c r="A9" t="s">
        <v>184</v>
      </c>
      <c r="B9" t="s">
        <v>178</v>
      </c>
    </row>
    <row r="10" spans="1:2">
      <c r="A10" t="s">
        <v>185</v>
      </c>
      <c r="B10" t="s">
        <v>180</v>
      </c>
    </row>
    <row r="11" spans="1:2">
      <c r="A11" t="s">
        <v>149</v>
      </c>
      <c r="B11" t="s">
        <v>181</v>
      </c>
    </row>
    <row r="12" spans="1:2">
      <c r="A12" t="s">
        <v>186</v>
      </c>
      <c r="B12" t="s">
        <v>178</v>
      </c>
    </row>
    <row r="13" spans="1:2">
      <c r="A13" t="s">
        <v>187</v>
      </c>
      <c r="B13" t="s">
        <v>180</v>
      </c>
    </row>
    <row r="14" spans="1:2">
      <c r="A14" t="s">
        <v>85</v>
      </c>
      <c r="B14" t="s">
        <v>181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R13"/>
  <sheetViews>
    <sheetView workbookViewId="0">
      <selection activeCell="D22" sqref="D22"/>
    </sheetView>
  </sheetViews>
  <sheetFormatPr baseColWidth="10" defaultColWidth="11.5" defaultRowHeight="15"/>
  <cols>
    <col min="1" max="1" width="4" customWidth="1"/>
    <col min="2" max="3" width="31.33203125" customWidth="1"/>
    <col min="4" max="4" width="30.5" customWidth="1"/>
    <col min="5" max="5" width="24.5" customWidth="1"/>
    <col min="6" max="6" width="22.6640625" customWidth="1"/>
    <col min="7" max="7" width="37" customWidth="1"/>
    <col min="8" max="8" width="21.33203125" customWidth="1"/>
    <col min="9" max="9" width="13.6640625" customWidth="1"/>
    <col min="10" max="10" width="17.33203125" customWidth="1"/>
    <col min="13" max="13" width="15.6640625" customWidth="1"/>
    <col min="14" max="14" width="14.6640625" customWidth="1"/>
    <col min="17" max="17" width="24.6640625" customWidth="1"/>
    <col min="18" max="18" width="29.5" customWidth="1"/>
  </cols>
  <sheetData>
    <row r="1" spans="2:18">
      <c r="B1" s="380" t="s">
        <v>23</v>
      </c>
      <c r="C1" s="380"/>
      <c r="D1" s="380"/>
      <c r="E1" s="380"/>
      <c r="F1" s="380"/>
      <c r="G1" s="380"/>
      <c r="H1" s="380"/>
      <c r="I1" s="380"/>
      <c r="J1" s="380"/>
      <c r="L1" s="380" t="s">
        <v>25</v>
      </c>
      <c r="M1" s="380"/>
      <c r="N1" s="380"/>
      <c r="O1" s="380"/>
      <c r="P1" s="380"/>
      <c r="Q1" s="380"/>
      <c r="R1" s="380"/>
    </row>
    <row r="2" spans="2:18" ht="50.25" customHeight="1">
      <c r="B2" s="167" t="s">
        <v>188</v>
      </c>
      <c r="C2" s="167" t="s">
        <v>189</v>
      </c>
      <c r="D2" s="166" t="s">
        <v>31</v>
      </c>
      <c r="E2" s="166" t="s">
        <v>190</v>
      </c>
      <c r="F2" s="166" t="s">
        <v>191</v>
      </c>
      <c r="G2" s="167" t="s">
        <v>192</v>
      </c>
      <c r="H2" s="167" t="s">
        <v>193</v>
      </c>
      <c r="I2" s="167" t="s">
        <v>194</v>
      </c>
      <c r="J2" s="166" t="s">
        <v>195</v>
      </c>
      <c r="L2" s="165" t="s">
        <v>73</v>
      </c>
      <c r="M2" s="165" t="s">
        <v>74</v>
      </c>
      <c r="N2" s="165" t="s">
        <v>26</v>
      </c>
      <c r="O2" s="165" t="s">
        <v>76</v>
      </c>
      <c r="P2" s="165" t="s">
        <v>77</v>
      </c>
      <c r="Q2" s="165" t="s">
        <v>54</v>
      </c>
      <c r="R2" s="168" t="s">
        <v>196</v>
      </c>
    </row>
    <row r="3" spans="2:18" ht="28">
      <c r="B3" s="18" t="s">
        <v>144</v>
      </c>
      <c r="C3" s="18" t="s">
        <v>197</v>
      </c>
      <c r="D3" s="111" t="s">
        <v>126</v>
      </c>
      <c r="E3" s="111" t="s">
        <v>127</v>
      </c>
      <c r="F3" t="s">
        <v>198</v>
      </c>
      <c r="G3" s="111" t="s">
        <v>199</v>
      </c>
      <c r="H3" t="s">
        <v>200</v>
      </c>
      <c r="I3" t="s">
        <v>201</v>
      </c>
      <c r="J3" t="s">
        <v>202</v>
      </c>
      <c r="L3" s="2" t="s">
        <v>88</v>
      </c>
      <c r="M3" s="2" t="s">
        <v>203</v>
      </c>
      <c r="N3" s="2" t="s">
        <v>90</v>
      </c>
      <c r="O3" s="2" t="s">
        <v>91</v>
      </c>
      <c r="P3" s="2" t="s">
        <v>204</v>
      </c>
      <c r="Q3" s="2" t="s">
        <v>205</v>
      </c>
      <c r="R3" t="s">
        <v>206</v>
      </c>
    </row>
    <row r="4" spans="2:18" ht="31.5" customHeight="1">
      <c r="B4" s="18" t="s">
        <v>78</v>
      </c>
      <c r="C4" s="18" t="s">
        <v>207</v>
      </c>
      <c r="D4" s="111" t="s">
        <v>208</v>
      </c>
      <c r="E4" s="111" t="s">
        <v>209</v>
      </c>
      <c r="F4" t="s">
        <v>128</v>
      </c>
      <c r="G4" s="111" t="s">
        <v>132</v>
      </c>
      <c r="H4" t="s">
        <v>210</v>
      </c>
      <c r="I4" t="s">
        <v>211</v>
      </c>
      <c r="J4" t="s">
        <v>212</v>
      </c>
      <c r="L4" s="2" t="s">
        <v>111</v>
      </c>
      <c r="M4" s="2" t="s">
        <v>89</v>
      </c>
      <c r="N4" s="2" t="s">
        <v>103</v>
      </c>
      <c r="O4" s="2" t="s">
        <v>213</v>
      </c>
      <c r="P4" s="2" t="s">
        <v>214</v>
      </c>
      <c r="Q4" s="2" t="s">
        <v>215</v>
      </c>
      <c r="R4" t="s">
        <v>216</v>
      </c>
    </row>
    <row r="5" spans="2:18" ht="26.25" customHeight="1">
      <c r="B5" s="18" t="s">
        <v>125</v>
      </c>
      <c r="C5" s="18" t="s">
        <v>217</v>
      </c>
      <c r="D5" s="111" t="s">
        <v>79</v>
      </c>
      <c r="E5" s="111" t="s">
        <v>218</v>
      </c>
      <c r="F5" t="s">
        <v>219</v>
      </c>
      <c r="G5" s="111" t="s">
        <v>220</v>
      </c>
      <c r="I5" t="s">
        <v>221</v>
      </c>
      <c r="J5" t="s">
        <v>222</v>
      </c>
      <c r="L5" s="2" t="s">
        <v>223</v>
      </c>
      <c r="P5" s="2" t="s">
        <v>224</v>
      </c>
      <c r="Q5" s="2" t="s">
        <v>225</v>
      </c>
    </row>
    <row r="6" spans="2:18" ht="24.75" customHeight="1">
      <c r="B6" s="18" t="s">
        <v>38</v>
      </c>
      <c r="C6" s="18" t="s">
        <v>226</v>
      </c>
      <c r="D6" s="111"/>
      <c r="F6" t="s">
        <v>145</v>
      </c>
      <c r="G6" s="111" t="s">
        <v>227</v>
      </c>
      <c r="I6" t="s">
        <v>228</v>
      </c>
      <c r="J6" t="s">
        <v>229</v>
      </c>
      <c r="Q6" s="2" t="s">
        <v>94</v>
      </c>
    </row>
    <row r="7" spans="2:18" ht="26.25" customHeight="1">
      <c r="B7" s="18"/>
      <c r="C7" s="18" t="s">
        <v>230</v>
      </c>
      <c r="D7" s="111"/>
      <c r="F7" t="s">
        <v>80</v>
      </c>
      <c r="G7" s="111" t="s">
        <v>84</v>
      </c>
      <c r="I7" t="s">
        <v>231</v>
      </c>
      <c r="Q7" s="2" t="s">
        <v>232</v>
      </c>
    </row>
    <row r="8" spans="2:18" ht="32">
      <c r="B8" s="18"/>
      <c r="C8" s="18"/>
      <c r="D8" s="111"/>
      <c r="F8" t="s">
        <v>233</v>
      </c>
      <c r="G8" s="111" t="s">
        <v>234</v>
      </c>
      <c r="I8" s="111" t="s">
        <v>235</v>
      </c>
    </row>
    <row r="9" spans="2:18" ht="31.5" customHeight="1">
      <c r="B9" s="18"/>
      <c r="C9" s="18"/>
      <c r="D9" s="111"/>
      <c r="G9" s="111" t="s">
        <v>236</v>
      </c>
      <c r="I9" t="s">
        <v>237</v>
      </c>
    </row>
    <row r="10" spans="2:18">
      <c r="B10" s="18"/>
      <c r="C10" s="18"/>
      <c r="D10" s="111"/>
      <c r="I10" t="s">
        <v>238</v>
      </c>
    </row>
    <row r="11" spans="2:18">
      <c r="B11" s="18"/>
      <c r="C11" s="18"/>
      <c r="D11" s="111"/>
    </row>
    <row r="12" spans="2:18">
      <c r="B12" s="18"/>
      <c r="C12" s="18"/>
      <c r="I12" t="s">
        <v>238</v>
      </c>
    </row>
    <row r="13" spans="2:18">
      <c r="B13" s="18"/>
      <c r="C13" s="18"/>
    </row>
  </sheetData>
  <mergeCells count="2">
    <mergeCell ref="B1:J1"/>
    <mergeCell ref="L1:R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H31"/>
  <sheetViews>
    <sheetView showGridLines="0" topLeftCell="A5" zoomScale="120" zoomScaleNormal="120" workbookViewId="0">
      <selection activeCell="G29" sqref="G29"/>
    </sheetView>
  </sheetViews>
  <sheetFormatPr baseColWidth="10" defaultColWidth="11.5" defaultRowHeight="15"/>
  <cols>
    <col min="1" max="1" width="17.5" customWidth="1"/>
    <col min="2" max="2" width="9.6640625" customWidth="1"/>
    <col min="4" max="4" width="72.33203125" customWidth="1"/>
    <col min="5" max="6" width="11" customWidth="1"/>
    <col min="7" max="7" width="11.5" style="138"/>
    <col min="8" max="8" width="11.5" style="15"/>
  </cols>
  <sheetData>
    <row r="1" spans="1:8" ht="16" thickBot="1"/>
    <row r="2" spans="1:8" ht="19.5" customHeight="1">
      <c r="B2" s="275" t="s">
        <v>0</v>
      </c>
      <c r="C2" s="276"/>
      <c r="D2" s="386" t="s">
        <v>239</v>
      </c>
      <c r="E2" s="402" t="s">
        <v>9</v>
      </c>
      <c r="F2" s="282"/>
    </row>
    <row r="3" spans="1:8" ht="19.5" customHeight="1">
      <c r="B3" s="277"/>
      <c r="C3" s="278"/>
      <c r="D3" s="387"/>
      <c r="E3" s="403" t="s">
        <v>3</v>
      </c>
      <c r="F3" s="284"/>
    </row>
    <row r="4" spans="1:8" ht="19.5" customHeight="1">
      <c r="B4" s="277"/>
      <c r="C4" s="278"/>
      <c r="D4" s="387"/>
      <c r="E4" s="403" t="s">
        <v>240</v>
      </c>
      <c r="F4" s="284"/>
    </row>
    <row r="5" spans="1:8" ht="19.5" customHeight="1" thickBot="1">
      <c r="A5" t="s">
        <v>18</v>
      </c>
      <c r="B5" s="279"/>
      <c r="C5" s="280"/>
      <c r="D5" s="388"/>
      <c r="E5" s="404" t="s">
        <v>5</v>
      </c>
      <c r="F5" s="286"/>
    </row>
    <row r="6" spans="1:8" ht="16" thickBot="1"/>
    <row r="7" spans="1:8">
      <c r="B7" s="389" t="s">
        <v>241</v>
      </c>
      <c r="C7" s="392" t="s">
        <v>242</v>
      </c>
      <c r="D7" s="393"/>
      <c r="E7" s="398" t="s">
        <v>243</v>
      </c>
      <c r="F7" s="399"/>
    </row>
    <row r="8" spans="1:8" ht="16" thickBot="1">
      <c r="B8" s="390"/>
      <c r="C8" s="394"/>
      <c r="D8" s="395"/>
      <c r="E8" s="400"/>
      <c r="F8" s="401"/>
      <c r="H8" s="148"/>
    </row>
    <row r="9" spans="1:8" ht="16" thickBot="1">
      <c r="B9" s="391"/>
      <c r="C9" s="396" t="s">
        <v>244</v>
      </c>
      <c r="D9" s="397"/>
      <c r="E9" s="145" t="s">
        <v>200</v>
      </c>
      <c r="F9" s="145" t="s">
        <v>210</v>
      </c>
      <c r="H9" s="148"/>
    </row>
    <row r="10" spans="1:8" ht="16" thickBot="1">
      <c r="B10" s="144">
        <v>1</v>
      </c>
      <c r="C10" s="384" t="s">
        <v>245</v>
      </c>
      <c r="D10" s="385"/>
      <c r="E10" s="140" t="s">
        <v>246</v>
      </c>
      <c r="F10" s="141"/>
      <c r="H10" s="148"/>
    </row>
    <row r="11" spans="1:8" ht="16" thickBot="1">
      <c r="B11" s="144">
        <v>2</v>
      </c>
      <c r="C11" s="384" t="s">
        <v>247</v>
      </c>
      <c r="D11" s="385" t="s">
        <v>247</v>
      </c>
      <c r="E11" s="140" t="s">
        <v>246</v>
      </c>
      <c r="F11" s="141"/>
      <c r="H11" s="149"/>
    </row>
    <row r="12" spans="1:8" ht="16" thickBot="1">
      <c r="B12" s="144">
        <v>3</v>
      </c>
      <c r="C12" s="384" t="s">
        <v>248</v>
      </c>
      <c r="D12" s="385" t="s">
        <v>248</v>
      </c>
      <c r="E12" s="140" t="s">
        <v>246</v>
      </c>
      <c r="F12" s="141"/>
    </row>
    <row r="13" spans="1:8" ht="16" thickBot="1">
      <c r="B13" s="144">
        <v>4</v>
      </c>
      <c r="C13" s="384" t="s">
        <v>249</v>
      </c>
      <c r="D13" s="385" t="s">
        <v>250</v>
      </c>
      <c r="E13" s="140" t="s">
        <v>246</v>
      </c>
      <c r="F13" s="141"/>
    </row>
    <row r="14" spans="1:8" ht="16" thickBot="1">
      <c r="B14" s="144">
        <v>5</v>
      </c>
      <c r="C14" s="384" t="s">
        <v>251</v>
      </c>
      <c r="D14" s="385" t="s">
        <v>251</v>
      </c>
      <c r="E14" s="140" t="s">
        <v>246</v>
      </c>
      <c r="F14" s="141"/>
    </row>
    <row r="15" spans="1:8" ht="16" thickBot="1">
      <c r="B15" s="144">
        <v>6</v>
      </c>
      <c r="C15" s="384" t="s">
        <v>252</v>
      </c>
      <c r="D15" s="385" t="s">
        <v>252</v>
      </c>
      <c r="E15" s="140" t="s">
        <v>246</v>
      </c>
      <c r="F15" s="141"/>
    </row>
    <row r="16" spans="1:8" ht="16" thickBot="1">
      <c r="B16" s="144">
        <v>7</v>
      </c>
      <c r="C16" s="384" t="s">
        <v>253</v>
      </c>
      <c r="D16" s="385" t="s">
        <v>253</v>
      </c>
      <c r="E16" s="140" t="s">
        <v>246</v>
      </c>
      <c r="F16" s="141"/>
    </row>
    <row r="17" spans="1:7" ht="28.5" customHeight="1" thickBot="1">
      <c r="B17" s="144">
        <v>8</v>
      </c>
      <c r="C17" s="384" t="s">
        <v>254</v>
      </c>
      <c r="D17" s="385" t="s">
        <v>254</v>
      </c>
      <c r="E17" s="140" t="s">
        <v>246</v>
      </c>
      <c r="F17" s="141"/>
    </row>
    <row r="18" spans="1:7" ht="18.75" customHeight="1" thickBot="1">
      <c r="B18" s="144">
        <v>9</v>
      </c>
      <c r="C18" s="384" t="s">
        <v>255</v>
      </c>
      <c r="D18" s="385" t="s">
        <v>255</v>
      </c>
      <c r="E18" s="140"/>
      <c r="F18" s="141" t="s">
        <v>246</v>
      </c>
    </row>
    <row r="19" spans="1:7" ht="16" thickBot="1">
      <c r="B19" s="144">
        <v>10</v>
      </c>
      <c r="C19" s="384" t="s">
        <v>256</v>
      </c>
      <c r="D19" s="385" t="s">
        <v>256</v>
      </c>
      <c r="E19" s="140" t="s">
        <v>246</v>
      </c>
      <c r="F19" s="141"/>
    </row>
    <row r="20" spans="1:7" ht="16" thickBot="1">
      <c r="B20" s="144">
        <v>11</v>
      </c>
      <c r="C20" s="384" t="s">
        <v>257</v>
      </c>
      <c r="D20" s="385" t="s">
        <v>257</v>
      </c>
      <c r="E20" s="140" t="s">
        <v>246</v>
      </c>
      <c r="F20" s="141"/>
    </row>
    <row r="21" spans="1:7" ht="16" thickBot="1">
      <c r="B21" s="144">
        <v>12</v>
      </c>
      <c r="C21" s="384" t="s">
        <v>258</v>
      </c>
      <c r="D21" s="385" t="s">
        <v>258</v>
      </c>
      <c r="E21" s="140" t="s">
        <v>246</v>
      </c>
      <c r="F21" s="141"/>
    </row>
    <row r="22" spans="1:7" ht="16" thickBot="1">
      <c r="B22" s="144">
        <v>13</v>
      </c>
      <c r="C22" s="384" t="s">
        <v>259</v>
      </c>
      <c r="D22" s="385" t="s">
        <v>259</v>
      </c>
      <c r="E22" s="140" t="s">
        <v>246</v>
      </c>
      <c r="F22" s="141"/>
    </row>
    <row r="23" spans="1:7" ht="16" thickBot="1">
      <c r="B23" s="144">
        <v>14</v>
      </c>
      <c r="C23" s="384" t="s">
        <v>260</v>
      </c>
      <c r="D23" s="385" t="s">
        <v>260</v>
      </c>
      <c r="E23" s="140" t="s">
        <v>246</v>
      </c>
      <c r="F23" s="141"/>
    </row>
    <row r="24" spans="1:7" ht="16" thickBot="1">
      <c r="B24" s="144">
        <v>15</v>
      </c>
      <c r="C24" s="384" t="s">
        <v>261</v>
      </c>
      <c r="D24" s="385" t="s">
        <v>261</v>
      </c>
      <c r="E24" s="140" t="s">
        <v>246</v>
      </c>
      <c r="F24" s="141"/>
    </row>
    <row r="25" spans="1:7" ht="16" thickBot="1">
      <c r="B25" s="144">
        <v>16</v>
      </c>
      <c r="C25" s="384" t="s">
        <v>262</v>
      </c>
      <c r="D25" s="385" t="s">
        <v>262</v>
      </c>
      <c r="E25" s="140"/>
      <c r="F25" s="141" t="s">
        <v>246</v>
      </c>
    </row>
    <row r="26" spans="1:7" ht="16" thickBot="1">
      <c r="B26" s="144">
        <v>17</v>
      </c>
      <c r="C26" s="384" t="s">
        <v>263</v>
      </c>
      <c r="D26" s="385" t="s">
        <v>263</v>
      </c>
      <c r="E26" s="140"/>
      <c r="F26" s="141" t="s">
        <v>246</v>
      </c>
    </row>
    <row r="27" spans="1:7" ht="16" thickBot="1">
      <c r="B27" s="144">
        <v>18</v>
      </c>
      <c r="C27" s="384" t="s">
        <v>264</v>
      </c>
      <c r="D27" s="385" t="s">
        <v>264</v>
      </c>
      <c r="E27" s="140" t="s">
        <v>246</v>
      </c>
      <c r="F27" s="141"/>
    </row>
    <row r="28" spans="1:7" ht="16" thickBot="1">
      <c r="B28" s="144">
        <v>19</v>
      </c>
      <c r="C28" s="384" t="s">
        <v>265</v>
      </c>
      <c r="D28" s="385" t="s">
        <v>265</v>
      </c>
      <c r="E28" s="140"/>
      <c r="F28" s="141" t="s">
        <v>246</v>
      </c>
    </row>
    <row r="29" spans="1:7">
      <c r="C29" s="139"/>
      <c r="D29" s="139"/>
      <c r="E29" s="147">
        <f>COUNTIF(E10:E28,"x")</f>
        <v>15</v>
      </c>
      <c r="F29" s="147">
        <f>COUNTIF(F10:F28,"x")</f>
        <v>4</v>
      </c>
      <c r="G29" s="146" t="str">
        <f>IF(E29=0,"",IF(E29&lt;=5,"Moderado",IF(E29&lt;=11,"Mayor",IF(E29&lt;=19,"Catastrófico",""))))</f>
        <v>Catastrófico</v>
      </c>
    </row>
    <row r="30" spans="1:7">
      <c r="C30" s="137"/>
      <c r="D30" s="137"/>
      <c r="E30" s="137"/>
      <c r="F30" s="137"/>
    </row>
    <row r="31" spans="1:7" ht="66" customHeight="1">
      <c r="A31" s="381" t="s">
        <v>266</v>
      </c>
      <c r="B31" s="382"/>
      <c r="C31" s="382"/>
      <c r="D31" s="382"/>
      <c r="E31" s="382"/>
      <c r="F31" s="383"/>
    </row>
  </sheetData>
  <mergeCells count="30">
    <mergeCell ref="C14:D14"/>
    <mergeCell ref="C28:D28"/>
    <mergeCell ref="C17:D17"/>
    <mergeCell ref="C18:D18"/>
    <mergeCell ref="C19:D19"/>
    <mergeCell ref="C20:D20"/>
    <mergeCell ref="C21:D21"/>
    <mergeCell ref="C22:D22"/>
    <mergeCell ref="C23:D23"/>
    <mergeCell ref="C24:D24"/>
    <mergeCell ref="C25:D25"/>
    <mergeCell ref="C26:D26"/>
    <mergeCell ref="C27:D27"/>
    <mergeCell ref="C15:D15"/>
    <mergeCell ref="A31:F31"/>
    <mergeCell ref="C12:D12"/>
    <mergeCell ref="D2:D5"/>
    <mergeCell ref="B7:B9"/>
    <mergeCell ref="C7:D8"/>
    <mergeCell ref="C9:D9"/>
    <mergeCell ref="C11:D11"/>
    <mergeCell ref="B2:C5"/>
    <mergeCell ref="C10:D10"/>
    <mergeCell ref="E7:F8"/>
    <mergeCell ref="E2:F2"/>
    <mergeCell ref="E3:F3"/>
    <mergeCell ref="E4:F4"/>
    <mergeCell ref="E5:F5"/>
    <mergeCell ref="C16:D16"/>
    <mergeCell ref="C13:D13"/>
  </mergeCells>
  <conditionalFormatting sqref="G29">
    <cfRule type="cellIs" dxfId="2" priority="1" stopIfTrue="1" operator="equal">
      <formula>"Catastrófico"</formula>
    </cfRule>
    <cfRule type="cellIs" dxfId="1" priority="2" stopIfTrue="1" operator="equal">
      <formula>"Moderado"</formula>
    </cfRule>
    <cfRule type="cellIs" dxfId="0" priority="3" stopIfTrue="1" operator="equal">
      <formula>"Mayor"</formula>
    </cfRule>
  </conditionalFormatting>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Intructivo!$J$2</xm:f>
          </x14:formula1>
          <xm:sqref>E10:F28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B30"/>
  <sheetViews>
    <sheetView zoomScale="70" zoomScaleNormal="70" workbookViewId="0">
      <selection activeCell="G93" sqref="G93"/>
    </sheetView>
  </sheetViews>
  <sheetFormatPr baseColWidth="10" defaultColWidth="11.5" defaultRowHeight="15"/>
  <sheetData>
    <row r="2" spans="2:2">
      <c r="B2" t="s">
        <v>267</v>
      </c>
    </row>
    <row r="30" spans="2:2">
      <c r="B30" t="s">
        <v>268</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C1:D75"/>
  <sheetViews>
    <sheetView topLeftCell="K64" workbookViewId="0">
      <selection activeCell="C41" sqref="C41"/>
    </sheetView>
  </sheetViews>
  <sheetFormatPr baseColWidth="10" defaultColWidth="11.5" defaultRowHeight="15"/>
  <cols>
    <col min="3" max="3" width="119" customWidth="1"/>
    <col min="4" max="4" width="33.33203125" customWidth="1"/>
  </cols>
  <sheetData>
    <row r="1" spans="3:4" ht="16" thickBot="1"/>
    <row r="2" spans="3:4">
      <c r="C2" s="405" t="s">
        <v>269</v>
      </c>
      <c r="D2" s="406"/>
    </row>
    <row r="3" spans="3:4">
      <c r="C3" s="407"/>
      <c r="D3" s="408"/>
    </row>
    <row r="4" spans="3:4" ht="16" thickBot="1">
      <c r="C4" s="150" t="s">
        <v>270</v>
      </c>
      <c r="D4" s="151" t="s">
        <v>271</v>
      </c>
    </row>
    <row r="5" spans="3:4" ht="30" customHeight="1">
      <c r="C5" s="152" t="s">
        <v>272</v>
      </c>
      <c r="D5" s="153">
        <v>1</v>
      </c>
    </row>
    <row r="6" spans="3:4" ht="28.5" customHeight="1">
      <c r="C6" s="154" t="s">
        <v>273</v>
      </c>
      <c r="D6" s="155">
        <v>1</v>
      </c>
    </row>
    <row r="7" spans="3:4" ht="28.5" customHeight="1">
      <c r="C7" s="156" t="s">
        <v>274</v>
      </c>
      <c r="D7" s="155">
        <v>1</v>
      </c>
    </row>
    <row r="8" spans="3:4" ht="28.5" customHeight="1">
      <c r="C8" s="156" t="s">
        <v>275</v>
      </c>
      <c r="D8" s="155">
        <v>1</v>
      </c>
    </row>
    <row r="9" spans="3:4" ht="18.5" customHeight="1">
      <c r="C9" s="156" t="s">
        <v>276</v>
      </c>
      <c r="D9" s="155">
        <v>1</v>
      </c>
    </row>
    <row r="10" spans="3:4" ht="28.5" customHeight="1">
      <c r="C10" s="156" t="s">
        <v>277</v>
      </c>
      <c r="D10" s="155">
        <v>1</v>
      </c>
    </row>
    <row r="11" spans="3:4" ht="21" customHeight="1">
      <c r="C11" s="154" t="s">
        <v>278</v>
      </c>
      <c r="D11" s="155">
        <v>1</v>
      </c>
    </row>
    <row r="12" spans="3:4" ht="21" customHeight="1">
      <c r="C12" s="154" t="s">
        <v>279</v>
      </c>
      <c r="D12" s="155">
        <v>1</v>
      </c>
    </row>
    <row r="13" spans="3:4" ht="21.5" customHeight="1">
      <c r="C13" s="154" t="s">
        <v>280</v>
      </c>
      <c r="D13" s="155">
        <v>1</v>
      </c>
    </row>
    <row r="14" spans="3:4" ht="28.5" customHeight="1">
      <c r="C14" s="154" t="s">
        <v>281</v>
      </c>
      <c r="D14" s="155">
        <v>1</v>
      </c>
    </row>
    <row r="15" spans="3:4" ht="22.5" customHeight="1">
      <c r="C15" s="157"/>
      <c r="D15" s="155">
        <v>1</v>
      </c>
    </row>
    <row r="16" spans="3:4" ht="28.5" customHeight="1">
      <c r="C16" s="158" t="s">
        <v>282</v>
      </c>
      <c r="D16" s="159"/>
    </row>
    <row r="17" spans="3:4" ht="28.5" customHeight="1">
      <c r="C17" s="152" t="s">
        <v>283</v>
      </c>
      <c r="D17" s="155">
        <v>1</v>
      </c>
    </row>
    <row r="18" spans="3:4" ht="28.5" customHeight="1">
      <c r="C18" s="152" t="s">
        <v>284</v>
      </c>
      <c r="D18" s="155">
        <v>1</v>
      </c>
    </row>
    <row r="19" spans="3:4" ht="28.5" customHeight="1">
      <c r="C19" s="152" t="s">
        <v>285</v>
      </c>
      <c r="D19" s="155">
        <v>1</v>
      </c>
    </row>
    <row r="20" spans="3:4" ht="28.5" customHeight="1">
      <c r="C20" s="154" t="s">
        <v>286</v>
      </c>
      <c r="D20" s="155">
        <v>1</v>
      </c>
    </row>
    <row r="21" spans="3:4" ht="28.5" customHeight="1">
      <c r="C21" s="152" t="s">
        <v>287</v>
      </c>
      <c r="D21" s="155">
        <v>1</v>
      </c>
    </row>
    <row r="22" spans="3:4" ht="28.5" customHeight="1">
      <c r="C22" s="160" t="s">
        <v>288</v>
      </c>
      <c r="D22" s="155">
        <v>1</v>
      </c>
    </row>
    <row r="23" spans="3:4" ht="28.5" customHeight="1">
      <c r="C23" s="152" t="s">
        <v>289</v>
      </c>
      <c r="D23" s="155">
        <v>1</v>
      </c>
    </row>
    <row r="24" spans="3:4" ht="28.5" customHeight="1">
      <c r="C24" s="152" t="s">
        <v>290</v>
      </c>
      <c r="D24" s="155">
        <v>1</v>
      </c>
    </row>
    <row r="25" spans="3:4" ht="28.5" customHeight="1">
      <c r="C25" s="157"/>
      <c r="D25" s="155">
        <v>1</v>
      </c>
    </row>
    <row r="26" spans="3:4" ht="28.5" customHeight="1">
      <c r="C26" s="157"/>
      <c r="D26" s="155">
        <v>1</v>
      </c>
    </row>
    <row r="27" spans="3:4" ht="28.5" customHeight="1">
      <c r="C27" s="158" t="s">
        <v>291</v>
      </c>
      <c r="D27" s="161"/>
    </row>
    <row r="28" spans="3:4" ht="28.5" customHeight="1">
      <c r="C28" s="156" t="s">
        <v>292</v>
      </c>
      <c r="D28" s="155">
        <v>1</v>
      </c>
    </row>
    <row r="29" spans="3:4" ht="28.5" customHeight="1">
      <c r="C29" s="156" t="s">
        <v>293</v>
      </c>
      <c r="D29" s="155">
        <v>1</v>
      </c>
    </row>
    <row r="30" spans="3:4" ht="28.5" customHeight="1">
      <c r="C30" s="156" t="s">
        <v>294</v>
      </c>
      <c r="D30" s="155">
        <v>1</v>
      </c>
    </row>
    <row r="31" spans="3:4" ht="28.5" customHeight="1">
      <c r="C31" s="156" t="s">
        <v>295</v>
      </c>
      <c r="D31" s="155">
        <v>1</v>
      </c>
    </row>
    <row r="32" spans="3:4" ht="28.5" customHeight="1">
      <c r="C32" s="156" t="s">
        <v>296</v>
      </c>
      <c r="D32" s="155">
        <v>1</v>
      </c>
    </row>
    <row r="33" spans="3:4" ht="28.5" customHeight="1">
      <c r="C33" s="162" t="s">
        <v>297</v>
      </c>
      <c r="D33" s="155">
        <v>1</v>
      </c>
    </row>
    <row r="34" spans="3:4" ht="28.5" customHeight="1">
      <c r="C34" s="154" t="s">
        <v>298</v>
      </c>
      <c r="D34" s="155">
        <v>1</v>
      </c>
    </row>
    <row r="35" spans="3:4" ht="28.5" customHeight="1">
      <c r="C35" s="156" t="s">
        <v>299</v>
      </c>
      <c r="D35" s="155">
        <v>1</v>
      </c>
    </row>
    <row r="36" spans="3:4" ht="28.5" customHeight="1">
      <c r="C36" s="156" t="s">
        <v>300</v>
      </c>
      <c r="D36" s="155">
        <v>1</v>
      </c>
    </row>
    <row r="37" spans="3:4" ht="28.5" customHeight="1">
      <c r="C37" s="156" t="s">
        <v>301</v>
      </c>
      <c r="D37" s="155">
        <v>1</v>
      </c>
    </row>
    <row r="38" spans="3:4" ht="28.5" customHeight="1">
      <c r="C38" s="154" t="s">
        <v>302</v>
      </c>
      <c r="D38" s="155">
        <v>1</v>
      </c>
    </row>
    <row r="39" spans="3:4" ht="28.5" customHeight="1">
      <c r="C39" s="162" t="s">
        <v>303</v>
      </c>
      <c r="D39" s="155">
        <v>1</v>
      </c>
    </row>
    <row r="40" spans="3:4" ht="28.5" customHeight="1">
      <c r="C40" s="162" t="s">
        <v>304</v>
      </c>
      <c r="D40" s="155">
        <v>1</v>
      </c>
    </row>
    <row r="41" spans="3:4" ht="28.5" customHeight="1">
      <c r="C41" s="162" t="s">
        <v>305</v>
      </c>
      <c r="D41" s="155">
        <v>1</v>
      </c>
    </row>
    <row r="42" spans="3:4" ht="28.5" customHeight="1">
      <c r="C42" s="162" t="s">
        <v>306</v>
      </c>
      <c r="D42" s="155">
        <v>1</v>
      </c>
    </row>
    <row r="43" spans="3:4" ht="28.5" customHeight="1">
      <c r="C43" s="163"/>
      <c r="D43" s="155"/>
    </row>
    <row r="44" spans="3:4" ht="28.5" customHeight="1">
      <c r="C44" s="163"/>
      <c r="D44" s="155"/>
    </row>
    <row r="45" spans="3:4" ht="28.5" customHeight="1">
      <c r="C45" s="158" t="s">
        <v>307</v>
      </c>
      <c r="D45" s="161"/>
    </row>
    <row r="46" spans="3:4" ht="28.5" customHeight="1">
      <c r="C46" s="162" t="s">
        <v>308</v>
      </c>
      <c r="D46" s="155">
        <v>1</v>
      </c>
    </row>
    <row r="47" spans="3:4" ht="28.5" customHeight="1">
      <c r="C47" s="162" t="s">
        <v>309</v>
      </c>
      <c r="D47" s="155">
        <v>1</v>
      </c>
    </row>
    <row r="48" spans="3:4" ht="28.5" customHeight="1">
      <c r="C48" s="162" t="s">
        <v>310</v>
      </c>
      <c r="D48" s="155">
        <v>1</v>
      </c>
    </row>
    <row r="49" spans="3:4" ht="28.5" customHeight="1">
      <c r="C49" s="162" t="s">
        <v>311</v>
      </c>
      <c r="D49" s="155">
        <v>1</v>
      </c>
    </row>
    <row r="50" spans="3:4" ht="28.5" customHeight="1">
      <c r="C50" s="164" t="s">
        <v>312</v>
      </c>
      <c r="D50" s="155">
        <v>1</v>
      </c>
    </row>
    <row r="51" spans="3:4" ht="28.5" customHeight="1">
      <c r="C51" s="164" t="s">
        <v>313</v>
      </c>
      <c r="D51" s="155">
        <v>1</v>
      </c>
    </row>
    <row r="52" spans="3:4" ht="28.5" customHeight="1">
      <c r="C52" s="164" t="s">
        <v>314</v>
      </c>
      <c r="D52" s="155">
        <v>1</v>
      </c>
    </row>
    <row r="53" spans="3:4" ht="28.5" customHeight="1">
      <c r="C53" s="152" t="s">
        <v>315</v>
      </c>
      <c r="D53" s="155">
        <v>1</v>
      </c>
    </row>
    <row r="54" spans="3:4" ht="28.5" customHeight="1">
      <c r="C54" s="152" t="s">
        <v>316</v>
      </c>
      <c r="D54" s="155">
        <v>1</v>
      </c>
    </row>
    <row r="55" spans="3:4" ht="28.5" customHeight="1"/>
    <row r="56" spans="3:4" ht="11" customHeight="1"/>
    <row r="57" spans="3:4" ht="11" customHeight="1"/>
    <row r="58" spans="3:4" ht="11" customHeight="1"/>
    <row r="59" spans="3:4" ht="11" customHeight="1"/>
    <row r="60" spans="3:4" ht="11" customHeight="1"/>
    <row r="61" spans="3:4" ht="11" customHeight="1"/>
    <row r="62" spans="3:4" ht="11" customHeight="1"/>
    <row r="63" spans="3:4" ht="11" customHeight="1"/>
    <row r="64" spans="3:4" ht="11" customHeight="1"/>
    <row r="65" ht="11" customHeight="1"/>
    <row r="66" ht="11" customHeight="1"/>
    <row r="67" ht="11" customHeight="1"/>
    <row r="68" ht="11" customHeight="1"/>
    <row r="69" ht="11" customHeight="1"/>
    <row r="70" ht="11" customHeight="1"/>
    <row r="71" ht="11" customHeight="1"/>
    <row r="72" ht="11" customHeight="1"/>
    <row r="73" ht="11" customHeight="1"/>
    <row r="74" ht="11" customHeight="1"/>
    <row r="75" ht="11" customHeight="1"/>
  </sheetData>
  <mergeCells count="1">
    <mergeCell ref="C2:D3"/>
  </mergeCells>
  <conditionalFormatting sqref="D5:D15 D17:D26 D43:D44">
    <cfRule type="iconSet" priority="6">
      <iconSet>
        <cfvo type="percent" val="0"/>
        <cfvo type="percent" val="33"/>
        <cfvo type="percent" val="67"/>
      </iconSet>
    </cfRule>
  </conditionalFormatting>
  <conditionalFormatting sqref="D28:D42">
    <cfRule type="iconSet" priority="4">
      <iconSet>
        <cfvo type="percent" val="0"/>
        <cfvo type="percent" val="33"/>
        <cfvo type="percent" val="67"/>
      </iconSet>
    </cfRule>
  </conditionalFormatting>
  <conditionalFormatting sqref="D46:D54">
    <cfRule type="iconSet" priority="2">
      <iconSet>
        <cfvo type="percent" val="0"/>
        <cfvo type="percent" val="33"/>
        <cfvo type="percent" val="67"/>
      </iconSe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5" id="{06EB6435-C432-4D19-A0A0-EA03417474CA}">
            <x14:iconSet showValue="0" custom="1">
              <x14:cfvo type="percent">
                <xm:f>0</xm:f>
              </x14:cfvo>
              <x14:cfvo type="percent">
                <xm:f>0</xm:f>
              </x14:cfvo>
              <x14:cfvo type="num">
                <xm:f>1</xm:f>
              </x14:cfvo>
              <x14:cfIcon iconSet="3Symbols" iconId="0"/>
              <x14:cfIcon iconSet="3Symbols" iconId="0"/>
              <x14:cfIcon iconSet="3Symbols" iconId="2"/>
            </x14:iconSet>
          </x14:cfRule>
          <xm:sqref>D5:D15 D17:D26 D43:D44</xm:sqref>
        </x14:conditionalFormatting>
        <x14:conditionalFormatting xmlns:xm="http://schemas.microsoft.com/office/excel/2006/main">
          <x14:cfRule type="iconSet" priority="3" id="{381B375A-42D7-49A6-A52D-2130434D1021}">
            <x14:iconSet showValue="0" custom="1">
              <x14:cfvo type="percent">
                <xm:f>0</xm:f>
              </x14:cfvo>
              <x14:cfvo type="percent">
                <xm:f>0</xm:f>
              </x14:cfvo>
              <x14:cfvo type="num">
                <xm:f>1</xm:f>
              </x14:cfvo>
              <x14:cfIcon iconSet="3Symbols" iconId="0"/>
              <x14:cfIcon iconSet="3Symbols" iconId="0"/>
              <x14:cfIcon iconSet="3Symbols" iconId="2"/>
            </x14:iconSet>
          </x14:cfRule>
          <xm:sqref>D28:D42</xm:sqref>
        </x14:conditionalFormatting>
        <x14:conditionalFormatting xmlns:xm="http://schemas.microsoft.com/office/excel/2006/main">
          <x14:cfRule type="iconSet" priority="1" id="{05A66E2B-23A5-4AC3-BFE1-977F769F42E5}">
            <x14:iconSet showValue="0" custom="1">
              <x14:cfvo type="percent">
                <xm:f>0</xm:f>
              </x14:cfvo>
              <x14:cfvo type="percent">
                <xm:f>0</xm:f>
              </x14:cfvo>
              <x14:cfvo type="num">
                <xm:f>1</xm:f>
              </x14:cfvo>
              <x14:cfIcon iconSet="3Symbols" iconId="0"/>
              <x14:cfIcon iconSet="3Symbols" iconId="0"/>
              <x14:cfIcon iconSet="3Symbols" iconId="2"/>
            </x14:iconSet>
          </x14:cfRule>
          <xm:sqref>D46:D54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CW145"/>
  <sheetViews>
    <sheetView showGridLines="0" showRowColHeaders="0" zoomScale="60" zoomScaleNormal="60" workbookViewId="0">
      <pane ySplit="7" topLeftCell="A8" activePane="bottomLeft" state="frozen"/>
      <selection pane="bottomLeft" activeCell="X51" sqref="X51:AC56"/>
    </sheetView>
  </sheetViews>
  <sheetFormatPr baseColWidth="10" defaultColWidth="11.5" defaultRowHeight="15"/>
  <cols>
    <col min="1" max="1" width="5.33203125" customWidth="1"/>
    <col min="2" max="2" width="8.6640625" customWidth="1"/>
    <col min="3" max="3" width="9" customWidth="1"/>
    <col min="4" max="41" width="5.6640625" customWidth="1"/>
    <col min="43" max="48" width="5.6640625" customWidth="1"/>
  </cols>
  <sheetData>
    <row r="1" spans="1:101" ht="16" thickBot="1"/>
    <row r="2" spans="1:101" ht="15" customHeight="1">
      <c r="D2" s="421" t="s">
        <v>317</v>
      </c>
      <c r="E2" s="422"/>
      <c r="F2" s="422"/>
      <c r="G2" s="422"/>
      <c r="H2" s="422"/>
      <c r="I2" s="422"/>
      <c r="J2" s="422"/>
      <c r="K2" s="423"/>
      <c r="L2" s="412" t="s">
        <v>8</v>
      </c>
      <c r="M2" s="413"/>
      <c r="N2" s="413"/>
      <c r="O2" s="413"/>
      <c r="P2" s="413"/>
      <c r="Q2" s="413"/>
      <c r="R2" s="413"/>
      <c r="S2" s="413"/>
      <c r="T2" s="413"/>
      <c r="U2" s="413"/>
      <c r="V2" s="413"/>
      <c r="W2" s="413"/>
      <c r="X2" s="413"/>
      <c r="Y2" s="413"/>
      <c r="Z2" s="413"/>
      <c r="AA2" s="413"/>
      <c r="AB2" s="413"/>
      <c r="AC2" s="413"/>
      <c r="AD2" s="413"/>
      <c r="AE2" s="413"/>
      <c r="AF2" s="413"/>
      <c r="AG2" s="413"/>
      <c r="AH2" s="413"/>
      <c r="AI2" s="413"/>
      <c r="AJ2" s="413"/>
      <c r="AK2" s="413"/>
      <c r="AL2" s="413"/>
      <c r="AM2" s="413"/>
      <c r="AN2" s="413"/>
      <c r="AO2" s="414"/>
      <c r="AP2" s="402" t="s">
        <v>318</v>
      </c>
      <c r="AQ2" s="409"/>
      <c r="AR2" s="409"/>
      <c r="AS2" s="409"/>
      <c r="AT2" s="409"/>
      <c r="AU2" s="409"/>
      <c r="AV2" s="282"/>
    </row>
    <row r="3" spans="1:101">
      <c r="D3" s="424"/>
      <c r="E3" s="425"/>
      <c r="F3" s="425"/>
      <c r="G3" s="425"/>
      <c r="H3" s="425"/>
      <c r="I3" s="425"/>
      <c r="J3" s="425"/>
      <c r="K3" s="426"/>
      <c r="L3" s="415"/>
      <c r="M3" s="416"/>
      <c r="N3" s="416"/>
      <c r="O3" s="416"/>
      <c r="P3" s="416"/>
      <c r="Q3" s="416"/>
      <c r="R3" s="416"/>
      <c r="S3" s="416"/>
      <c r="T3" s="416"/>
      <c r="U3" s="416"/>
      <c r="V3" s="416"/>
      <c r="W3" s="416"/>
      <c r="X3" s="416"/>
      <c r="Y3" s="416"/>
      <c r="Z3" s="416"/>
      <c r="AA3" s="416"/>
      <c r="AB3" s="416"/>
      <c r="AC3" s="416"/>
      <c r="AD3" s="416"/>
      <c r="AE3" s="416"/>
      <c r="AF3" s="416"/>
      <c r="AG3" s="416"/>
      <c r="AH3" s="416"/>
      <c r="AI3" s="416"/>
      <c r="AJ3" s="416"/>
      <c r="AK3" s="416"/>
      <c r="AL3" s="416"/>
      <c r="AM3" s="416"/>
      <c r="AN3" s="416"/>
      <c r="AO3" s="417"/>
      <c r="AP3" s="403" t="s">
        <v>3</v>
      </c>
      <c r="AQ3" s="410"/>
      <c r="AR3" s="410"/>
      <c r="AS3" s="410"/>
      <c r="AT3" s="410"/>
      <c r="AU3" s="410"/>
      <c r="AV3" s="284"/>
    </row>
    <row r="4" spans="1:101">
      <c r="D4" s="424"/>
      <c r="E4" s="425"/>
      <c r="F4" s="425"/>
      <c r="G4" s="425"/>
      <c r="H4" s="425"/>
      <c r="I4" s="425"/>
      <c r="J4" s="425"/>
      <c r="K4" s="426"/>
      <c r="L4" s="415"/>
      <c r="M4" s="416"/>
      <c r="N4" s="416"/>
      <c r="O4" s="416"/>
      <c r="P4" s="416"/>
      <c r="Q4" s="416"/>
      <c r="R4" s="416"/>
      <c r="S4" s="416"/>
      <c r="T4" s="416"/>
      <c r="U4" s="416"/>
      <c r="V4" s="416"/>
      <c r="W4" s="416"/>
      <c r="X4" s="416"/>
      <c r="Y4" s="416"/>
      <c r="Z4" s="416"/>
      <c r="AA4" s="416"/>
      <c r="AB4" s="416"/>
      <c r="AC4" s="416"/>
      <c r="AD4" s="416"/>
      <c r="AE4" s="416"/>
      <c r="AF4" s="416"/>
      <c r="AG4" s="416"/>
      <c r="AH4" s="416"/>
      <c r="AI4" s="416"/>
      <c r="AJ4" s="416"/>
      <c r="AK4" s="416"/>
      <c r="AL4" s="416"/>
      <c r="AM4" s="416"/>
      <c r="AN4" s="416"/>
      <c r="AO4" s="417"/>
      <c r="AP4" s="403" t="s">
        <v>4</v>
      </c>
      <c r="AQ4" s="410" t="s">
        <v>319</v>
      </c>
      <c r="AR4" s="410"/>
      <c r="AS4" s="410"/>
      <c r="AT4" s="410"/>
      <c r="AU4" s="410"/>
      <c r="AV4" s="284"/>
    </row>
    <row r="5" spans="1:101" ht="16" thickBot="1">
      <c r="D5" s="427"/>
      <c r="E5" s="428"/>
      <c r="F5" s="428"/>
      <c r="G5" s="428"/>
      <c r="H5" s="428"/>
      <c r="I5" s="428"/>
      <c r="J5" s="428"/>
      <c r="K5" s="429"/>
      <c r="L5" s="418"/>
      <c r="M5" s="419"/>
      <c r="N5" s="419"/>
      <c r="O5" s="419"/>
      <c r="P5" s="419"/>
      <c r="Q5" s="419"/>
      <c r="R5" s="419"/>
      <c r="S5" s="419"/>
      <c r="T5" s="419"/>
      <c r="U5" s="419"/>
      <c r="V5" s="419"/>
      <c r="W5" s="419"/>
      <c r="X5" s="419"/>
      <c r="Y5" s="419"/>
      <c r="Z5" s="419"/>
      <c r="AA5" s="419"/>
      <c r="AB5" s="419"/>
      <c r="AC5" s="419"/>
      <c r="AD5" s="419"/>
      <c r="AE5" s="419"/>
      <c r="AF5" s="419"/>
      <c r="AG5" s="419"/>
      <c r="AH5" s="419"/>
      <c r="AI5" s="419"/>
      <c r="AJ5" s="419"/>
      <c r="AK5" s="419"/>
      <c r="AL5" s="419"/>
      <c r="AM5" s="419"/>
      <c r="AN5" s="419"/>
      <c r="AO5" s="420"/>
      <c r="AP5" s="404" t="s">
        <v>5</v>
      </c>
      <c r="AQ5" s="411" t="s">
        <v>5</v>
      </c>
      <c r="AR5" s="411"/>
      <c r="AS5" s="411"/>
      <c r="AT5" s="411"/>
      <c r="AU5" s="411"/>
      <c r="AV5" s="286"/>
    </row>
    <row r="7" spans="1:101" ht="18" customHeight="1">
      <c r="C7" s="68"/>
      <c r="D7" s="516" t="s">
        <v>320</v>
      </c>
      <c r="E7" s="516"/>
      <c r="F7" s="516"/>
      <c r="G7" s="516"/>
      <c r="H7" s="516"/>
      <c r="I7" s="516"/>
      <c r="J7" s="516"/>
      <c r="K7" s="516"/>
      <c r="L7" s="474" t="s">
        <v>31</v>
      </c>
      <c r="M7" s="474"/>
      <c r="N7" s="474"/>
      <c r="O7" s="474"/>
      <c r="P7" s="474"/>
      <c r="Q7" s="474"/>
      <c r="R7" s="474"/>
      <c r="S7" s="474"/>
      <c r="T7" s="474"/>
      <c r="U7" s="474"/>
      <c r="V7" s="474"/>
      <c r="W7" s="474"/>
      <c r="X7" s="474"/>
      <c r="Y7" s="474"/>
      <c r="Z7" s="474"/>
      <c r="AA7" s="474"/>
      <c r="AB7" s="474"/>
      <c r="AC7" s="474"/>
      <c r="AD7" s="474"/>
      <c r="AE7" s="474"/>
      <c r="AF7" s="474"/>
      <c r="AG7" s="474"/>
      <c r="AH7" s="474"/>
      <c r="AI7" s="474"/>
      <c r="AJ7" s="474"/>
      <c r="AK7" s="474"/>
      <c r="AL7" s="474"/>
      <c r="AM7" s="474"/>
      <c r="AN7" s="474"/>
      <c r="AO7" s="474"/>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row>
    <row r="8" spans="1:101" ht="18.75" customHeight="1">
      <c r="A8" s="366" t="s">
        <v>18</v>
      </c>
      <c r="B8" s="366"/>
      <c r="C8" s="367"/>
      <c r="D8" s="516"/>
      <c r="E8" s="516"/>
      <c r="F8" s="516"/>
      <c r="G8" s="516"/>
      <c r="H8" s="516"/>
      <c r="I8" s="516"/>
      <c r="J8" s="516"/>
      <c r="K8" s="516"/>
      <c r="L8" s="474"/>
      <c r="M8" s="474"/>
      <c r="N8" s="474"/>
      <c r="O8" s="474"/>
      <c r="P8" s="474"/>
      <c r="Q8" s="474"/>
      <c r="R8" s="474"/>
      <c r="S8" s="474"/>
      <c r="T8" s="474"/>
      <c r="U8" s="474"/>
      <c r="V8" s="474"/>
      <c r="W8" s="474"/>
      <c r="X8" s="474"/>
      <c r="Y8" s="474"/>
      <c r="Z8" s="474"/>
      <c r="AA8" s="474"/>
      <c r="AB8" s="474"/>
      <c r="AC8" s="474"/>
      <c r="AD8" s="474"/>
      <c r="AE8" s="474"/>
      <c r="AF8" s="474"/>
      <c r="AG8" s="474"/>
      <c r="AH8" s="474"/>
      <c r="AI8" s="474"/>
      <c r="AJ8" s="474"/>
      <c r="AK8" s="474"/>
      <c r="AL8" s="474"/>
      <c r="AM8" s="474"/>
      <c r="AN8" s="474"/>
      <c r="AO8" s="474"/>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row>
    <row r="9" spans="1:101" ht="15" customHeight="1">
      <c r="C9" s="68"/>
      <c r="D9" s="516"/>
      <c r="E9" s="516"/>
      <c r="F9" s="516"/>
      <c r="G9" s="516"/>
      <c r="H9" s="516"/>
      <c r="I9" s="516"/>
      <c r="J9" s="516"/>
      <c r="K9" s="516"/>
      <c r="L9" s="474"/>
      <c r="M9" s="474"/>
      <c r="N9" s="474"/>
      <c r="O9" s="474"/>
      <c r="P9" s="474"/>
      <c r="Q9" s="474"/>
      <c r="R9" s="474"/>
      <c r="S9" s="474"/>
      <c r="T9" s="474"/>
      <c r="U9" s="474"/>
      <c r="V9" s="474"/>
      <c r="W9" s="474"/>
      <c r="X9" s="474"/>
      <c r="Y9" s="474"/>
      <c r="Z9" s="474"/>
      <c r="AA9" s="474"/>
      <c r="AB9" s="474"/>
      <c r="AC9" s="474"/>
      <c r="AD9" s="474"/>
      <c r="AE9" s="474"/>
      <c r="AF9" s="474"/>
      <c r="AG9" s="474"/>
      <c r="AH9" s="474"/>
      <c r="AI9" s="474"/>
      <c r="AJ9" s="474"/>
      <c r="AK9" s="474"/>
      <c r="AL9" s="474"/>
      <c r="AM9" s="474"/>
      <c r="AN9" s="474"/>
      <c r="AO9" s="474"/>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row>
    <row r="10" spans="1:101" ht="16" thickBot="1">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row>
    <row r="11" spans="1:101" ht="15" customHeight="1">
      <c r="C11" s="68"/>
      <c r="D11" s="430" t="s">
        <v>321</v>
      </c>
      <c r="E11" s="430"/>
      <c r="F11" s="431"/>
      <c r="G11" s="468" t="s">
        <v>322</v>
      </c>
      <c r="H11" s="469"/>
      <c r="I11" s="469"/>
      <c r="J11" s="469"/>
      <c r="K11" s="469"/>
      <c r="L11" s="476"/>
      <c r="M11" s="477"/>
      <c r="N11" s="477" t="str">
        <f>IF(AND('Mapa final'!$K$15="Muy Alta",'Mapa final'!$O$15="Leve"),CONCATENATE("R",'Mapa final'!$A$18),"")</f>
        <v/>
      </c>
      <c r="O11" s="477"/>
      <c r="P11" s="477" t="str">
        <f>IF(AND('Mapa final'!$K$19="Muy Alta",'Mapa final'!$O$19="Leve"),CONCATENATE("R",'Mapa final'!$A$19),"")</f>
        <v/>
      </c>
      <c r="Q11" s="490"/>
      <c r="R11" s="476"/>
      <c r="S11" s="477"/>
      <c r="T11" s="477" t="str">
        <f>IF(AND('Mapa final'!$P$15="Muy Alta",'Mapa final'!$S$15="Menor"),CONCATENATE("R",'Mapa final'!$A$18),"")</f>
        <v/>
      </c>
      <c r="U11" s="477"/>
      <c r="V11" s="477" t="str">
        <f>IF(AND('Mapa final'!$P$19="Muy Alta",'Mapa final'!$S$19="Menor"),CONCATENATE("R",'Mapa final'!$A$19),"")</f>
        <v/>
      </c>
      <c r="W11" s="477"/>
      <c r="X11" s="476"/>
      <c r="Y11" s="477"/>
      <c r="Z11" s="477" t="str">
        <f>IF(AND('Mapa final'!P$15="Muy Alta",'Mapa final'!$S$15="Moderado"),CONCATENATE("R",'Mapa final'!$A$18),"")</f>
        <v/>
      </c>
      <c r="AA11" s="477"/>
      <c r="AB11" s="477" t="str">
        <f>IF(AND('Mapa final'!$P$19="Muy Alta",'Mapa final'!$S$19="Moderado"),CONCATENATE("R",'Mapa final'!$A$19),"")</f>
        <v/>
      </c>
      <c r="AC11" s="477"/>
      <c r="AD11" s="476"/>
      <c r="AE11" s="477"/>
      <c r="AF11" s="477" t="str">
        <f>IF(AND('Mapa final'!$P$15="Muy Alta",'Mapa final'!$S$15="Mayor"),CONCATENATE("R",'Mapa final'!$A$18),"")</f>
        <v/>
      </c>
      <c r="AG11" s="477"/>
      <c r="AH11" s="477" t="str">
        <f>IF(AND('Mapa final'!$P$19="Muy Alta",'Mapa final'!$S$19="Mayor"),CONCATENATE("R",'Mapa final'!$A$19),"")</f>
        <v/>
      </c>
      <c r="AI11" s="477"/>
      <c r="AJ11" s="494"/>
      <c r="AK11" s="495"/>
      <c r="AL11" s="495" t="str">
        <f>IF(AND('Mapa final'!$P$15="Muy Alta",'Mapa final'!$S$15="Catastrófico"),CONCATENATE("R",'Mapa final'!$A$18),"")</f>
        <v/>
      </c>
      <c r="AM11" s="495"/>
      <c r="AN11" s="495" t="str">
        <f>IF(AND('Mapa final'!$P$19="Muy Alta",'Mapa final'!$S$19="Catastrófico"),CONCATENATE("R",'Mapa final'!$A$19),"")</f>
        <v/>
      </c>
      <c r="AO11" s="496"/>
      <c r="AQ11" s="432" t="s">
        <v>323</v>
      </c>
      <c r="AR11" s="433"/>
      <c r="AS11" s="433"/>
      <c r="AT11" s="433"/>
      <c r="AU11" s="433"/>
      <c r="AV11" s="434"/>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row>
    <row r="12" spans="1:101" ht="15" customHeight="1">
      <c r="C12" s="68"/>
      <c r="D12" s="430"/>
      <c r="E12" s="430"/>
      <c r="F12" s="431"/>
      <c r="G12" s="470"/>
      <c r="H12" s="471"/>
      <c r="I12" s="471"/>
      <c r="J12" s="471"/>
      <c r="K12" s="471"/>
      <c r="L12" s="478"/>
      <c r="M12" s="475"/>
      <c r="N12" s="475"/>
      <c r="O12" s="475"/>
      <c r="P12" s="475"/>
      <c r="Q12" s="483"/>
      <c r="R12" s="478"/>
      <c r="S12" s="475"/>
      <c r="T12" s="475"/>
      <c r="U12" s="475"/>
      <c r="V12" s="475"/>
      <c r="W12" s="475"/>
      <c r="X12" s="478"/>
      <c r="Y12" s="475"/>
      <c r="Z12" s="475"/>
      <c r="AA12" s="475"/>
      <c r="AB12" s="475"/>
      <c r="AC12" s="475"/>
      <c r="AD12" s="478"/>
      <c r="AE12" s="475"/>
      <c r="AF12" s="475"/>
      <c r="AG12" s="475"/>
      <c r="AH12" s="475"/>
      <c r="AI12" s="475"/>
      <c r="AJ12" s="491"/>
      <c r="AK12" s="492"/>
      <c r="AL12" s="492"/>
      <c r="AM12" s="492"/>
      <c r="AN12" s="492"/>
      <c r="AO12" s="493"/>
      <c r="AP12" s="68"/>
      <c r="AQ12" s="435"/>
      <c r="AR12" s="436"/>
      <c r="AS12" s="436"/>
      <c r="AT12" s="436"/>
      <c r="AU12" s="436"/>
      <c r="AV12" s="437"/>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row>
    <row r="13" spans="1:101" ht="15" customHeight="1">
      <c r="C13" s="68"/>
      <c r="D13" s="430"/>
      <c r="E13" s="430"/>
      <c r="F13" s="431"/>
      <c r="G13" s="470"/>
      <c r="H13" s="471"/>
      <c r="I13" s="471"/>
      <c r="J13" s="471"/>
      <c r="K13" s="471"/>
      <c r="L13" s="478" t="str">
        <f>IF(AND('Mapa final'!$P$22="Muy Alta",'Mapa final'!$S$22="Leve"),CONCATENATE("R",'Mapa final'!$A$22),"")</f>
        <v/>
      </c>
      <c r="M13" s="475"/>
      <c r="N13" s="475" t="e">
        <f>IF(AND('Mapa final'!#REF!="Muy Alta",'Mapa final'!#REF!="Leve"),CONCATENATE("R",'Mapa final'!#REF!),"")</f>
        <v>#REF!</v>
      </c>
      <c r="O13" s="475"/>
      <c r="P13" s="475" t="e">
        <f>IF(AND('Mapa final'!#REF!="Muy Alta",'Mapa final'!#REF!="Leve"),CONCATENATE("R",'Mapa final'!#REF!),"")</f>
        <v>#REF!</v>
      </c>
      <c r="Q13" s="483"/>
      <c r="R13" s="478" t="str">
        <f>IF(AND('Mapa final'!$P$22="Muy Alta",'Mapa final'!$S$22="Menor"),CONCATENATE("R",'Mapa final'!$A$22),"")</f>
        <v/>
      </c>
      <c r="S13" s="475"/>
      <c r="T13" s="475" t="e">
        <f>IF(AND('Mapa final'!#REF!="Muy Alta",'Mapa final'!#REF!="Menor"),CONCATENATE("R",'Mapa final'!#REF!),"")</f>
        <v>#REF!</v>
      </c>
      <c r="U13" s="475"/>
      <c r="V13" s="475" t="e">
        <f>IF(AND('Mapa final'!#REF!="Muy Alta",'Mapa final'!#REF!="Menor"),CONCATENATE("R",'Mapa final'!#REF!),"")</f>
        <v>#REF!</v>
      </c>
      <c r="W13" s="475"/>
      <c r="X13" s="478" t="str">
        <f>IF(AND('Mapa final'!$P$22="Muy Alta",'Mapa final'!$S$22="Moderado"),CONCATENATE("R",'Mapa final'!$A$22),"")</f>
        <v/>
      </c>
      <c r="Y13" s="475"/>
      <c r="Z13" s="475" t="e">
        <f>IF(AND('Mapa final'!#REF!="Muy Alta",'Mapa final'!#REF!="Moderado"),CONCATENATE("R",'Mapa final'!#REF!),"")</f>
        <v>#REF!</v>
      </c>
      <c r="AA13" s="475"/>
      <c r="AB13" s="475" t="e">
        <f>IF(AND('Mapa final'!#REF!="Muy Alta",'Mapa final'!#REF!="Moderado"),CONCATENATE("R",'Mapa final'!#REF!),"")</f>
        <v>#REF!</v>
      </c>
      <c r="AC13" s="475"/>
      <c r="AD13" s="478" t="str">
        <f>IF(AND('Mapa final'!$P$22="Muy Alta",'Mapa final'!$S$22="Mayor"),CONCATENATE("R",'Mapa final'!$A$22),"")</f>
        <v/>
      </c>
      <c r="AE13" s="475"/>
      <c r="AF13" s="475" t="e">
        <f>IF(AND('Mapa final'!#REF!="Muy Alta",'Mapa final'!#REF!="Mayor"),CONCATENATE("R",'Mapa final'!#REF!),"")</f>
        <v>#REF!</v>
      </c>
      <c r="AG13" s="475"/>
      <c r="AH13" s="475" t="e">
        <f>IF(AND('Mapa final'!#REF!="Muy Alta",'Mapa final'!#REF!="Mayor"),CONCATENATE("R",'Mapa final'!#REF!),"")</f>
        <v>#REF!</v>
      </c>
      <c r="AI13" s="475"/>
      <c r="AJ13" s="491" t="str">
        <f>IF(AND('Mapa final'!$P$22="Muy Alta",'Mapa final'!$S$22="Catastrófico"),CONCATENATE("R",'Mapa final'!$A$22),"")</f>
        <v/>
      </c>
      <c r="AK13" s="492"/>
      <c r="AL13" s="492" t="e">
        <f>IF(AND('Mapa final'!#REF!="Muy Alta",'Mapa final'!#REF!="Catastrófico"),CONCATENATE("R",'Mapa final'!#REF!),"")</f>
        <v>#REF!</v>
      </c>
      <c r="AM13" s="492"/>
      <c r="AN13" s="492" t="e">
        <f>IF(AND('Mapa final'!#REF!="Muy Alta",'Mapa final'!#REF!="Catastrófico"),CONCATENATE("R",'Mapa final'!#REF!),"")</f>
        <v>#REF!</v>
      </c>
      <c r="AO13" s="493"/>
      <c r="AP13" s="68"/>
      <c r="AQ13" s="435"/>
      <c r="AR13" s="436"/>
      <c r="AS13" s="436"/>
      <c r="AT13" s="436"/>
      <c r="AU13" s="436"/>
      <c r="AV13" s="437"/>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row>
    <row r="14" spans="1:101" ht="15" customHeight="1">
      <c r="C14" s="68"/>
      <c r="D14" s="430"/>
      <c r="E14" s="430"/>
      <c r="F14" s="431"/>
      <c r="G14" s="470"/>
      <c r="H14" s="471"/>
      <c r="I14" s="471"/>
      <c r="J14" s="471"/>
      <c r="K14" s="471"/>
      <c r="L14" s="478"/>
      <c r="M14" s="475"/>
      <c r="N14" s="475"/>
      <c r="O14" s="475"/>
      <c r="P14" s="475"/>
      <c r="Q14" s="483"/>
      <c r="R14" s="478"/>
      <c r="S14" s="475"/>
      <c r="T14" s="475"/>
      <c r="U14" s="475"/>
      <c r="V14" s="475"/>
      <c r="W14" s="475"/>
      <c r="X14" s="478"/>
      <c r="Y14" s="475"/>
      <c r="Z14" s="475"/>
      <c r="AA14" s="475"/>
      <c r="AB14" s="475"/>
      <c r="AC14" s="475"/>
      <c r="AD14" s="478"/>
      <c r="AE14" s="475"/>
      <c r="AF14" s="475"/>
      <c r="AG14" s="475"/>
      <c r="AH14" s="475"/>
      <c r="AI14" s="475"/>
      <c r="AJ14" s="491"/>
      <c r="AK14" s="492"/>
      <c r="AL14" s="492"/>
      <c r="AM14" s="492"/>
      <c r="AN14" s="492"/>
      <c r="AO14" s="493"/>
      <c r="AP14" s="68"/>
      <c r="AQ14" s="435"/>
      <c r="AR14" s="436"/>
      <c r="AS14" s="436"/>
      <c r="AT14" s="436"/>
      <c r="AU14" s="436"/>
      <c r="AV14" s="437"/>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row>
    <row r="15" spans="1:101" ht="15" customHeight="1">
      <c r="C15" s="68"/>
      <c r="D15" s="430"/>
      <c r="E15" s="430"/>
      <c r="F15" s="431"/>
      <c r="G15" s="470"/>
      <c r="H15" s="471"/>
      <c r="I15" s="471"/>
      <c r="J15" s="471"/>
      <c r="K15" s="471"/>
      <c r="L15" s="478" t="e">
        <f>IF(AND('Mapa final'!#REF!="Muy Alta",'Mapa final'!#REF!="Leve"),CONCATENATE("R",'Mapa final'!#REF!),"")</f>
        <v>#REF!</v>
      </c>
      <c r="M15" s="475"/>
      <c r="N15" s="475" t="e">
        <f>IF(AND('Mapa final'!#REF!="Muy Alta",'Mapa final'!#REF!="Leve"),CONCATENATE("R",'Mapa final'!#REF!),"")</f>
        <v>#REF!</v>
      </c>
      <c r="O15" s="475"/>
      <c r="P15" s="475" t="str">
        <f>IF(AND('Mapa final'!$K$23="Muy Alta",'Mapa final'!$O$23="Leve"),CONCATENATE("R",'Mapa final'!$A$23),"")</f>
        <v/>
      </c>
      <c r="Q15" s="483"/>
      <c r="R15" s="478" t="e">
        <f>IF(AND('Mapa final'!#REF!="Muy Alta",'Mapa final'!#REF!="Menor"),CONCATENATE("R",'Mapa final'!#REF!),"")</f>
        <v>#REF!</v>
      </c>
      <c r="S15" s="475"/>
      <c r="T15" s="475" t="e">
        <f>IF(AND('Mapa final'!#REF!="Muy Alta",'Mapa final'!#REF!="Menor"),CONCATENATE("R",'Mapa final'!#REF!),"")</f>
        <v>#REF!</v>
      </c>
      <c r="U15" s="475"/>
      <c r="V15" s="475" t="str">
        <f>IF(AND('Mapa final'!$P$23="Muy Alta",'Mapa final'!$S$23="Menor"),CONCATENATE("R",'Mapa final'!$A$23),"")</f>
        <v/>
      </c>
      <c r="W15" s="475"/>
      <c r="X15" s="478" t="e">
        <f>IF(AND('Mapa final'!#REF!="Muy Alta",'Mapa final'!#REF!="Moderado"),CONCATENATE("R",'Mapa final'!#REF!),"")</f>
        <v>#REF!</v>
      </c>
      <c r="Y15" s="475"/>
      <c r="Z15" s="475" t="e">
        <f>IF(AND('Mapa final'!#REF!="Muy Alta",'Mapa final'!#REF!="Moderado"),CONCATENATE("R",'Mapa final'!#REF!),"")</f>
        <v>#REF!</v>
      </c>
      <c r="AA15" s="475"/>
      <c r="AB15" s="475" t="str">
        <f>IF(AND('Mapa final'!$P$23="Muy Alta",'Mapa final'!$S$23="Moderado"),CONCATENATE("R",'Mapa final'!$A$23),"")</f>
        <v/>
      </c>
      <c r="AC15" s="475"/>
      <c r="AD15" s="478" t="e">
        <f>IF(AND('Mapa final'!#REF!="Muy Alta",'Mapa final'!#REF!="Mayor"),CONCATENATE("R",'Mapa final'!#REF!),"")</f>
        <v>#REF!</v>
      </c>
      <c r="AE15" s="475"/>
      <c r="AF15" s="475" t="e">
        <f>IF(AND('Mapa final'!#REF!="Muy Alta",'Mapa final'!#REF!="Mayor"),CONCATENATE("R",'Mapa final'!#REF!),"")</f>
        <v>#REF!</v>
      </c>
      <c r="AG15" s="475"/>
      <c r="AH15" s="475" t="str">
        <f>IF(AND('Mapa final'!$P$23="Muy Alta",'Mapa final'!$S$23="Mayor"),CONCATENATE("R",'Mapa final'!$A$23),"")</f>
        <v/>
      </c>
      <c r="AI15" s="475"/>
      <c r="AJ15" s="491" t="e">
        <f>IF(AND('Mapa final'!#REF!="Muy Alta",'Mapa final'!#REF!="Catastrófico"),CONCATENATE("R",'Mapa final'!#REF!),"")</f>
        <v>#REF!</v>
      </c>
      <c r="AK15" s="492"/>
      <c r="AL15" s="492" t="e">
        <f>IF(AND('Mapa final'!#REF!="Muy Alta",'Mapa final'!#REF!="Catastrófico"),CONCATENATE("R",'Mapa final'!#REF!),"")</f>
        <v>#REF!</v>
      </c>
      <c r="AM15" s="492"/>
      <c r="AN15" s="492" t="str">
        <f>IF(AND('Mapa final'!$P$23="Muy Alta",'Mapa final'!$S$23="Catastrófico"),CONCATENATE("R",'Mapa final'!$A$23),"")</f>
        <v/>
      </c>
      <c r="AO15" s="493"/>
      <c r="AP15" s="68"/>
      <c r="AQ15" s="435"/>
      <c r="AR15" s="436"/>
      <c r="AS15" s="436"/>
      <c r="AT15" s="436"/>
      <c r="AU15" s="436"/>
      <c r="AV15" s="437"/>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row>
    <row r="16" spans="1:101" ht="15" customHeight="1">
      <c r="C16" s="68"/>
      <c r="D16" s="430"/>
      <c r="E16" s="430"/>
      <c r="F16" s="431"/>
      <c r="G16" s="470"/>
      <c r="H16" s="471"/>
      <c r="I16" s="471"/>
      <c r="J16" s="471"/>
      <c r="K16" s="471"/>
      <c r="L16" s="478"/>
      <c r="M16" s="475"/>
      <c r="N16" s="475"/>
      <c r="O16" s="475"/>
      <c r="P16" s="475"/>
      <c r="Q16" s="483"/>
      <c r="R16" s="478"/>
      <c r="S16" s="475"/>
      <c r="T16" s="475"/>
      <c r="U16" s="475"/>
      <c r="V16" s="475"/>
      <c r="W16" s="475"/>
      <c r="X16" s="478"/>
      <c r="Y16" s="475"/>
      <c r="Z16" s="475"/>
      <c r="AA16" s="475"/>
      <c r="AB16" s="475"/>
      <c r="AC16" s="475"/>
      <c r="AD16" s="478"/>
      <c r="AE16" s="475"/>
      <c r="AF16" s="475"/>
      <c r="AG16" s="475"/>
      <c r="AH16" s="475"/>
      <c r="AI16" s="475"/>
      <c r="AJ16" s="491"/>
      <c r="AK16" s="492"/>
      <c r="AL16" s="492"/>
      <c r="AM16" s="492"/>
      <c r="AN16" s="492"/>
      <c r="AO16" s="493"/>
      <c r="AP16" s="68"/>
      <c r="AQ16" s="435"/>
      <c r="AR16" s="436"/>
      <c r="AS16" s="436"/>
      <c r="AT16" s="436"/>
      <c r="AU16" s="436"/>
      <c r="AV16" s="437"/>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row>
    <row r="17" spans="3:82" ht="15" customHeight="1">
      <c r="C17" s="68"/>
      <c r="D17" s="430"/>
      <c r="E17" s="430"/>
      <c r="F17" s="431"/>
      <c r="G17" s="470"/>
      <c r="H17" s="471"/>
      <c r="I17" s="471"/>
      <c r="J17" s="471"/>
      <c r="K17" s="471"/>
      <c r="L17" s="478" t="str">
        <f>IF(AND('Mapa final'!$P$24="Muy Alta",'Mapa final'!$S$24="Leve"),CONCATENATE("R",'Mapa final'!$A$24),"")</f>
        <v/>
      </c>
      <c r="M17" s="475"/>
      <c r="N17" s="475" t="str">
        <f>IF(AND('Mapa final'!$K$25="Muy Alta",'Mapa final'!$O$25="Leve"),CONCATENATE("R",'Mapa final'!$A$25),"")</f>
        <v/>
      </c>
      <c r="O17" s="475"/>
      <c r="P17" s="475" t="str">
        <f>IF(AND('Mapa final'!$K$26="Muy Alta",'Mapa final'!$O$26="Leve"),CONCATENATE("R",'Mapa final'!$A$26),"")</f>
        <v/>
      </c>
      <c r="Q17" s="483"/>
      <c r="R17" s="478" t="str">
        <f>IF(AND('Mapa final'!$P$24="Muy Alta",'Mapa final'!$S$24="Menor"),CONCATENATE("R",'Mapa final'!$A$24),"")</f>
        <v/>
      </c>
      <c r="S17" s="475"/>
      <c r="T17" s="475" t="str">
        <f>IF(AND('Mapa final'!$P$25="Muy Alta",'Mapa final'!$S$25="Menor"),CONCATENATE("R",'Mapa final'!$A$25),"")</f>
        <v/>
      </c>
      <c r="U17" s="475"/>
      <c r="V17" s="475" t="str">
        <f>IF(AND('Mapa final'!$P$26="Muy Alta",'Mapa final'!$S$26="Menor"),CONCATENATE("R",'Mapa final'!$A$26),"")</f>
        <v/>
      </c>
      <c r="W17" s="475"/>
      <c r="X17" s="478" t="str">
        <f>IF(AND('Mapa final'!$P$24="Muy Alta",'Mapa final'!$S$24="Moderado"),CONCATENATE("R",'Mapa final'!$A$24),"")</f>
        <v/>
      </c>
      <c r="Y17" s="475"/>
      <c r="Z17" s="475" t="str">
        <f>IF(AND('Mapa final'!$P$25="Muy Alta",'Mapa final'!$S$25="Moderado"),CONCATENATE("R",'Mapa final'!$A$25),"")</f>
        <v/>
      </c>
      <c r="AA17" s="475"/>
      <c r="AB17" s="475" t="str">
        <f>IF(AND('Mapa final'!$P$26="Muy Alta",'Mapa final'!$S$26="Moderado"),CONCATENATE("R",'Mapa final'!$A$26),"")</f>
        <v/>
      </c>
      <c r="AC17" s="475"/>
      <c r="AD17" s="478" t="str">
        <f>IF(AND('Mapa final'!$P$24="Muy Alta",'Mapa final'!$S$24="Mayor"),CONCATENATE("R",'Mapa final'!$A$24),"")</f>
        <v/>
      </c>
      <c r="AE17" s="475"/>
      <c r="AF17" s="475" t="str">
        <f>IF(AND('Mapa final'!$P$25="Muy Alta",'Mapa final'!$S$25="Mayor"),CONCATENATE("R",'Mapa final'!$A$25),"")</f>
        <v/>
      </c>
      <c r="AG17" s="475"/>
      <c r="AH17" s="475" t="str">
        <f>IF(AND('Mapa final'!$P$26="Muy Alta",'Mapa final'!$S$26="Mayor"),CONCATENATE("R",'Mapa final'!$A$26),"")</f>
        <v/>
      </c>
      <c r="AI17" s="475"/>
      <c r="AJ17" s="491" t="str">
        <f>IF(AND('Mapa final'!$P$24="Muy Alta",'Mapa final'!$S$24="Catastrófico"),CONCATENATE("R",'Mapa final'!$A$24),"")</f>
        <v/>
      </c>
      <c r="AK17" s="492"/>
      <c r="AL17" s="492" t="str">
        <f>IF(AND('Mapa final'!$P$25="Muy Alta",'Mapa final'!$S$25="Catastrófico"),CONCATENATE("R",'Mapa final'!$A$25),"")</f>
        <v/>
      </c>
      <c r="AM17" s="492"/>
      <c r="AN17" s="492" t="str">
        <f>IF(AND('Mapa final'!$P$26="Muy Alta",'Mapa final'!$S$26="Catastrófico"),CONCATENATE("R",'Mapa final'!$A$26),"")</f>
        <v/>
      </c>
      <c r="AO17" s="493"/>
      <c r="AP17" s="68"/>
      <c r="AQ17" s="435"/>
      <c r="AR17" s="436"/>
      <c r="AS17" s="436"/>
      <c r="AT17" s="436"/>
      <c r="AU17" s="436"/>
      <c r="AV17" s="437"/>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row>
    <row r="18" spans="3:82" ht="15.75" customHeight="1" thickBot="1">
      <c r="C18" s="68"/>
      <c r="D18" s="430"/>
      <c r="E18" s="430"/>
      <c r="F18" s="431"/>
      <c r="G18" s="472"/>
      <c r="H18" s="473"/>
      <c r="I18" s="473"/>
      <c r="J18" s="473"/>
      <c r="K18" s="473"/>
      <c r="L18" s="489"/>
      <c r="M18" s="484"/>
      <c r="N18" s="484"/>
      <c r="O18" s="484"/>
      <c r="P18" s="484"/>
      <c r="Q18" s="485"/>
      <c r="R18" s="489"/>
      <c r="S18" s="484"/>
      <c r="T18" s="484"/>
      <c r="U18" s="484"/>
      <c r="V18" s="484"/>
      <c r="W18" s="484"/>
      <c r="X18" s="478"/>
      <c r="Y18" s="475"/>
      <c r="Z18" s="475"/>
      <c r="AA18" s="475"/>
      <c r="AB18" s="475"/>
      <c r="AC18" s="475"/>
      <c r="AD18" s="478"/>
      <c r="AE18" s="475"/>
      <c r="AF18" s="475"/>
      <c r="AG18" s="475"/>
      <c r="AH18" s="475"/>
      <c r="AI18" s="475"/>
      <c r="AJ18" s="491"/>
      <c r="AK18" s="492"/>
      <c r="AL18" s="492"/>
      <c r="AM18" s="492"/>
      <c r="AN18" s="492"/>
      <c r="AO18" s="493"/>
      <c r="AP18" s="68"/>
      <c r="AQ18" s="438"/>
      <c r="AR18" s="439"/>
      <c r="AS18" s="439"/>
      <c r="AT18" s="439"/>
      <c r="AU18" s="439"/>
      <c r="AV18" s="440"/>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row>
    <row r="19" spans="3:82" ht="15" customHeight="1">
      <c r="C19" s="68"/>
      <c r="D19" s="430"/>
      <c r="E19" s="430"/>
      <c r="F19" s="431"/>
      <c r="G19" s="468" t="s">
        <v>324</v>
      </c>
      <c r="H19" s="469"/>
      <c r="I19" s="469"/>
      <c r="J19" s="469"/>
      <c r="K19" s="469"/>
      <c r="L19" s="504"/>
      <c r="M19" s="505"/>
      <c r="N19" s="505" t="str">
        <f>IF(AND('Mapa final'!$K$15="Alta",'Mapa final'!$O$15="Leve"),CONCATENATE("R",'Mapa final'!$A$18),"")</f>
        <v/>
      </c>
      <c r="O19" s="505"/>
      <c r="P19" s="505" t="str">
        <f>IF(AND('Mapa final'!$K$19="Alta",'Mapa final'!$O$19="Leve"),CONCATENATE("R",'Mapa final'!$A$19),"")</f>
        <v/>
      </c>
      <c r="Q19" s="506"/>
      <c r="R19" s="504"/>
      <c r="S19" s="505"/>
      <c r="T19" s="487" t="str">
        <f>IF(AND('Mapa final'!$P$15="Alta",'Mapa final'!$S$15="Menor"),CONCATENATE("R",'Mapa final'!$A$18),"")</f>
        <v/>
      </c>
      <c r="U19" s="487"/>
      <c r="V19" s="487" t="str">
        <f>IF(AND('Mapa final'!$P$19="Alta",'Mapa final'!$S$19="Menor"),CONCATENATE("R",'Mapa final'!$A$19),"")</f>
        <v/>
      </c>
      <c r="W19" s="487"/>
      <c r="X19" s="476"/>
      <c r="Y19" s="477"/>
      <c r="Z19" s="477" t="str">
        <f>IF(AND('Mapa final'!P$15="Alta",'Mapa final'!$S$15="Moderado"),CONCATENATE("R",'Mapa final'!$A$18),"")</f>
        <v/>
      </c>
      <c r="AA19" s="477"/>
      <c r="AB19" s="477" t="str">
        <f>IF(AND('Mapa final'!$P$19="Alta",'Mapa final'!$S$19="Moderado"),CONCATENATE("R",'Mapa final'!$A$19),"")</f>
        <v/>
      </c>
      <c r="AC19" s="477"/>
      <c r="AD19" s="476"/>
      <c r="AE19" s="477"/>
      <c r="AF19" s="477" t="str">
        <f>IF(AND('Mapa final'!$P$15="Alta",'Mapa final'!$S$15="Mayor"),CONCATENATE("R",'Mapa final'!$A$18),"")</f>
        <v/>
      </c>
      <c r="AG19" s="477"/>
      <c r="AH19" s="477" t="str">
        <f>IF(AND('Mapa final'!$P$19="Alta",'Mapa final'!$S$19="Mayor"),CONCATENATE("R",'Mapa final'!$A$19),"")</f>
        <v/>
      </c>
      <c r="AI19" s="477"/>
      <c r="AJ19" s="494"/>
      <c r="AK19" s="495"/>
      <c r="AL19" s="495" t="str">
        <f>IF(AND('Mapa final'!$P$15="Alta",'Mapa final'!$S$15="Catastrófico"),CONCATENATE("R",'Mapa final'!$A$18),"")</f>
        <v/>
      </c>
      <c r="AM19" s="495"/>
      <c r="AN19" s="495" t="str">
        <f>IF(AND('Mapa final'!$P$19="Alta",'Mapa final'!$S$19="Catastrófico"),CONCATENATE("R",'Mapa final'!$A$19),"")</f>
        <v/>
      </c>
      <c r="AO19" s="496"/>
      <c r="AP19" s="68"/>
      <c r="AQ19" s="441" t="s">
        <v>325</v>
      </c>
      <c r="AR19" s="442"/>
      <c r="AS19" s="442"/>
      <c r="AT19" s="442"/>
      <c r="AU19" s="442"/>
      <c r="AV19" s="443"/>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row>
    <row r="20" spans="3:82" ht="15" customHeight="1">
      <c r="C20" s="68"/>
      <c r="D20" s="430"/>
      <c r="E20" s="430"/>
      <c r="F20" s="431"/>
      <c r="G20" s="470"/>
      <c r="H20" s="471"/>
      <c r="I20" s="471"/>
      <c r="J20" s="471"/>
      <c r="K20" s="471"/>
      <c r="L20" s="486"/>
      <c r="M20" s="487"/>
      <c r="N20" s="487"/>
      <c r="O20" s="487"/>
      <c r="P20" s="487"/>
      <c r="Q20" s="500"/>
      <c r="R20" s="486"/>
      <c r="S20" s="487"/>
      <c r="T20" s="487"/>
      <c r="U20" s="487"/>
      <c r="V20" s="487"/>
      <c r="W20" s="487"/>
      <c r="X20" s="478"/>
      <c r="Y20" s="475"/>
      <c r="Z20" s="475"/>
      <c r="AA20" s="475"/>
      <c r="AB20" s="475"/>
      <c r="AC20" s="475"/>
      <c r="AD20" s="478"/>
      <c r="AE20" s="475"/>
      <c r="AF20" s="475"/>
      <c r="AG20" s="475"/>
      <c r="AH20" s="475"/>
      <c r="AI20" s="475"/>
      <c r="AJ20" s="491"/>
      <c r="AK20" s="492"/>
      <c r="AL20" s="492"/>
      <c r="AM20" s="492"/>
      <c r="AN20" s="492"/>
      <c r="AO20" s="493"/>
      <c r="AP20" s="68"/>
      <c r="AQ20" s="444"/>
      <c r="AR20" s="445"/>
      <c r="AS20" s="445"/>
      <c r="AT20" s="445"/>
      <c r="AU20" s="445"/>
      <c r="AV20" s="446"/>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row>
    <row r="21" spans="3:82" ht="15" customHeight="1">
      <c r="C21" s="68"/>
      <c r="D21" s="430"/>
      <c r="E21" s="430"/>
      <c r="F21" s="431"/>
      <c r="G21" s="470"/>
      <c r="H21" s="471"/>
      <c r="I21" s="471"/>
      <c r="J21" s="471"/>
      <c r="K21" s="471"/>
      <c r="L21" s="486" t="str">
        <f>IF(AND('Mapa final'!$P$22="Alta",'Mapa final'!$S$22="Leve"),CONCATENATE("R",'Mapa final'!$A$22),"")</f>
        <v/>
      </c>
      <c r="M21" s="487"/>
      <c r="N21" s="487" t="e">
        <f>IF(AND('Mapa final'!#REF!="Alta",'Mapa final'!#REF!="Leve"),CONCATENATE("R",'Mapa final'!#REF!),"")</f>
        <v>#REF!</v>
      </c>
      <c r="O21" s="487"/>
      <c r="P21" s="487" t="e">
        <f>IF(AND('Mapa final'!#REF!="Alta",'Mapa final'!#REF!="Leve"),CONCATENATE("R",'Mapa final'!#REF!),"")</f>
        <v>#REF!</v>
      </c>
      <c r="Q21" s="500"/>
      <c r="R21" s="486" t="str">
        <f>IF(AND('Mapa final'!$P$22="Alta",'Mapa final'!$S$22="Menor"),CONCATENATE("R",'Mapa final'!$A$22),"")</f>
        <v/>
      </c>
      <c r="S21" s="487"/>
      <c r="T21" s="487" t="e">
        <f>IF(AND('Mapa final'!#REF!="Alta",'Mapa final'!#REF!="Menor"),CONCATENATE("R",'Mapa final'!#REF!),"")</f>
        <v>#REF!</v>
      </c>
      <c r="U21" s="487"/>
      <c r="V21" s="487" t="e">
        <f>IF(AND('Mapa final'!#REF!="Alta",'Mapa final'!#REF!="Menor"),CONCATENATE("R",'Mapa final'!#REF!),"")</f>
        <v>#REF!</v>
      </c>
      <c r="W21" s="487"/>
      <c r="X21" s="478" t="str">
        <f>IF(AND('Mapa final'!$P$22="Alta",'Mapa final'!$S$22="Moderado"),CONCATENATE("R",'Mapa final'!$A$22),"")</f>
        <v/>
      </c>
      <c r="Y21" s="475"/>
      <c r="Z21" s="475" t="e">
        <f>IF(AND('Mapa final'!#REF!="Alta",'Mapa final'!#REF!="Moderado"),CONCATENATE("R",'Mapa final'!#REF!),"")</f>
        <v>#REF!</v>
      </c>
      <c r="AA21" s="475"/>
      <c r="AB21" s="475" t="e">
        <f>IF(AND('Mapa final'!#REF!="Alta",'Mapa final'!#REF!="Moderado"),CONCATENATE("R",'Mapa final'!#REF!),"")</f>
        <v>#REF!</v>
      </c>
      <c r="AC21" s="475"/>
      <c r="AD21" s="478" t="str">
        <f>IF(AND('Mapa final'!$P$22="Alta",'Mapa final'!$S$22="Mayor"),CONCATENATE("R",'Mapa final'!$A$22),"")</f>
        <v/>
      </c>
      <c r="AE21" s="475"/>
      <c r="AF21" s="475" t="e">
        <f>IF(AND('Mapa final'!#REF!="Alta",'Mapa final'!#REF!="Mayor"),CONCATENATE("R",'Mapa final'!#REF!),"")</f>
        <v>#REF!</v>
      </c>
      <c r="AG21" s="475"/>
      <c r="AH21" s="475" t="e">
        <f>IF(AND('Mapa final'!#REF!="Alta",'Mapa final'!#REF!="Mayor"),CONCATENATE("R",'Mapa final'!#REF!),"")</f>
        <v>#REF!</v>
      </c>
      <c r="AI21" s="475"/>
      <c r="AJ21" s="491" t="str">
        <f>IF(AND('Mapa final'!$P$22="Alta",'Mapa final'!$S$22="Catastrófico"),CONCATENATE("R",'Mapa final'!$A$22),"")</f>
        <v/>
      </c>
      <c r="AK21" s="492"/>
      <c r="AL21" s="492" t="e">
        <f>IF(AND('Mapa final'!#REF!="Alta",'Mapa final'!#REF!="Catastrófico"),CONCATENATE("R",'Mapa final'!#REF!),"")</f>
        <v>#REF!</v>
      </c>
      <c r="AM21" s="492"/>
      <c r="AN21" s="492" t="e">
        <f>IF(AND('Mapa final'!#REF!="Alta",'Mapa final'!#REF!="Catastrófico"),CONCATENATE("R",'Mapa final'!#REF!),"")</f>
        <v>#REF!</v>
      </c>
      <c r="AO21" s="493"/>
      <c r="AP21" s="68"/>
      <c r="AQ21" s="444"/>
      <c r="AR21" s="445"/>
      <c r="AS21" s="445"/>
      <c r="AT21" s="445"/>
      <c r="AU21" s="445"/>
      <c r="AV21" s="446"/>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row>
    <row r="22" spans="3:82" ht="15" customHeight="1">
      <c r="C22" s="68"/>
      <c r="D22" s="430"/>
      <c r="E22" s="430"/>
      <c r="F22" s="431"/>
      <c r="G22" s="470"/>
      <c r="H22" s="471"/>
      <c r="I22" s="471"/>
      <c r="J22" s="471"/>
      <c r="K22" s="471"/>
      <c r="L22" s="486"/>
      <c r="M22" s="487"/>
      <c r="N22" s="487"/>
      <c r="O22" s="487"/>
      <c r="P22" s="487"/>
      <c r="Q22" s="500"/>
      <c r="R22" s="486"/>
      <c r="S22" s="487"/>
      <c r="T22" s="487"/>
      <c r="U22" s="487"/>
      <c r="V22" s="487"/>
      <c r="W22" s="487"/>
      <c r="X22" s="478"/>
      <c r="Y22" s="475"/>
      <c r="Z22" s="475"/>
      <c r="AA22" s="475"/>
      <c r="AB22" s="475"/>
      <c r="AC22" s="475"/>
      <c r="AD22" s="478"/>
      <c r="AE22" s="475"/>
      <c r="AF22" s="475"/>
      <c r="AG22" s="475"/>
      <c r="AH22" s="475"/>
      <c r="AI22" s="475"/>
      <c r="AJ22" s="491"/>
      <c r="AK22" s="492"/>
      <c r="AL22" s="492"/>
      <c r="AM22" s="492"/>
      <c r="AN22" s="492"/>
      <c r="AO22" s="493"/>
      <c r="AP22" s="68"/>
      <c r="AQ22" s="444"/>
      <c r="AR22" s="445"/>
      <c r="AS22" s="445"/>
      <c r="AT22" s="445"/>
      <c r="AU22" s="445"/>
      <c r="AV22" s="446"/>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row>
    <row r="23" spans="3:82" ht="15" customHeight="1">
      <c r="C23" s="68"/>
      <c r="D23" s="430"/>
      <c r="E23" s="430"/>
      <c r="F23" s="431"/>
      <c r="G23" s="470"/>
      <c r="H23" s="471"/>
      <c r="I23" s="471"/>
      <c r="J23" s="471"/>
      <c r="K23" s="471"/>
      <c r="L23" s="486" t="e">
        <f>IF(AND('Mapa final'!#REF!="Alta",'Mapa final'!#REF!="Leve"),CONCATENATE("R",'Mapa final'!#REF!),"")</f>
        <v>#REF!</v>
      </c>
      <c r="M23" s="487"/>
      <c r="N23" s="487" t="e">
        <f>IF(AND('Mapa final'!#REF!="Alta",'Mapa final'!#REF!="Leve"),CONCATENATE("R",'Mapa final'!#REF!),"")</f>
        <v>#REF!</v>
      </c>
      <c r="O23" s="487"/>
      <c r="P23" s="487" t="str">
        <f>IF(AND('Mapa final'!$K$23="Alta",'Mapa final'!$O$23="Leve"),CONCATENATE("R",'Mapa final'!$A$23),"")</f>
        <v/>
      </c>
      <c r="Q23" s="500"/>
      <c r="R23" s="486" t="e">
        <f>IF(AND('Mapa final'!#REF!="Alta",'Mapa final'!#REF!="Menor"),CONCATENATE("R",'Mapa final'!#REF!),"")</f>
        <v>#REF!</v>
      </c>
      <c r="S23" s="487"/>
      <c r="T23" s="487" t="e">
        <f>IF(AND('Mapa final'!#REF!="Alta",'Mapa final'!#REF!="Menor"),CONCATENATE("R",'Mapa final'!#REF!),"")</f>
        <v>#REF!</v>
      </c>
      <c r="U23" s="487"/>
      <c r="V23" s="487" t="str">
        <f>IF(AND('Mapa final'!$P$23="Alta",'Mapa final'!$S$23="Menor"),CONCATENATE("R",'Mapa final'!$A$23),"")</f>
        <v/>
      </c>
      <c r="W23" s="487"/>
      <c r="X23" s="478" t="e">
        <f>IF(AND('Mapa final'!#REF!="Alta",'Mapa final'!#REF!="Moderado"),CONCATENATE("R",'Mapa final'!#REF!),"")</f>
        <v>#REF!</v>
      </c>
      <c r="Y23" s="475"/>
      <c r="Z23" s="475" t="e">
        <f>IF(AND('Mapa final'!#REF!="Alta",'Mapa final'!#REF!="Moderado"),CONCATENATE("R",'Mapa final'!#REF!),"")</f>
        <v>#REF!</v>
      </c>
      <c r="AA23" s="475"/>
      <c r="AB23" s="475" t="str">
        <f>IF(AND('Mapa final'!$P$23="Alta",'Mapa final'!$S$23="Moderado"),CONCATENATE("R",'Mapa final'!$A$23),"")</f>
        <v/>
      </c>
      <c r="AC23" s="475"/>
      <c r="AD23" s="478" t="e">
        <f>IF(AND('Mapa final'!#REF!="Alta",'Mapa final'!#REF!="Mayor"),CONCATENATE("R",'Mapa final'!#REF!),"")</f>
        <v>#REF!</v>
      </c>
      <c r="AE23" s="475"/>
      <c r="AF23" s="475" t="e">
        <f>IF(AND('Mapa final'!#REF!="Alta",'Mapa final'!#REF!="Mayor"),CONCATENATE("R",'Mapa final'!#REF!),"")</f>
        <v>#REF!</v>
      </c>
      <c r="AG23" s="475"/>
      <c r="AH23" s="475" t="str">
        <f>IF(AND('Mapa final'!$P$23="Alta",'Mapa final'!$S$23="Mayor"),CONCATENATE("R",'Mapa final'!$A$23),"")</f>
        <v/>
      </c>
      <c r="AI23" s="475"/>
      <c r="AJ23" s="491" t="e">
        <f>IF(AND('Mapa final'!#REF!="Alta",'Mapa final'!#REF!="Catastrófico"),CONCATENATE("R",'Mapa final'!#REF!),"")</f>
        <v>#REF!</v>
      </c>
      <c r="AK23" s="492"/>
      <c r="AL23" s="492" t="e">
        <f>IF(AND('Mapa final'!#REF!="Alta",'Mapa final'!#REF!="Catastrófico"),CONCATENATE("R",'Mapa final'!#REF!),"")</f>
        <v>#REF!</v>
      </c>
      <c r="AM23" s="492"/>
      <c r="AN23" s="492" t="str">
        <f>IF(AND('Mapa final'!$P$23="Alta",'Mapa final'!$S$23="Catastrófico"),CONCATENATE("R",'Mapa final'!$A$23),"")</f>
        <v/>
      </c>
      <c r="AO23" s="493"/>
      <c r="AP23" s="68"/>
      <c r="AQ23" s="444"/>
      <c r="AR23" s="445"/>
      <c r="AS23" s="445"/>
      <c r="AT23" s="445"/>
      <c r="AU23" s="445"/>
      <c r="AV23" s="446"/>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row>
    <row r="24" spans="3:82" ht="15" customHeight="1">
      <c r="C24" s="68"/>
      <c r="D24" s="430"/>
      <c r="E24" s="430"/>
      <c r="F24" s="431"/>
      <c r="G24" s="470"/>
      <c r="H24" s="471"/>
      <c r="I24" s="471"/>
      <c r="J24" s="471"/>
      <c r="K24" s="471"/>
      <c r="L24" s="486"/>
      <c r="M24" s="487"/>
      <c r="N24" s="487"/>
      <c r="O24" s="487"/>
      <c r="P24" s="487"/>
      <c r="Q24" s="500"/>
      <c r="R24" s="486"/>
      <c r="S24" s="487"/>
      <c r="T24" s="487"/>
      <c r="U24" s="487"/>
      <c r="V24" s="487"/>
      <c r="W24" s="487"/>
      <c r="X24" s="478"/>
      <c r="Y24" s="475"/>
      <c r="Z24" s="475"/>
      <c r="AA24" s="475"/>
      <c r="AB24" s="475"/>
      <c r="AC24" s="475"/>
      <c r="AD24" s="478"/>
      <c r="AE24" s="475"/>
      <c r="AF24" s="475"/>
      <c r="AG24" s="475"/>
      <c r="AH24" s="475"/>
      <c r="AI24" s="475"/>
      <c r="AJ24" s="491"/>
      <c r="AK24" s="492"/>
      <c r="AL24" s="492"/>
      <c r="AM24" s="492"/>
      <c r="AN24" s="492"/>
      <c r="AO24" s="493"/>
      <c r="AP24" s="68"/>
      <c r="AQ24" s="444"/>
      <c r="AR24" s="445"/>
      <c r="AS24" s="445"/>
      <c r="AT24" s="445"/>
      <c r="AU24" s="445"/>
      <c r="AV24" s="446"/>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row>
    <row r="25" spans="3:82" ht="15" customHeight="1">
      <c r="C25" s="68"/>
      <c r="D25" s="430"/>
      <c r="E25" s="430"/>
      <c r="F25" s="431"/>
      <c r="G25" s="470"/>
      <c r="H25" s="471"/>
      <c r="I25" s="471"/>
      <c r="J25" s="471"/>
      <c r="K25" s="471"/>
      <c r="L25" s="486" t="str">
        <f>IF(AND('Mapa final'!$P$24="Alta",'Mapa final'!$S$24="Leve"),CONCATENATE("R",'Mapa final'!$A$24),"")</f>
        <v/>
      </c>
      <c r="M25" s="487"/>
      <c r="N25" s="487" t="str">
        <f>IF(AND('Mapa final'!$K$25="Alta",'Mapa final'!$O$25="Leve"),CONCATENATE("R",'Mapa final'!$A$25),"")</f>
        <v/>
      </c>
      <c r="O25" s="487"/>
      <c r="P25" s="487" t="str">
        <f>IF(AND('Mapa final'!$K$26="Alta",'Mapa final'!$O$26="Leve"),CONCATENATE("R",'Mapa final'!$A$26),"")</f>
        <v/>
      </c>
      <c r="Q25" s="500"/>
      <c r="R25" s="486" t="str">
        <f>IF(AND('Mapa final'!$P$24="Alta",'Mapa final'!$S$24="Menor"),CONCATENATE("R",'Mapa final'!$A$24),"")</f>
        <v/>
      </c>
      <c r="S25" s="487"/>
      <c r="T25" s="487" t="str">
        <f>IF(AND('Mapa final'!$P$25="Alta",'Mapa final'!$S$25="Menor"),CONCATENATE("R",'Mapa final'!$A$25),"")</f>
        <v/>
      </c>
      <c r="U25" s="487"/>
      <c r="V25" s="487" t="str">
        <f>IF(AND('Mapa final'!$P$26="Alta",'Mapa final'!$S$26="Menor"),CONCATENATE("R",'Mapa final'!$A$26),"")</f>
        <v/>
      </c>
      <c r="W25" s="487"/>
      <c r="X25" s="478" t="str">
        <f>IF(AND('Mapa final'!$P$24="Alta",'Mapa final'!$S$24="Moderado"),CONCATENATE("R",'Mapa final'!$A$24),"")</f>
        <v/>
      </c>
      <c r="Y25" s="475"/>
      <c r="Z25" s="475" t="str">
        <f>IF(AND('Mapa final'!$P$25="Alta",'Mapa final'!$S$25="Moderado"),CONCATENATE("R",'Mapa final'!$A$25),"")</f>
        <v/>
      </c>
      <c r="AA25" s="475"/>
      <c r="AB25" s="475" t="str">
        <f>IF(AND('Mapa final'!$P$26="Alta",'Mapa final'!$S$26="Moderado"),CONCATENATE("R",'Mapa final'!$A$26),"")</f>
        <v/>
      </c>
      <c r="AC25" s="475"/>
      <c r="AD25" s="478" t="str">
        <f>IF(AND('Mapa final'!$P$24="Alta",'Mapa final'!$S$24="Mayor"),CONCATENATE("R",'Mapa final'!$A$24),"")</f>
        <v/>
      </c>
      <c r="AE25" s="475"/>
      <c r="AF25" s="475" t="str">
        <f>IF(AND('Mapa final'!$P$25="Alta",'Mapa final'!$S$25="Mayor"),CONCATENATE("R",'Mapa final'!$A$25),"")</f>
        <v/>
      </c>
      <c r="AG25" s="475"/>
      <c r="AH25" s="475" t="str">
        <f>IF(AND('Mapa final'!$P$26="Alta",'Mapa final'!$S$26="Mayor"),CONCATENATE("R",'Mapa final'!$A$26),"")</f>
        <v/>
      </c>
      <c r="AI25" s="475"/>
      <c r="AJ25" s="491" t="str">
        <f>IF(AND('Mapa final'!$P$24="Alta",'Mapa final'!$S$24="Catastrófico"),CONCATENATE("R",'Mapa final'!$A$24),"")</f>
        <v/>
      </c>
      <c r="AK25" s="492"/>
      <c r="AL25" s="492" t="str">
        <f>IF(AND('Mapa final'!$P$25="Alta",'Mapa final'!$S$25="Catastrófico"),CONCATENATE("R",'Mapa final'!$A$25),"")</f>
        <v/>
      </c>
      <c r="AM25" s="492"/>
      <c r="AN25" s="492" t="str">
        <f>IF(AND('Mapa final'!$P$26="Alta",'Mapa final'!$S$26="Catastrófico"),CONCATENATE("R",'Mapa final'!$A$26),"")</f>
        <v/>
      </c>
      <c r="AO25" s="493"/>
      <c r="AP25" s="68"/>
      <c r="AQ25" s="444"/>
      <c r="AR25" s="445"/>
      <c r="AS25" s="445"/>
      <c r="AT25" s="445"/>
      <c r="AU25" s="445"/>
      <c r="AV25" s="446"/>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row>
    <row r="26" spans="3:82" ht="15.75" customHeight="1" thickBot="1">
      <c r="C26" s="68"/>
      <c r="D26" s="430"/>
      <c r="E26" s="430"/>
      <c r="F26" s="431"/>
      <c r="G26" s="472"/>
      <c r="H26" s="473"/>
      <c r="I26" s="473"/>
      <c r="J26" s="473"/>
      <c r="K26" s="473"/>
      <c r="L26" s="501"/>
      <c r="M26" s="502"/>
      <c r="N26" s="502"/>
      <c r="O26" s="502"/>
      <c r="P26" s="502"/>
      <c r="Q26" s="503"/>
      <c r="R26" s="501"/>
      <c r="S26" s="502"/>
      <c r="T26" s="487"/>
      <c r="U26" s="487"/>
      <c r="V26" s="487"/>
      <c r="W26" s="487"/>
      <c r="X26" s="478"/>
      <c r="Y26" s="475"/>
      <c r="Z26" s="475"/>
      <c r="AA26" s="475"/>
      <c r="AB26" s="475"/>
      <c r="AC26" s="475"/>
      <c r="AD26" s="478"/>
      <c r="AE26" s="475"/>
      <c r="AF26" s="475"/>
      <c r="AG26" s="475"/>
      <c r="AH26" s="475"/>
      <c r="AI26" s="475"/>
      <c r="AJ26" s="491"/>
      <c r="AK26" s="492"/>
      <c r="AL26" s="492"/>
      <c r="AM26" s="492"/>
      <c r="AN26" s="492"/>
      <c r="AO26" s="493"/>
      <c r="AP26" s="68"/>
      <c r="AQ26" s="447"/>
      <c r="AR26" s="448"/>
      <c r="AS26" s="448"/>
      <c r="AT26" s="448"/>
      <c r="AU26" s="448"/>
      <c r="AV26" s="449"/>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row>
    <row r="27" spans="3:82" ht="15" customHeight="1">
      <c r="C27" s="68"/>
      <c r="D27" s="430"/>
      <c r="E27" s="430"/>
      <c r="F27" s="431"/>
      <c r="G27" s="468" t="s">
        <v>326</v>
      </c>
      <c r="H27" s="469"/>
      <c r="I27" s="469"/>
      <c r="J27" s="469"/>
      <c r="K27" s="469"/>
      <c r="L27" s="504"/>
      <c r="M27" s="505"/>
      <c r="N27" s="505" t="str">
        <f>IF(AND('Mapa final'!$K$15="Media",'Mapa final'!$O$15="Leve"),CONCATENATE("R",'Mapa final'!$A$18),"")</f>
        <v/>
      </c>
      <c r="O27" s="505"/>
      <c r="P27" s="505" t="str">
        <f>IF(AND('Mapa final'!$K$19="Media",'Mapa final'!$O$19="Leve"),CONCATENATE("R",'Mapa final'!$A$19),"")</f>
        <v/>
      </c>
      <c r="Q27" s="506"/>
      <c r="R27" s="504"/>
      <c r="S27" s="505"/>
      <c r="T27" s="505" t="str">
        <f>IF(AND('Mapa final'!$P$15="Media",'Mapa final'!$S$15="Menor"),CONCATENATE("R",'Mapa final'!$A$18),"")</f>
        <v/>
      </c>
      <c r="U27" s="505"/>
      <c r="V27" s="505" t="str">
        <f>IF(AND('Mapa final'!$P$19="Media",'Mapa final'!$S$19="Menor"),CONCATENATE("R",'Mapa final'!$A$19),"")</f>
        <v/>
      </c>
      <c r="W27" s="505"/>
      <c r="X27" s="504"/>
      <c r="Y27" s="505"/>
      <c r="Z27" s="505" t="str">
        <f>IF(AND('Mapa final'!P$15="Media",'Mapa final'!$S$15="Moderado"),CONCATENATE("R",'Mapa final'!$A$18),"")</f>
        <v/>
      </c>
      <c r="AA27" s="505"/>
      <c r="AB27" s="505" t="str">
        <f>IF(AND('Mapa final'!$P$19="Media",'Mapa final'!$S$19="Moderado"),CONCATENATE("R",'Mapa final'!$A$19),"")</f>
        <v/>
      </c>
      <c r="AC27" s="505"/>
      <c r="AD27" s="476"/>
      <c r="AE27" s="477"/>
      <c r="AF27" s="477" t="str">
        <f>IF(AND('Mapa final'!$P$15="Media",'Mapa final'!$S$15="Mayor"),CONCATENATE("R",'Mapa final'!$A$18),"")</f>
        <v/>
      </c>
      <c r="AG27" s="477"/>
      <c r="AH27" s="477" t="str">
        <f>IF(AND('Mapa final'!$P$19="Media",'Mapa final'!$S$19="Mayor"),CONCATENATE("R",'Mapa final'!$A$19),"")</f>
        <v/>
      </c>
      <c r="AI27" s="477"/>
      <c r="AJ27" s="494"/>
      <c r="AK27" s="495"/>
      <c r="AL27" s="495" t="str">
        <f>IF(AND('Mapa final'!$P$15="Media",'Mapa final'!$S$15="Catastrófico"),CONCATENATE("R",'Mapa final'!$A$18),"")</f>
        <v>R</v>
      </c>
      <c r="AM27" s="495"/>
      <c r="AN27" s="495" t="str">
        <f>IF(AND('Mapa final'!$P$19="Media",'Mapa final'!$S$19="Catastrófico"),CONCATENATE("R",'Mapa final'!$A$19),"")</f>
        <v>R</v>
      </c>
      <c r="AO27" s="496"/>
      <c r="AP27" s="68"/>
      <c r="AQ27" s="450" t="s">
        <v>178</v>
      </c>
      <c r="AR27" s="451"/>
      <c r="AS27" s="451"/>
      <c r="AT27" s="451"/>
      <c r="AU27" s="451"/>
      <c r="AV27" s="452"/>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row>
    <row r="28" spans="3:82" ht="15" customHeight="1">
      <c r="C28" s="68"/>
      <c r="D28" s="430"/>
      <c r="E28" s="430"/>
      <c r="F28" s="431"/>
      <c r="G28" s="470"/>
      <c r="H28" s="471"/>
      <c r="I28" s="471"/>
      <c r="J28" s="471"/>
      <c r="K28" s="471"/>
      <c r="L28" s="486"/>
      <c r="M28" s="487"/>
      <c r="N28" s="487"/>
      <c r="O28" s="487"/>
      <c r="P28" s="487"/>
      <c r="Q28" s="500"/>
      <c r="R28" s="486"/>
      <c r="S28" s="487"/>
      <c r="T28" s="487"/>
      <c r="U28" s="487"/>
      <c r="V28" s="487"/>
      <c r="W28" s="487"/>
      <c r="X28" s="486"/>
      <c r="Y28" s="487"/>
      <c r="Z28" s="487"/>
      <c r="AA28" s="487"/>
      <c r="AB28" s="487"/>
      <c r="AC28" s="487"/>
      <c r="AD28" s="478"/>
      <c r="AE28" s="475"/>
      <c r="AF28" s="475"/>
      <c r="AG28" s="475"/>
      <c r="AH28" s="475"/>
      <c r="AI28" s="475"/>
      <c r="AJ28" s="491"/>
      <c r="AK28" s="492"/>
      <c r="AL28" s="492"/>
      <c r="AM28" s="492"/>
      <c r="AN28" s="492"/>
      <c r="AO28" s="493"/>
      <c r="AP28" s="68"/>
      <c r="AQ28" s="453"/>
      <c r="AR28" s="454"/>
      <c r="AS28" s="454"/>
      <c r="AT28" s="454"/>
      <c r="AU28" s="454"/>
      <c r="AV28" s="455"/>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row>
    <row r="29" spans="3:82" ht="15" customHeight="1">
      <c r="C29" s="68"/>
      <c r="D29" s="430"/>
      <c r="E29" s="430"/>
      <c r="F29" s="431"/>
      <c r="G29" s="470"/>
      <c r="H29" s="471"/>
      <c r="I29" s="471"/>
      <c r="J29" s="471"/>
      <c r="K29" s="471"/>
      <c r="L29" s="486" t="str">
        <f>IF(AND('Mapa final'!$P$22="Media",'Mapa final'!$S$22="Leve"),CONCATENATE("R",'Mapa final'!$A$22),"")</f>
        <v/>
      </c>
      <c r="M29" s="487"/>
      <c r="N29" s="487" t="e">
        <f>IF(AND('Mapa final'!#REF!="Media",'Mapa final'!#REF!="Leve"),CONCATENATE("R",'Mapa final'!#REF!),"")</f>
        <v>#REF!</v>
      </c>
      <c r="O29" s="487"/>
      <c r="P29" s="487" t="e">
        <f>IF(AND('Mapa final'!#REF!="Media",'Mapa final'!#REF!="Leve"),CONCATENATE("R",'Mapa final'!#REF!),"")</f>
        <v>#REF!</v>
      </c>
      <c r="Q29" s="500"/>
      <c r="R29" s="486" t="str">
        <f>IF(AND('Mapa final'!$P$22="Media",'Mapa final'!$S$22="Menor"),CONCATENATE("R",'Mapa final'!$A$22),"")</f>
        <v/>
      </c>
      <c r="S29" s="487"/>
      <c r="T29" s="487" t="e">
        <f>IF(AND('Mapa final'!#REF!="Media",'Mapa final'!#REF!="Menor"),CONCATENATE("R",'Mapa final'!#REF!),"")</f>
        <v>#REF!</v>
      </c>
      <c r="U29" s="487"/>
      <c r="V29" s="487" t="e">
        <f>IF(AND('Mapa final'!#REF!="Media",'Mapa final'!#REF!="Menor"),CONCATENATE("R",'Mapa final'!#REF!),"")</f>
        <v>#REF!</v>
      </c>
      <c r="W29" s="487"/>
      <c r="X29" s="486" t="str">
        <f>IF(AND('Mapa final'!$P$22="Media",'Mapa final'!$S$22="Moderado"),CONCATENATE("R",'Mapa final'!$A$22),"")</f>
        <v/>
      </c>
      <c r="Y29" s="487"/>
      <c r="Z29" s="487" t="e">
        <f>IF(AND('Mapa final'!#REF!="Media",'Mapa final'!#REF!="Moderado"),CONCATENATE("R",'Mapa final'!#REF!),"")</f>
        <v>#REF!</v>
      </c>
      <c r="AA29" s="487"/>
      <c r="AB29" s="487" t="e">
        <f>IF(AND('Mapa final'!#REF!="Media",'Mapa final'!#REF!="Moderado"),CONCATENATE("R",'Mapa final'!#REF!),"")</f>
        <v>#REF!</v>
      </c>
      <c r="AC29" s="487"/>
      <c r="AD29" s="478" t="str">
        <f>IF(AND('Mapa final'!$P$22="Media",'Mapa final'!$S$22="Mayor"),CONCATENATE("R",'Mapa final'!$A$22),"")</f>
        <v/>
      </c>
      <c r="AE29" s="475"/>
      <c r="AF29" s="475" t="e">
        <f>IF(AND('Mapa final'!#REF!="Media",'Mapa final'!#REF!="Mayor"),CONCATENATE("R",'Mapa final'!#REF!),"")</f>
        <v>#REF!</v>
      </c>
      <c r="AG29" s="475"/>
      <c r="AH29" s="475" t="e">
        <f>IF(AND('Mapa final'!#REF!="Media",'Mapa final'!#REF!="Mayor"),CONCATENATE("R",'Mapa final'!#REF!),"")</f>
        <v>#REF!</v>
      </c>
      <c r="AI29" s="475"/>
      <c r="AJ29" s="491" t="str">
        <f>IF(AND('Mapa final'!$P$22="Media",'Mapa final'!$S$22="Catastrófico"),CONCATENATE("R",'Mapa final'!$A$22),"")</f>
        <v/>
      </c>
      <c r="AK29" s="492"/>
      <c r="AL29" s="492" t="e">
        <f>IF(AND('Mapa final'!#REF!="Media",'Mapa final'!#REF!="Catastrófico"),CONCATENATE("R",'Mapa final'!#REF!),"")</f>
        <v>#REF!</v>
      </c>
      <c r="AM29" s="492"/>
      <c r="AN29" s="492" t="e">
        <f>IF(AND('Mapa final'!#REF!="Media",'Mapa final'!#REF!="Catastrófico"),CONCATENATE("R",'Mapa final'!#REF!),"")</f>
        <v>#REF!</v>
      </c>
      <c r="AO29" s="493"/>
      <c r="AP29" s="68"/>
      <c r="AQ29" s="453"/>
      <c r="AR29" s="454"/>
      <c r="AS29" s="454"/>
      <c r="AT29" s="454"/>
      <c r="AU29" s="454"/>
      <c r="AV29" s="455"/>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row>
    <row r="30" spans="3:82" ht="15" customHeight="1">
      <c r="C30" s="68"/>
      <c r="D30" s="430"/>
      <c r="E30" s="430"/>
      <c r="F30" s="431"/>
      <c r="G30" s="470"/>
      <c r="H30" s="471"/>
      <c r="I30" s="471"/>
      <c r="J30" s="471"/>
      <c r="K30" s="471"/>
      <c r="L30" s="486"/>
      <c r="M30" s="487"/>
      <c r="N30" s="487"/>
      <c r="O30" s="487"/>
      <c r="P30" s="487"/>
      <c r="Q30" s="500"/>
      <c r="R30" s="486"/>
      <c r="S30" s="487"/>
      <c r="T30" s="487"/>
      <c r="U30" s="487"/>
      <c r="V30" s="487"/>
      <c r="W30" s="487"/>
      <c r="X30" s="486"/>
      <c r="Y30" s="487"/>
      <c r="Z30" s="487"/>
      <c r="AA30" s="487"/>
      <c r="AB30" s="487"/>
      <c r="AC30" s="487"/>
      <c r="AD30" s="478"/>
      <c r="AE30" s="475"/>
      <c r="AF30" s="475"/>
      <c r="AG30" s="475"/>
      <c r="AH30" s="475"/>
      <c r="AI30" s="475"/>
      <c r="AJ30" s="491"/>
      <c r="AK30" s="492"/>
      <c r="AL30" s="492"/>
      <c r="AM30" s="492"/>
      <c r="AN30" s="492"/>
      <c r="AO30" s="493"/>
      <c r="AP30" s="68"/>
      <c r="AQ30" s="453"/>
      <c r="AR30" s="454"/>
      <c r="AS30" s="454"/>
      <c r="AT30" s="454"/>
      <c r="AU30" s="454"/>
      <c r="AV30" s="455"/>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row>
    <row r="31" spans="3:82" ht="15" customHeight="1">
      <c r="C31" s="68"/>
      <c r="D31" s="430"/>
      <c r="E31" s="430"/>
      <c r="F31" s="431"/>
      <c r="G31" s="470"/>
      <c r="H31" s="471"/>
      <c r="I31" s="471"/>
      <c r="J31" s="471"/>
      <c r="K31" s="471"/>
      <c r="L31" s="486" t="e">
        <f>IF(AND('Mapa final'!#REF!="Media",'Mapa final'!#REF!="Leve"),CONCATENATE("R",'Mapa final'!#REF!),"")</f>
        <v>#REF!</v>
      </c>
      <c r="M31" s="487"/>
      <c r="N31" s="487" t="e">
        <f>IF(AND('Mapa final'!#REF!="Media",'Mapa final'!#REF!="Leve"),CONCATENATE("R",'Mapa final'!#REF!),"")</f>
        <v>#REF!</v>
      </c>
      <c r="O31" s="487"/>
      <c r="P31" s="487" t="str">
        <f>IF(AND('Mapa final'!$K$23="Media",'Mapa final'!$O$23="Leve"),CONCATENATE("R",'Mapa final'!$A$23),"")</f>
        <v/>
      </c>
      <c r="Q31" s="500"/>
      <c r="R31" s="486" t="e">
        <f>IF(AND('Mapa final'!#REF!="Media",'Mapa final'!#REF!="Menor"),CONCATENATE("R",'Mapa final'!#REF!),"")</f>
        <v>#REF!</v>
      </c>
      <c r="S31" s="487"/>
      <c r="T31" s="487" t="e">
        <f>IF(AND('Mapa final'!#REF!="Media",'Mapa final'!#REF!="Menor"),CONCATENATE("R",'Mapa final'!#REF!),"")</f>
        <v>#REF!</v>
      </c>
      <c r="U31" s="487"/>
      <c r="V31" s="487" t="str">
        <f>IF(AND('Mapa final'!$P$23="Media",'Mapa final'!$S$23="Menor"),CONCATENATE("R",'Mapa final'!$A$23),"")</f>
        <v/>
      </c>
      <c r="W31" s="487"/>
      <c r="X31" s="486" t="e">
        <f>IF(AND('Mapa final'!#REF!="Media",'Mapa final'!#REF!="Moderado"),CONCATENATE("R",'Mapa final'!#REF!),"")</f>
        <v>#REF!</v>
      </c>
      <c r="Y31" s="487"/>
      <c r="Z31" s="487" t="e">
        <f>IF(AND('Mapa final'!#REF!="Media",'Mapa final'!#REF!="Moderado"),CONCATENATE("R",'Mapa final'!#REF!),"")</f>
        <v>#REF!</v>
      </c>
      <c r="AA31" s="487"/>
      <c r="AB31" s="487" t="str">
        <f>IF(AND('Mapa final'!$P$23="Media",'Mapa final'!$S$23="Moderado"),CONCATENATE("R",'Mapa final'!$A$23),"")</f>
        <v/>
      </c>
      <c r="AC31" s="487"/>
      <c r="AD31" s="478" t="e">
        <f>IF(AND('Mapa final'!#REF!="Media",'Mapa final'!#REF!="Mayor"),CONCATENATE("R",'Mapa final'!#REF!),"")</f>
        <v>#REF!</v>
      </c>
      <c r="AE31" s="475"/>
      <c r="AF31" s="475" t="e">
        <f>IF(AND('Mapa final'!#REF!="Media",'Mapa final'!#REF!="Mayor"),CONCATENATE("R",'Mapa final'!#REF!),"")</f>
        <v>#REF!</v>
      </c>
      <c r="AG31" s="475"/>
      <c r="AH31" s="475" t="str">
        <f>IF(AND('Mapa final'!$P$23="Media",'Mapa final'!$S$23="Mayor"),CONCATENATE("R",'Mapa final'!$A$23),"")</f>
        <v/>
      </c>
      <c r="AI31" s="475"/>
      <c r="AJ31" s="491" t="e">
        <f>IF(AND('Mapa final'!#REF!="Media",'Mapa final'!#REF!="Catastrófico"),CONCATENATE("R",'Mapa final'!#REF!),"")</f>
        <v>#REF!</v>
      </c>
      <c r="AK31" s="492"/>
      <c r="AL31" s="492" t="e">
        <f>IF(AND('Mapa final'!#REF!="Media",'Mapa final'!#REF!="Catastrófico"),CONCATENATE("R",'Mapa final'!#REF!),"")</f>
        <v>#REF!</v>
      </c>
      <c r="AM31" s="492"/>
      <c r="AN31" s="492" t="str">
        <f>IF(AND('Mapa final'!$P$23="Media",'Mapa final'!$S$23="Catastrófico"),CONCATENATE("R",'Mapa final'!$A$23),"")</f>
        <v/>
      </c>
      <c r="AO31" s="493"/>
      <c r="AP31" s="68"/>
      <c r="AQ31" s="453"/>
      <c r="AR31" s="454"/>
      <c r="AS31" s="454"/>
      <c r="AT31" s="454"/>
      <c r="AU31" s="454"/>
      <c r="AV31" s="455"/>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row>
    <row r="32" spans="3:82" ht="15" customHeight="1">
      <c r="C32" s="68"/>
      <c r="D32" s="430"/>
      <c r="E32" s="430"/>
      <c r="F32" s="431"/>
      <c r="G32" s="470"/>
      <c r="H32" s="471"/>
      <c r="I32" s="471"/>
      <c r="J32" s="471"/>
      <c r="K32" s="471"/>
      <c r="L32" s="486"/>
      <c r="M32" s="487"/>
      <c r="N32" s="487"/>
      <c r="O32" s="487"/>
      <c r="P32" s="487"/>
      <c r="Q32" s="500"/>
      <c r="R32" s="486"/>
      <c r="S32" s="487"/>
      <c r="T32" s="487"/>
      <c r="U32" s="487"/>
      <c r="V32" s="487"/>
      <c r="W32" s="487"/>
      <c r="X32" s="486"/>
      <c r="Y32" s="487"/>
      <c r="Z32" s="487"/>
      <c r="AA32" s="487"/>
      <c r="AB32" s="487"/>
      <c r="AC32" s="487"/>
      <c r="AD32" s="478"/>
      <c r="AE32" s="475"/>
      <c r="AF32" s="475"/>
      <c r="AG32" s="475"/>
      <c r="AH32" s="475"/>
      <c r="AI32" s="475"/>
      <c r="AJ32" s="491"/>
      <c r="AK32" s="492"/>
      <c r="AL32" s="492"/>
      <c r="AM32" s="492"/>
      <c r="AN32" s="492"/>
      <c r="AO32" s="493"/>
      <c r="AP32" s="68"/>
      <c r="AQ32" s="453"/>
      <c r="AR32" s="454"/>
      <c r="AS32" s="454"/>
      <c r="AT32" s="454"/>
      <c r="AU32" s="454"/>
      <c r="AV32" s="455"/>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row>
    <row r="33" spans="3:82" ht="15" customHeight="1">
      <c r="C33" s="68"/>
      <c r="D33" s="430"/>
      <c r="E33" s="430"/>
      <c r="F33" s="431"/>
      <c r="G33" s="470"/>
      <c r="H33" s="471"/>
      <c r="I33" s="471"/>
      <c r="J33" s="471"/>
      <c r="K33" s="471"/>
      <c r="L33" s="486" t="str">
        <f>IF(AND('Mapa final'!$P$24="Mediaa",'Mapa final'!$S$24="Leve"),CONCATENATE("R",'Mapa final'!$A$24),"")</f>
        <v/>
      </c>
      <c r="M33" s="487"/>
      <c r="N33" s="487" t="str">
        <f>IF(AND('Mapa final'!$K$25="Media",'Mapa final'!$O$25="Leve"),CONCATENATE("R",'Mapa final'!$A$25),"")</f>
        <v/>
      </c>
      <c r="O33" s="487"/>
      <c r="P33" s="487" t="str">
        <f>IF(AND('Mapa final'!$K$26="Media",'Mapa final'!$O$26="Leve"),CONCATENATE("R",'Mapa final'!$A$26),"")</f>
        <v/>
      </c>
      <c r="Q33" s="500"/>
      <c r="R33" s="486" t="str">
        <f>IF(AND('Mapa final'!$P$24="Media",'Mapa final'!$S$24="Menor"),CONCATENATE("R",'Mapa final'!$A$24),"")</f>
        <v/>
      </c>
      <c r="S33" s="487"/>
      <c r="T33" s="487" t="str">
        <f>IF(AND('Mapa final'!$P$25="Media",'Mapa final'!$S$25="Menor"),CONCATENATE("R",'Mapa final'!$A$25),"")</f>
        <v/>
      </c>
      <c r="U33" s="487"/>
      <c r="V33" s="487" t="str">
        <f>IF(AND('Mapa final'!$P$26="Media",'Mapa final'!$S$26="Menor"),CONCATENATE("R",'Mapa final'!$A$26),"")</f>
        <v/>
      </c>
      <c r="W33" s="487"/>
      <c r="X33" s="486" t="str">
        <f>IF(AND('Mapa final'!$P$24="Media",'Mapa final'!$S$24="Moderado"),CONCATENATE("R",'Mapa final'!$A$24),"")</f>
        <v/>
      </c>
      <c r="Y33" s="487"/>
      <c r="Z33" s="487" t="str">
        <f>IF(AND('Mapa final'!$P$25="Media",'Mapa final'!$S$25="Moderado"),CONCATENATE("R",'Mapa final'!$A$25),"")</f>
        <v/>
      </c>
      <c r="AA33" s="487"/>
      <c r="AB33" s="487" t="str">
        <f>IF(AND('Mapa final'!$P$26="Media",'Mapa final'!$S$26="Moderado"),CONCATENATE("R",'Mapa final'!$A$26),"")</f>
        <v/>
      </c>
      <c r="AC33" s="487"/>
      <c r="AD33" s="478" t="str">
        <f>IF(AND('Mapa final'!$P$24="Media",'Mapa final'!$S$24="Mayor"),CONCATENATE("R",'Mapa final'!$A$24),"")</f>
        <v/>
      </c>
      <c r="AE33" s="475"/>
      <c r="AF33" s="475" t="str">
        <f>IF(AND('Mapa final'!$P$25="Media",'Mapa final'!$S$25="Mayor"),CONCATENATE("R",'Mapa final'!$A$25),"")</f>
        <v/>
      </c>
      <c r="AG33" s="475"/>
      <c r="AH33" s="475" t="str">
        <f>IF(AND('Mapa final'!$P$26="Media",'Mapa final'!$S$26="Mayor"),CONCATENATE("R",'Mapa final'!$A$26),"")</f>
        <v/>
      </c>
      <c r="AI33" s="475"/>
      <c r="AJ33" s="491" t="str">
        <f>IF(AND('Mapa final'!$P$24="Media",'Mapa final'!$S$24="Catastrófico"),CONCATENATE("R",'Mapa final'!$A$24),"")</f>
        <v/>
      </c>
      <c r="AK33" s="492"/>
      <c r="AL33" s="492" t="str">
        <f>IF(AND('Mapa final'!$P$25="Media",'Mapa final'!$S$25="Catastrófico"),CONCATENATE("R",'Mapa final'!$A$25),"")</f>
        <v/>
      </c>
      <c r="AM33" s="492"/>
      <c r="AN33" s="492" t="str">
        <f>IF(AND('Mapa final'!$P$26="Media",'Mapa final'!$S$26="Catastrófico"),CONCATENATE("R",'Mapa final'!$A$26),"")</f>
        <v/>
      </c>
      <c r="AO33" s="493"/>
      <c r="AP33" s="68"/>
      <c r="AQ33" s="453"/>
      <c r="AR33" s="454"/>
      <c r="AS33" s="454"/>
      <c r="AT33" s="454"/>
      <c r="AU33" s="454"/>
      <c r="AV33" s="455"/>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row>
    <row r="34" spans="3:82" ht="15.75" customHeight="1" thickBot="1">
      <c r="C34" s="68"/>
      <c r="D34" s="430"/>
      <c r="E34" s="430"/>
      <c r="F34" s="431"/>
      <c r="G34" s="472"/>
      <c r="H34" s="473"/>
      <c r="I34" s="473"/>
      <c r="J34" s="473"/>
      <c r="K34" s="473"/>
      <c r="L34" s="501"/>
      <c r="M34" s="502"/>
      <c r="N34" s="502"/>
      <c r="O34" s="502"/>
      <c r="P34" s="502"/>
      <c r="Q34" s="503"/>
      <c r="R34" s="501"/>
      <c r="S34" s="502"/>
      <c r="T34" s="502"/>
      <c r="U34" s="502"/>
      <c r="V34" s="502"/>
      <c r="W34" s="502"/>
      <c r="X34" s="501"/>
      <c r="Y34" s="502"/>
      <c r="Z34" s="502"/>
      <c r="AA34" s="502"/>
      <c r="AB34" s="502"/>
      <c r="AC34" s="502"/>
      <c r="AD34" s="489"/>
      <c r="AE34" s="484"/>
      <c r="AF34" s="484"/>
      <c r="AG34" s="484"/>
      <c r="AH34" s="484"/>
      <c r="AI34" s="484"/>
      <c r="AJ34" s="491"/>
      <c r="AK34" s="492"/>
      <c r="AL34" s="492"/>
      <c r="AM34" s="492"/>
      <c r="AN34" s="492"/>
      <c r="AO34" s="493"/>
      <c r="AP34" s="68"/>
      <c r="AQ34" s="456"/>
      <c r="AR34" s="457"/>
      <c r="AS34" s="457"/>
      <c r="AT34" s="457"/>
      <c r="AU34" s="457"/>
      <c r="AV34" s="45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row>
    <row r="35" spans="3:82" ht="15" customHeight="1">
      <c r="C35" s="68"/>
      <c r="D35" s="430"/>
      <c r="E35" s="430"/>
      <c r="F35" s="431"/>
      <c r="G35" s="468" t="s">
        <v>327</v>
      </c>
      <c r="H35" s="469"/>
      <c r="I35" s="469"/>
      <c r="J35" s="469"/>
      <c r="K35" s="469"/>
      <c r="L35" s="513"/>
      <c r="M35" s="514"/>
      <c r="N35" s="514" t="str">
        <f>IF(AND('Mapa final'!$K$15="Baja",'Mapa final'!$O$15="Leve"),CONCATENATE("R",'Mapa final'!$A$18),"")</f>
        <v/>
      </c>
      <c r="O35" s="514"/>
      <c r="P35" s="514" t="str">
        <f>IF(AND('Mapa final'!$K$19="Baja",'Mapa final'!$O$19="Leve"),CONCATENATE("R",'Mapa final'!$A$19),"")</f>
        <v/>
      </c>
      <c r="Q35" s="515"/>
      <c r="R35" s="504"/>
      <c r="S35" s="505"/>
      <c r="T35" s="487" t="str">
        <f>IF(AND('Mapa final'!$P$15="Baja",'Mapa final'!$S$15="Menor"),CONCATENATE("R",'Mapa final'!$A$18),"")</f>
        <v/>
      </c>
      <c r="U35" s="487"/>
      <c r="V35" s="487" t="str">
        <f>IF(AND('Mapa final'!$P$19="Baja",'Mapa final'!$S$19="Menor"),CONCATENATE("R",'Mapa final'!$A$19),"")</f>
        <v/>
      </c>
      <c r="W35" s="500"/>
      <c r="X35" s="486"/>
      <c r="Y35" s="487"/>
      <c r="Z35" s="487" t="str">
        <f>IF(AND('Mapa final'!P$15="Baja",'Mapa final'!$S$15="Moderado"),CONCATENATE("R",'Mapa final'!$A$18),"")</f>
        <v/>
      </c>
      <c r="AA35" s="487"/>
      <c r="AB35" s="487" t="str">
        <f>IF(AND('Mapa final'!$P$19="Baja",'Mapa final'!$S$19="Moderado"),CONCATENATE("R",'Mapa final'!$A$19),"")</f>
        <v/>
      </c>
      <c r="AC35" s="500"/>
      <c r="AD35" s="478"/>
      <c r="AE35" s="475"/>
      <c r="AF35" s="475" t="str">
        <f>IF(AND('Mapa final'!$P$15="Baja",'Mapa final'!$S$15="Mayor"),CONCATENATE("R",'Mapa final'!$A$18),"")</f>
        <v/>
      </c>
      <c r="AG35" s="475"/>
      <c r="AH35" s="475" t="str">
        <f>IF(AND('Mapa final'!$P$19="Baja",'Mapa final'!$S$19="Mayor"),CONCATENATE("R",'Mapa final'!$A$19),"")</f>
        <v/>
      </c>
      <c r="AI35" s="475"/>
      <c r="AJ35" s="494"/>
      <c r="AK35" s="495"/>
      <c r="AL35" s="495" t="str">
        <f>IF(AND('Mapa final'!$P$15="Baja",'Mapa final'!$S$15="Catastrófico"),CONCATENATE("R",'Mapa final'!$A$18),"")</f>
        <v/>
      </c>
      <c r="AM35" s="495"/>
      <c r="AN35" s="495" t="str">
        <f>IF(AND('Mapa final'!$P$19="Baja",'Mapa final'!$S$19="Catastrófico"),CONCATENATE("R",'Mapa final'!$A$19),"")</f>
        <v/>
      </c>
      <c r="AO35" s="496"/>
      <c r="AP35" s="68"/>
      <c r="AQ35" s="459" t="s">
        <v>328</v>
      </c>
      <c r="AR35" s="460"/>
      <c r="AS35" s="460"/>
      <c r="AT35" s="460"/>
      <c r="AU35" s="460"/>
      <c r="AV35" s="461"/>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row>
    <row r="36" spans="3:82" ht="15" customHeight="1">
      <c r="C36" s="68"/>
      <c r="D36" s="430"/>
      <c r="E36" s="430"/>
      <c r="F36" s="431"/>
      <c r="G36" s="470"/>
      <c r="H36" s="471"/>
      <c r="I36" s="471"/>
      <c r="J36" s="471"/>
      <c r="K36" s="471"/>
      <c r="L36" s="509"/>
      <c r="M36" s="507"/>
      <c r="N36" s="507"/>
      <c r="O36" s="507"/>
      <c r="P36" s="507"/>
      <c r="Q36" s="508"/>
      <c r="R36" s="486"/>
      <c r="S36" s="487"/>
      <c r="T36" s="487"/>
      <c r="U36" s="487"/>
      <c r="V36" s="487"/>
      <c r="W36" s="500"/>
      <c r="X36" s="486"/>
      <c r="Y36" s="487"/>
      <c r="Z36" s="487"/>
      <c r="AA36" s="487"/>
      <c r="AB36" s="487"/>
      <c r="AC36" s="500"/>
      <c r="AD36" s="478"/>
      <c r="AE36" s="475"/>
      <c r="AF36" s="475"/>
      <c r="AG36" s="475"/>
      <c r="AH36" s="475"/>
      <c r="AI36" s="475"/>
      <c r="AJ36" s="491"/>
      <c r="AK36" s="492"/>
      <c r="AL36" s="492"/>
      <c r="AM36" s="492"/>
      <c r="AN36" s="492"/>
      <c r="AO36" s="493"/>
      <c r="AP36" s="68"/>
      <c r="AQ36" s="462"/>
      <c r="AR36" s="463"/>
      <c r="AS36" s="463"/>
      <c r="AT36" s="463"/>
      <c r="AU36" s="463"/>
      <c r="AV36" s="464"/>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row>
    <row r="37" spans="3:82" ht="15" customHeight="1">
      <c r="C37" s="68"/>
      <c r="D37" s="430"/>
      <c r="E37" s="430"/>
      <c r="F37" s="431"/>
      <c r="G37" s="470"/>
      <c r="H37" s="471"/>
      <c r="I37" s="471"/>
      <c r="J37" s="471"/>
      <c r="K37" s="471"/>
      <c r="L37" s="509" t="str">
        <f>IF(AND('Mapa final'!$P$22="Baja",'Mapa final'!$S$22="Leve"),CONCATENATE("R",'Mapa final'!$A$22),"")</f>
        <v/>
      </c>
      <c r="M37" s="507"/>
      <c r="N37" s="507" t="e">
        <f>IF(AND('Mapa final'!#REF!="Baja",'Mapa final'!#REF!="Leve"),CONCATENATE("R",'Mapa final'!#REF!),"")</f>
        <v>#REF!</v>
      </c>
      <c r="O37" s="507"/>
      <c r="P37" s="507" t="e">
        <f>IF(AND('Mapa final'!#REF!="Baja",'Mapa final'!#REF!="Leve"),CONCATENATE("R",'Mapa final'!#REF!),"")</f>
        <v>#REF!</v>
      </c>
      <c r="Q37" s="508"/>
      <c r="R37" s="486" t="str">
        <f>IF(AND('Mapa final'!$P$22="Baja",'Mapa final'!$S$22="Menor"),CONCATENATE("R",'Mapa final'!$A$22),"")</f>
        <v/>
      </c>
      <c r="S37" s="487"/>
      <c r="T37" s="487" t="e">
        <f>IF(AND('Mapa final'!#REF!="Baja",'Mapa final'!#REF!="Menor"),CONCATENATE("R",'Mapa final'!#REF!),"")</f>
        <v>#REF!</v>
      </c>
      <c r="U37" s="487"/>
      <c r="V37" s="487" t="e">
        <f>IF(AND('Mapa final'!#REF!="Baja",'Mapa final'!#REF!="Menor"),CONCATENATE("R",'Mapa final'!#REF!),"")</f>
        <v>#REF!</v>
      </c>
      <c r="W37" s="500"/>
      <c r="X37" s="486" t="str">
        <f>IF(AND('Mapa final'!$P$22="Baja",'Mapa final'!$S$22="Moderado"),CONCATENATE("R",'Mapa final'!$D$21),"")</f>
        <v/>
      </c>
      <c r="Y37" s="487"/>
      <c r="Z37" s="487" t="e">
        <f>IF(AND('Mapa final'!#REF!="Baja",'Mapa final'!#REF!="Moderado"),CONCATENATE("R",'Mapa final'!#REF!),"")</f>
        <v>#REF!</v>
      </c>
      <c r="AA37" s="487"/>
      <c r="AB37" s="487" t="e">
        <f>IF(AND('Mapa final'!#REF!="Baja",'Mapa final'!#REF!="Moderado"),CONCATENATE("R",'Mapa final'!#REF!),"")</f>
        <v>#REF!</v>
      </c>
      <c r="AC37" s="500"/>
      <c r="AD37" s="478" t="str">
        <f>IF(AND('Mapa final'!$P$22="Baja",'Mapa final'!$S$22="Mayor"),CONCATENATE("R",'Mapa final'!$A$22),"")</f>
        <v/>
      </c>
      <c r="AE37" s="475"/>
      <c r="AF37" s="475" t="e">
        <f>IF(AND('Mapa final'!#REF!="Baja",'Mapa final'!#REF!="Mayor"),CONCATENATE("R",'Mapa final'!#REF!),"")</f>
        <v>#REF!</v>
      </c>
      <c r="AG37" s="475"/>
      <c r="AH37" s="475" t="e">
        <f>IF(AND('Mapa final'!#REF!="Baja",'Mapa final'!#REF!="Mayor"),CONCATENATE("R",'Mapa final'!#REF!),"")</f>
        <v>#REF!</v>
      </c>
      <c r="AI37" s="475"/>
      <c r="AJ37" s="491" t="str">
        <f>IF(AND('Mapa final'!$P$22="Baja",'Mapa final'!$S$22="Catastrófico"),CONCATENATE("R",'Mapa final'!$A$22),"")</f>
        <v/>
      </c>
      <c r="AK37" s="492"/>
      <c r="AL37" s="492" t="e">
        <f>IF(AND('Mapa final'!#REF!="Baja",'Mapa final'!#REF!="Catastrófico"),CONCATENATE("R",'Mapa final'!#REF!),"")</f>
        <v>#REF!</v>
      </c>
      <c r="AM37" s="492"/>
      <c r="AN37" s="492" t="e">
        <f>IF(AND('Mapa final'!#REF!="Baja",'Mapa final'!#REF!="Catastrófico"),CONCATENATE("R",'Mapa final'!#REF!),"")</f>
        <v>#REF!</v>
      </c>
      <c r="AO37" s="493"/>
      <c r="AP37" s="68"/>
      <c r="AQ37" s="462"/>
      <c r="AR37" s="463"/>
      <c r="AS37" s="463"/>
      <c r="AT37" s="463"/>
      <c r="AU37" s="463"/>
      <c r="AV37" s="464"/>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row>
    <row r="38" spans="3:82" ht="15" customHeight="1">
      <c r="C38" s="68"/>
      <c r="D38" s="430"/>
      <c r="E38" s="430"/>
      <c r="F38" s="431"/>
      <c r="G38" s="470"/>
      <c r="H38" s="471"/>
      <c r="I38" s="471"/>
      <c r="J38" s="471"/>
      <c r="K38" s="471"/>
      <c r="L38" s="509"/>
      <c r="M38" s="507"/>
      <c r="N38" s="507"/>
      <c r="O38" s="507"/>
      <c r="P38" s="507"/>
      <c r="Q38" s="508"/>
      <c r="R38" s="486"/>
      <c r="S38" s="487"/>
      <c r="T38" s="487"/>
      <c r="U38" s="487"/>
      <c r="V38" s="487"/>
      <c r="W38" s="500"/>
      <c r="X38" s="486"/>
      <c r="Y38" s="487"/>
      <c r="Z38" s="487"/>
      <c r="AA38" s="487"/>
      <c r="AB38" s="487"/>
      <c r="AC38" s="500"/>
      <c r="AD38" s="478"/>
      <c r="AE38" s="475"/>
      <c r="AF38" s="475"/>
      <c r="AG38" s="475"/>
      <c r="AH38" s="475"/>
      <c r="AI38" s="475"/>
      <c r="AJ38" s="491"/>
      <c r="AK38" s="492"/>
      <c r="AL38" s="492"/>
      <c r="AM38" s="492"/>
      <c r="AN38" s="492"/>
      <c r="AO38" s="493"/>
      <c r="AP38" s="68"/>
      <c r="AQ38" s="462"/>
      <c r="AR38" s="463"/>
      <c r="AS38" s="463"/>
      <c r="AT38" s="463"/>
      <c r="AU38" s="463"/>
      <c r="AV38" s="464"/>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row>
    <row r="39" spans="3:82" ht="15" customHeight="1">
      <c r="C39" s="68"/>
      <c r="D39" s="430"/>
      <c r="E39" s="430"/>
      <c r="F39" s="431"/>
      <c r="G39" s="470"/>
      <c r="H39" s="471"/>
      <c r="I39" s="471"/>
      <c r="J39" s="471"/>
      <c r="K39" s="471"/>
      <c r="L39" s="509" t="e">
        <f>IF(AND('Mapa final'!#REF!="Baja",'Mapa final'!#REF!="Leve"),CONCATENATE("R",'Mapa final'!#REF!),"")</f>
        <v>#REF!</v>
      </c>
      <c r="M39" s="507"/>
      <c r="N39" s="507" t="e">
        <f>IF(AND('Mapa final'!#REF!="Baja",'Mapa final'!#REF!="Leve"),CONCATENATE("R",'Mapa final'!#REF!),"")</f>
        <v>#REF!</v>
      </c>
      <c r="O39" s="507"/>
      <c r="P39" s="507" t="str">
        <f>IF(AND('Mapa final'!$K$23="Baja",'Mapa final'!$O$23="Leve"),CONCATENATE("R",'Mapa final'!$A$23),"")</f>
        <v/>
      </c>
      <c r="Q39" s="508"/>
      <c r="R39" s="486" t="e">
        <f>IF(AND('Mapa final'!#REF!="Baja",'Mapa final'!#REF!="Menor"),CONCATENATE("R",'Mapa final'!#REF!),"")</f>
        <v>#REF!</v>
      </c>
      <c r="S39" s="487"/>
      <c r="T39" s="487" t="e">
        <f>IF(AND('Mapa final'!#REF!="Baja",'Mapa final'!#REF!="Menor"),CONCATENATE("R",'Mapa final'!#REF!),"")</f>
        <v>#REF!</v>
      </c>
      <c r="U39" s="487"/>
      <c r="V39" s="487" t="str">
        <f>IF(AND('Mapa final'!$P$23="Baja",'Mapa final'!$S$23="Menor"),CONCATENATE("R",'Mapa final'!$A$23),"")</f>
        <v/>
      </c>
      <c r="W39" s="500"/>
      <c r="X39" s="486" t="e">
        <f>IF(AND('Mapa final'!#REF!="Baja",'Mapa final'!#REF!="Moderado"),CONCATENATE("R",'Mapa final'!#REF!),"")</f>
        <v>#REF!</v>
      </c>
      <c r="Y39" s="487"/>
      <c r="Z39" s="487" t="e">
        <f>IF(AND('Mapa final'!#REF!="Baja",'Mapa final'!#REF!="Moderado"),CONCATENATE("R",'Mapa final'!#REF!),"")</f>
        <v>#REF!</v>
      </c>
      <c r="AA39" s="487"/>
      <c r="AB39" s="487" t="str">
        <f>IF(AND('Mapa final'!$P$23="Baja",'Mapa final'!$S$23="Moderado"),CONCATENATE("R",'Mapa final'!$A$23),"")</f>
        <v/>
      </c>
      <c r="AC39" s="500"/>
      <c r="AD39" s="478" t="e">
        <f>IF(AND('Mapa final'!#REF!="Baja",'Mapa final'!#REF!="Mayor"),CONCATENATE("R",'Mapa final'!#REF!),"")</f>
        <v>#REF!</v>
      </c>
      <c r="AE39" s="475"/>
      <c r="AF39" s="475" t="e">
        <f>IF(AND('Mapa final'!#REF!="Baja",'Mapa final'!#REF!="Mayor"),CONCATENATE("R",'Mapa final'!#REF!),"")</f>
        <v>#REF!</v>
      </c>
      <c r="AG39" s="475"/>
      <c r="AH39" s="475" t="str">
        <f>IF(AND('Mapa final'!$P$23="Baja",'Mapa final'!$S$23="Mayor"),CONCATENATE("R",'Mapa final'!$A$23),"")</f>
        <v/>
      </c>
      <c r="AI39" s="475"/>
      <c r="AJ39" s="491" t="e">
        <f>IF(AND('Mapa final'!#REF!="Baja",'Mapa final'!#REF!="Catastrófico"),CONCATENATE("R",'Mapa final'!#REF!),"")</f>
        <v>#REF!</v>
      </c>
      <c r="AK39" s="492"/>
      <c r="AL39" s="492" t="e">
        <f>IF(AND('Mapa final'!#REF!="Baja",'Mapa final'!#REF!="Catastrófico"),CONCATENATE("R",'Mapa final'!#REF!),"")</f>
        <v>#REF!</v>
      </c>
      <c r="AM39" s="492"/>
      <c r="AN39" s="492" t="str">
        <f>IF(AND('Mapa final'!$P$23="Baja",'Mapa final'!$S$23="Catastrófico"),CONCATENATE("R",'Mapa final'!$A$23),"")</f>
        <v/>
      </c>
      <c r="AO39" s="493"/>
      <c r="AP39" s="68"/>
      <c r="AQ39" s="462"/>
      <c r="AR39" s="463"/>
      <c r="AS39" s="463"/>
      <c r="AT39" s="463"/>
      <c r="AU39" s="463"/>
      <c r="AV39" s="464"/>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row>
    <row r="40" spans="3:82" ht="15" customHeight="1">
      <c r="C40" s="68"/>
      <c r="D40" s="430"/>
      <c r="E40" s="430"/>
      <c r="F40" s="431"/>
      <c r="G40" s="470"/>
      <c r="H40" s="471"/>
      <c r="I40" s="471"/>
      <c r="J40" s="471"/>
      <c r="K40" s="471"/>
      <c r="L40" s="509"/>
      <c r="M40" s="507"/>
      <c r="N40" s="507"/>
      <c r="O40" s="507"/>
      <c r="P40" s="507"/>
      <c r="Q40" s="508"/>
      <c r="R40" s="486"/>
      <c r="S40" s="487"/>
      <c r="T40" s="487"/>
      <c r="U40" s="487"/>
      <c r="V40" s="487"/>
      <c r="W40" s="500"/>
      <c r="X40" s="486"/>
      <c r="Y40" s="487"/>
      <c r="Z40" s="487"/>
      <c r="AA40" s="487"/>
      <c r="AB40" s="487"/>
      <c r="AC40" s="500"/>
      <c r="AD40" s="478"/>
      <c r="AE40" s="475"/>
      <c r="AF40" s="475"/>
      <c r="AG40" s="475"/>
      <c r="AH40" s="475"/>
      <c r="AI40" s="475"/>
      <c r="AJ40" s="491"/>
      <c r="AK40" s="492"/>
      <c r="AL40" s="492"/>
      <c r="AM40" s="492"/>
      <c r="AN40" s="492"/>
      <c r="AO40" s="493"/>
      <c r="AP40" s="68"/>
      <c r="AQ40" s="462"/>
      <c r="AR40" s="463"/>
      <c r="AS40" s="463"/>
      <c r="AT40" s="463"/>
      <c r="AU40" s="463"/>
      <c r="AV40" s="464"/>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row>
    <row r="41" spans="3:82" ht="15" customHeight="1">
      <c r="C41" s="68"/>
      <c r="D41" s="430"/>
      <c r="E41" s="430"/>
      <c r="F41" s="431"/>
      <c r="G41" s="470"/>
      <c r="H41" s="471"/>
      <c r="I41" s="471"/>
      <c r="J41" s="471"/>
      <c r="K41" s="471"/>
      <c r="L41" s="509" t="str">
        <f>IF(AND('Mapa final'!$P$24="Baja",'Mapa final'!$S$24="Leve"),CONCATENATE("R",'Mapa final'!$A$24),"")</f>
        <v/>
      </c>
      <c r="M41" s="507"/>
      <c r="N41" s="507" t="str">
        <f>IF(AND('Mapa final'!$K$25="Baja",'Mapa final'!$O$25="Leve"),CONCATENATE("R",'Mapa final'!$A$25),"")</f>
        <v/>
      </c>
      <c r="O41" s="507"/>
      <c r="P41" s="507" t="str">
        <f>IF(AND('Mapa final'!$K$26="Baja",'Mapa final'!$O$26="Leve"),CONCATENATE("R",'Mapa final'!$A$26),"")</f>
        <v/>
      </c>
      <c r="Q41" s="508"/>
      <c r="R41" s="486" t="str">
        <f>IF(AND('Mapa final'!$P$24="Baja",'Mapa final'!$S$24="Menor"),CONCATENATE("R",'Mapa final'!$A$24),"")</f>
        <v/>
      </c>
      <c r="S41" s="487"/>
      <c r="T41" s="487" t="str">
        <f>IF(AND('Mapa final'!$P$25="Baja",'Mapa final'!$S$25="Menor"),CONCATENATE("R",'Mapa final'!$A$25),"")</f>
        <v/>
      </c>
      <c r="U41" s="487"/>
      <c r="V41" s="487" t="str">
        <f>IF(AND('Mapa final'!$P$26="Baja",'Mapa final'!$S$26="Menor"),CONCATENATE("R",'Mapa final'!$A$26),"")</f>
        <v/>
      </c>
      <c r="W41" s="500"/>
      <c r="X41" s="486" t="str">
        <f>IF(AND('Mapa final'!$P$24="Baja",'Mapa final'!$S$24="Moderado"),CONCATENATE("R",'Mapa final'!$A$24),"")</f>
        <v/>
      </c>
      <c r="Y41" s="487"/>
      <c r="Z41" s="487" t="str">
        <f>IF(AND('Mapa final'!$P$25="Baja",'Mapa final'!$S$25="Moderado"),CONCATENATE("R",'Mapa final'!$A$25),"")</f>
        <v/>
      </c>
      <c r="AA41" s="487"/>
      <c r="AB41" s="487" t="str">
        <f>IF(AND('Mapa final'!$P$26="Baja",'Mapa final'!$S$26="Moderado"),CONCATENATE("R",'Mapa final'!$A$26),"")</f>
        <v/>
      </c>
      <c r="AC41" s="500"/>
      <c r="AD41" s="478" t="str">
        <f>IF(AND('Mapa final'!$P$24="Baja",'Mapa final'!$S$24="Mayor"),CONCATENATE("R",'Mapa final'!$A$24),"")</f>
        <v/>
      </c>
      <c r="AE41" s="475"/>
      <c r="AF41" s="475" t="str">
        <f>IF(AND('Mapa final'!$P$25="Baja",'Mapa final'!$S$25="Mayor"),CONCATENATE("R",'Mapa final'!$A$25),"")</f>
        <v/>
      </c>
      <c r="AG41" s="475"/>
      <c r="AH41" s="475" t="str">
        <f>IF(AND('Mapa final'!$P$26="Baja",'Mapa final'!$S$26="Mayor"),CONCATENATE("R",'Mapa final'!$A$26),"")</f>
        <v/>
      </c>
      <c r="AI41" s="475"/>
      <c r="AJ41" s="491" t="str">
        <f>IF(AND('Mapa final'!$P$24="Baja",'Mapa final'!$S$24="Catastrófico"),CONCATENATE("R",'Mapa final'!$A$24),"")</f>
        <v/>
      </c>
      <c r="AK41" s="492"/>
      <c r="AL41" s="492" t="str">
        <f>IF(AND('Mapa final'!$P$25="Baja",'Mapa final'!$S$25="Catastrófico"),CONCATENATE("R",'Mapa final'!$A$25),"")</f>
        <v/>
      </c>
      <c r="AM41" s="492"/>
      <c r="AN41" s="492" t="str">
        <f>IF(AND('Mapa final'!$P$26="Baja",'Mapa final'!$S$26="Catastrófico"),CONCATENATE("R",'Mapa final'!$A$26),"")</f>
        <v/>
      </c>
      <c r="AO41" s="493"/>
      <c r="AP41" s="68"/>
      <c r="AQ41" s="462"/>
      <c r="AR41" s="463"/>
      <c r="AS41" s="463"/>
      <c r="AT41" s="463"/>
      <c r="AU41" s="463"/>
      <c r="AV41" s="464"/>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row>
    <row r="42" spans="3:82" ht="15.75" customHeight="1" thickBot="1">
      <c r="C42" s="68"/>
      <c r="D42" s="430"/>
      <c r="E42" s="430"/>
      <c r="F42" s="431"/>
      <c r="G42" s="472"/>
      <c r="H42" s="473"/>
      <c r="I42" s="473"/>
      <c r="J42" s="473"/>
      <c r="K42" s="473"/>
      <c r="L42" s="510"/>
      <c r="M42" s="511"/>
      <c r="N42" s="511"/>
      <c r="O42" s="511"/>
      <c r="P42" s="511"/>
      <c r="Q42" s="512"/>
      <c r="R42" s="501"/>
      <c r="S42" s="502"/>
      <c r="T42" s="502"/>
      <c r="U42" s="502"/>
      <c r="V42" s="502"/>
      <c r="W42" s="503"/>
      <c r="X42" s="501"/>
      <c r="Y42" s="502"/>
      <c r="Z42" s="502"/>
      <c r="AA42" s="502"/>
      <c r="AB42" s="502"/>
      <c r="AC42" s="503"/>
      <c r="AD42" s="489"/>
      <c r="AE42" s="484"/>
      <c r="AF42" s="484"/>
      <c r="AG42" s="484"/>
      <c r="AH42" s="484"/>
      <c r="AI42" s="484"/>
      <c r="AJ42" s="497"/>
      <c r="AK42" s="498"/>
      <c r="AL42" s="498"/>
      <c r="AM42" s="498"/>
      <c r="AN42" s="498"/>
      <c r="AO42" s="499"/>
      <c r="AP42" s="68"/>
      <c r="AQ42" s="465"/>
      <c r="AR42" s="466"/>
      <c r="AS42" s="466"/>
      <c r="AT42" s="466"/>
      <c r="AU42" s="466"/>
      <c r="AV42" s="467"/>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row>
    <row r="43" spans="3:82" ht="15" customHeight="1">
      <c r="C43" s="68"/>
      <c r="D43" s="430"/>
      <c r="E43" s="430"/>
      <c r="F43" s="431"/>
      <c r="G43" s="468" t="s">
        <v>329</v>
      </c>
      <c r="H43" s="469"/>
      <c r="I43" s="469"/>
      <c r="J43" s="469"/>
      <c r="K43" s="469"/>
      <c r="L43" s="513"/>
      <c r="M43" s="514"/>
      <c r="N43" s="514" t="str">
        <f>IF(AND('Mapa final'!$K$15="Muy Baja",'Mapa final'!$O$15="Leve"),CONCATENATE("R",'Mapa final'!$A$18),"")</f>
        <v/>
      </c>
      <c r="O43" s="514"/>
      <c r="P43" s="514" t="str">
        <f>IF(AND('Mapa final'!$K$19="Muy Baja",'Mapa final'!$O$19="Leve"),CONCATENATE("R",'Mapa final'!$A$19),"")</f>
        <v/>
      </c>
      <c r="Q43" s="515"/>
      <c r="R43" s="513"/>
      <c r="S43" s="514"/>
      <c r="T43" s="514" t="str">
        <f>IF(AND('Mapa final'!$P$15="Muy Baja",'Mapa final'!$S$15="Menor"),CONCATENATE("R",'Mapa final'!$A$18),"")</f>
        <v/>
      </c>
      <c r="U43" s="514"/>
      <c r="V43" s="514" t="str">
        <f>IF(AND('Mapa final'!$P$19="Muy Baja",'Mapa final'!$S$19="Menor"),CONCATENATE("R",'Mapa final'!$A$19),"")</f>
        <v/>
      </c>
      <c r="W43" s="515"/>
      <c r="X43" s="504"/>
      <c r="Y43" s="505"/>
      <c r="Z43" s="505" t="str">
        <f>IF(AND('Mapa final'!P$15="Muy Baja",'Mapa final'!$S$15="Moderado"),CONCATENATE("R",'Mapa final'!$D$15),"")</f>
        <v/>
      </c>
      <c r="AA43" s="505"/>
      <c r="AB43" s="505" t="str">
        <f>IF(AND('Mapa final'!$P$19="Muy Baja",'Mapa final'!$S$19="Moderado"),CONCATENATE("R",'Mapa final'!$A$19),"")</f>
        <v/>
      </c>
      <c r="AC43" s="506"/>
      <c r="AD43" s="476"/>
      <c r="AE43" s="477"/>
      <c r="AF43" s="477" t="str">
        <f>IF(AND('Mapa final'!$P$15="Muy Baja",'Mapa final'!$S$15="Mayor"),CONCATENATE("R",'Mapa final'!$A$18),"")</f>
        <v/>
      </c>
      <c r="AG43" s="477"/>
      <c r="AH43" s="477" t="str">
        <f>IF(AND('Mapa final'!$P$19="Muy Baja",'Mapa final'!$S$19="Mayor"),CONCATENATE("R",'Mapa final'!$D$19),"")</f>
        <v/>
      </c>
      <c r="AI43" s="490"/>
      <c r="AJ43" s="491"/>
      <c r="AK43" s="492"/>
      <c r="AL43" s="492" t="str">
        <f>IF(AND('Mapa final'!$P$15="Muy Baja",'Mapa final'!$S$15="Catastrófico"),CONCATENATE("R",'Mapa final'!$D$15),"")</f>
        <v/>
      </c>
      <c r="AM43" s="492"/>
      <c r="AN43" s="492" t="str">
        <f>IF(AND('Mapa final'!$P$19="Muy Baja",'Mapa final'!$S$19="Catastrófico"),CONCATENATE("R",'Mapa final'!$A$19),"")</f>
        <v/>
      </c>
      <c r="AO43" s="493"/>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row>
    <row r="44" spans="3:82" ht="15" customHeight="1">
      <c r="C44" s="68"/>
      <c r="D44" s="430"/>
      <c r="E44" s="430"/>
      <c r="F44" s="431"/>
      <c r="G44" s="470"/>
      <c r="H44" s="471"/>
      <c r="I44" s="471"/>
      <c r="J44" s="471"/>
      <c r="K44" s="471"/>
      <c r="L44" s="509"/>
      <c r="M44" s="507"/>
      <c r="N44" s="507"/>
      <c r="O44" s="507"/>
      <c r="P44" s="507"/>
      <c r="Q44" s="508"/>
      <c r="R44" s="509"/>
      <c r="S44" s="507"/>
      <c r="T44" s="507"/>
      <c r="U44" s="507"/>
      <c r="V44" s="507"/>
      <c r="W44" s="508"/>
      <c r="X44" s="486"/>
      <c r="Y44" s="487"/>
      <c r="Z44" s="487"/>
      <c r="AA44" s="487"/>
      <c r="AB44" s="487"/>
      <c r="AC44" s="500"/>
      <c r="AD44" s="478"/>
      <c r="AE44" s="475"/>
      <c r="AF44" s="475"/>
      <c r="AG44" s="475"/>
      <c r="AH44" s="475"/>
      <c r="AI44" s="483"/>
      <c r="AJ44" s="491"/>
      <c r="AK44" s="492"/>
      <c r="AL44" s="492"/>
      <c r="AM44" s="492"/>
      <c r="AN44" s="492"/>
      <c r="AO44" s="493"/>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row>
    <row r="45" spans="3:82" ht="15" customHeight="1">
      <c r="C45" s="68"/>
      <c r="D45" s="430"/>
      <c r="E45" s="430"/>
      <c r="F45" s="431"/>
      <c r="G45" s="470"/>
      <c r="H45" s="471"/>
      <c r="I45" s="471"/>
      <c r="J45" s="471"/>
      <c r="K45" s="471"/>
      <c r="L45" s="509" t="str">
        <f>IF(AND('Mapa final'!$P$22="Muy Baja",'Mapa final'!$S$22="Leve"),CONCATENATE("R",'Mapa final'!$A$22),"")</f>
        <v/>
      </c>
      <c r="M45" s="507"/>
      <c r="N45" s="507" t="e">
        <f>IF(AND('Mapa final'!#REF!="Muy Baja",'Mapa final'!#REF!="Leve"),CONCATENATE("R",'Mapa final'!#REF!),"")</f>
        <v>#REF!</v>
      </c>
      <c r="O45" s="507"/>
      <c r="P45" s="507" t="e">
        <f>IF(AND('Mapa final'!#REF!="Muy Baja",'Mapa final'!#REF!="Leve"),CONCATENATE("R",'Mapa final'!#REF!),"")</f>
        <v>#REF!</v>
      </c>
      <c r="Q45" s="508"/>
      <c r="R45" s="509" t="str">
        <f>IF(AND('Mapa final'!$P$22="Muy Baja",'Mapa final'!$S$22="Menor"),CONCATENATE("R",'Mapa final'!$A$22),"")</f>
        <v/>
      </c>
      <c r="S45" s="507"/>
      <c r="T45" s="507" t="e">
        <f>IF(AND('Mapa final'!#REF!="Muy Baja",'Mapa final'!#REF!="Menor"),CONCATENATE("R",'Mapa final'!#REF!),"")</f>
        <v>#REF!</v>
      </c>
      <c r="U45" s="507"/>
      <c r="V45" s="507" t="e">
        <f>IF(AND('Mapa final'!#REF!="Muy Baja",'Mapa final'!#REF!="Menor"),CONCATENATE("R",'Mapa final'!#REF!),"")</f>
        <v>#REF!</v>
      </c>
      <c r="W45" s="508"/>
      <c r="X45" s="486" t="str">
        <f>IF(AND('Mapa final'!$P$22="Muy Baja",'Mapa final'!$S$22="Moderado"),CONCATENATE("R",'Mapa final'!$A$22),"")</f>
        <v/>
      </c>
      <c r="Y45" s="487"/>
      <c r="Z45" s="487" t="e">
        <f>IF(AND('Mapa final'!#REF!="Muy Baja",'Mapa final'!#REF!="Moderado"),CONCATENATE("R",'Mapa final'!#REF!),"")</f>
        <v>#REF!</v>
      </c>
      <c r="AA45" s="487"/>
      <c r="AB45" s="487" t="e">
        <f>IF(AND('Mapa final'!#REF!="Muy Baja",'Mapa final'!#REF!="Moderado"),CONCATENATE("R",'Mapa final'!#REF!),"")</f>
        <v>#REF!</v>
      </c>
      <c r="AC45" s="500"/>
      <c r="AD45" s="478" t="str">
        <f>IF(AND('Mapa final'!$P$22="Muy Baja",'Mapa final'!$S$22="Mayor"),CONCATENATE("R",'Mapa final'!$A$22),"")</f>
        <v/>
      </c>
      <c r="AE45" s="475"/>
      <c r="AF45" s="475" t="e">
        <f>IF(AND('Mapa final'!#REF!="Muy Baja",'Mapa final'!#REF!="Mayor"),CONCATENATE("R",'Mapa final'!#REF!),"")</f>
        <v>#REF!</v>
      </c>
      <c r="AG45" s="475"/>
      <c r="AH45" s="475" t="e">
        <f>IF(AND('Mapa final'!#REF!="Muy Baja",'Mapa final'!#REF!="Mayor"),CONCATENATE("R",'Mapa final'!#REF!),"")</f>
        <v>#REF!</v>
      </c>
      <c r="AI45" s="483"/>
      <c r="AJ45" s="491" t="str">
        <f>IF(AND('Mapa final'!$P$22="Muy Baja",'Mapa final'!$S$22="Catastrófico"),CONCATENATE("R",'Mapa final'!$A$22),"")</f>
        <v/>
      </c>
      <c r="AK45" s="492"/>
      <c r="AL45" s="492" t="e">
        <f>IF(AND('Mapa final'!#REF!="Muy Baja",'Mapa final'!#REF!="Catastrófico"),CONCATENATE("R",'Mapa final'!#REF!),"")</f>
        <v>#REF!</v>
      </c>
      <c r="AM45" s="492"/>
      <c r="AN45" s="492" t="e">
        <f>IF(AND('Mapa final'!#REF!="Muy Baja",'Mapa final'!#REF!="Catastrófico"),CONCATENATE("R",'Mapa final'!#REF!),"")</f>
        <v>#REF!</v>
      </c>
      <c r="AO45" s="493"/>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row>
    <row r="46" spans="3:82" ht="15" customHeight="1">
      <c r="C46" s="68"/>
      <c r="D46" s="430"/>
      <c r="E46" s="430"/>
      <c r="F46" s="431"/>
      <c r="G46" s="470"/>
      <c r="H46" s="471"/>
      <c r="I46" s="471"/>
      <c r="J46" s="471"/>
      <c r="K46" s="471"/>
      <c r="L46" s="509"/>
      <c r="M46" s="507"/>
      <c r="N46" s="507"/>
      <c r="O46" s="507"/>
      <c r="P46" s="507"/>
      <c r="Q46" s="508"/>
      <c r="R46" s="509"/>
      <c r="S46" s="507"/>
      <c r="T46" s="507"/>
      <c r="U46" s="507"/>
      <c r="V46" s="507"/>
      <c r="W46" s="508"/>
      <c r="X46" s="486"/>
      <c r="Y46" s="487"/>
      <c r="Z46" s="487"/>
      <c r="AA46" s="487"/>
      <c r="AB46" s="487"/>
      <c r="AC46" s="500"/>
      <c r="AD46" s="478"/>
      <c r="AE46" s="475"/>
      <c r="AF46" s="475"/>
      <c r="AG46" s="475"/>
      <c r="AH46" s="475"/>
      <c r="AI46" s="483"/>
      <c r="AJ46" s="491"/>
      <c r="AK46" s="492"/>
      <c r="AL46" s="492"/>
      <c r="AM46" s="492"/>
      <c r="AN46" s="492"/>
      <c r="AO46" s="493"/>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row>
    <row r="47" spans="3:82" ht="15" customHeight="1">
      <c r="C47" s="68"/>
      <c r="D47" s="430"/>
      <c r="E47" s="430"/>
      <c r="F47" s="431"/>
      <c r="G47" s="470"/>
      <c r="H47" s="471"/>
      <c r="I47" s="471"/>
      <c r="J47" s="471"/>
      <c r="K47" s="471"/>
      <c r="L47" s="509" t="e">
        <f>IF(AND('Mapa final'!#REF!="Muy Baja",'Mapa final'!#REF!="Leve"),CONCATENATE("R",'Mapa final'!#REF!),"")</f>
        <v>#REF!</v>
      </c>
      <c r="M47" s="507"/>
      <c r="N47" s="507" t="e">
        <f>IF(AND('Mapa final'!#REF!="Muy Baja",'Mapa final'!#REF!="Leve"),CONCATENATE("R",'Mapa final'!#REF!),"")</f>
        <v>#REF!</v>
      </c>
      <c r="O47" s="507"/>
      <c r="P47" s="507" t="str">
        <f>IF(AND('Mapa final'!$K$23="Muy Baja",'Mapa final'!$O$23="Leve"),CONCATENATE("R",'Mapa final'!$A$23),"")</f>
        <v/>
      </c>
      <c r="Q47" s="508"/>
      <c r="R47" s="509" t="e">
        <f>IF(AND('Mapa final'!#REF!="Muy Baja",'Mapa final'!#REF!="Menor"),CONCATENATE("R",'Mapa final'!#REF!),"")</f>
        <v>#REF!</v>
      </c>
      <c r="S47" s="507"/>
      <c r="T47" s="507" t="e">
        <f>IF(AND('Mapa final'!#REF!="Muy Baja",'Mapa final'!#REF!="Menor"),CONCATENATE("R",'Mapa final'!#REF!),"")</f>
        <v>#REF!</v>
      </c>
      <c r="U47" s="507"/>
      <c r="V47" s="507" t="str">
        <f>IF(AND('Mapa final'!$P$23="Muy Baja",'Mapa final'!$S$23="Menor"),CONCATENATE("R",'Mapa final'!$A$23),"")</f>
        <v/>
      </c>
      <c r="W47" s="508"/>
      <c r="X47" s="486" t="e">
        <f>IF(AND('Mapa final'!#REF!="Muy Baja",'Mapa final'!#REF!="Moderado"),CONCATENATE("R",'Mapa final'!#REF!),"")</f>
        <v>#REF!</v>
      </c>
      <c r="Y47" s="487"/>
      <c r="Z47" s="487" t="e">
        <f>IF(AND('Mapa final'!#REF!="Muy Baja",'Mapa final'!#REF!="Moderado"),CONCATENATE("R",'Mapa final'!#REF!),"")</f>
        <v>#REF!</v>
      </c>
      <c r="AA47" s="487"/>
      <c r="AB47" s="487" t="str">
        <f>IF(AND('Mapa final'!$P$23="Muy Baja",'Mapa final'!$S$23="Moderado"),CONCATENATE("R",'Mapa final'!$A$23),"")</f>
        <v/>
      </c>
      <c r="AC47" s="500"/>
      <c r="AD47" s="478" t="e">
        <f>IF(AND('Mapa final'!#REF!="Muy Baja",'Mapa final'!#REF!="Mayor"),CONCATENATE("R",'Mapa final'!#REF!),"")</f>
        <v>#REF!</v>
      </c>
      <c r="AE47" s="475"/>
      <c r="AF47" s="475" t="e">
        <f>IF(AND('Mapa final'!#REF!="Muy Baja",'Mapa final'!#REF!="Mayor"),CONCATENATE("R",'Mapa final'!#REF!),"")</f>
        <v>#REF!</v>
      </c>
      <c r="AG47" s="475"/>
      <c r="AH47" s="475" t="str">
        <f>IF(AND('Mapa final'!$P$23="Muy Baja",'Mapa final'!$S$23="Mayor"),CONCATENATE("R",'Mapa final'!$A$23),"")</f>
        <v/>
      </c>
      <c r="AI47" s="483"/>
      <c r="AJ47" s="491" t="e">
        <f>IF(AND('Mapa final'!#REF!="Muy Baja",'Mapa final'!#REF!="Catastrófico"),CONCATENATE("R",'Mapa final'!#REF!),"")</f>
        <v>#REF!</v>
      </c>
      <c r="AK47" s="492"/>
      <c r="AL47" s="492" t="e">
        <f>IF(AND('Mapa final'!#REF!="Muy Baja",'Mapa final'!#REF!="Catastrófico"),CONCATENATE("R",'Mapa final'!#REF!),"")</f>
        <v>#REF!</v>
      </c>
      <c r="AM47" s="492"/>
      <c r="AN47" s="492" t="str">
        <f>IF(AND('Mapa final'!$P$23="Muy Baja",'Mapa final'!$S$23="Catastrófico"),CONCATENATE("R",'Mapa final'!$A$23),"")</f>
        <v/>
      </c>
      <c r="AO47" s="493"/>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row>
    <row r="48" spans="3:82" ht="15" customHeight="1">
      <c r="C48" s="68"/>
      <c r="D48" s="430"/>
      <c r="E48" s="430"/>
      <c r="F48" s="431"/>
      <c r="G48" s="470"/>
      <c r="H48" s="471"/>
      <c r="I48" s="471"/>
      <c r="J48" s="471"/>
      <c r="K48" s="471"/>
      <c r="L48" s="509"/>
      <c r="M48" s="507"/>
      <c r="N48" s="507"/>
      <c r="O48" s="507"/>
      <c r="P48" s="507"/>
      <c r="Q48" s="508"/>
      <c r="R48" s="509"/>
      <c r="S48" s="507"/>
      <c r="T48" s="507"/>
      <c r="U48" s="507"/>
      <c r="V48" s="507"/>
      <c r="W48" s="508"/>
      <c r="X48" s="486"/>
      <c r="Y48" s="487"/>
      <c r="Z48" s="487"/>
      <c r="AA48" s="487"/>
      <c r="AB48" s="487"/>
      <c r="AC48" s="500"/>
      <c r="AD48" s="478"/>
      <c r="AE48" s="475"/>
      <c r="AF48" s="475"/>
      <c r="AG48" s="475"/>
      <c r="AH48" s="475"/>
      <c r="AI48" s="483"/>
      <c r="AJ48" s="491"/>
      <c r="AK48" s="492"/>
      <c r="AL48" s="492"/>
      <c r="AM48" s="492"/>
      <c r="AN48" s="492"/>
      <c r="AO48" s="493"/>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row>
    <row r="49" spans="3:82" ht="15" customHeight="1">
      <c r="C49" s="68"/>
      <c r="D49" s="430"/>
      <c r="E49" s="430"/>
      <c r="F49" s="431"/>
      <c r="G49" s="470"/>
      <c r="H49" s="471"/>
      <c r="I49" s="471"/>
      <c r="J49" s="471"/>
      <c r="K49" s="471"/>
      <c r="L49" s="509" t="str">
        <f>IF(AND('Mapa final'!$P$24="Muy Baja",'Mapa final'!$S$24="Leve"),CONCATENATE("R",'Mapa final'!$A$24),"")</f>
        <v/>
      </c>
      <c r="M49" s="507"/>
      <c r="N49" s="507" t="str">
        <f>IF(AND('Mapa final'!$K$25="Muy Baja",'Mapa final'!$O$25="Leve"),CONCATENATE("R",'Mapa final'!$A$25),"")</f>
        <v/>
      </c>
      <c r="O49" s="507"/>
      <c r="P49" s="507" t="str">
        <f>IF(AND('Mapa final'!$K$26="Muy Baja",'Mapa final'!$O$26="Leve"),CONCATENATE("R",'Mapa final'!$A$26),"")</f>
        <v/>
      </c>
      <c r="Q49" s="508"/>
      <c r="R49" s="507" t="str">
        <f>IF(AND('Mapa final'!$P$24="Muy Baja",'Mapa final'!$S$24="Menor"),CONCATENATE("R",'Mapa final'!$A$24),"")</f>
        <v/>
      </c>
      <c r="S49" s="507"/>
      <c r="T49" s="507" t="str">
        <f>IF(AND('Mapa final'!$P$25="Muy Baja",'Mapa final'!$S$25="Menor"),CONCATENATE("R",'Mapa final'!$A$25),"")</f>
        <v/>
      </c>
      <c r="U49" s="507"/>
      <c r="V49" s="507" t="str">
        <f>IF(AND('Mapa final'!$P$26="Muy Baja",'Mapa final'!$S$26="Menor"),CONCATENATE("R",'Mapa final'!$A$26),"")</f>
        <v/>
      </c>
      <c r="W49" s="508"/>
      <c r="X49" s="486" t="str">
        <f>IF(AND('Mapa final'!$P$24="Muy Baja",'Mapa final'!$S$24="Moderado"),CONCATENATE("R",'Mapa final'!$A$24),"")</f>
        <v/>
      </c>
      <c r="Y49" s="487"/>
      <c r="Z49" s="487" t="str">
        <f>IF(AND('Mapa final'!$P$25="Muy Baja",'Mapa final'!$S$25="Moderado"),CONCATENATE("R",'Mapa final'!$A$25),"")</f>
        <v/>
      </c>
      <c r="AA49" s="487"/>
      <c r="AB49" s="487" t="str">
        <f>IF(AND('Mapa final'!$P$26="Muy Baja",'Mapa final'!$S$26="Moderado"),CONCATENATE("R",'Mapa final'!$A$26),"")</f>
        <v/>
      </c>
      <c r="AC49" s="500"/>
      <c r="AD49" s="478" t="str">
        <f>IF(AND('Mapa final'!$P$24="Muy Baja",'Mapa final'!$S$24="Mayor"),CONCATENATE("R",'Mapa final'!$A$24),"")</f>
        <v/>
      </c>
      <c r="AE49" s="475"/>
      <c r="AF49" s="475" t="str">
        <f>IF(AND('Mapa final'!$P$25="Muy Baja",'Mapa final'!$S$25="Mayor"),CONCATENATE("R",'Mapa final'!$A$25),"")</f>
        <v/>
      </c>
      <c r="AG49" s="475"/>
      <c r="AH49" s="475" t="str">
        <f>IF(AND('Mapa final'!$P$26="Muy Baja",'Mapa final'!$S$26="Mayor"),CONCATENATE("R",'Mapa final'!$A$26),"")</f>
        <v/>
      </c>
      <c r="AI49" s="483"/>
      <c r="AJ49" s="491" t="str">
        <f>IF(AND('Mapa final'!$P$24="Muy Baja",'Mapa final'!$S$24="Catastrófico"),CONCATENATE("R",'Mapa final'!$A$24),"")</f>
        <v/>
      </c>
      <c r="AK49" s="492"/>
      <c r="AL49" s="492" t="str">
        <f>IF(AND('Mapa final'!$P$25="Muy Baja",'Mapa final'!$S$25="Catastrófico"),CONCATENATE("R",'Mapa final'!$A$25),"")</f>
        <v/>
      </c>
      <c r="AM49" s="492"/>
      <c r="AN49" s="492" t="str">
        <f>IF(AND('Mapa final'!$P$26="Muy Baja",'Mapa final'!$S$26="Catastrófico"),CONCATENATE("R",'Mapa final'!$A$26),"")</f>
        <v/>
      </c>
      <c r="AO49" s="493"/>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row>
    <row r="50" spans="3:82" ht="15.75" customHeight="1" thickBot="1">
      <c r="C50" s="68"/>
      <c r="D50" s="430"/>
      <c r="E50" s="430"/>
      <c r="F50" s="431"/>
      <c r="G50" s="472"/>
      <c r="H50" s="473"/>
      <c r="I50" s="473"/>
      <c r="J50" s="473"/>
      <c r="K50" s="473"/>
      <c r="L50" s="510"/>
      <c r="M50" s="511"/>
      <c r="N50" s="511"/>
      <c r="O50" s="511"/>
      <c r="P50" s="511"/>
      <c r="Q50" s="512"/>
      <c r="R50" s="511"/>
      <c r="S50" s="511"/>
      <c r="T50" s="511"/>
      <c r="U50" s="511"/>
      <c r="V50" s="511"/>
      <c r="W50" s="512"/>
      <c r="X50" s="501"/>
      <c r="Y50" s="502"/>
      <c r="Z50" s="502"/>
      <c r="AA50" s="502"/>
      <c r="AB50" s="502"/>
      <c r="AC50" s="503"/>
      <c r="AD50" s="489"/>
      <c r="AE50" s="484"/>
      <c r="AF50" s="484"/>
      <c r="AG50" s="484"/>
      <c r="AH50" s="484"/>
      <c r="AI50" s="485"/>
      <c r="AJ50" s="497"/>
      <c r="AK50" s="498"/>
      <c r="AL50" s="498"/>
      <c r="AM50" s="498"/>
      <c r="AN50" s="498"/>
      <c r="AO50" s="499"/>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row>
    <row r="51" spans="3:82">
      <c r="C51" s="68"/>
      <c r="D51" s="68"/>
      <c r="E51" s="68"/>
      <c r="F51" s="68"/>
      <c r="G51" s="68"/>
      <c r="H51" s="68"/>
      <c r="I51" s="68"/>
      <c r="J51" s="68"/>
      <c r="K51" s="68"/>
      <c r="L51" s="479" t="s">
        <v>330</v>
      </c>
      <c r="M51" s="471"/>
      <c r="N51" s="471"/>
      <c r="O51" s="471"/>
      <c r="P51" s="471"/>
      <c r="Q51" s="480"/>
      <c r="R51" s="468" t="s">
        <v>331</v>
      </c>
      <c r="S51" s="469"/>
      <c r="T51" s="469"/>
      <c r="U51" s="469"/>
      <c r="V51" s="469"/>
      <c r="W51" s="482"/>
      <c r="X51" s="468" t="s">
        <v>332</v>
      </c>
      <c r="Y51" s="469"/>
      <c r="Z51" s="469"/>
      <c r="AA51" s="469"/>
      <c r="AB51" s="469"/>
      <c r="AC51" s="482"/>
      <c r="AD51" s="468" t="s">
        <v>333</v>
      </c>
      <c r="AE51" s="488"/>
      <c r="AF51" s="469"/>
      <c r="AG51" s="469"/>
      <c r="AH51" s="469"/>
      <c r="AI51" s="482"/>
      <c r="AJ51" s="468" t="s">
        <v>334</v>
      </c>
      <c r="AK51" s="469"/>
      <c r="AL51" s="469"/>
      <c r="AM51" s="469"/>
      <c r="AN51" s="469"/>
      <c r="AO51" s="482"/>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row>
    <row r="52" spans="3:82">
      <c r="C52" s="68"/>
      <c r="D52" s="68"/>
      <c r="E52" s="68"/>
      <c r="F52" s="68"/>
      <c r="G52" s="68"/>
      <c r="H52" s="68"/>
      <c r="I52" s="68"/>
      <c r="J52" s="68"/>
      <c r="K52" s="68"/>
      <c r="L52" s="470"/>
      <c r="M52" s="471"/>
      <c r="N52" s="471"/>
      <c r="O52" s="471"/>
      <c r="P52" s="471"/>
      <c r="Q52" s="480"/>
      <c r="R52" s="470"/>
      <c r="S52" s="471"/>
      <c r="T52" s="471"/>
      <c r="U52" s="471"/>
      <c r="V52" s="471"/>
      <c r="W52" s="480"/>
      <c r="X52" s="470"/>
      <c r="Y52" s="471"/>
      <c r="Z52" s="471"/>
      <c r="AA52" s="471"/>
      <c r="AB52" s="471"/>
      <c r="AC52" s="480"/>
      <c r="AD52" s="470"/>
      <c r="AE52" s="471"/>
      <c r="AF52" s="471"/>
      <c r="AG52" s="471"/>
      <c r="AH52" s="471"/>
      <c r="AI52" s="480"/>
      <c r="AJ52" s="470"/>
      <c r="AK52" s="471"/>
      <c r="AL52" s="471"/>
      <c r="AM52" s="471"/>
      <c r="AN52" s="471"/>
      <c r="AO52" s="480"/>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row>
    <row r="53" spans="3:82">
      <c r="C53" s="68"/>
      <c r="D53" s="68"/>
      <c r="E53" s="68"/>
      <c r="F53" s="68"/>
      <c r="G53" s="68"/>
      <c r="H53" s="68"/>
      <c r="I53" s="68"/>
      <c r="J53" s="68"/>
      <c r="K53" s="68"/>
      <c r="L53" s="470"/>
      <c r="M53" s="471"/>
      <c r="N53" s="471"/>
      <c r="O53" s="471"/>
      <c r="P53" s="471"/>
      <c r="Q53" s="480"/>
      <c r="R53" s="470"/>
      <c r="S53" s="471"/>
      <c r="T53" s="471"/>
      <c r="U53" s="471"/>
      <c r="V53" s="471"/>
      <c r="W53" s="480"/>
      <c r="X53" s="470"/>
      <c r="Y53" s="471"/>
      <c r="Z53" s="471"/>
      <c r="AA53" s="471"/>
      <c r="AB53" s="471"/>
      <c r="AC53" s="480"/>
      <c r="AD53" s="470"/>
      <c r="AE53" s="471"/>
      <c r="AF53" s="471"/>
      <c r="AG53" s="471"/>
      <c r="AH53" s="471"/>
      <c r="AI53" s="480"/>
      <c r="AJ53" s="470"/>
      <c r="AK53" s="471"/>
      <c r="AL53" s="471"/>
      <c r="AM53" s="471"/>
      <c r="AN53" s="471"/>
      <c r="AO53" s="480"/>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row>
    <row r="54" spans="3:82">
      <c r="C54" s="68"/>
      <c r="D54" s="68"/>
      <c r="E54" s="68"/>
      <c r="F54" s="68"/>
      <c r="G54" s="68"/>
      <c r="H54" s="68"/>
      <c r="I54" s="68"/>
      <c r="J54" s="68"/>
      <c r="K54" s="68"/>
      <c r="L54" s="470"/>
      <c r="M54" s="471"/>
      <c r="N54" s="471"/>
      <c r="O54" s="471"/>
      <c r="P54" s="471"/>
      <c r="Q54" s="480"/>
      <c r="R54" s="470"/>
      <c r="S54" s="471"/>
      <c r="T54" s="471"/>
      <c r="U54" s="471"/>
      <c r="V54" s="471"/>
      <c r="W54" s="480"/>
      <c r="X54" s="470"/>
      <c r="Y54" s="471"/>
      <c r="Z54" s="471"/>
      <c r="AA54" s="471"/>
      <c r="AB54" s="471"/>
      <c r="AC54" s="480"/>
      <c r="AD54" s="470"/>
      <c r="AE54" s="471"/>
      <c r="AF54" s="471"/>
      <c r="AG54" s="471"/>
      <c r="AH54" s="471"/>
      <c r="AI54" s="480"/>
      <c r="AJ54" s="470"/>
      <c r="AK54" s="471"/>
      <c r="AL54" s="471"/>
      <c r="AM54" s="471"/>
      <c r="AN54" s="471"/>
      <c r="AO54" s="480"/>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row>
    <row r="55" spans="3:82">
      <c r="C55" s="68"/>
      <c r="D55" s="68"/>
      <c r="E55" s="68"/>
      <c r="F55" s="68"/>
      <c r="G55" s="68"/>
      <c r="H55" s="68"/>
      <c r="I55" s="68"/>
      <c r="J55" s="68"/>
      <c r="K55" s="68"/>
      <c r="L55" s="470"/>
      <c r="M55" s="471"/>
      <c r="N55" s="471"/>
      <c r="O55" s="471"/>
      <c r="P55" s="471"/>
      <c r="Q55" s="480"/>
      <c r="R55" s="470"/>
      <c r="S55" s="471"/>
      <c r="T55" s="471"/>
      <c r="U55" s="471"/>
      <c r="V55" s="471"/>
      <c r="W55" s="480"/>
      <c r="X55" s="470"/>
      <c r="Y55" s="471"/>
      <c r="Z55" s="471"/>
      <c r="AA55" s="471"/>
      <c r="AB55" s="471"/>
      <c r="AC55" s="480"/>
      <c r="AD55" s="470"/>
      <c r="AE55" s="471"/>
      <c r="AF55" s="471"/>
      <c r="AG55" s="471"/>
      <c r="AH55" s="471"/>
      <c r="AI55" s="480"/>
      <c r="AJ55" s="470"/>
      <c r="AK55" s="471"/>
      <c r="AL55" s="471"/>
      <c r="AM55" s="471"/>
      <c r="AN55" s="471"/>
      <c r="AO55" s="480"/>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row>
    <row r="56" spans="3:82" ht="16" thickBot="1">
      <c r="C56" s="68"/>
      <c r="D56" s="68"/>
      <c r="E56" s="68"/>
      <c r="F56" s="68"/>
      <c r="G56" s="68"/>
      <c r="H56" s="68"/>
      <c r="I56" s="68"/>
      <c r="J56" s="68"/>
      <c r="K56" s="68"/>
      <c r="L56" s="472"/>
      <c r="M56" s="473"/>
      <c r="N56" s="473"/>
      <c r="O56" s="473"/>
      <c r="P56" s="473"/>
      <c r="Q56" s="481"/>
      <c r="R56" s="472"/>
      <c r="S56" s="473"/>
      <c r="T56" s="473"/>
      <c r="U56" s="473"/>
      <c r="V56" s="473"/>
      <c r="W56" s="481"/>
      <c r="X56" s="472"/>
      <c r="Y56" s="473"/>
      <c r="Z56" s="473"/>
      <c r="AA56" s="473"/>
      <c r="AB56" s="473"/>
      <c r="AC56" s="481"/>
      <c r="AD56" s="472"/>
      <c r="AE56" s="473"/>
      <c r="AF56" s="473"/>
      <c r="AG56" s="473"/>
      <c r="AH56" s="473"/>
      <c r="AI56" s="481"/>
      <c r="AJ56" s="472"/>
      <c r="AK56" s="473"/>
      <c r="AL56" s="473"/>
      <c r="AM56" s="473"/>
      <c r="AN56" s="473"/>
      <c r="AO56" s="481"/>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row>
    <row r="57" spans="3:82">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row>
    <row r="58" spans="3:82" ht="15" customHeight="1">
      <c r="C58" s="68"/>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row>
    <row r="59" spans="3:82" ht="15" customHeight="1">
      <c r="C59" s="68"/>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row>
    <row r="60" spans="3:82">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row>
    <row r="61" spans="3:82">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row>
    <row r="62" spans="3:82">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row>
    <row r="63" spans="3:82">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row>
    <row r="64" spans="3:82">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row>
    <row r="65" spans="3:82">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row>
    <row r="66" spans="3:82">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row>
    <row r="67" spans="3:82">
      <c r="C67" s="68"/>
      <c r="D67" s="68"/>
      <c r="E67" s="68"/>
      <c r="F67" s="68"/>
      <c r="G67" s="68"/>
      <c r="H67" s="68" t="s">
        <v>335</v>
      </c>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row>
    <row r="68" spans="3:82">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row>
    <row r="69" spans="3:82">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row>
    <row r="70" spans="3:82">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row>
    <row r="71" spans="3:82">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row>
    <row r="72" spans="3:82">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row>
    <row r="73" spans="3:82">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row>
    <row r="74" spans="3:82">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row>
    <row r="75" spans="3:82">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row>
    <row r="76" spans="3:82">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row>
    <row r="77" spans="3:82">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row>
    <row r="78" spans="3:82">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row>
    <row r="79" spans="3:82">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row>
    <row r="80" spans="3:82">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row>
    <row r="81" spans="3:82">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row>
    <row r="82" spans="3:82">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row>
    <row r="83" spans="3:82">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68"/>
      <c r="BT83" s="68"/>
      <c r="BU83" s="68"/>
      <c r="BV83" s="68"/>
      <c r="BW83" s="68"/>
      <c r="BX83" s="68"/>
      <c r="BY83" s="68"/>
      <c r="BZ83" s="68"/>
      <c r="CA83" s="68"/>
      <c r="CB83" s="68"/>
      <c r="CC83" s="68"/>
      <c r="CD83" s="68"/>
    </row>
    <row r="84" spans="3:82">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row>
    <row r="85" spans="3:82">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row>
    <row r="86" spans="3:82">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row>
    <row r="87" spans="3:82">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row>
    <row r="88" spans="3:82">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row>
    <row r="89" spans="3:82">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row>
    <row r="90" spans="3:82">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row>
    <row r="91" spans="3:82">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row>
    <row r="92" spans="3:82">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row>
    <row r="93" spans="3:82">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row>
    <row r="94" spans="3:82">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row>
    <row r="95" spans="3:82">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c r="BL95" s="68"/>
      <c r="BM95" s="68"/>
    </row>
    <row r="96" spans="3:82">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row>
    <row r="97" spans="3:65">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c r="BL97" s="68"/>
      <c r="BM97" s="68"/>
    </row>
    <row r="98" spans="3:65">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row>
    <row r="99" spans="3:65">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row>
    <row r="100" spans="3:65">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row>
    <row r="101" spans="3:65">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c r="BL101" s="68"/>
      <c r="BM101" s="68"/>
    </row>
    <row r="102" spans="3:65">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row>
    <row r="103" spans="3:65">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row>
    <row r="104" spans="3:65">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row>
    <row r="105" spans="3:65">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c r="BL105" s="68"/>
      <c r="BM105" s="68"/>
    </row>
    <row r="106" spans="3:65">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row>
    <row r="107" spans="3:65">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c r="BM107" s="68"/>
    </row>
    <row r="108" spans="3:65">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row>
    <row r="109" spans="3:65">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c r="BM109" s="68"/>
    </row>
    <row r="110" spans="3:65">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row>
    <row r="111" spans="3:65">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row>
    <row r="112" spans="3:65">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row>
    <row r="113" spans="3:65">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c r="BL113" s="68"/>
      <c r="BM113" s="68"/>
    </row>
    <row r="114" spans="3:65">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row>
    <row r="115" spans="3:65">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c r="BL115" s="68"/>
      <c r="BM115" s="68"/>
    </row>
    <row r="116" spans="3:65">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row>
    <row r="117" spans="3:65">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c r="BL117" s="68"/>
      <c r="BM117" s="68"/>
    </row>
    <row r="118" spans="3:65">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row>
    <row r="119" spans="3:65">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row>
    <row r="120" spans="3:65">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row>
    <row r="121" spans="3:65">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row>
    <row r="122" spans="3:65">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row>
    <row r="123" spans="3:65">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row>
    <row r="124" spans="3:65">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row>
    <row r="125" spans="3:65">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c r="BM125" s="68"/>
    </row>
    <row r="126" spans="3:65">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row>
    <row r="127" spans="3:65">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c r="BL127" s="68"/>
      <c r="BM127" s="68"/>
    </row>
    <row r="128" spans="3:65">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row>
    <row r="129" spans="4:65">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c r="BM129" s="68"/>
    </row>
    <row r="130" spans="4:65">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row>
    <row r="131" spans="4:65">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row>
    <row r="132" spans="4:65">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row>
    <row r="133" spans="4:65">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row>
    <row r="134" spans="4:65">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row>
    <row r="135" spans="4:65">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row>
    <row r="136" spans="4:65">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row>
    <row r="137" spans="4:65">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c r="BJ137" s="68"/>
      <c r="BK137" s="68"/>
      <c r="BL137" s="68"/>
      <c r="BM137" s="68"/>
    </row>
    <row r="138" spans="4:65">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row>
    <row r="139" spans="4:65">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c r="BJ139" s="68"/>
      <c r="BK139" s="68"/>
      <c r="BL139" s="68"/>
      <c r="BM139" s="68"/>
    </row>
    <row r="140" spans="4:65">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c r="BJ140" s="68"/>
      <c r="BK140" s="68"/>
      <c r="BL140" s="68"/>
      <c r="BM140" s="68"/>
    </row>
    <row r="141" spans="4:65">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c r="BL141" s="68"/>
      <c r="BM141" s="68"/>
    </row>
    <row r="142" spans="4:65">
      <c r="D142" s="68"/>
      <c r="E142" s="68"/>
      <c r="F142" s="68"/>
      <c r="G142" s="68"/>
      <c r="H142" s="68"/>
      <c r="I142" s="68"/>
      <c r="J142" s="68"/>
      <c r="K142" s="68"/>
    </row>
    <row r="143" spans="4:65">
      <c r="D143" s="68"/>
      <c r="E143" s="68"/>
      <c r="F143" s="68"/>
      <c r="G143" s="68"/>
      <c r="H143" s="68"/>
      <c r="I143" s="68"/>
      <c r="J143" s="68"/>
      <c r="K143" s="68"/>
    </row>
    <row r="144" spans="4:65">
      <c r="D144" s="68"/>
      <c r="E144" s="68"/>
      <c r="F144" s="68"/>
      <c r="G144" s="68"/>
      <c r="H144" s="68"/>
      <c r="I144" s="68"/>
      <c r="J144" s="68"/>
      <c r="K144" s="68"/>
    </row>
    <row r="145" spans="4:11">
      <c r="D145" s="68"/>
      <c r="E145" s="68"/>
      <c r="F145" s="68"/>
      <c r="G145" s="68"/>
      <c r="H145" s="68"/>
      <c r="I145" s="68"/>
      <c r="J145" s="68"/>
      <c r="K145" s="68"/>
    </row>
  </sheetData>
  <mergeCells count="324">
    <mergeCell ref="A8:C8"/>
    <mergeCell ref="D7:K9"/>
    <mergeCell ref="R47:S48"/>
    <mergeCell ref="T47:U48"/>
    <mergeCell ref="V47:W48"/>
    <mergeCell ref="R49:S50"/>
    <mergeCell ref="T49:U50"/>
    <mergeCell ref="V49:W50"/>
    <mergeCell ref="R43:S44"/>
    <mergeCell ref="T43:U44"/>
    <mergeCell ref="V43:W44"/>
    <mergeCell ref="R45:S46"/>
    <mergeCell ref="T45:U46"/>
    <mergeCell ref="V45:W46"/>
    <mergeCell ref="L47:M48"/>
    <mergeCell ref="N47:O48"/>
    <mergeCell ref="P47:Q48"/>
    <mergeCell ref="L49:M50"/>
    <mergeCell ref="N49:O50"/>
    <mergeCell ref="P49:Q50"/>
    <mergeCell ref="L43:M44"/>
    <mergeCell ref="N43:O44"/>
    <mergeCell ref="P43:Q44"/>
    <mergeCell ref="L45:M46"/>
    <mergeCell ref="N45:O46"/>
    <mergeCell ref="P45:Q46"/>
    <mergeCell ref="L39:M40"/>
    <mergeCell ref="N39:O40"/>
    <mergeCell ref="P39:Q40"/>
    <mergeCell ref="L41:M42"/>
    <mergeCell ref="N41:O42"/>
    <mergeCell ref="P41:Q42"/>
    <mergeCell ref="L35:M36"/>
    <mergeCell ref="N35:O36"/>
    <mergeCell ref="P35:Q36"/>
    <mergeCell ref="L37:M38"/>
    <mergeCell ref="N37:O38"/>
    <mergeCell ref="P37:Q38"/>
    <mergeCell ref="X47:Y48"/>
    <mergeCell ref="Z47:AA48"/>
    <mergeCell ref="AB47:AC48"/>
    <mergeCell ref="X49:Y50"/>
    <mergeCell ref="Z49:AA50"/>
    <mergeCell ref="AB49:AC50"/>
    <mergeCell ref="X43:Y44"/>
    <mergeCell ref="Z43:AA44"/>
    <mergeCell ref="AB43:AC44"/>
    <mergeCell ref="X45:Y46"/>
    <mergeCell ref="Z45:AA46"/>
    <mergeCell ref="AB45:AC46"/>
    <mergeCell ref="R39:S40"/>
    <mergeCell ref="T39:U40"/>
    <mergeCell ref="V39:W40"/>
    <mergeCell ref="R41:S42"/>
    <mergeCell ref="T41:U42"/>
    <mergeCell ref="V41:W42"/>
    <mergeCell ref="R35:S36"/>
    <mergeCell ref="T35:U36"/>
    <mergeCell ref="V35:W36"/>
    <mergeCell ref="R37:S38"/>
    <mergeCell ref="T37:U38"/>
    <mergeCell ref="V37:W38"/>
    <mergeCell ref="X39:Y40"/>
    <mergeCell ref="Z39:AA40"/>
    <mergeCell ref="AB39:AC40"/>
    <mergeCell ref="X41:Y42"/>
    <mergeCell ref="Z41:AA42"/>
    <mergeCell ref="AB41:AC42"/>
    <mergeCell ref="X35:Y36"/>
    <mergeCell ref="Z35:AA36"/>
    <mergeCell ref="AB35:AC36"/>
    <mergeCell ref="X37:Y38"/>
    <mergeCell ref="Z37:AA38"/>
    <mergeCell ref="AB37:AC38"/>
    <mergeCell ref="X31:Y32"/>
    <mergeCell ref="Z31:AA32"/>
    <mergeCell ref="AB31:AC32"/>
    <mergeCell ref="X33:Y34"/>
    <mergeCell ref="Z33:AA34"/>
    <mergeCell ref="AB33:AC34"/>
    <mergeCell ref="X27:Y28"/>
    <mergeCell ref="Z27:AA28"/>
    <mergeCell ref="AB27:AC28"/>
    <mergeCell ref="X29:Y30"/>
    <mergeCell ref="Z29:AA30"/>
    <mergeCell ref="AB29:AC30"/>
    <mergeCell ref="R31:S32"/>
    <mergeCell ref="T31:U32"/>
    <mergeCell ref="V31:W32"/>
    <mergeCell ref="R33:S34"/>
    <mergeCell ref="T33:U34"/>
    <mergeCell ref="V33:W34"/>
    <mergeCell ref="R27:S28"/>
    <mergeCell ref="T27:U28"/>
    <mergeCell ref="V27:W28"/>
    <mergeCell ref="R29:S30"/>
    <mergeCell ref="T29:U30"/>
    <mergeCell ref="V29:W30"/>
    <mergeCell ref="L31:M32"/>
    <mergeCell ref="N31:O32"/>
    <mergeCell ref="P31:Q32"/>
    <mergeCell ref="L33:M34"/>
    <mergeCell ref="N33:O34"/>
    <mergeCell ref="P33:Q34"/>
    <mergeCell ref="L27:M28"/>
    <mergeCell ref="N27:O28"/>
    <mergeCell ref="P27:Q28"/>
    <mergeCell ref="L29:M30"/>
    <mergeCell ref="N29:O30"/>
    <mergeCell ref="P29:Q30"/>
    <mergeCell ref="R23:S24"/>
    <mergeCell ref="T23:U24"/>
    <mergeCell ref="V23:W24"/>
    <mergeCell ref="R25:S26"/>
    <mergeCell ref="T25:U26"/>
    <mergeCell ref="V25:W26"/>
    <mergeCell ref="R19:S20"/>
    <mergeCell ref="T19:U20"/>
    <mergeCell ref="V19:W20"/>
    <mergeCell ref="R21:S22"/>
    <mergeCell ref="T21:U22"/>
    <mergeCell ref="V21:W22"/>
    <mergeCell ref="P23:Q24"/>
    <mergeCell ref="L25:M26"/>
    <mergeCell ref="N25:O26"/>
    <mergeCell ref="P25:Q26"/>
    <mergeCell ref="L19:M20"/>
    <mergeCell ref="N19:O20"/>
    <mergeCell ref="P19:Q20"/>
    <mergeCell ref="L21:M22"/>
    <mergeCell ref="N21:O22"/>
    <mergeCell ref="P21:Q22"/>
    <mergeCell ref="AJ47:AK48"/>
    <mergeCell ref="AL47:AM48"/>
    <mergeCell ref="AN47:AO48"/>
    <mergeCell ref="AJ49:AK50"/>
    <mergeCell ref="AL49:AM50"/>
    <mergeCell ref="AN49:AO50"/>
    <mergeCell ref="AJ43:AK44"/>
    <mergeCell ref="AL43:AM44"/>
    <mergeCell ref="AN43:AO44"/>
    <mergeCell ref="AJ45:AK46"/>
    <mergeCell ref="AL45:AM46"/>
    <mergeCell ref="AN45:AO46"/>
    <mergeCell ref="AJ39:AK40"/>
    <mergeCell ref="AL39:AM40"/>
    <mergeCell ref="AN39:AO40"/>
    <mergeCell ref="AJ41:AK42"/>
    <mergeCell ref="AL41:AM42"/>
    <mergeCell ref="AN41:AO42"/>
    <mergeCell ref="AJ35:AK36"/>
    <mergeCell ref="AL35:AM36"/>
    <mergeCell ref="AN35:AO36"/>
    <mergeCell ref="AJ37:AK38"/>
    <mergeCell ref="AL37:AM38"/>
    <mergeCell ref="AN37:AO38"/>
    <mergeCell ref="AJ31:AK32"/>
    <mergeCell ref="AL31:AM32"/>
    <mergeCell ref="AN31:AO32"/>
    <mergeCell ref="AJ33:AK34"/>
    <mergeCell ref="AL33:AM34"/>
    <mergeCell ref="AN33:AO34"/>
    <mergeCell ref="AJ27:AK28"/>
    <mergeCell ref="AL27:AM28"/>
    <mergeCell ref="AN27:AO28"/>
    <mergeCell ref="AJ29:AK30"/>
    <mergeCell ref="AL29:AM30"/>
    <mergeCell ref="AN29:AO30"/>
    <mergeCell ref="AJ23:AK24"/>
    <mergeCell ref="AL23:AM24"/>
    <mergeCell ref="AN23:AO24"/>
    <mergeCell ref="AJ25:AK26"/>
    <mergeCell ref="AL25:AM26"/>
    <mergeCell ref="AN25:AO26"/>
    <mergeCell ref="AJ19:AK20"/>
    <mergeCell ref="AL19:AM20"/>
    <mergeCell ref="AN19:AO20"/>
    <mergeCell ref="AJ21:AK22"/>
    <mergeCell ref="AL21:AM22"/>
    <mergeCell ref="AN21:AO22"/>
    <mergeCell ref="AJ15:AK16"/>
    <mergeCell ref="AL15:AM16"/>
    <mergeCell ref="AN15:AO16"/>
    <mergeCell ref="AJ17:AK18"/>
    <mergeCell ref="AL17:AM18"/>
    <mergeCell ref="AN17:AO18"/>
    <mergeCell ref="AJ11:AK12"/>
    <mergeCell ref="AL11:AM12"/>
    <mergeCell ref="AN11:AO12"/>
    <mergeCell ref="AJ13:AK14"/>
    <mergeCell ref="AL13:AM14"/>
    <mergeCell ref="AN13:AO14"/>
    <mergeCell ref="AD47:AE48"/>
    <mergeCell ref="AF47:AG48"/>
    <mergeCell ref="AH47:AI48"/>
    <mergeCell ref="AD49:AE50"/>
    <mergeCell ref="AF49:AG50"/>
    <mergeCell ref="AH49:AI50"/>
    <mergeCell ref="AD43:AE44"/>
    <mergeCell ref="AF43:AG44"/>
    <mergeCell ref="AH43:AI44"/>
    <mergeCell ref="AD45:AE46"/>
    <mergeCell ref="AF45:AG46"/>
    <mergeCell ref="AH45:AI46"/>
    <mergeCell ref="AD39:AE40"/>
    <mergeCell ref="AF39:AG40"/>
    <mergeCell ref="AH39:AI40"/>
    <mergeCell ref="AD41:AE42"/>
    <mergeCell ref="AF41:AG42"/>
    <mergeCell ref="AH41:AI42"/>
    <mergeCell ref="AD35:AE36"/>
    <mergeCell ref="AF35:AG36"/>
    <mergeCell ref="AH35:AI36"/>
    <mergeCell ref="AD37:AE38"/>
    <mergeCell ref="AF37:AG38"/>
    <mergeCell ref="AH37:AI38"/>
    <mergeCell ref="AD31:AE32"/>
    <mergeCell ref="AF31:AG32"/>
    <mergeCell ref="AH31:AI32"/>
    <mergeCell ref="AD33:AE34"/>
    <mergeCell ref="AF33:AG34"/>
    <mergeCell ref="AH33:AI34"/>
    <mergeCell ref="AD27:AE28"/>
    <mergeCell ref="AF27:AG28"/>
    <mergeCell ref="AH27:AI28"/>
    <mergeCell ref="AD29:AE30"/>
    <mergeCell ref="AF29:AG30"/>
    <mergeCell ref="AH29:AI30"/>
    <mergeCell ref="AD19:AE20"/>
    <mergeCell ref="AF19:AG20"/>
    <mergeCell ref="AH19:AI20"/>
    <mergeCell ref="AD21:AE22"/>
    <mergeCell ref="AF21:AG22"/>
    <mergeCell ref="AH21:AI22"/>
    <mergeCell ref="X25:Y26"/>
    <mergeCell ref="Z25:AA26"/>
    <mergeCell ref="AB25:AC26"/>
    <mergeCell ref="X19:Y20"/>
    <mergeCell ref="Z19:AA20"/>
    <mergeCell ref="AB19:AC20"/>
    <mergeCell ref="X21:Y22"/>
    <mergeCell ref="Z21:AA22"/>
    <mergeCell ref="AB21:AC22"/>
    <mergeCell ref="AD23:AE24"/>
    <mergeCell ref="AF23:AG24"/>
    <mergeCell ref="X23:Y24"/>
    <mergeCell ref="Z23:AA24"/>
    <mergeCell ref="AB23:AC24"/>
    <mergeCell ref="AH23:AI24"/>
    <mergeCell ref="AD25:AE26"/>
    <mergeCell ref="AF25:AG26"/>
    <mergeCell ref="AH25:AI26"/>
    <mergeCell ref="AD51:AI56"/>
    <mergeCell ref="AJ51:AO56"/>
    <mergeCell ref="R11:S12"/>
    <mergeCell ref="R17:S18"/>
    <mergeCell ref="N11:O12"/>
    <mergeCell ref="P11:Q12"/>
    <mergeCell ref="P13:Q14"/>
    <mergeCell ref="N13:O14"/>
    <mergeCell ref="L13:M14"/>
    <mergeCell ref="L15:M16"/>
    <mergeCell ref="R13:S14"/>
    <mergeCell ref="T13:U14"/>
    <mergeCell ref="V13:W14"/>
    <mergeCell ref="R15:S16"/>
    <mergeCell ref="T15:U16"/>
    <mergeCell ref="V15:W16"/>
    <mergeCell ref="L17:M18"/>
    <mergeCell ref="N15:O16"/>
    <mergeCell ref="N17:O18"/>
    <mergeCell ref="AH11:AI12"/>
    <mergeCell ref="AD13:AE14"/>
    <mergeCell ref="AF13:AG14"/>
    <mergeCell ref="AH13:AI14"/>
    <mergeCell ref="AD15:AE16"/>
    <mergeCell ref="L51:Q56"/>
    <mergeCell ref="R51:W56"/>
    <mergeCell ref="X51:AC56"/>
    <mergeCell ref="P15:Q16"/>
    <mergeCell ref="P17:Q18"/>
    <mergeCell ref="T17:U18"/>
    <mergeCell ref="V17:W18"/>
    <mergeCell ref="X11:Y12"/>
    <mergeCell ref="Z11:AA12"/>
    <mergeCell ref="AB11:AC12"/>
    <mergeCell ref="X13:Y14"/>
    <mergeCell ref="Z13:AA14"/>
    <mergeCell ref="AB13:AC14"/>
    <mergeCell ref="X15:Y16"/>
    <mergeCell ref="Z15:AA16"/>
    <mergeCell ref="T11:U12"/>
    <mergeCell ref="V11:W12"/>
    <mergeCell ref="L11:M12"/>
    <mergeCell ref="AB15:AC16"/>
    <mergeCell ref="X17:Y18"/>
    <mergeCell ref="Z17:AA18"/>
    <mergeCell ref="AB17:AC18"/>
    <mergeCell ref="L23:M24"/>
    <mergeCell ref="N23:O24"/>
    <mergeCell ref="AP2:AV2"/>
    <mergeCell ref="AP3:AV3"/>
    <mergeCell ref="AP4:AV4"/>
    <mergeCell ref="AP5:AV5"/>
    <mergeCell ref="L2:AO5"/>
    <mergeCell ref="D2:K5"/>
    <mergeCell ref="D11:F50"/>
    <mergeCell ref="AQ11:AV18"/>
    <mergeCell ref="AQ19:AV26"/>
    <mergeCell ref="AQ27:AV34"/>
    <mergeCell ref="AQ35:AV42"/>
    <mergeCell ref="G27:K34"/>
    <mergeCell ref="G43:K50"/>
    <mergeCell ref="L7:AO9"/>
    <mergeCell ref="G11:K18"/>
    <mergeCell ref="G19:K26"/>
    <mergeCell ref="G35:K42"/>
    <mergeCell ref="AF15:AG16"/>
    <mergeCell ref="AH15:AI16"/>
    <mergeCell ref="AD11:AE12"/>
    <mergeCell ref="AF11:AG12"/>
    <mergeCell ref="AD17:AE18"/>
    <mergeCell ref="AF17:AG18"/>
    <mergeCell ref="AH17:AI18"/>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CN254"/>
  <sheetViews>
    <sheetView showGridLines="0" zoomScale="60" zoomScaleNormal="60" workbookViewId="0">
      <pane ySplit="7" topLeftCell="A8" activePane="bottomLeft" state="frozen"/>
      <selection pane="bottomLeft" activeCell="AX15" sqref="AX14:AX15"/>
    </sheetView>
  </sheetViews>
  <sheetFormatPr baseColWidth="10" defaultColWidth="11.5" defaultRowHeight="15"/>
  <cols>
    <col min="3" max="19" width="5.6640625" customWidth="1"/>
    <col min="20" max="20" width="6.6640625" customWidth="1"/>
    <col min="21" max="23" width="5.6640625" customWidth="1"/>
    <col min="24" max="24" width="7.5" customWidth="1"/>
    <col min="25" max="25" width="8.5" customWidth="1"/>
    <col min="26" max="26" width="12" customWidth="1"/>
    <col min="27" max="27" width="5.6640625" customWidth="1"/>
    <col min="28" max="28" width="10.6640625" customWidth="1"/>
    <col min="29" max="29" width="5.6640625" customWidth="1"/>
    <col min="30" max="30" width="7.5" customWidth="1"/>
    <col min="31" max="31" width="8.5" customWidth="1"/>
    <col min="32" max="34" width="5.6640625" customWidth="1"/>
    <col min="35" max="35" width="8.5" customWidth="1"/>
    <col min="36" max="36" width="9.6640625" customWidth="1"/>
    <col min="37" max="40" width="5.6640625" customWidth="1"/>
    <col min="42" max="47" width="5.6640625" customWidth="1"/>
  </cols>
  <sheetData>
    <row r="1" spans="1:92" ht="16" thickBot="1"/>
    <row r="2" spans="1:92">
      <c r="C2" s="421" t="s">
        <v>317</v>
      </c>
      <c r="D2" s="422"/>
      <c r="E2" s="422"/>
      <c r="F2" s="422"/>
      <c r="G2" s="422"/>
      <c r="H2" s="422"/>
      <c r="I2" s="422"/>
      <c r="J2" s="423"/>
      <c r="K2" s="412" t="s">
        <v>1</v>
      </c>
      <c r="L2" s="413"/>
      <c r="M2" s="413"/>
      <c r="N2" s="413"/>
      <c r="O2" s="413"/>
      <c r="P2" s="413"/>
      <c r="Q2" s="413"/>
      <c r="R2" s="413"/>
      <c r="S2" s="413"/>
      <c r="T2" s="413"/>
      <c r="U2" s="413"/>
      <c r="V2" s="413"/>
      <c r="W2" s="413"/>
      <c r="X2" s="413"/>
      <c r="Y2" s="413"/>
      <c r="Z2" s="413"/>
      <c r="AA2" s="413"/>
      <c r="AB2" s="413"/>
      <c r="AC2" s="413"/>
      <c r="AD2" s="413"/>
      <c r="AE2" s="413"/>
      <c r="AF2" s="413"/>
      <c r="AG2" s="413"/>
      <c r="AH2" s="413"/>
      <c r="AI2" s="413"/>
      <c r="AJ2" s="413"/>
      <c r="AK2" s="413"/>
      <c r="AL2" s="413"/>
      <c r="AM2" s="413"/>
      <c r="AN2" s="414"/>
      <c r="AO2" s="402" t="s">
        <v>9</v>
      </c>
      <c r="AP2" s="409"/>
      <c r="AQ2" s="409"/>
      <c r="AR2" s="409"/>
      <c r="AS2" s="409"/>
      <c r="AT2" s="409"/>
      <c r="AU2" s="282"/>
    </row>
    <row r="3" spans="1:92">
      <c r="C3" s="424"/>
      <c r="D3" s="425"/>
      <c r="E3" s="425"/>
      <c r="F3" s="425"/>
      <c r="G3" s="425"/>
      <c r="H3" s="425"/>
      <c r="I3" s="425"/>
      <c r="J3" s="426"/>
      <c r="K3" s="415"/>
      <c r="L3" s="416"/>
      <c r="M3" s="416"/>
      <c r="N3" s="416"/>
      <c r="O3" s="416"/>
      <c r="P3" s="416"/>
      <c r="Q3" s="416"/>
      <c r="R3" s="416"/>
      <c r="S3" s="416"/>
      <c r="T3" s="416"/>
      <c r="U3" s="416"/>
      <c r="V3" s="416"/>
      <c r="W3" s="416"/>
      <c r="X3" s="416"/>
      <c r="Y3" s="416"/>
      <c r="Z3" s="416"/>
      <c r="AA3" s="416"/>
      <c r="AB3" s="416"/>
      <c r="AC3" s="416"/>
      <c r="AD3" s="416"/>
      <c r="AE3" s="416"/>
      <c r="AF3" s="416"/>
      <c r="AG3" s="416"/>
      <c r="AH3" s="416"/>
      <c r="AI3" s="416"/>
      <c r="AJ3" s="416"/>
      <c r="AK3" s="416"/>
      <c r="AL3" s="416"/>
      <c r="AM3" s="416"/>
      <c r="AN3" s="417"/>
      <c r="AO3" s="403" t="s">
        <v>3</v>
      </c>
      <c r="AP3" s="410"/>
      <c r="AQ3" s="410"/>
      <c r="AR3" s="410"/>
      <c r="AS3" s="410"/>
      <c r="AT3" s="410"/>
      <c r="AU3" s="284"/>
    </row>
    <row r="4" spans="1:92">
      <c r="C4" s="424"/>
      <c r="D4" s="425"/>
      <c r="E4" s="425"/>
      <c r="F4" s="425"/>
      <c r="G4" s="425"/>
      <c r="H4" s="425"/>
      <c r="I4" s="425"/>
      <c r="J4" s="426"/>
      <c r="K4" s="415"/>
      <c r="L4" s="416"/>
      <c r="M4" s="416"/>
      <c r="N4" s="416"/>
      <c r="O4" s="416"/>
      <c r="P4" s="416"/>
      <c r="Q4" s="416"/>
      <c r="R4" s="416"/>
      <c r="S4" s="416"/>
      <c r="T4" s="416"/>
      <c r="U4" s="416"/>
      <c r="V4" s="416"/>
      <c r="W4" s="416"/>
      <c r="X4" s="416"/>
      <c r="Y4" s="416"/>
      <c r="Z4" s="416"/>
      <c r="AA4" s="416"/>
      <c r="AB4" s="416"/>
      <c r="AC4" s="416"/>
      <c r="AD4" s="416"/>
      <c r="AE4" s="416"/>
      <c r="AF4" s="416"/>
      <c r="AG4" s="416"/>
      <c r="AH4" s="416"/>
      <c r="AI4" s="416"/>
      <c r="AJ4" s="416"/>
      <c r="AK4" s="416"/>
      <c r="AL4" s="416"/>
      <c r="AM4" s="416"/>
      <c r="AN4" s="417"/>
      <c r="AO4" s="403" t="s">
        <v>4</v>
      </c>
      <c r="AP4" s="410" t="s">
        <v>319</v>
      </c>
      <c r="AQ4" s="410"/>
      <c r="AR4" s="410"/>
      <c r="AS4" s="410"/>
      <c r="AT4" s="410"/>
      <c r="AU4" s="284"/>
    </row>
    <row r="5" spans="1:92" ht="16" thickBot="1">
      <c r="C5" s="427"/>
      <c r="D5" s="428"/>
      <c r="E5" s="428"/>
      <c r="F5" s="428"/>
      <c r="G5" s="428"/>
      <c r="H5" s="428"/>
      <c r="I5" s="428"/>
      <c r="J5" s="429"/>
      <c r="K5" s="418"/>
      <c r="L5" s="419"/>
      <c r="M5" s="419"/>
      <c r="N5" s="419"/>
      <c r="O5" s="419"/>
      <c r="P5" s="419"/>
      <c r="Q5" s="419"/>
      <c r="R5" s="419"/>
      <c r="S5" s="419"/>
      <c r="T5" s="419"/>
      <c r="U5" s="419"/>
      <c r="V5" s="419"/>
      <c r="W5" s="419"/>
      <c r="X5" s="419"/>
      <c r="Y5" s="419"/>
      <c r="Z5" s="419"/>
      <c r="AA5" s="419"/>
      <c r="AB5" s="419"/>
      <c r="AC5" s="419"/>
      <c r="AD5" s="419"/>
      <c r="AE5" s="419"/>
      <c r="AF5" s="419"/>
      <c r="AG5" s="419"/>
      <c r="AH5" s="419"/>
      <c r="AI5" s="419"/>
      <c r="AJ5" s="419"/>
      <c r="AK5" s="419"/>
      <c r="AL5" s="419"/>
      <c r="AM5" s="419"/>
      <c r="AN5" s="420"/>
      <c r="AO5" s="404" t="s">
        <v>5</v>
      </c>
      <c r="AP5" s="411" t="s">
        <v>5</v>
      </c>
      <c r="AQ5" s="411"/>
      <c r="AR5" s="411"/>
      <c r="AS5" s="411"/>
      <c r="AT5" s="411"/>
      <c r="AU5" s="286"/>
    </row>
    <row r="7" spans="1:92">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row>
    <row r="8" spans="1:92" ht="18" customHeight="1">
      <c r="A8" s="566" t="s">
        <v>18</v>
      </c>
      <c r="B8" s="566"/>
      <c r="C8" s="545" t="s">
        <v>336</v>
      </c>
      <c r="D8" s="546"/>
      <c r="E8" s="546"/>
      <c r="F8" s="546"/>
      <c r="G8" s="546"/>
      <c r="H8" s="546"/>
      <c r="I8" s="546"/>
      <c r="J8" s="546"/>
      <c r="K8" s="547" t="s">
        <v>31</v>
      </c>
      <c r="L8" s="547"/>
      <c r="M8" s="547"/>
      <c r="N8" s="547"/>
      <c r="O8" s="547"/>
      <c r="P8" s="547"/>
      <c r="Q8" s="547"/>
      <c r="R8" s="547"/>
      <c r="S8" s="547"/>
      <c r="T8" s="547"/>
      <c r="U8" s="547"/>
      <c r="V8" s="547"/>
      <c r="W8" s="547"/>
      <c r="X8" s="547"/>
      <c r="Y8" s="547"/>
      <c r="Z8" s="547"/>
      <c r="AA8" s="547"/>
      <c r="AB8" s="547"/>
      <c r="AC8" s="547"/>
      <c r="AD8" s="547"/>
      <c r="AE8" s="547"/>
      <c r="AF8" s="547"/>
      <c r="AG8" s="547"/>
      <c r="AH8" s="547"/>
      <c r="AI8" s="547"/>
      <c r="AJ8" s="547"/>
      <c r="AK8" s="547"/>
      <c r="AL8" s="547"/>
      <c r="AM8" s="547"/>
      <c r="AN8" s="547"/>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row>
    <row r="9" spans="1:92" ht="18.75" customHeight="1">
      <c r="B9" s="68"/>
      <c r="C9" s="546"/>
      <c r="D9" s="546"/>
      <c r="E9" s="546"/>
      <c r="F9" s="546"/>
      <c r="G9" s="546"/>
      <c r="H9" s="546"/>
      <c r="I9" s="546"/>
      <c r="J9" s="546"/>
      <c r="K9" s="547"/>
      <c r="L9" s="547"/>
      <c r="M9" s="547"/>
      <c r="N9" s="547"/>
      <c r="O9" s="547"/>
      <c r="P9" s="547"/>
      <c r="Q9" s="547"/>
      <c r="R9" s="547"/>
      <c r="S9" s="547"/>
      <c r="T9" s="547"/>
      <c r="U9" s="547"/>
      <c r="V9" s="547"/>
      <c r="W9" s="547"/>
      <c r="X9" s="547"/>
      <c r="Y9" s="547"/>
      <c r="Z9" s="547"/>
      <c r="AA9" s="547"/>
      <c r="AB9" s="547"/>
      <c r="AC9" s="547"/>
      <c r="AD9" s="547"/>
      <c r="AE9" s="547"/>
      <c r="AF9" s="547"/>
      <c r="AG9" s="547"/>
      <c r="AH9" s="547"/>
      <c r="AI9" s="547"/>
      <c r="AJ9" s="547"/>
      <c r="AK9" s="547"/>
      <c r="AL9" s="547"/>
      <c r="AM9" s="547"/>
      <c r="AN9" s="547"/>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row>
    <row r="10" spans="1:92" ht="15" customHeight="1">
      <c r="B10" s="68"/>
      <c r="C10" s="546"/>
      <c r="D10" s="546"/>
      <c r="E10" s="546"/>
      <c r="F10" s="546"/>
      <c r="G10" s="546"/>
      <c r="H10" s="546"/>
      <c r="I10" s="546"/>
      <c r="J10" s="546"/>
      <c r="K10" s="547"/>
      <c r="L10" s="547"/>
      <c r="M10" s="547"/>
      <c r="N10" s="547"/>
      <c r="O10" s="547"/>
      <c r="P10" s="547"/>
      <c r="Q10" s="547"/>
      <c r="R10" s="547"/>
      <c r="S10" s="547"/>
      <c r="T10" s="547"/>
      <c r="U10" s="547"/>
      <c r="V10" s="547"/>
      <c r="W10" s="547"/>
      <c r="X10" s="547"/>
      <c r="Y10" s="547"/>
      <c r="Z10" s="547"/>
      <c r="AA10" s="547"/>
      <c r="AB10" s="547"/>
      <c r="AC10" s="547"/>
      <c r="AD10" s="547"/>
      <c r="AE10" s="547"/>
      <c r="AF10" s="547"/>
      <c r="AG10" s="547"/>
      <c r="AH10" s="547"/>
      <c r="AI10" s="547"/>
      <c r="AJ10" s="547"/>
      <c r="AK10" s="547"/>
      <c r="AL10" s="547"/>
      <c r="AM10" s="547"/>
      <c r="AN10" s="547"/>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row>
    <row r="11" spans="1:92" ht="16" thickBot="1">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row>
    <row r="12" spans="1:92" ht="15" customHeight="1">
      <c r="B12" s="68"/>
      <c r="C12" s="430" t="s">
        <v>321</v>
      </c>
      <c r="D12" s="430"/>
      <c r="E12" s="431"/>
      <c r="F12" s="517" t="s">
        <v>322</v>
      </c>
      <c r="G12" s="518"/>
      <c r="H12" s="518"/>
      <c r="I12" s="518"/>
      <c r="J12" s="518"/>
      <c r="K12" s="32"/>
      <c r="L12" s="33" t="str">
        <f>IF(AND('Mapa final'!$AH$18="Muy Alta",'Mapa final'!$AJ$18="Leve"),CONCATENATE("R2C",'Mapa final'!$R$15),"")</f>
        <v/>
      </c>
      <c r="M12" s="33" t="str">
        <f>IF(AND('Mapa final'!$AH$19="Muy Alta",'Mapa final'!$AJ$19="Leve"),CONCATENATE("R2C",'Mapa final'!$R$19),"")</f>
        <v/>
      </c>
      <c r="N12" s="33" t="str">
        <f>IF(AND('Mapa final'!$AH$22="Muy Alta",'Mapa final'!$AJ$22="Leve"),CONCATENATE("R2C",'Mapa final'!$R$22),"")</f>
        <v/>
      </c>
      <c r="O12" s="33" t="e">
        <f>IF(AND('Mapa final'!#REF!="Muy Alta",'Mapa final'!#REF!="Leve"),CONCATENATE("R2C",'Mapa final'!#REF!),"")</f>
        <v>#REF!</v>
      </c>
      <c r="P12" s="34" t="e">
        <f>IF(AND('Mapa final'!#REF!="Muy Alta",'Mapa final'!#REF!="Leve"),CONCATENATE("R2C",'Mapa final'!#REF!),"")</f>
        <v>#REF!</v>
      </c>
      <c r="Q12" s="33"/>
      <c r="R12" s="33" t="str">
        <f>IF(AND('Mapa final'!$AH$18="Muy Alta",'Mapa final'!$AJ$18="Menore"),CONCATENATE("R2C",'Mapa final'!$R$15),"")</f>
        <v/>
      </c>
      <c r="S12" s="33" t="str">
        <f>IF(AND('Mapa final'!$AH$19="Muy Alta",'Mapa final'!$AJ$19="Menor"),CONCATENATE("R2C",'Mapa final'!$R$19),"")</f>
        <v/>
      </c>
      <c r="T12" s="33" t="str">
        <f>IF(AND('Mapa final'!$AH$22="Muy Alta",'Mapa final'!$AJ$22="Menor"),CONCATENATE("R2C",'Mapa final'!$R$22),"")</f>
        <v/>
      </c>
      <c r="U12" s="33" t="e">
        <f>IF(AND('Mapa final'!#REF!="Muy Alta",'Mapa final'!#REF!="Menor"),CONCATENATE("R2C",'Mapa final'!#REF!),"")</f>
        <v>#REF!</v>
      </c>
      <c r="V12" s="34" t="e">
        <f>IF(AND('Mapa final'!#REF!="Muy Alta",'Mapa final'!#REF!="Menor"),CONCATENATE("R2C",'Mapa final'!#REF!),"")</f>
        <v>#REF!</v>
      </c>
      <c r="W12" s="32"/>
      <c r="X12" s="33" t="str">
        <f>IF(AND('Mapa final'!$AH$18="Muy Alta",'Mapa final'!$AJ$18="Moderado"),CONCATENATE("R2C",'Mapa final'!$R$15),"")</f>
        <v/>
      </c>
      <c r="Y12" s="33"/>
      <c r="Z12" s="33" t="str">
        <f>IF(AND('Mapa final'!$AH$22="Muy Alta",'Mapa final'!$AJ$22="Moderado"),CONCATENATE("R2C",'Mapa final'!$R$22),"")</f>
        <v/>
      </c>
      <c r="AA12" s="33" t="e">
        <f>IF(AND('Mapa final'!#REF!="Muy Alta",'Mapa final'!#REF!="Moderado"),CONCATENATE("R2C",'Mapa final'!#REF!),"")</f>
        <v>#REF!</v>
      </c>
      <c r="AB12" s="34" t="e">
        <f>IF(AND('Mapa final'!#REF!="Muy Alta",'Mapa final'!#REF!="Moderado"),CONCATENATE("R2C",'Mapa final'!#REF!),"")</f>
        <v>#REF!</v>
      </c>
      <c r="AC12" s="32"/>
      <c r="AD12" s="33" t="str">
        <f>IF(AND('Mapa final'!$AH$18="Muy Alta",'Mapa final'!$AJ$18="Mayor"),CONCATENATE("R2C",'Mapa final'!$R$15),"")</f>
        <v/>
      </c>
      <c r="AE12" s="33" t="str">
        <f>IF(AND('Mapa final'!$AH$19="Muy Alta",'Mapa final'!$AJ$19="Mayor"),CONCATENATE("R2C",'Mapa final'!$R$19),"")</f>
        <v/>
      </c>
      <c r="AF12" s="33" t="str">
        <f>IF(AND('Mapa final'!$AH$22="Muy Alta",'Mapa final'!$AJ$22="Mayor"),CONCATENATE("R2C",'Mapa final'!$R$22),"")</f>
        <v/>
      </c>
      <c r="AG12" s="33" t="e">
        <f>IF(AND('Mapa final'!#REF!="Muy Alta",'Mapa final'!#REF!="Mayor"),CONCATENATE("R2C",'Mapa final'!#REF!),"")</f>
        <v>#REF!</v>
      </c>
      <c r="AH12" s="34" t="e">
        <f>IF(AND('Mapa final'!#REF!="Muy Alta",'Mapa final'!#REF!="Mayor"),CONCATENATE("R2C",'Mapa final'!#REF!),"")</f>
        <v>#REF!</v>
      </c>
      <c r="AI12" s="35"/>
      <c r="AJ12" s="36" t="str">
        <f>IF(AND('Mapa final'!$AH$18="Muy Alta",'Mapa final'!$AJ$18="Catastrófico"),CONCATENATE("R2C",'Mapa final'!$R$15),"")</f>
        <v/>
      </c>
      <c r="AK12" s="36" t="str">
        <f>IF(AND('Mapa final'!$AH$19="Muy Alta",'Mapa final'!$AJ$19="Catastrófico"),CONCATENATE("R2C",'Mapa final'!$R$19),"")</f>
        <v/>
      </c>
      <c r="AL12" s="36" t="str">
        <f>IF(AND('Mapa final'!$AH$22="Muy Alta",'Mapa final'!$AJ$22="Catastrófico"),CONCATENATE("R2C",'Mapa final'!$R$22),"")</f>
        <v/>
      </c>
      <c r="AM12" s="36" t="e">
        <f>IF(AND('Mapa final'!#REF!="Muy Alta",'Mapa final'!#REF!="Catastrófico"),CONCATENATE("R2C",'Mapa final'!#REF!),"")</f>
        <v>#REF!</v>
      </c>
      <c r="AN12" s="37" t="e">
        <f>IF(AND('Mapa final'!#REF!="Muy Alta",'Mapa final'!#REF!="Catastrófico"),CONCATENATE("R2C",'Mapa final'!#REF!),"")</f>
        <v>#REF!</v>
      </c>
      <c r="AO12" s="68"/>
      <c r="AP12" s="536" t="s">
        <v>323</v>
      </c>
      <c r="AQ12" s="537"/>
      <c r="AR12" s="537"/>
      <c r="AS12" s="537"/>
      <c r="AT12" s="537"/>
      <c r="AU12" s="53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row>
    <row r="13" spans="1:92" ht="15" customHeight="1">
      <c r="B13" s="68"/>
      <c r="C13" s="430"/>
      <c r="D13" s="430"/>
      <c r="E13" s="431"/>
      <c r="F13" s="520"/>
      <c r="G13" s="521"/>
      <c r="H13" s="521"/>
      <c r="I13" s="521"/>
      <c r="J13" s="521"/>
      <c r="K13" s="38" t="e">
        <f>IF(AND('Mapa final'!#REF!="Muy Alta",'Mapa final'!#REF!="Leve"),CONCATENATE("R2C",'Mapa final'!#REF!),"")</f>
        <v>#REF!</v>
      </c>
      <c r="L13" s="39" t="e">
        <f>IF(AND('Mapa final'!#REF!="Muy Alta",'Mapa final'!#REF!="Leve"),CONCATENATE("R2C",'Mapa final'!#REF!),"")</f>
        <v>#REF!</v>
      </c>
      <c r="M13" s="39" t="str">
        <f>IF(AND('Mapa final'!$AH$23="Muy Alta",'Mapa final'!$AJ$23="Leve"),CONCATENATE("R2C",'Mapa final'!$R$23),"")</f>
        <v/>
      </c>
      <c r="N13" s="39" t="str">
        <f>IF(AND('Mapa final'!$AH$24="Muy Alta",'Mapa final'!$AJ$24="Leve"),CONCATENATE("R2C",'Mapa final'!$R$24),"")</f>
        <v/>
      </c>
      <c r="O13" s="39" t="str">
        <f>IF(AND('Mapa final'!$AH$25="Muy Alta",'Mapa final'!$AJ$25="Leve"),CONCATENATE("R2C",'Mapa final'!$R$25),"")</f>
        <v/>
      </c>
      <c r="P13" s="40" t="str">
        <f>IF(AND('Mapa final'!$AH$26="Muy Alta",'Mapa final'!$AJ$26="Leve"),CONCATENATE("R2C",'Mapa final'!$R$26),"")</f>
        <v/>
      </c>
      <c r="Q13" s="39" t="e">
        <f>IF(AND('Mapa final'!#REF!="Muy Alta",'Mapa final'!#REF!="Menor"),CONCATENATE("R2C",'Mapa final'!#REF!),"")</f>
        <v>#REF!</v>
      </c>
      <c r="R13" s="39" t="e">
        <f>IF(AND('Mapa final'!#REF!="Muy Alta",'Mapa final'!#REF!="Menor"),CONCATENATE("R2C",'Mapa final'!#REF!),"")</f>
        <v>#REF!</v>
      </c>
      <c r="S13" s="39" t="str">
        <f>IF(AND('Mapa final'!$AH$23="Muy Alta",'Mapa final'!$AJ$23="Menor"),CONCATENATE("R2C",'Mapa final'!$R$23),"")</f>
        <v/>
      </c>
      <c r="T13" s="39" t="str">
        <f>IF(AND('Mapa final'!$AH$24="Muy Alta",'Mapa final'!$AJ$24="Menor"),CONCATENATE("R2C",'Mapa final'!$R$24),"")</f>
        <v/>
      </c>
      <c r="U13" s="39" t="str">
        <f>IF(AND('Mapa final'!$AH$25="Muy Alta",'Mapa final'!$AJ$25="Menor"),CONCATENATE("R2C",'Mapa final'!$R$25),"")</f>
        <v/>
      </c>
      <c r="V13" s="40" t="str">
        <f>IF(AND('Mapa final'!$AH$26="Muy Alta",'Mapa final'!$AJ$26="Menor"),CONCATENATE("R2C",'Mapa final'!$R$26),"")</f>
        <v/>
      </c>
      <c r="W13" s="38" t="e">
        <f>IF(AND('Mapa final'!#REF!="Muy Alta",'Mapa final'!#REF!="Moderado"),CONCATENATE("R2C",'Mapa final'!#REF!),"")</f>
        <v>#REF!</v>
      </c>
      <c r="X13" s="39" t="e">
        <f>IF(AND('Mapa final'!#REF!="Muy Alta",'Mapa final'!#REF!="Moderado"),CONCATENATE("R2C",'Mapa final'!#REF!),"")</f>
        <v>#REF!</v>
      </c>
      <c r="Y13" s="39" t="str">
        <f>IF(AND('Mapa final'!$AH$23="Muy Alta",'Mapa final'!$AJ$23="Moderado"),CONCATENATE("R2C",'Mapa final'!$R$23),"")</f>
        <v/>
      </c>
      <c r="Z13" s="39" t="str">
        <f>IF(AND('Mapa final'!$AH$24="Muy Alta",'Mapa final'!$AJ$24="Moderado"),CONCATENATE("R2C",'Mapa final'!$R$24),"")</f>
        <v/>
      </c>
      <c r="AA13" s="39" t="str">
        <f>IF(AND('Mapa final'!$AH$25="Muy Alta",'Mapa final'!$AJ$25="Moderado"),CONCATENATE("R2C",'Mapa final'!$R$25),"")</f>
        <v/>
      </c>
      <c r="AB13" s="40" t="str">
        <f>IF(AND('Mapa final'!$AH$26="Muy Alta",'Mapa final'!$AJ$26="Moderado"),CONCATENATE("R2C",'Mapa final'!$R$26),"")</f>
        <v/>
      </c>
      <c r="AC13" s="38" t="e">
        <f>IF(AND('Mapa final'!#REF!="Muy Alta",'Mapa final'!#REF!="Mayor"),CONCATENATE("R2C",'Mapa final'!#REF!),"")</f>
        <v>#REF!</v>
      </c>
      <c r="AD13" s="39" t="e">
        <f>IF(AND('Mapa final'!#REF!="Muy Alta",'Mapa final'!#REF!="Mayor"),CONCATENATE("R2C",'Mapa final'!#REF!),"")</f>
        <v>#REF!</v>
      </c>
      <c r="AE13" s="39" t="str">
        <f>IF(AND('Mapa final'!$AH$23="Muy Alta",'Mapa final'!$AJ$23="Mayor"),CONCATENATE("R2C",'Mapa final'!$R$23),"")</f>
        <v/>
      </c>
      <c r="AF13" s="39" t="str">
        <f>IF(AND('Mapa final'!$AH$24="Muy Alta",'Mapa final'!$AJ$24="Mayor"),CONCATENATE("R2C",'Mapa final'!$R$24),"")</f>
        <v/>
      </c>
      <c r="AG13" s="39" t="str">
        <f>IF(AND('Mapa final'!$AH$25="Muy Alta",'Mapa final'!$AJ$25="Mayor"),CONCATENATE("R2C",'Mapa final'!$R$25),"")</f>
        <v/>
      </c>
      <c r="AH13" s="40" t="str">
        <f>IF(AND('Mapa final'!$AH$26="Muy Alta",'Mapa final'!$AJ$26="Mayor"),CONCATENATE("R2C",'Mapa final'!$R$26),"")</f>
        <v/>
      </c>
      <c r="AI13" s="41" t="e">
        <f>IF(AND('Mapa final'!#REF!="Muy Alta",'Mapa final'!#REF!="Catastrófico"),CONCATENATE("R2C",'Mapa final'!#REF!),"")</f>
        <v>#REF!</v>
      </c>
      <c r="AJ13" s="42" t="e">
        <f>IF(AND('Mapa final'!#REF!="Muy Alta",'Mapa final'!#REF!="Catastrófico"),CONCATENATE("R2C",'Mapa final'!#REF!),"")</f>
        <v>#REF!</v>
      </c>
      <c r="AK13" s="42" t="str">
        <f>IF(AND('Mapa final'!$AH$23="Muy Alta",'Mapa final'!$AJ$23="Catastrófico"),CONCATENATE("R2C",'Mapa final'!$R$23),"")</f>
        <v/>
      </c>
      <c r="AL13" s="42" t="str">
        <f>IF(AND('Mapa final'!$AH$24="Muy Alta",'Mapa final'!$AJ$24="Catastrófico"),CONCATENATE("R2C",'Mapa final'!$R$24),"")</f>
        <v/>
      </c>
      <c r="AM13" s="42" t="str">
        <f>IF(AND('Mapa final'!$AH$25="Muy Alta",'Mapa final'!$AJ$25="Catastrófico"),CONCATENATE("R2C",'Mapa final'!$R$25),"")</f>
        <v/>
      </c>
      <c r="AN13" s="43" t="str">
        <f>IF(AND('Mapa final'!$AH$26="Muy Alta",'Mapa final'!$AJ$26="Catastrófico"),CONCATENATE("R2C",'Mapa final'!$R$26),"")</f>
        <v/>
      </c>
      <c r="AO13" s="68"/>
      <c r="AP13" s="539"/>
      <c r="AQ13" s="540"/>
      <c r="AR13" s="540"/>
      <c r="AS13" s="540"/>
      <c r="AT13" s="540"/>
      <c r="AU13" s="541"/>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row>
    <row r="14" spans="1:92" ht="15" customHeight="1">
      <c r="B14" s="68"/>
      <c r="C14" s="430"/>
      <c r="D14" s="430"/>
      <c r="E14" s="431"/>
      <c r="F14" s="520"/>
      <c r="G14" s="521"/>
      <c r="H14" s="521"/>
      <c r="I14" s="521"/>
      <c r="J14" s="521"/>
      <c r="K14" s="38" t="str">
        <f>IF(AND('Mapa final'!$AH$27="Muy Alta",'Mapa final'!$AJ$27="Leve"),CONCATENATE("R2C",'Mapa final'!$R$27),"")</f>
        <v/>
      </c>
      <c r="L14" s="39" t="str">
        <f>IF(AND('Mapa final'!$AH$28="Muy Alta",'Mapa final'!$AJ$28="Leve"),CONCATENATE("R2C",'Mapa final'!$R$28),"")</f>
        <v/>
      </c>
      <c r="M14" s="39" t="str">
        <f>IF(AND('Mapa final'!$AH$29="Muy Alta",'Mapa final'!$AJ$29="Leve"),CONCATENATE("R2C",'Mapa final'!$R$29),"")</f>
        <v/>
      </c>
      <c r="N14" s="39" t="str">
        <f>IF(AND('Mapa final'!$AH$30="Muy Alta",'Mapa final'!$AJ$30="Leve"),CONCATENATE("R2C",'Mapa final'!$R$30),"")</f>
        <v/>
      </c>
      <c r="O14" s="39" t="str">
        <f>IF(AND('Mapa final'!$AH$31="Muy Alta",'Mapa final'!$AJ$31="Leve"),CONCATENATE("R2C",'Mapa final'!$R$31),"")</f>
        <v/>
      </c>
      <c r="P14" s="40" t="str">
        <f>IF(AND('Mapa final'!$AH$32="Muy Alta",'Mapa final'!$AJ$32="Leve"),CONCATENATE("R2C",'Mapa final'!$R$32),"")</f>
        <v/>
      </c>
      <c r="Q14" s="39" t="str">
        <f>IF(AND('Mapa final'!$AH$27="Muy Alta",'Mapa final'!$AJ$27="Menor"),CONCATENATE("R2C",'Mapa final'!$R$27),"")</f>
        <v/>
      </c>
      <c r="R14" s="39" t="str">
        <f>IF(AND('Mapa final'!$AH$28="Muy Alta",'Mapa final'!$AJ$28="Menor"),CONCATENATE("R2C",'Mapa final'!$R$28),"")</f>
        <v/>
      </c>
      <c r="S14" s="39" t="str">
        <f>IF(AND('Mapa final'!$AH$29="Muy Alta",'Mapa final'!$AJ$29="Menor"),CONCATENATE("R2C",'Mapa final'!$R$29),"")</f>
        <v/>
      </c>
      <c r="T14" s="39" t="str">
        <f>IF(AND('Mapa final'!$AH$30="Muy Alta",'Mapa final'!$AJ$30="Menor"),CONCATENATE("R2C",'Mapa final'!$R$30),"")</f>
        <v/>
      </c>
      <c r="U14" s="39" t="str">
        <f>IF(AND('Mapa final'!$AH$31="Muy Alta",'Mapa final'!$AJ$31="Menor"),CONCATENATE("R2C",'Mapa final'!$R$31),"")</f>
        <v/>
      </c>
      <c r="V14" s="40" t="str">
        <f>IF(AND('Mapa final'!$AH$32="Muy Alta",'Mapa final'!$AJ$32="Menor"),CONCATENATE("R2C",'Mapa final'!$R$32),"")</f>
        <v/>
      </c>
      <c r="W14" s="38" t="str">
        <f>IF(AND('Mapa final'!$AH$27="Muy Alta",'Mapa final'!$AJ$27="Moderado"),CONCATENATE("R2C",'Mapa final'!$R$27),"")</f>
        <v/>
      </c>
      <c r="X14" s="39" t="str">
        <f>IF(AND('Mapa final'!$AH$28="Muy Alta",'Mapa final'!$AJ$28="Moderado"),CONCATENATE("R2C",'Mapa final'!$R$28),"")</f>
        <v/>
      </c>
      <c r="Y14" s="39" t="str">
        <f>IF(AND('Mapa final'!$AH$29="Muy Alta",'Mapa final'!$AJ$29="Moderado"),CONCATENATE("R2C",'Mapa final'!$R$29),"")</f>
        <v/>
      </c>
      <c r="Z14" s="39" t="str">
        <f>IF(AND('Mapa final'!$AH$30="Muy Alta",'Mapa final'!$AJ$30="Moderado"),CONCATENATE("R2C",'Mapa final'!$R$30),"")</f>
        <v/>
      </c>
      <c r="AA14" s="39" t="str">
        <f>IF(AND('Mapa final'!$AH$31="Muy Alta",'Mapa final'!$AJ$31="Moderado"),CONCATENATE("R2C",'Mapa final'!$R$31),"")</f>
        <v/>
      </c>
      <c r="AB14" s="40" t="str">
        <f>IF(AND('Mapa final'!$AH$32="Muy Alta",'Mapa final'!$AJ$32="Moderado"),CONCATENATE("R2C",'Mapa final'!$R$32),"")</f>
        <v/>
      </c>
      <c r="AC14" s="38" t="str">
        <f>IF(AND('Mapa final'!$AH$27="Muy Alta",'Mapa final'!$AJ$27="Mayor"),CONCATENATE("R2C",'Mapa final'!$R$27),"")</f>
        <v/>
      </c>
      <c r="AD14" s="39" t="str">
        <f>IF(AND('Mapa final'!$AH$28="Muy Alta",'Mapa final'!$AJ$28="Mayor"),CONCATENATE("R2C",'Mapa final'!$R$28),"")</f>
        <v/>
      </c>
      <c r="AE14" s="39" t="str">
        <f>IF(AND('Mapa final'!$AH$29="Muy Alta",'Mapa final'!$AJ$29="Mayor"),CONCATENATE("R2C",'Mapa final'!$R$29),"")</f>
        <v/>
      </c>
      <c r="AF14" s="39" t="str">
        <f>IF(AND('Mapa final'!$AH$30="Muy Alta",'Mapa final'!$AJ$30="Mayor"),CONCATENATE("R2C",'Mapa final'!$R$30),"")</f>
        <v/>
      </c>
      <c r="AG14" s="39" t="str">
        <f>IF(AND('Mapa final'!$AH$31="Muy Alta",'Mapa final'!$AJ$31="Mayor"),CONCATENATE("R2C",'Mapa final'!$R$31),"")</f>
        <v/>
      </c>
      <c r="AH14" s="40" t="str">
        <f>IF(AND('Mapa final'!$AH$32="Muy Alta",'Mapa final'!$AJ$32="Mayor"),CONCATENATE("R2C",'Mapa final'!$R$32),"")</f>
        <v/>
      </c>
      <c r="AI14" s="41" t="str">
        <f>IF(AND('Mapa final'!$AH$27="Muy Alta",'Mapa final'!$AJ$27="Catastrófico"),CONCATENATE("R2C",'Mapa final'!$R$27),"")</f>
        <v/>
      </c>
      <c r="AJ14" s="42" t="str">
        <f>IF(AND('Mapa final'!$AH$28="Muy Alta",'Mapa final'!$AJ$28="Catastrófico"),CONCATENATE("R2C",'Mapa final'!$R$28),"")</f>
        <v/>
      </c>
      <c r="AK14" s="42" t="str">
        <f>IF(AND('Mapa final'!$AH$29="Muy Alta",'Mapa final'!$AJ$29="Catastrófico"),CONCATENATE("R2C",'Mapa final'!$R$29),"")</f>
        <v/>
      </c>
      <c r="AL14" s="42" t="str">
        <f>IF(AND('Mapa final'!$AH$30="Muy Alta",'Mapa final'!$AJ$30="Catastrófico"),CONCATENATE("R2C",'Mapa final'!$R$30),"")</f>
        <v/>
      </c>
      <c r="AM14" s="42" t="str">
        <f>IF(AND('Mapa final'!$AH$31="Muy Alta",'Mapa final'!$AJ$31="Catastrófico"),CONCATENATE("R2C",'Mapa final'!$R$31),"")</f>
        <v/>
      </c>
      <c r="AN14" s="43" t="str">
        <f>IF(AND('Mapa final'!$AH$32="Muy Alta",'Mapa final'!$AJ$32="Catastrófico"),CONCATENATE("R2C",'Mapa final'!$R$32),"")</f>
        <v/>
      </c>
      <c r="AO14" s="68"/>
      <c r="AP14" s="539"/>
      <c r="AQ14" s="540"/>
      <c r="AR14" s="540"/>
      <c r="AS14" s="540"/>
      <c r="AT14" s="540"/>
      <c r="AU14" s="541"/>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row>
    <row r="15" spans="1:92" ht="15" customHeight="1">
      <c r="B15" s="68"/>
      <c r="C15" s="430"/>
      <c r="D15" s="430"/>
      <c r="E15" s="431"/>
      <c r="F15" s="520"/>
      <c r="G15" s="521"/>
      <c r="H15" s="521"/>
      <c r="I15" s="521"/>
      <c r="J15" s="521"/>
      <c r="K15" s="38" t="str">
        <f>IF(AND('Mapa final'!$AH$33="Muy Alta",'Mapa final'!$AJ$33="Leve"),CONCATENATE("R2C",'Mapa final'!$R$33),"")</f>
        <v/>
      </c>
      <c r="L15" s="39" t="str">
        <f>IF(AND('Mapa final'!$AH$34="Muy Alta",'Mapa final'!$AJ$34="Leve"),CONCATENATE("R2C",'Mapa final'!$R$34),"")</f>
        <v/>
      </c>
      <c r="M15" s="39" t="str">
        <f>IF(AND('Mapa final'!$AH$35="Muy Alta",'Mapa final'!$AJ$35="Leve"),CONCATENATE("R2C",'Mapa final'!$R$35),"")</f>
        <v/>
      </c>
      <c r="N15" s="39" t="str">
        <f>IF(AND('Mapa final'!$AH$36="Muy Alta",'Mapa final'!$AJ$36="Leve"),CONCATENATE("R2C",'Mapa final'!$R$36),"")</f>
        <v/>
      </c>
      <c r="O15" s="39" t="str">
        <f>IF(AND('Mapa final'!$AH$37="Muy Alta",'Mapa final'!$AJ$37="Leve"),CONCATENATE("R2C",'Mapa final'!$R$37),"")</f>
        <v/>
      </c>
      <c r="P15" s="40" t="str">
        <f>IF(AND('Mapa final'!$AH$38="Muy Alta",'Mapa final'!$AJ$38="Leve"),CONCATENATE("R2C",'Mapa final'!$R$38),"")</f>
        <v/>
      </c>
      <c r="Q15" s="39" t="str">
        <f>IF(AND('Mapa final'!$AH$33="Muy Alta",'Mapa final'!$AJ$33="Menor"),CONCATENATE("R2C",'Mapa final'!$R$33),"")</f>
        <v/>
      </c>
      <c r="R15" s="39" t="str">
        <f>IF(AND('Mapa final'!$AH$34="Muy Alta",'Mapa final'!$AJ$34="Menor"),CONCATENATE("R2C",'Mapa final'!$R$34),"")</f>
        <v/>
      </c>
      <c r="S15" s="39" t="str">
        <f>IF(AND('Mapa final'!$AH$35="Muy Alta",'Mapa final'!$AJ$35="Menor"),CONCATENATE("R2C",'Mapa final'!$R$35),"")</f>
        <v/>
      </c>
      <c r="T15" s="39" t="str">
        <f>IF(AND('Mapa final'!$AH$36="Muy Alta",'Mapa final'!$AJ$36="Menor"),CONCATENATE("R2C",'Mapa final'!$R$36),"")</f>
        <v/>
      </c>
      <c r="U15" s="39" t="str">
        <f>IF(AND('Mapa final'!$AH$37="Muy Alta",'Mapa final'!$AJ$37="LMenor"),CONCATENATE("R2C",'Mapa final'!$R$37),"")</f>
        <v/>
      </c>
      <c r="V15" s="40" t="str">
        <f>IF(AND('Mapa final'!$AH$38="Muy Alta",'Mapa final'!$AJ$38="Menor"),CONCATENATE("R2C",'Mapa final'!$R$38),"")</f>
        <v/>
      </c>
      <c r="W15" s="38" t="str">
        <f>IF(AND('Mapa final'!$AH$33="Muy Alta",'Mapa final'!$AJ$33="Moderado"),CONCATENATE("R2C",'Mapa final'!$R$33),"")</f>
        <v/>
      </c>
      <c r="X15" s="39" t="str">
        <f>IF(AND('Mapa final'!$AH$34="Muy Alta",'Mapa final'!$AJ$34="Moderado"),CONCATENATE("R2C",'Mapa final'!$R$34),"")</f>
        <v/>
      </c>
      <c r="Y15" s="39" t="str">
        <f>IF(AND('Mapa final'!$AH$35="Muy Alta",'Mapa final'!$AJ$35="Moderado"),CONCATENATE("R2C",'Mapa final'!$R$35),"")</f>
        <v/>
      </c>
      <c r="Z15" s="39" t="str">
        <f>IF(AND('Mapa final'!$AH$36="Muy Alta",'Mapa final'!$AJ$36="Moderado"),CONCATENATE("R2C",'Mapa final'!$R$36),"")</f>
        <v/>
      </c>
      <c r="AA15" s="39" t="str">
        <f>IF(AND('Mapa final'!$AH$37="Muy Alta",'Mapa final'!$AJ$37="Moderado"),CONCATENATE("R2C",'Mapa final'!$R$37),"")</f>
        <v/>
      </c>
      <c r="AB15" s="40" t="str">
        <f>IF(AND('Mapa final'!$AH$38="Muy Alta",'Mapa final'!$AJ$38="Moderado"),CONCATENATE("R2C",'Mapa final'!$R$38),"")</f>
        <v/>
      </c>
      <c r="AC15" s="38" t="str">
        <f>IF(AND('Mapa final'!$AH$33="Muy Alta",'Mapa final'!$AJ$33="Mayor"),CONCATENATE("R2C",'Mapa final'!$R$33),"")</f>
        <v/>
      </c>
      <c r="AD15" s="39" t="str">
        <f>IF(AND('Mapa final'!$AH$34="Muy Alta",'Mapa final'!$AJ$34="Mayor"),CONCATENATE("R2C",'Mapa final'!$R$34),"")</f>
        <v/>
      </c>
      <c r="AE15" s="39" t="str">
        <f>IF(AND('Mapa final'!$AH$35="Muy Alta",'Mapa final'!$AJ$35="Mayor"),CONCATENATE("R2C",'Mapa final'!$R$35),"")</f>
        <v/>
      </c>
      <c r="AF15" s="39" t="str">
        <f>IF(AND('Mapa final'!$AH$36="Muy Alta",'Mapa final'!$AJ$36="Mayor"),CONCATENATE("R2C",'Mapa final'!$R$36),"")</f>
        <v/>
      </c>
      <c r="AG15" s="39" t="str">
        <f>IF(AND('Mapa final'!$AH$37="Muy Alta",'Mapa final'!$AJ$37="Mayor"),CONCATENATE("R2C",'Mapa final'!$R$37),"")</f>
        <v/>
      </c>
      <c r="AH15" s="40" t="str">
        <f>IF(AND('Mapa final'!$AH$38="Muy Alta",'Mapa final'!$AJ$38="Mayor"),CONCATENATE("R2C",'Mapa final'!$R$38),"")</f>
        <v/>
      </c>
      <c r="AI15" s="41" t="str">
        <f>IF(AND('Mapa final'!$AH$33="Muy Alta",'Mapa final'!$AJ$33="Catastrófico"),CONCATENATE("R2C",'Mapa final'!$R$33),"")</f>
        <v/>
      </c>
      <c r="AJ15" s="42" t="str">
        <f>IF(AND('Mapa final'!$AH$34="Muy Alta",'Mapa final'!$AJ$34="Catastrófico"),CONCATENATE("R2C",'Mapa final'!$R$34),"")</f>
        <v/>
      </c>
      <c r="AK15" s="42" t="str">
        <f>IF(AND('Mapa final'!$AH$35="Muy Alta",'Mapa final'!$AJ$35="Catastrófico"),CONCATENATE("R2C",'Mapa final'!$R$35),"")</f>
        <v/>
      </c>
      <c r="AL15" s="42" t="str">
        <f>IF(AND('Mapa final'!$AH$36="Muy Alta",'Mapa final'!$AJ$36="Catastrófico"),CONCATENATE("R2C",'Mapa final'!$R$36),"")</f>
        <v/>
      </c>
      <c r="AM15" s="42" t="str">
        <f>IF(AND('Mapa final'!$AH$37="Muy Alta",'Mapa final'!$AJ$37="LCatastrófico"),CONCATENATE("R2C",'Mapa final'!$R$37),"")</f>
        <v/>
      </c>
      <c r="AN15" s="43" t="str">
        <f>IF(AND('Mapa final'!$AH$38="Muy Alta",'Mapa final'!$AJ$38="Catastrófico"),CONCATENATE("R2C",'Mapa final'!$R$38),"")</f>
        <v/>
      </c>
      <c r="AO15" s="68"/>
      <c r="AP15" s="539"/>
      <c r="AQ15" s="540"/>
      <c r="AR15" s="540"/>
      <c r="AS15" s="540"/>
      <c r="AT15" s="540"/>
      <c r="AU15" s="541"/>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row>
    <row r="16" spans="1:92" ht="15" customHeight="1">
      <c r="B16" s="68"/>
      <c r="C16" s="430"/>
      <c r="D16" s="430"/>
      <c r="E16" s="431"/>
      <c r="F16" s="520"/>
      <c r="G16" s="521"/>
      <c r="H16" s="521"/>
      <c r="I16" s="521"/>
      <c r="J16" s="521"/>
      <c r="K16" s="38" t="str">
        <f>IF(AND('Mapa final'!$AH$39="Muy Alta",'Mapa final'!$AJ$39="Leve"),CONCATENATE("R2C",'Mapa final'!$R$39),"")</f>
        <v/>
      </c>
      <c r="L16" s="39" t="str">
        <f>IF(AND('Mapa final'!$AH$40="Muy Alta",'Mapa final'!$AJ$40="Leve"),CONCATENATE("R2C",'Mapa final'!$R$40),"")</f>
        <v/>
      </c>
      <c r="M16" s="39" t="str">
        <f>IF(AND('Mapa final'!$AH$41="Muy Alta",'Mapa final'!$AJ$41="Leve"),CONCATENATE("R2C",'Mapa final'!$R$41),"")</f>
        <v/>
      </c>
      <c r="N16" s="39" t="str">
        <f>IF(AND('Mapa final'!$AH$42="Muy Alta",'Mapa final'!$AJ$42="Leve"),CONCATENATE("R2C",'Mapa final'!$R$42),"")</f>
        <v/>
      </c>
      <c r="O16" s="39" t="str">
        <f>IF(AND('Mapa final'!$AH$43="Muy Alta",'Mapa final'!$AJ$43="Leve"),CONCATENATE("R2C",'Mapa final'!$R$43),"")</f>
        <v/>
      </c>
      <c r="P16" s="40" t="str">
        <f>IF(AND('Mapa final'!$AH$44="Muy Alta",'Mapa final'!$AJ$44="Leve"),CONCATENATE("R2C",'Mapa final'!$R$44),"")</f>
        <v/>
      </c>
      <c r="Q16" s="39" t="str">
        <f>IF(AND('Mapa final'!$AH$39="Muy Alta",'Mapa final'!$AJ$39="Menor"),CONCATENATE("R2C",'Mapa final'!$R$39),"")</f>
        <v/>
      </c>
      <c r="R16" s="39" t="str">
        <f>IF(AND('Mapa final'!$AH$40="Muy Alta",'Mapa final'!$AJ$40="Menor"),CONCATENATE("R2C",'Mapa final'!$R$40),"")</f>
        <v/>
      </c>
      <c r="S16" s="39" t="str">
        <f>IF(AND('Mapa final'!$AH$41="Muy Alta",'Mapa final'!$AJ$41="Menor"),CONCATENATE("R2C",'Mapa final'!$R$41),"")</f>
        <v/>
      </c>
      <c r="T16" s="39" t="str">
        <f>IF(AND('Mapa final'!$AH$42="Muy Alta",'Mapa final'!$AJ$42="Menor"),CONCATENATE("R2C",'Mapa final'!$R$42),"")</f>
        <v/>
      </c>
      <c r="U16" s="39" t="str">
        <f>IF(AND('Mapa final'!$AH$43="Muy Alta",'Mapa final'!$AJ$43="Menor"),CONCATENATE("R2C",'Mapa final'!$R$43),"")</f>
        <v/>
      </c>
      <c r="V16" s="40" t="str">
        <f>IF(AND('Mapa final'!$AH$44="Muy Alta",'Mapa final'!$AJ$44="Menor"),CONCATENATE("R2C",'Mapa final'!$R$44),"")</f>
        <v/>
      </c>
      <c r="W16" s="38" t="str">
        <f>IF(AND('Mapa final'!$AH$39="Muy Alta",'Mapa final'!$AJ$39="Moderado"),CONCATENATE("R2C",'Mapa final'!$R$39),"")</f>
        <v/>
      </c>
      <c r="X16" s="39" t="str">
        <f>IF(AND('Mapa final'!$AH$40="Muy Alta",'Mapa final'!$AJ$40="Moderado"),CONCATENATE("R2C",'Mapa final'!$R$40),"")</f>
        <v/>
      </c>
      <c r="Y16" s="39" t="str">
        <f>IF(AND('Mapa final'!$AH$41="Muy Alta",'Mapa final'!$AJ$41="Moderado"),CONCATENATE("R2C",'Mapa final'!$R$41),"")</f>
        <v/>
      </c>
      <c r="Z16" s="39" t="str">
        <f>IF(AND('Mapa final'!$AH$42="Muy Alta",'Mapa final'!$AJ$42="Moderado"),CONCATENATE("R2C",'Mapa final'!$R$42),"")</f>
        <v/>
      </c>
      <c r="AA16" s="39" t="str">
        <f>IF(AND('Mapa final'!$AH$43="Muy Alta",'Mapa final'!$AJ$43="Moderado"),CONCATENATE("R2C",'Mapa final'!$R$43),"")</f>
        <v/>
      </c>
      <c r="AB16" s="40" t="str">
        <f>IF(AND('Mapa final'!$AH$44="Muy Alta",'Mapa final'!$AJ$44="Moderado"),CONCATENATE("R2C",'Mapa final'!$R$44),"")</f>
        <v/>
      </c>
      <c r="AC16" s="38" t="str">
        <f>IF(AND('Mapa final'!$AH$39="Muy Alta",'Mapa final'!$AJ$39="Mayor"),CONCATENATE("R2C",'Mapa final'!$R$39),"")</f>
        <v/>
      </c>
      <c r="AD16" s="39" t="str">
        <f>IF(AND('Mapa final'!$AH$40="Muy Alta",'Mapa final'!$AJ$40="Mayor"),CONCATENATE("R2C",'Mapa final'!$R$40),"")</f>
        <v/>
      </c>
      <c r="AE16" s="39" t="str">
        <f>IF(AND('Mapa final'!$AH$41="Muy Alta",'Mapa final'!$AJ$41="Mayor"),CONCATENATE("R2C",'Mapa final'!$R$41),"")</f>
        <v/>
      </c>
      <c r="AF16" s="39" t="str">
        <f>IF(AND('Mapa final'!$AH$42="Muy Alta",'Mapa final'!$AJ$42="Mayor"),CONCATENATE("R2C",'Mapa final'!$R$42),"")</f>
        <v/>
      </c>
      <c r="AG16" s="39" t="str">
        <f>IF(AND('Mapa final'!$AH$43="Muy Alta",'Mapa final'!$AJ$43="Mayor"),CONCATENATE("R2C",'Mapa final'!$R$43),"")</f>
        <v/>
      </c>
      <c r="AH16" s="40" t="str">
        <f>IF(AND('Mapa final'!$AH$44="Muy Alta",'Mapa final'!$AJ$44="Mayor"),CONCATENATE("R2C",'Mapa final'!$R$44),"")</f>
        <v/>
      </c>
      <c r="AI16" s="41" t="str">
        <f>IF(AND('Mapa final'!$AH$39="Muy Alta",'Mapa final'!$AJ$39="Catastrófico"),CONCATENATE("R2C",'Mapa final'!$R$39),"")</f>
        <v/>
      </c>
      <c r="AJ16" s="42" t="str">
        <f>IF(AND('Mapa final'!$AH$40="Muy Alta",'Mapa final'!$AJ$40="Catastrófico"),CONCATENATE("R2C",'Mapa final'!$R$40),"")</f>
        <v/>
      </c>
      <c r="AK16" s="42" t="str">
        <f>IF(AND('Mapa final'!$AH$41="Muy Alta",'Mapa final'!$AJ$41="Catastrófico"),CONCATENATE("R2C",'Mapa final'!$R$41),"")</f>
        <v/>
      </c>
      <c r="AL16" s="42" t="str">
        <f>IF(AND('Mapa final'!$AH$42="Muy Alta",'Mapa final'!$AJ$42="Catastrófico"),CONCATENATE("R2C",'Mapa final'!$R$42),"")</f>
        <v/>
      </c>
      <c r="AM16" s="42" t="str">
        <f>IF(AND('Mapa final'!$AH$43="Muy Alta",'Mapa final'!$AJ$43="Catastrófico"),CONCATENATE("R2C",'Mapa final'!$R$43),"")</f>
        <v/>
      </c>
      <c r="AN16" s="43" t="str">
        <f>IF(AND('Mapa final'!$AH$44="Muy Alta",'Mapa final'!$AJ$44="Catastrófico"),CONCATENATE("R2C",'Mapa final'!$R$44),"")</f>
        <v/>
      </c>
      <c r="AO16" s="68"/>
      <c r="AP16" s="539"/>
      <c r="AQ16" s="540"/>
      <c r="AR16" s="540"/>
      <c r="AS16" s="540"/>
      <c r="AT16" s="540"/>
      <c r="AU16" s="541"/>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row>
    <row r="17" spans="2:77" ht="15" customHeight="1">
      <c r="B17" s="68"/>
      <c r="C17" s="430"/>
      <c r="D17" s="430"/>
      <c r="E17" s="431"/>
      <c r="F17" s="520"/>
      <c r="G17" s="521"/>
      <c r="H17" s="521"/>
      <c r="I17" s="521"/>
      <c r="J17" s="521"/>
      <c r="K17" s="38" t="str">
        <f>IF(AND('Mapa final'!$AH$45="Muy Alta",'Mapa final'!$AJ$45="Leve"),CONCATENATE("R2C",'Mapa final'!$R$45),"")</f>
        <v/>
      </c>
      <c r="L17" s="39" t="str">
        <f>IF(AND('Mapa final'!$AH$46="Muy Alta",'Mapa final'!$AJ$46="Leve"),CONCATENATE("R2C",'Mapa final'!$R$46),"")</f>
        <v/>
      </c>
      <c r="M17" s="39" t="str">
        <f>IF(AND('Mapa final'!$AH$47="Muy Alta",'Mapa final'!$AJ$47="Leve"),CONCATENATE("R2C",'Mapa final'!$R$47),"")</f>
        <v/>
      </c>
      <c r="N17" s="39" t="str">
        <f>IF(AND('Mapa final'!$AH$48="Muy Alta",'Mapa final'!$AJ$48="Leve"),CONCATENATE("R2C",'Mapa final'!$R$48),"")</f>
        <v/>
      </c>
      <c r="O17" s="39" t="str">
        <f>IF(AND('Mapa final'!$AH$49="Muy Alta",'Mapa final'!$AJ$49="Leve"),CONCATENATE("R2C",'Mapa final'!$R$49),"")</f>
        <v/>
      </c>
      <c r="P17" s="40" t="str">
        <f>IF(AND('Mapa final'!$AH$60="Muy Alta",'Mapa final'!$AJ$50="Leve"),CONCATENATE("R2C",'Mapa final'!$R$50),"")</f>
        <v/>
      </c>
      <c r="Q17" s="39" t="str">
        <f>IF(AND('Mapa final'!$AH$45="Muy Alta",'Mapa final'!$AJ$45="Menor"),CONCATENATE("R2C",'Mapa final'!$R$45),"")</f>
        <v/>
      </c>
      <c r="R17" s="39" t="str">
        <f>IF(AND('Mapa final'!$AH$46="Muy Alta",'Mapa final'!$AJ$46="Menor"),CONCATENATE("R2C",'Mapa final'!$R$46),"")</f>
        <v/>
      </c>
      <c r="S17" s="39" t="str">
        <f>IF(AND('Mapa final'!$AH$47="Muy Alta",'Mapa final'!$AJ$47="Menor"),CONCATENATE("R2C",'Mapa final'!$R$47),"")</f>
        <v/>
      </c>
      <c r="T17" s="39" t="str">
        <f>IF(AND('Mapa final'!$AH$48="Muy Alta",'Mapa final'!$AJ$48="Menor"),CONCATENATE("R2C",'Mapa final'!$R$48),"")</f>
        <v/>
      </c>
      <c r="U17" s="39" t="str">
        <f>IF(AND('Mapa final'!$AH$49="Muy Alta",'Mapa final'!$AJ$49="Menor"),CONCATENATE("R2C",'Mapa final'!$R$49),"")</f>
        <v/>
      </c>
      <c r="V17" s="40" t="str">
        <f>IF(AND('Mapa final'!$AH$60="Muy Alta",'Mapa final'!$AJ$50="Menor"),CONCATENATE("R2C",'Mapa final'!$R$50),"")</f>
        <v/>
      </c>
      <c r="W17" s="38" t="str">
        <f>IF(AND('Mapa final'!$AH$45="Muy Alta",'Mapa final'!$AJ$45="Moderado"),CONCATENATE("R2C",'Mapa final'!$R$45),"")</f>
        <v/>
      </c>
      <c r="X17" s="39" t="str">
        <f>IF(AND('Mapa final'!$AH$46="Muy Alta",'Mapa final'!$AJ$46="Moderado"),CONCATENATE("R2C",'Mapa final'!$R$46),"")</f>
        <v/>
      </c>
      <c r="Y17" s="39" t="str">
        <f>IF(AND('Mapa final'!$AH$47="Muy Alta",'Mapa final'!$AJ$47="Moderado"),CONCATENATE("R2C",'Mapa final'!$R$47),"")</f>
        <v/>
      </c>
      <c r="Z17" s="39" t="str">
        <f>IF(AND('Mapa final'!$AH$48="Muy Alta",'Mapa final'!$AJ$48="Moderado"),CONCATENATE("R2C",'Mapa final'!$R$48),"")</f>
        <v/>
      </c>
      <c r="AA17" s="39" t="str">
        <f>IF(AND('Mapa final'!$AH$49="Muy Alta",'Mapa final'!$AJ$49="Moderado"),CONCATENATE("R2C",'Mapa final'!$R$49),"")</f>
        <v/>
      </c>
      <c r="AB17" s="40" t="str">
        <f>IF(AND('Mapa final'!$AH$60="Muy Alta",'Mapa final'!$AJ$50="Moderado"),CONCATENATE("R2C",'Mapa final'!$R$50),"")</f>
        <v/>
      </c>
      <c r="AC17" s="38" t="str">
        <f>IF(AND('Mapa final'!$AH$45="Muy Alta",'Mapa final'!$AJ$45="Mayor"),CONCATENATE("R2C",'Mapa final'!$R$45),"")</f>
        <v/>
      </c>
      <c r="AD17" s="39" t="str">
        <f>IF(AND('Mapa final'!$AH$46="Muy Alta",'Mapa final'!$AJ$46="Mayor"),CONCATENATE("R2C",'Mapa final'!$R$46),"")</f>
        <v/>
      </c>
      <c r="AE17" s="39" t="str">
        <f>IF(AND('Mapa final'!$AH$47="Muy Alta",'Mapa final'!$AJ$47="Mayor"),CONCATENATE("R2C",'Mapa final'!$R$47),"")</f>
        <v/>
      </c>
      <c r="AF17" s="39" t="str">
        <f>IF(AND('Mapa final'!$AH$48="Muy Alta",'Mapa final'!$AJ$48="Mayor"),CONCATENATE("R2C",'Mapa final'!$R$48),"")</f>
        <v/>
      </c>
      <c r="AG17" s="39" t="str">
        <f>IF(AND('Mapa final'!$AH$49="Muy Alta",'Mapa final'!$AJ$49="Mayor"),CONCATENATE("R2C",'Mapa final'!$R$49),"")</f>
        <v/>
      </c>
      <c r="AH17" s="40" t="str">
        <f>IF(AND('Mapa final'!$AH$60="Muy Alta",'Mapa final'!$AJ$50="Mayor"),CONCATENATE("R2C",'Mapa final'!$R$50),"")</f>
        <v/>
      </c>
      <c r="AI17" s="41" t="str">
        <f>IF(AND('Mapa final'!$AH$45="Muy Alta",'Mapa final'!$AJ$45="Catastrófico"),CONCATENATE("R2C",'Mapa final'!$R$45),"")</f>
        <v/>
      </c>
      <c r="AJ17" s="42" t="str">
        <f>IF(AND('Mapa final'!$AH$46="Muy Alta",'Mapa final'!$AJ$46="Catastrófico"),CONCATENATE("R2C",'Mapa final'!$R$46),"")</f>
        <v/>
      </c>
      <c r="AK17" s="42" t="str">
        <f>IF(AND('Mapa final'!$AH$47="Muy Alta",'Mapa final'!$AJ$47="Catastrófico"),CONCATENATE("R2C",'Mapa final'!$R$47),"")</f>
        <v/>
      </c>
      <c r="AL17" s="42" t="str">
        <f>IF(AND('Mapa final'!$AH$48="Muy Alta",'Mapa final'!$AJ$48="Catastrófico"),CONCATENATE("R2C",'Mapa final'!$R$48),"")</f>
        <v/>
      </c>
      <c r="AM17" s="42" t="str">
        <f>IF(AND('Mapa final'!$AH$49="Muy Alta",'Mapa final'!$AJ$49="Catastrófico"),CONCATENATE("R2C",'Mapa final'!$R$49),"")</f>
        <v/>
      </c>
      <c r="AN17" s="43" t="str">
        <f>IF(AND('Mapa final'!$AH$60="Muy Alta",'Mapa final'!$AJ$50="Catastrófico"),CONCATENATE("R2C",'Mapa final'!$R$50),"")</f>
        <v/>
      </c>
      <c r="AO17" s="68"/>
      <c r="AP17" s="539"/>
      <c r="AQ17" s="540"/>
      <c r="AR17" s="540"/>
      <c r="AS17" s="540"/>
      <c r="AT17" s="540"/>
      <c r="AU17" s="541"/>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row>
    <row r="18" spans="2:77" ht="15" customHeight="1">
      <c r="B18" s="68"/>
      <c r="C18" s="430"/>
      <c r="D18" s="430"/>
      <c r="E18" s="431"/>
      <c r="F18" s="520"/>
      <c r="G18" s="521"/>
      <c r="H18" s="521"/>
      <c r="I18" s="521"/>
      <c r="J18" s="521"/>
      <c r="K18" s="38" t="str">
        <f>IF(AND('Mapa final'!$AH$51="Muy Alta",'Mapa final'!$AJ$51="Leve"),CONCATENATE("R2C",'Mapa final'!$R$51),"")</f>
        <v/>
      </c>
      <c r="L18" s="39" t="str">
        <f>IF(AND('Mapa final'!$AH$52="Muy Alta",'Mapa final'!$AJ$52="Leve"),CONCATENATE("R2C",'Mapa final'!$R$52),"")</f>
        <v/>
      </c>
      <c r="M18" s="39" t="str">
        <f>IF(AND('Mapa final'!$AH$53="Muy Alta",'Mapa final'!$AJ$53="Leve"),CONCATENATE("R2C",'Mapa final'!$R$53),"")</f>
        <v/>
      </c>
      <c r="N18" s="39" t="str">
        <f>IF(AND('Mapa final'!$AH$54="Muy Alta",'Mapa final'!$AJ$54="Leve"),CONCATENATE("R2C",'Mapa final'!$R$54),"")</f>
        <v/>
      </c>
      <c r="O18" s="39" t="str">
        <f>IF(AND('Mapa final'!$AH$55="Muy Alta",'Mapa final'!$AJ$55="Leve"),CONCATENATE("R2C",'Mapa final'!$R$55),"")</f>
        <v/>
      </c>
      <c r="P18" s="40" t="str">
        <f>IF(AND('Mapa final'!$AH$56="Muy Alta",'Mapa final'!$AJ$56="Leve"),CONCATENATE("R2C",'Mapa final'!$R$56),"")</f>
        <v/>
      </c>
      <c r="Q18" s="39" t="str">
        <f>IF(AND('Mapa final'!$AH$51="Muy Alta",'Mapa final'!$AJ$51="Menor"),CONCATENATE("R2C",'Mapa final'!$R$51),"")</f>
        <v/>
      </c>
      <c r="R18" s="39" t="str">
        <f>IF(AND('Mapa final'!$AH$52="Muy Alta",'Mapa final'!$AJ$52="Menor"),CONCATENATE("R2C",'Mapa final'!$R$52),"")</f>
        <v/>
      </c>
      <c r="S18" s="39" t="str">
        <f>IF(AND('Mapa final'!$AH$53="Muy Alta",'Mapa final'!$AJ$53="Menor"),CONCATENATE("R2C",'Mapa final'!$R$53),"")</f>
        <v/>
      </c>
      <c r="T18" s="39" t="str">
        <f>IF(AND('Mapa final'!$AH$54="Muy Alta",'Mapa final'!$AJ$54="Menor"),CONCATENATE("R2C",'Mapa final'!$R$54),"")</f>
        <v/>
      </c>
      <c r="U18" s="39" t="str">
        <f>IF(AND('Mapa final'!$AH$55="Muy Alta",'Mapa final'!$AJ$55="Menor"),CONCATENATE("R2C",'Mapa final'!$R$55),"")</f>
        <v/>
      </c>
      <c r="V18" s="40" t="str">
        <f>IF(AND('Mapa final'!$AH$56="Muy Alta",'Mapa final'!$AJ$56="Menor"),CONCATENATE("R2C",'Mapa final'!$R$56),"")</f>
        <v/>
      </c>
      <c r="W18" s="38" t="str">
        <f>IF(AND('Mapa final'!$AH$51="Muy Alta",'Mapa final'!$AJ$51="Moderado"),CONCATENATE("R2C",'Mapa final'!$R$51),"")</f>
        <v/>
      </c>
      <c r="X18" s="39" t="str">
        <f>IF(AND('Mapa final'!$AH$52="Muy Alta",'Mapa final'!$AJ$52="Moderado"),CONCATENATE("R2C",'Mapa final'!$R$52),"")</f>
        <v/>
      </c>
      <c r="Y18" s="39" t="str">
        <f>IF(AND('Mapa final'!$AH$53="Muy Alta",'Mapa final'!$AJ$53="Moderado"),CONCATENATE("R2C",'Mapa final'!$R$53),"")</f>
        <v/>
      </c>
      <c r="Z18" s="39" t="str">
        <f>IF(AND('Mapa final'!$AH$54="Muy Alta",'Mapa final'!$AJ$54="Moderado"),CONCATENATE("R2C",'Mapa final'!$R$54),"")</f>
        <v/>
      </c>
      <c r="AA18" s="39" t="str">
        <f>IF(AND('Mapa final'!$AH$55="Muy Alta",'Mapa final'!$AJ$55="Moderado"),CONCATENATE("R2C",'Mapa final'!$R$55),"")</f>
        <v/>
      </c>
      <c r="AB18" s="40" t="str">
        <f>IF(AND('Mapa final'!$AH$56="Muy Alta",'Mapa final'!$AJ$56="Moderado"),CONCATENATE("R2C",'Mapa final'!$R$56),"")</f>
        <v/>
      </c>
      <c r="AC18" s="38" t="str">
        <f>IF(AND('Mapa final'!$AH$51="Muy Alta",'Mapa final'!$AJ$51="Mayor"),CONCATENATE("R2C",'Mapa final'!$R$51),"")</f>
        <v/>
      </c>
      <c r="AD18" s="39" t="str">
        <f>IF(AND('Mapa final'!$AH$52="Muy Alta",'Mapa final'!$AJ$52="Mayor"),CONCATENATE("R2C",'Mapa final'!$R$52),"")</f>
        <v/>
      </c>
      <c r="AE18" s="39" t="str">
        <f>IF(AND('Mapa final'!$AH$53="Muy Alta",'Mapa final'!$AJ$53="Mayor"),CONCATENATE("R2C",'Mapa final'!$R$53),"")</f>
        <v/>
      </c>
      <c r="AF18" s="39" t="str">
        <f>IF(AND('Mapa final'!$AH$54="Muy Alta",'Mapa final'!$AJ$54="Mayor"),CONCATENATE("R2C",'Mapa final'!$R$54),"")</f>
        <v/>
      </c>
      <c r="AG18" s="39" t="str">
        <f>IF(AND('Mapa final'!$AH$55="Muy Alta",'Mapa final'!$AJ$55="Mayor"),CONCATENATE("R2C",'Mapa final'!$R$55),"")</f>
        <v/>
      </c>
      <c r="AH18" s="40" t="str">
        <f>IF(AND('Mapa final'!$AH$56="Muy Alta",'Mapa final'!$AJ$56="Mayor"),CONCATENATE("R2C",'Mapa final'!$R$56),"")</f>
        <v/>
      </c>
      <c r="AI18" s="41" t="str">
        <f>IF(AND('Mapa final'!$AH$51="Muy Alta",'Mapa final'!$AJ$51="Catastrófico"),CONCATENATE("R2C",'Mapa final'!$R$51),"")</f>
        <v/>
      </c>
      <c r="AJ18" s="42" t="str">
        <f>IF(AND('Mapa final'!$AH$52="Muy Alta",'Mapa final'!$AJ$52="Catastrófico"),CONCATENATE("R2C",'Mapa final'!$R$52),"")</f>
        <v/>
      </c>
      <c r="AK18" s="42" t="str">
        <f>IF(AND('Mapa final'!$AH$53="Muy Alta",'Mapa final'!$AJ$53="Catastrófico"),CONCATENATE("R2C",'Mapa final'!$R$53),"")</f>
        <v/>
      </c>
      <c r="AL18" s="42" t="str">
        <f>IF(AND('Mapa final'!$AH$54="Muy Alta",'Mapa final'!$AJ$54="Catastrófico"),CONCATENATE("R2C",'Mapa final'!$R$54),"")</f>
        <v/>
      </c>
      <c r="AM18" s="42" t="str">
        <f>IF(AND('Mapa final'!$AH$55="Muy Alta",'Mapa final'!$AJ$55="Catastrófico"),CONCATENATE("R2C",'Mapa final'!$R$55),"")</f>
        <v/>
      </c>
      <c r="AN18" s="43" t="str">
        <f>IF(AND('Mapa final'!$AH$56="Muy Alta",'Mapa final'!$AJ$56="Catastrófico"),CONCATENATE("R2C",'Mapa final'!$R$56),"")</f>
        <v/>
      </c>
      <c r="AO18" s="68"/>
      <c r="AP18" s="539"/>
      <c r="AQ18" s="540"/>
      <c r="AR18" s="540"/>
      <c r="AS18" s="540"/>
      <c r="AT18" s="540"/>
      <c r="AU18" s="541"/>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row>
    <row r="19" spans="2:77" ht="15" customHeight="1">
      <c r="B19" s="68"/>
      <c r="C19" s="430"/>
      <c r="D19" s="430"/>
      <c r="E19" s="431"/>
      <c r="F19" s="520"/>
      <c r="G19" s="521"/>
      <c r="H19" s="521"/>
      <c r="I19" s="521"/>
      <c r="J19" s="521"/>
      <c r="K19" s="38" t="str">
        <f>IF(AND('Mapa final'!$AH$57="Muy Alta",'Mapa final'!$AJ$57="Leve"),CONCATENATE("R2C",'Mapa final'!$R$57),"")</f>
        <v/>
      </c>
      <c r="L19" s="39" t="str">
        <f>IF(AND('Mapa final'!$AH$58="Muy Alta",'Mapa final'!$AJ$58="Leve"),CONCATENATE("R2C",'Mapa final'!$R$58),"")</f>
        <v/>
      </c>
      <c r="M19" s="39" t="str">
        <f>IF(AND('Mapa final'!$AH$59="Muy Alta",'Mapa final'!$AJ$59="Leve"),CONCATENATE("R2C",'Mapa final'!$R$59),"")</f>
        <v/>
      </c>
      <c r="N19" s="39" t="str">
        <f>IF(AND('Mapa final'!$AH$60="Muy Alta",'Mapa final'!$AJ$60="Leve"),CONCATENATE("R2C",'Mapa final'!$R$60),"")</f>
        <v/>
      </c>
      <c r="O19" s="39" t="str">
        <f>IF(AND('Mapa final'!$AH$61="Muy Alta",'Mapa final'!$AJ$61="Leve"),CONCATENATE("R2C",'Mapa final'!$R$61),"")</f>
        <v/>
      </c>
      <c r="P19" s="40" t="str">
        <f>IF(AND('Mapa final'!$AH$62="Muy Alta",'Mapa final'!$AJ$62="Leve"),CONCATENATE("R2C",'Mapa final'!$R$62),"")</f>
        <v/>
      </c>
      <c r="Q19" s="39" t="str">
        <f>IF(AND('Mapa final'!$AH$57="Muy Alta",'Mapa final'!$AJ$57="Menor"),CONCATENATE("R2C",'Mapa final'!$R$57),"")</f>
        <v/>
      </c>
      <c r="R19" s="39" t="str">
        <f>IF(AND('Mapa final'!$AH$58="Muy Alta",'Mapa final'!$AJ$58="Menor"),CONCATENATE("R2C",'Mapa final'!$R$58),"")</f>
        <v/>
      </c>
      <c r="S19" s="39" t="str">
        <f>IF(AND('Mapa final'!$AH$59="Muy Alta",'Mapa final'!$AJ$59="Menor"),CONCATENATE("R2C",'Mapa final'!$R$59),"")</f>
        <v/>
      </c>
      <c r="T19" s="39" t="str">
        <f>IF(AND('Mapa final'!$AH$60="Muy Alta",'Mapa final'!$AJ$60="Menor"),CONCATENATE("R2C",'Mapa final'!$R$60),"")</f>
        <v/>
      </c>
      <c r="U19" s="39" t="str">
        <f>IF(AND('Mapa final'!$AH$61="Muy Alta",'Mapa final'!$AJ$61="Menor"),CONCATENATE("R2C",'Mapa final'!$R$61),"")</f>
        <v/>
      </c>
      <c r="V19" s="40" t="str">
        <f>IF(AND('Mapa final'!$AH$62="Muy Alta",'Mapa final'!$AJ$62="Menor"),CONCATENATE("R2C",'Mapa final'!$R$62),"")</f>
        <v/>
      </c>
      <c r="W19" s="38" t="str">
        <f>IF(AND('Mapa final'!$AH$57="Muy Alta",'Mapa final'!$AJ$57="Moderado"),CONCATENATE("R2C",'Mapa final'!$R$57),"")</f>
        <v/>
      </c>
      <c r="X19" s="39" t="str">
        <f>IF(AND('Mapa final'!$AH$58="Muy Alta",'Mapa final'!$AJ$58="Moderado"),CONCATENATE("R2C",'Mapa final'!$R$58),"")</f>
        <v/>
      </c>
      <c r="Y19" s="39" t="str">
        <f>IF(AND('Mapa final'!$AH$59="Muy Alta",'Mapa final'!$AJ$59="Moderado"),CONCATENATE("R2C",'Mapa final'!$R$59),"")</f>
        <v/>
      </c>
      <c r="Z19" s="39" t="str">
        <f>IF(AND('Mapa final'!$AH$60="Muy Alta",'Mapa final'!$AJ$60="Moderado"),CONCATENATE("R2C",'Mapa final'!$R$60),"")</f>
        <v/>
      </c>
      <c r="AA19" s="39" t="str">
        <f>IF(AND('Mapa final'!$AH$61="Muy Alta",'Mapa final'!$AJ$61="Moderado"),CONCATENATE("R2C",'Mapa final'!$R$61),"")</f>
        <v/>
      </c>
      <c r="AB19" s="40" t="str">
        <f>IF(AND('Mapa final'!$AH$62="Muy Alta",'Mapa final'!$AJ$62="Moderado"),CONCATENATE("R2C",'Mapa final'!$R$62),"")</f>
        <v/>
      </c>
      <c r="AC19" s="38" t="str">
        <f>IF(AND('Mapa final'!$AH$57="Muy Alta",'Mapa final'!$AJ$57="Mayor"),CONCATENATE("R2C",'Mapa final'!$R$57),"")</f>
        <v/>
      </c>
      <c r="AD19" s="39" t="str">
        <f>IF(AND('Mapa final'!$AH$58="Muy Alta",'Mapa final'!$AJ$58="Mayor"),CONCATENATE("R2C",'Mapa final'!$R$58),"")</f>
        <v/>
      </c>
      <c r="AE19" s="39" t="str">
        <f>IF(AND('Mapa final'!$AH$59="Muy Alta",'Mapa final'!$AJ$59="Mayor"),CONCATENATE("R2C",'Mapa final'!$R$59),"")</f>
        <v/>
      </c>
      <c r="AF19" s="39" t="str">
        <f>IF(AND('Mapa final'!$AH$60="Muy Alta",'Mapa final'!$AJ$60="Mayor"),CONCATENATE("R2C",'Mapa final'!$R$60),"")</f>
        <v/>
      </c>
      <c r="AG19" s="39" t="str">
        <f>IF(AND('Mapa final'!$AH$61="Muy Alta",'Mapa final'!$AJ$61="Mayor"),CONCATENATE("R2C",'Mapa final'!$R$61),"")</f>
        <v/>
      </c>
      <c r="AH19" s="40" t="str">
        <f>IF(AND('Mapa final'!$AH$62="Muy Alta",'Mapa final'!$AJ$62="Mayor"),CONCATENATE("R2C",'Mapa final'!$R$62),"")</f>
        <v/>
      </c>
      <c r="AI19" s="41" t="str">
        <f>IF(AND('Mapa final'!$AH$57="Muy Alta",'Mapa final'!$AJ$57="Catastrófico"),CONCATENATE("R2C",'Mapa final'!$R$57),"")</f>
        <v/>
      </c>
      <c r="AJ19" s="42" t="str">
        <f>IF(AND('Mapa final'!$AH$58="Muy Alta",'Mapa final'!$AJ$58="Catastrófico"),CONCATENATE("R2C",'Mapa final'!$R$58),"")</f>
        <v/>
      </c>
      <c r="AK19" s="42" t="str">
        <f>IF(AND('Mapa final'!$AH$59="Muy Alta",'Mapa final'!$AJ$59="Catastrófico"),CONCATENATE("R2C",'Mapa final'!$R$59),"")</f>
        <v/>
      </c>
      <c r="AL19" s="42" t="str">
        <f>IF(AND('Mapa final'!$AH$60="Muy Alta",'Mapa final'!$AJ$60="Catastrófico"),CONCATENATE("R2C",'Mapa final'!$R$60),"")</f>
        <v/>
      </c>
      <c r="AM19" s="42" t="str">
        <f>IF(AND('Mapa final'!$AH$61="Muy Alta",'Mapa final'!$AJ$61="Catastrófico"),CONCATENATE("R2C",'Mapa final'!$R$61),"")</f>
        <v/>
      </c>
      <c r="AN19" s="43" t="str">
        <f>IF(AND('Mapa final'!$AH$62="Muy Alta",'Mapa final'!$AJ$62="Catastrófico"),CONCATENATE("R2C",'Mapa final'!$R$62),"")</f>
        <v/>
      </c>
      <c r="AO19" s="68"/>
      <c r="AP19" s="539"/>
      <c r="AQ19" s="540"/>
      <c r="AR19" s="540"/>
      <c r="AS19" s="540"/>
      <c r="AT19" s="540"/>
      <c r="AU19" s="541"/>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row>
    <row r="20" spans="2:77" ht="15" customHeight="1">
      <c r="B20" s="68"/>
      <c r="C20" s="430"/>
      <c r="D20" s="430"/>
      <c r="E20" s="431"/>
      <c r="F20" s="520"/>
      <c r="G20" s="521"/>
      <c r="H20" s="521"/>
      <c r="I20" s="521"/>
      <c r="J20" s="521"/>
      <c r="K20" s="38" t="str">
        <f>IF(AND('Mapa final'!$AH$63="Muy Alta",'Mapa final'!$AJ$63="Leve"),CONCATENATE("R2C",'Mapa final'!$R$63),"")</f>
        <v/>
      </c>
      <c r="L20" s="39" t="str">
        <f>IF(AND('Mapa final'!$AH$64="Muy Alta",'Mapa final'!$AJ$64="Leve"),CONCATENATE("R2C",'Mapa final'!$R$64),"")</f>
        <v/>
      </c>
      <c r="M20" s="39" t="str">
        <f>IF(AND('Mapa final'!$AH$65="Muy Alta",'Mapa final'!$AJ$65="Leve"),CONCATENATE("R2C",'Mapa final'!$R$65),"")</f>
        <v/>
      </c>
      <c r="N20" s="39" t="str">
        <f>IF(AND('Mapa final'!$AH$66="Muy Alta",'Mapa final'!$AJ$66="Leve"),CONCATENATE("R2C",'Mapa final'!$R$66),"")</f>
        <v/>
      </c>
      <c r="O20" s="39" t="str">
        <f>IF(AND('Mapa final'!$AH$67="Muy Alta",'Mapa final'!$AJ$67="Leve"),CONCATENATE("R2C",'Mapa final'!$R$67),"")</f>
        <v/>
      </c>
      <c r="P20" s="40" t="str">
        <f>IF(AND('Mapa final'!$AH$68="Muy Alta",'Mapa final'!$AJ$68="Leve"),CONCATENATE("R2C",'Mapa final'!$R$68),"")</f>
        <v/>
      </c>
      <c r="Q20" s="39" t="str">
        <f>IF(AND('Mapa final'!$AH$63="Muy Alta",'Mapa final'!$AJ$63="Menor"),CONCATENATE("R2C",'Mapa final'!$R$63),"")</f>
        <v/>
      </c>
      <c r="R20" s="39" t="str">
        <f>IF(AND('Mapa final'!$AH$64="Muy Alta",'Mapa final'!$AJ$64="Menor"),CONCATENATE("R2C",'Mapa final'!$R$64),"")</f>
        <v/>
      </c>
      <c r="S20" s="39" t="str">
        <f>IF(AND('Mapa final'!$AH$65="Muy Alta",'Mapa final'!$AJ$65="Menor"),CONCATENATE("R2C",'Mapa final'!$R$65),"")</f>
        <v/>
      </c>
      <c r="T20" s="39" t="str">
        <f>IF(AND('Mapa final'!$AH$66="Muy Alta",'Mapa final'!$AJ$66="Menor"),CONCATENATE("R2C",'Mapa final'!$R$66),"")</f>
        <v/>
      </c>
      <c r="U20" s="39" t="str">
        <f>IF(AND('Mapa final'!$AH$67="Muy Alta",'Mapa final'!$AJ$67="Menor"),CONCATENATE("R2C",'Mapa final'!$R$67),"")</f>
        <v/>
      </c>
      <c r="V20" s="40" t="str">
        <f>IF(AND('Mapa final'!$AH$68="Muy Alta",'Mapa final'!$AJ$68="Menor"),CONCATENATE("R2C",'Mapa final'!$R$68),"")</f>
        <v/>
      </c>
      <c r="W20" s="38" t="str">
        <f>IF(AND('Mapa final'!$AH$63="Muy Alta",'Mapa final'!$AJ$63="Moderado"),CONCATENATE("R2C",'Mapa final'!$R$63),"")</f>
        <v/>
      </c>
      <c r="X20" s="39" t="str">
        <f>IF(AND('Mapa final'!$AH$64="Muy Alta",'Mapa final'!$AJ$64="Moderado"),CONCATENATE("R2C",'Mapa final'!$R$64),"")</f>
        <v/>
      </c>
      <c r="Y20" s="39" t="str">
        <f>IF(AND('Mapa final'!$AH$65="Muy Alta",'Mapa final'!$AJ$65="Moderado"),CONCATENATE("R2C",'Mapa final'!$R$65),"")</f>
        <v/>
      </c>
      <c r="Z20" s="39" t="str">
        <f>IF(AND('Mapa final'!$AH$66="Muy Alta",'Mapa final'!$AJ$66="Moderado"),CONCATENATE("R2C",'Mapa final'!$R$66),"")</f>
        <v/>
      </c>
      <c r="AA20" s="39" t="str">
        <f>IF(AND('Mapa final'!$AH$67="Muy Alta",'Mapa final'!$AJ$67="Moderado"),CONCATENATE("R2C",'Mapa final'!$R$67),"")</f>
        <v/>
      </c>
      <c r="AB20" s="40" t="str">
        <f>IF(AND('Mapa final'!$AH$68="Muy Alta",'Mapa final'!$AJ$68="Moderado"),CONCATENATE("R2C",'Mapa final'!$R$68),"")</f>
        <v/>
      </c>
      <c r="AC20" s="38" t="str">
        <f>IF(AND('Mapa final'!$AH$63="Muy Alta",'Mapa final'!$AJ$63="Mayor"),CONCATENATE("R2C",'Mapa final'!$R$63),"")</f>
        <v/>
      </c>
      <c r="AD20" s="39" t="str">
        <f>IF(AND('Mapa final'!$AH$64="Muy Alta",'Mapa final'!$AJ$64="Mayor"),CONCATENATE("R2C",'Mapa final'!$R$64),"")</f>
        <v/>
      </c>
      <c r="AE20" s="39" t="str">
        <f>IF(AND('Mapa final'!$AH$65="Muy Alta",'Mapa final'!$AJ$65="Mayor"),CONCATENATE("R2C",'Mapa final'!$R$65),"")</f>
        <v/>
      </c>
      <c r="AF20" s="39" t="str">
        <f>IF(AND('Mapa final'!$AH$66="Muy Alta",'Mapa final'!$AJ$66="Mayor"),CONCATENATE("R2C",'Mapa final'!$R$66),"")</f>
        <v/>
      </c>
      <c r="AG20" s="39" t="str">
        <f>IF(AND('Mapa final'!$AH$67="Muy Alta",'Mapa final'!$AJ$67="Mayor"),CONCATENATE("R2C",'Mapa final'!$R$67),"")</f>
        <v/>
      </c>
      <c r="AH20" s="40" t="str">
        <f>IF(AND('Mapa final'!$AH$68="Muy Alta",'Mapa final'!$AJ$68="Mayor"),CONCATENATE("R2C",'Mapa final'!$R$68),"")</f>
        <v/>
      </c>
      <c r="AI20" s="41" t="str">
        <f>IF(AND('Mapa final'!$AH$63="Muy Alta",'Mapa final'!$AJ$63="Catastrófico"),CONCATENATE("R2C",'Mapa final'!$R$63),"")</f>
        <v/>
      </c>
      <c r="AJ20" s="42" t="str">
        <f>IF(AND('Mapa final'!$AH$64="Muy Alta",'Mapa final'!$AJ$64="Catastrófico"),CONCATENATE("R2C",'Mapa final'!$R$64),"")</f>
        <v/>
      </c>
      <c r="AK20" s="42" t="str">
        <f>IF(AND('Mapa final'!$AH$65="Muy Alta",'Mapa final'!$AJ$65="Catastrófico"),CONCATENATE("R2C",'Mapa final'!$R$65),"")</f>
        <v/>
      </c>
      <c r="AL20" s="42" t="str">
        <f>IF(AND('Mapa final'!$AH$66="Muy Alta",'Mapa final'!$AJ$66="Catastrófico"),CONCATENATE("R2C",'Mapa final'!$R$66),"")</f>
        <v/>
      </c>
      <c r="AM20" s="42" t="str">
        <f>IF(AND('Mapa final'!$AH$67="Muy Alta",'Mapa final'!$AJ$67="Catastrófico"),CONCATENATE("R2C",'Mapa final'!$R$67),"")</f>
        <v/>
      </c>
      <c r="AN20" s="43" t="str">
        <f>IF(AND('Mapa final'!$AH$68="Muy Alta",'Mapa final'!$AJ$68="Catastrófico"),CONCATENATE("R2C",'Mapa final'!$R$68),"")</f>
        <v/>
      </c>
      <c r="AO20" s="68"/>
      <c r="AP20" s="539"/>
      <c r="AQ20" s="540"/>
      <c r="AR20" s="540"/>
      <c r="AS20" s="540"/>
      <c r="AT20" s="540"/>
      <c r="AU20" s="541"/>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row>
    <row r="21" spans="2:77" ht="15.75" customHeight="1" thickBot="1">
      <c r="B21" s="68"/>
      <c r="C21" s="430"/>
      <c r="D21" s="430"/>
      <c r="E21" s="431"/>
      <c r="F21" s="523"/>
      <c r="G21" s="524"/>
      <c r="H21" s="524"/>
      <c r="I21" s="524"/>
      <c r="J21" s="524"/>
      <c r="K21" s="44" t="str">
        <f>IF(AND('Mapa final'!$AH$69="Muy Alta",'Mapa final'!$AJ$69="Leve"),CONCATENATE("R2C",'Mapa final'!$R$69),"")</f>
        <v/>
      </c>
      <c r="L21" s="45" t="str">
        <f>IF(AND('Mapa final'!$AH$70="Muy Alta",'Mapa final'!$AJ$70="Leve"),CONCATENATE("R2C",'Mapa final'!$R$70),"")</f>
        <v/>
      </c>
      <c r="M21" s="45" t="str">
        <f>IF(AND('Mapa final'!$AH$71="Muy Alta",'Mapa final'!$AJ$71="Leve"),CONCATENATE("R2C",'Mapa final'!$R$71),"")</f>
        <v/>
      </c>
      <c r="N21" s="45" t="str">
        <f>IF(AND('Mapa final'!$AH$72="Muy Alta",'Mapa final'!$AJ$72="Leve"),CONCATENATE("R2C",'Mapa final'!$R$72),"")</f>
        <v/>
      </c>
      <c r="O21" s="45" t="str">
        <f>IF(AND('Mapa final'!$AH$74="Muy Alta",'Mapa final'!$AJ$74="Leve"),CONCATENATE("R2C",'Mapa final'!$R$74),"")</f>
        <v/>
      </c>
      <c r="P21" s="46" t="str">
        <f>IF(AND('Mapa final'!$AH$75="Muy Alta",'Mapa final'!$AJ$75="Leve"),CONCATENATE("R2C",'Mapa final'!$R$75),"")</f>
        <v/>
      </c>
      <c r="Q21" s="39" t="str">
        <f>IF(AND('Mapa final'!$AH$69="Muy Alta",'Mapa final'!$AJ$69="Menor"),CONCATENATE("R2C",'Mapa final'!$R$69),"")</f>
        <v/>
      </c>
      <c r="R21" s="39" t="str">
        <f>IF(AND('Mapa final'!$AH$70="Muy Alta",'Mapa final'!$AJ$70="Menor"),CONCATENATE("R2C",'Mapa final'!$R$70),"")</f>
        <v/>
      </c>
      <c r="S21" s="39" t="str">
        <f>IF(AND('Mapa final'!$AH$71="Muy Alta",'Mapa final'!$AJ$71="Menor"),CONCATENATE("R2C",'Mapa final'!$R$71),"")</f>
        <v/>
      </c>
      <c r="T21" s="39" t="str">
        <f>IF(AND('Mapa final'!$AH$72="Muy Alta",'Mapa final'!$AJ$72="Menor"),CONCATENATE("R2C",'Mapa final'!$R$72),"")</f>
        <v/>
      </c>
      <c r="U21" s="39" t="str">
        <f>IF(AND('Mapa final'!$AH$74="Muy Alta",'Mapa final'!$AJ$74="Menor"),CONCATENATE("R2C",'Mapa final'!$R$74),"")</f>
        <v/>
      </c>
      <c r="V21" s="40" t="str">
        <f>IF(AND('Mapa final'!$AH$75="Muy Alta",'Mapa final'!$AJ$75="Menor"),CONCATENATE("R2C",'Mapa final'!$R$75),"")</f>
        <v/>
      </c>
      <c r="W21" s="44" t="str">
        <f>IF(AND('Mapa final'!$AH$69="Muy Alta",'Mapa final'!$AJ$69="Moderado"),CONCATENATE("R2C",'Mapa final'!$R$69),"")</f>
        <v/>
      </c>
      <c r="X21" s="45" t="str">
        <f>IF(AND('Mapa final'!$AH$70="Muy Alta",'Mapa final'!$AJ$70="Moderado"),CONCATENATE("R2C",'Mapa final'!$R$70),"")</f>
        <v/>
      </c>
      <c r="Y21" s="45" t="str">
        <f>IF(AND('Mapa final'!$AH$71="Muy Alta",'Mapa final'!$AJ$71="Moderado"),CONCATENATE("R2C",'Mapa final'!$R$71),"")</f>
        <v/>
      </c>
      <c r="Z21" s="45" t="str">
        <f>IF(AND('Mapa final'!$AH$72="Muy Alta",'Mapa final'!$AJ$72="Moderado"),CONCATENATE("R2C",'Mapa final'!$R$72),"")</f>
        <v/>
      </c>
      <c r="AA21" s="45" t="str">
        <f>IF(AND('Mapa final'!$AH$74="Muy Alta",'Mapa final'!$AJ$74="Moderado"),CONCATENATE("R2C",'Mapa final'!$R$74),"")</f>
        <v/>
      </c>
      <c r="AB21" s="46" t="str">
        <f>IF(AND('Mapa final'!$AH$75="Muy Alta",'Mapa final'!$AJ$75="Moderado"),CONCATENATE("R2C",'Mapa final'!$R$75),"")</f>
        <v/>
      </c>
      <c r="AC21" s="38" t="str">
        <f>IF(AND('Mapa final'!$AH$69="Muy Alta",'Mapa final'!$AJ$69="Mayor"),CONCATENATE("R2C",'Mapa final'!$R$69),"")</f>
        <v/>
      </c>
      <c r="AD21" s="39" t="str">
        <f>IF(AND('Mapa final'!$AH$70="Muy Alta",'Mapa final'!$AJ$70="Mayor"),CONCATENATE("R2C",'Mapa final'!$R$70),"")</f>
        <v/>
      </c>
      <c r="AE21" s="39" t="str">
        <f>IF(AND('Mapa final'!$AH$71="Muy Alta",'Mapa final'!$AJ$71="Mayor"),CONCATENATE("R2C",'Mapa final'!$R$71),"")</f>
        <v/>
      </c>
      <c r="AF21" s="39" t="str">
        <f>IF(AND('Mapa final'!$AH$72="Muy Alta",'Mapa final'!$AJ$72="Mayor"),CONCATENATE("R2C",'Mapa final'!$R$72),"")</f>
        <v/>
      </c>
      <c r="AG21" s="39" t="str">
        <f>IF(AND('Mapa final'!$AH$74="Muy Alta",'Mapa final'!$AJ$74="Mayor"),CONCATENATE("R2C",'Mapa final'!$R$74),"")</f>
        <v/>
      </c>
      <c r="AH21" s="40" t="str">
        <f>IF(AND('Mapa final'!$AH$75="Muy Alta",'Mapa final'!$AJ$75="Mayor"),CONCATENATE("R2C",'Mapa final'!$R$75),"")</f>
        <v/>
      </c>
      <c r="AI21" s="47" t="str">
        <f>IF(AND('Mapa final'!$AH$69="Muy Alta",'Mapa final'!$AJ$69="Catastrófico"),CONCATENATE("R2C",'Mapa final'!$R$69),"")</f>
        <v/>
      </c>
      <c r="AJ21" s="48" t="str">
        <f>IF(AND('Mapa final'!$AH$70="Muy Alta",'Mapa final'!$AJ$70="Catastrófico"),CONCATENATE("R2C",'Mapa final'!$R$70),"")</f>
        <v/>
      </c>
      <c r="AK21" s="48" t="str">
        <f>IF(AND('Mapa final'!$AH$71="Muy Alta",'Mapa final'!$AJ$71="Catastrófico"),CONCATENATE("R2C",'Mapa final'!$R$71),"")</f>
        <v/>
      </c>
      <c r="AL21" s="48" t="str">
        <f>IF(AND('Mapa final'!$AH$72="Muy Alta",'Mapa final'!$AJ$72="Catastrófico"),CONCATENATE("R2C",'Mapa final'!$R$72),"")</f>
        <v/>
      </c>
      <c r="AM21" s="48" t="str">
        <f>IF(AND('Mapa final'!$AH$74="Muy Alta",'Mapa final'!$AJ$74="Catastrófico"),CONCATENATE("R2C",'Mapa final'!$R$74),"")</f>
        <v/>
      </c>
      <c r="AN21" s="49" t="str">
        <f>IF(AND('Mapa final'!$AH$75="Muy Alta",'Mapa final'!$AJ$75="Catastrófico"),CONCATENATE("R2C",'Mapa final'!$R$75),"")</f>
        <v/>
      </c>
      <c r="AO21" s="68"/>
      <c r="AP21" s="542"/>
      <c r="AQ21" s="543"/>
      <c r="AR21" s="543"/>
      <c r="AS21" s="543"/>
      <c r="AT21" s="543"/>
      <c r="AU21" s="544"/>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row>
    <row r="22" spans="2:77" ht="15" customHeight="1">
      <c r="B22" s="68"/>
      <c r="C22" s="430"/>
      <c r="D22" s="430"/>
      <c r="E22" s="431"/>
      <c r="F22" s="517" t="s">
        <v>324</v>
      </c>
      <c r="G22" s="518"/>
      <c r="H22" s="518"/>
      <c r="I22" s="518"/>
      <c r="J22" s="518"/>
      <c r="K22" s="53"/>
      <c r="L22" s="54" t="str">
        <f>IF(AND('Mapa final'!$AH$18="Alta",'Mapa final'!$AJ$18="Leve"),CONCATENATE("R2C",'Mapa final'!$R$15),"")</f>
        <v/>
      </c>
      <c r="M22" s="54" t="str">
        <f>IF(AND('Mapa final'!$AH$19="Alta",'Mapa final'!$AJ$19="Leve"),CONCATENATE("R2C",'Mapa final'!$R$19),"")</f>
        <v/>
      </c>
      <c r="N22" s="54" t="str">
        <f>IF(AND('Mapa final'!$AH$22="Alta",'Mapa final'!$AJ$22="Leve"),CONCATENATE("R2C",'Mapa final'!$R$22),"")</f>
        <v/>
      </c>
      <c r="O22" s="54" t="e">
        <f>IF(AND('Mapa final'!#REF!="Alta",'Mapa final'!#REF!="Leve"),CONCATENATE("R2C",'Mapa final'!#REF!),"")</f>
        <v>#REF!</v>
      </c>
      <c r="P22" s="55" t="e">
        <f>IF(AND('Mapa final'!#REF!="Alta",'Mapa final'!#REF!="Leve"),CONCATENATE("R2C",'Mapa final'!#REF!),"")</f>
        <v>#REF!</v>
      </c>
      <c r="Q22" s="50"/>
      <c r="R22" s="51" t="str">
        <f>IF(AND('Mapa final'!$AH$18="Alta",'Mapa final'!$AJ$18="Menore"),CONCATENATE("R2C",'Mapa final'!$R$15),"")</f>
        <v/>
      </c>
      <c r="S22" s="51" t="str">
        <f>IF(AND('Mapa final'!$AH$19="Alta",'Mapa final'!$AJ$19="Menor"),CONCATENATE("R2C",'Mapa final'!$R$19),"")</f>
        <v/>
      </c>
      <c r="T22" s="51" t="str">
        <f>IF(AND('Mapa final'!$AH$22="Alta",'Mapa final'!$AJ$22="Menor"),CONCATENATE("R2C",'Mapa final'!$R$22),"")</f>
        <v/>
      </c>
      <c r="U22" s="51" t="e">
        <f>IF(AND('Mapa final'!#REF!="Alta",'Mapa final'!#REF!="Menor"),CONCATENATE("R2C",'Mapa final'!#REF!),"")</f>
        <v>#REF!</v>
      </c>
      <c r="V22" s="52" t="e">
        <f>IF(AND('Mapa final'!#REF!="Alta",'Mapa final'!#REF!="Menor"),CONCATENATE("R2C",'Mapa final'!#REF!),"")</f>
        <v>#REF!</v>
      </c>
      <c r="W22" s="32"/>
      <c r="X22" s="33" t="str">
        <f>IF(AND('Mapa final'!$AH$18="Alta",'Mapa final'!$AJ$18="Moderado"),CONCATENATE("R2C",'Mapa final'!$R$15),"")</f>
        <v/>
      </c>
      <c r="Y22" s="33"/>
      <c r="Z22" s="33" t="str">
        <f>IF(AND('Mapa final'!$AH$22="Alta",'Mapa final'!$AJ$22="Moderado"),CONCATENATE("R2C",'Mapa final'!$R$22),"")</f>
        <v/>
      </c>
      <c r="AA22" s="33" t="e">
        <f>IF(AND('Mapa final'!#REF!="Alta",'Mapa final'!#REF!="Moderado"),CONCATENATE("R2C",'Mapa final'!#REF!),"")</f>
        <v>#REF!</v>
      </c>
      <c r="AB22" s="34" t="e">
        <f>IF(AND('Mapa final'!#REF!="Alta",'Mapa final'!#REF!="Moderado"),CONCATENATE("R2C",'Mapa final'!#REF!),"")</f>
        <v>#REF!</v>
      </c>
      <c r="AC22" s="32"/>
      <c r="AD22" s="33" t="str">
        <f>IF(AND('Mapa final'!$AH$18="Alta",'Mapa final'!$AJ$18="Mayor"),CONCATENATE("R2C",'Mapa final'!$R$15),"")</f>
        <v/>
      </c>
      <c r="AE22" s="33" t="str">
        <f>IF(AND('Mapa final'!$AH$19="Alta",'Mapa final'!$AJ$19="Mayor"),CONCATENATE("R2C",'Mapa final'!$R$19),"")</f>
        <v/>
      </c>
      <c r="AF22" s="33" t="str">
        <f>IF(AND('Mapa final'!$AH$22="Alta",'Mapa final'!$AJ$22="Mayor"),CONCATENATE("R2C",'Mapa final'!$R$22),"")</f>
        <v/>
      </c>
      <c r="AG22" s="33" t="e">
        <f>IF(AND('Mapa final'!#REF!="Alta",'Mapa final'!#REF!="Mayor"),CONCATENATE("R2C",'Mapa final'!#REF!),"")</f>
        <v>#REF!</v>
      </c>
      <c r="AH22" s="34" t="e">
        <f>IF(AND('Mapa final'!#REF!="Alta",'Mapa final'!#REF!="Mayor"),CONCATENATE("R2C",'Mapa final'!#REF!),"")</f>
        <v>#REF!</v>
      </c>
      <c r="AI22" s="35"/>
      <c r="AJ22" s="36" t="str">
        <f>IF(AND('Mapa final'!$AH$18="Alta",'Mapa final'!$AJ$18="Catastrófico"),CONCATENATE("R2C",'Mapa final'!$R$15),"")</f>
        <v/>
      </c>
      <c r="AK22" s="36" t="str">
        <f>IF(AND('Mapa final'!$AH$19="Alta",'Mapa final'!$AJ$19="Catastrófico"),CONCATENATE("R2C",'Mapa final'!$R$19),"")</f>
        <v/>
      </c>
      <c r="AL22" s="36" t="str">
        <f>IF(AND('Mapa final'!$AH$22="Alta",'Mapa final'!$AJ$22="Catastrófico"),CONCATENATE("R2C",'Mapa final'!$R$22),"")</f>
        <v/>
      </c>
      <c r="AM22" s="36" t="e">
        <f>IF(AND('Mapa final'!#REF!="Alta",'Mapa final'!#REF!="Catastrófico"),CONCATENATE("R2C",'Mapa final'!#REF!),"")</f>
        <v>#REF!</v>
      </c>
      <c r="AN22" s="37" t="e">
        <f>IF(AND('Mapa final'!#REF!="Alta",'Mapa final'!#REF!="Catastrófico"),CONCATENATE("R2C",'Mapa final'!#REF!),"")</f>
        <v>#REF!</v>
      </c>
      <c r="AO22" s="68"/>
      <c r="AP22" s="526" t="s">
        <v>325</v>
      </c>
      <c r="AQ22" s="527"/>
      <c r="AR22" s="527"/>
      <c r="AS22" s="527"/>
      <c r="AT22" s="527"/>
      <c r="AU22" s="52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row>
    <row r="23" spans="2:77" ht="15" customHeight="1">
      <c r="B23" s="68"/>
      <c r="C23" s="430"/>
      <c r="D23" s="430"/>
      <c r="E23" s="431"/>
      <c r="F23" s="535"/>
      <c r="G23" s="521"/>
      <c r="H23" s="521"/>
      <c r="I23" s="521"/>
      <c r="J23" s="521"/>
      <c r="K23" s="53" t="e">
        <f>IF(AND('Mapa final'!#REF!="Alta",'Mapa final'!#REF!="Leve"),CONCATENATE("R2C",'Mapa final'!#REF!),"")</f>
        <v>#REF!</v>
      </c>
      <c r="L23" s="54" t="e">
        <f>IF(AND('Mapa final'!#REF!="Alta",'Mapa final'!#REF!="Leve"),CONCATENATE("R2C",'Mapa final'!#REF!),"")</f>
        <v>#REF!</v>
      </c>
      <c r="M23" s="54" t="str">
        <f>IF(AND('Mapa final'!$AH$23="Alta",'Mapa final'!$AJ$23="Leve"),CONCATENATE("R2C",'Mapa final'!$R$23),"")</f>
        <v/>
      </c>
      <c r="N23" s="54" t="str">
        <f>IF(AND('Mapa final'!$AH$24="Alta",'Mapa final'!$AJ$24="Leve"),CONCATENATE("R2C",'Mapa final'!$R$24),"")</f>
        <v/>
      </c>
      <c r="O23" s="54" t="str">
        <f>IF(AND('Mapa final'!$AH$25="Alta",'Mapa final'!$AJ$25="Leve"),CONCATENATE("R2C",'Mapa final'!$R$25),"")</f>
        <v/>
      </c>
      <c r="P23" s="55" t="str">
        <f>IF(AND('Mapa final'!$AH$26="Alta",'Mapa final'!$AJ$26="Leve"),CONCATENATE("R2C",'Mapa final'!$R$26),"")</f>
        <v/>
      </c>
      <c r="Q23" s="53" t="e">
        <f>IF(AND('Mapa final'!#REF!="Alta",'Mapa final'!#REF!="Menor"),CONCATENATE("R2C",'Mapa final'!#REF!),"")</f>
        <v>#REF!</v>
      </c>
      <c r="R23" s="54" t="e">
        <f>IF(AND('Mapa final'!#REF!="Alta",'Mapa final'!#REF!="Menor"),CONCATENATE("R2C",'Mapa final'!#REF!),"")</f>
        <v>#REF!</v>
      </c>
      <c r="S23" s="54" t="str">
        <f>IF(AND('Mapa final'!$AH$23="Alta",'Mapa final'!$AJ$23="Menor"),CONCATENATE("R2C",'Mapa final'!$R$23),"")</f>
        <v/>
      </c>
      <c r="T23" s="54" t="str">
        <f>IF(AND('Mapa final'!$AH$24="Alta",'Mapa final'!$AJ$24="Menor"),CONCATENATE("R2C",'Mapa final'!$R$24),"")</f>
        <v/>
      </c>
      <c r="U23" s="54" t="str">
        <f>IF(AND('Mapa final'!$AH$25="Alta",'Mapa final'!$AJ$25="Menor"),CONCATENATE("R2C",'Mapa final'!$R$25),"")</f>
        <v/>
      </c>
      <c r="V23" s="55" t="str">
        <f>IF(AND('Mapa final'!$AH$26="Alta",'Mapa final'!$AJ$26="Menor"),CONCATENATE("R2C",'Mapa final'!$R$26),"")</f>
        <v/>
      </c>
      <c r="W23" s="38" t="e">
        <f>IF(AND('Mapa final'!#REF!="Alta",'Mapa final'!#REF!="Moderado"),CONCATENATE("R2C",'Mapa final'!#REF!),"")</f>
        <v>#REF!</v>
      </c>
      <c r="X23" s="39" t="e">
        <f>IF(AND('Mapa final'!#REF!="Alta",'Mapa final'!#REF!="Moderado"),CONCATENATE("R2C",'Mapa final'!#REF!),"")</f>
        <v>#REF!</v>
      </c>
      <c r="Y23" s="39" t="str">
        <f>IF(AND('Mapa final'!$AH$23="Alta",'Mapa final'!$AJ$23="Moderado"),CONCATENATE("R2C",'Mapa final'!$R$23),"")</f>
        <v/>
      </c>
      <c r="Z23" s="39" t="str">
        <f>IF(AND('Mapa final'!$AH$24="Alta",'Mapa final'!$AJ$24="Moderado"),CONCATENATE("R2C",'Mapa final'!$R$24),"")</f>
        <v/>
      </c>
      <c r="AA23" s="39" t="str">
        <f>IF(AND('Mapa final'!$AH$25="Alta",'Mapa final'!$AJ$25="Moderado"),CONCATENATE("R2C",'Mapa final'!$R$25),"")</f>
        <v/>
      </c>
      <c r="AB23" s="40" t="str">
        <f>IF(AND('Mapa final'!$AH$26="Alta",'Mapa final'!$AJ$26="Moderado"),CONCATENATE("R2C",'Mapa final'!$R$26),"")</f>
        <v/>
      </c>
      <c r="AC23" s="38" t="e">
        <f>IF(AND('Mapa final'!#REF!="Alta",'Mapa final'!#REF!="Mayor"),CONCATENATE("R2C",'Mapa final'!#REF!),"")</f>
        <v>#REF!</v>
      </c>
      <c r="AD23" s="39" t="e">
        <f>IF(AND('Mapa final'!#REF!="Alta",'Mapa final'!#REF!="Mayor"),CONCATENATE("R2C",'Mapa final'!#REF!),"")</f>
        <v>#REF!</v>
      </c>
      <c r="AE23" s="39" t="str">
        <f>IF(AND('Mapa final'!$AH$23="Alta",'Mapa final'!$AJ$23="Mayor"),CONCATENATE("R2C",'Mapa final'!$R$23),"")</f>
        <v/>
      </c>
      <c r="AF23" s="39" t="str">
        <f>IF(AND('Mapa final'!$AH$24="Alta",'Mapa final'!$AJ$24="Mayor"),CONCATENATE("R2C",'Mapa final'!$R$24),"")</f>
        <v/>
      </c>
      <c r="AG23" s="39" t="str">
        <f>IF(AND('Mapa final'!$AH$25="Alta",'Mapa final'!$AJ$25="Mayor"),CONCATENATE("R2C",'Mapa final'!$R$25),"")</f>
        <v/>
      </c>
      <c r="AH23" s="40" t="str">
        <f>IF(AND('Mapa final'!$AH$26="Alta",'Mapa final'!$AJ$26="Mayor"),CONCATENATE("R2C",'Mapa final'!$R$26),"")</f>
        <v/>
      </c>
      <c r="AI23" s="41" t="e">
        <f>IF(AND('Mapa final'!#REF!="Alta",'Mapa final'!#REF!="Catastrófico"),CONCATENATE("R2C",'Mapa final'!#REF!),"")</f>
        <v>#REF!</v>
      </c>
      <c r="AJ23" s="42" t="e">
        <f>IF(AND('Mapa final'!#REF!="Alta",'Mapa final'!#REF!="Catastrófico"),CONCATENATE("R2C",'Mapa final'!#REF!),"")</f>
        <v>#REF!</v>
      </c>
      <c r="AK23" s="42" t="str">
        <f>IF(AND('Mapa final'!$AH$23="Alta",'Mapa final'!$AJ$23="Catastrófico"),CONCATENATE("R2C",'Mapa final'!$R$23),"")</f>
        <v/>
      </c>
      <c r="AL23" s="42" t="str">
        <f>IF(AND('Mapa final'!$AH$24="Alta",'Mapa final'!$AJ$24="Catastrófico"),CONCATENATE("R2C",'Mapa final'!$R$24),"")</f>
        <v/>
      </c>
      <c r="AM23" s="42" t="str">
        <f>IF(AND('Mapa final'!$AH$25="Alta",'Mapa final'!$AJ$25="Catastrófico"),CONCATENATE("R2C",'Mapa final'!$R$25),"")</f>
        <v/>
      </c>
      <c r="AN23" s="43" t="str">
        <f>IF(AND('Mapa final'!$AH$26="Alta",'Mapa final'!$AJ$26="Catastrófico"),CONCATENATE("R2C",'Mapa final'!$R$26),"")</f>
        <v/>
      </c>
      <c r="AO23" s="68"/>
      <c r="AP23" s="529"/>
      <c r="AQ23" s="530"/>
      <c r="AR23" s="530"/>
      <c r="AS23" s="530"/>
      <c r="AT23" s="530"/>
      <c r="AU23" s="531"/>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row>
    <row r="24" spans="2:77" ht="15" customHeight="1">
      <c r="B24" s="68"/>
      <c r="C24" s="430"/>
      <c r="D24" s="430"/>
      <c r="E24" s="431"/>
      <c r="F24" s="520"/>
      <c r="G24" s="521"/>
      <c r="H24" s="521"/>
      <c r="I24" s="521"/>
      <c r="J24" s="521"/>
      <c r="K24" s="53" t="str">
        <f>IF(AND('Mapa final'!$AH$27="Alta",'Mapa final'!$AJ$27="Leve"),CONCATENATE("R2C",'Mapa final'!$R$27),"")</f>
        <v/>
      </c>
      <c r="L24" s="54" t="str">
        <f>IF(AND('Mapa final'!$AH$28="Alta",'Mapa final'!$AJ$28="Leve"),CONCATENATE("R2C",'Mapa final'!$R$28),"")</f>
        <v/>
      </c>
      <c r="M24" s="54" t="str">
        <f>IF(AND('Mapa final'!$AH$29="Alta",'Mapa final'!$AJ$29="Leve"),CONCATENATE("R2C",'Mapa final'!$R$29),"")</f>
        <v/>
      </c>
      <c r="N24" s="54" t="str">
        <f>IF(AND('Mapa final'!$AH$30="Alta",'Mapa final'!$AJ$30="Leve"),CONCATENATE("R2C",'Mapa final'!$R$30),"")</f>
        <v/>
      </c>
      <c r="O24" s="54" t="str">
        <f>IF(AND('Mapa final'!$AH$31="Alta",'Mapa final'!$AJ$31="Leve"),CONCATENATE("R2C",'Mapa final'!$R$31),"")</f>
        <v/>
      </c>
      <c r="P24" s="55" t="str">
        <f>IF(AND('Mapa final'!$AH$32="Alta",'Mapa final'!$AJ$32="Leve"),CONCATENATE("R2C",'Mapa final'!$R$32),"")</f>
        <v/>
      </c>
      <c r="Q24" s="53" t="str">
        <f>IF(AND('Mapa final'!$AH$27="Alta",'Mapa final'!$AJ$27="Menor"),CONCATENATE("R2C",'Mapa final'!$R$27),"")</f>
        <v/>
      </c>
      <c r="R24" s="54" t="str">
        <f>IF(AND('Mapa final'!$AH$28="Alta",'Mapa final'!$AJ$28="Menor"),CONCATENATE("R2C",'Mapa final'!$R$28),"")</f>
        <v/>
      </c>
      <c r="S24" s="54" t="str">
        <f>IF(AND('Mapa final'!$AH$29="Alta",'Mapa final'!$AJ$29="Menor"),CONCATENATE("R2C",'Mapa final'!$R$29),"")</f>
        <v/>
      </c>
      <c r="T24" s="54" t="str">
        <f>IF(AND('Mapa final'!$AH$30="Alta",'Mapa final'!$AJ$30="Menor"),CONCATENATE("R2C",'Mapa final'!$R$30),"")</f>
        <v/>
      </c>
      <c r="U24" s="54" t="str">
        <f>IF(AND('Mapa final'!$AH$31="Alta",'Mapa final'!$AJ$31="Menor"),CONCATENATE("R2C",'Mapa final'!$R$31),"")</f>
        <v/>
      </c>
      <c r="V24" s="55" t="str">
        <f>IF(AND('Mapa final'!$AH$32="Alta",'Mapa final'!$AJ$32="Menor"),CONCATENATE("R2C",'Mapa final'!$R$32),"")</f>
        <v/>
      </c>
      <c r="W24" s="38" t="str">
        <f>IF(AND('Mapa final'!$AH$27="Alta",'Mapa final'!$AJ$27="Moderado"),CONCATENATE("R2C",'Mapa final'!$R$27),"")</f>
        <v/>
      </c>
      <c r="X24" s="39" t="str">
        <f>IF(AND('Mapa final'!$AH$28="Alta",'Mapa final'!$AJ$28="Moderado"),CONCATENATE("R2C",'Mapa final'!$R$28),"")</f>
        <v/>
      </c>
      <c r="Y24" s="39" t="str">
        <f>IF(AND('Mapa final'!$AH$29="Alta",'Mapa final'!$AJ$29="Moderado"),CONCATENATE("R2C",'Mapa final'!$R$29),"")</f>
        <v/>
      </c>
      <c r="Z24" s="39" t="str">
        <f>IF(AND('Mapa final'!$AH$30="Alta",'Mapa final'!$AJ$30="Moderado"),CONCATENATE("R2C",'Mapa final'!$R$30),"")</f>
        <v/>
      </c>
      <c r="AA24" s="39" t="str">
        <f>IF(AND('Mapa final'!$AH$31="Alta",'Mapa final'!$AJ$31="Moderado"),CONCATENATE("R2C",'Mapa final'!$R$31),"")</f>
        <v/>
      </c>
      <c r="AB24" s="40" t="str">
        <f>IF(AND('Mapa final'!$AH$32="Alta",'Mapa final'!$AJ$32="Moderado"),CONCATENATE("R2C",'Mapa final'!$R$32),"")</f>
        <v/>
      </c>
      <c r="AC24" s="38" t="str">
        <f>IF(AND('Mapa final'!$AH$27="Alta",'Mapa final'!$AJ$27="Mayor"),CONCATENATE("R2C",'Mapa final'!$R$27),"")</f>
        <v/>
      </c>
      <c r="AD24" s="39" t="str">
        <f>IF(AND('Mapa final'!$AH$28="Alta",'Mapa final'!$AJ$28="Mayor"),CONCATENATE("R2C",'Mapa final'!$R$28),"")</f>
        <v/>
      </c>
      <c r="AE24" s="39" t="str">
        <f>IF(AND('Mapa final'!$AH$29="Alta",'Mapa final'!$AJ$29="Mayor"),CONCATENATE("R2C",'Mapa final'!$R$29),"")</f>
        <v/>
      </c>
      <c r="AF24" s="39" t="str">
        <f>IF(AND('Mapa final'!$AH$30="Alta",'Mapa final'!$AJ$30="Mayor"),CONCATENATE("R2C",'Mapa final'!$R$30),"")</f>
        <v/>
      </c>
      <c r="AG24" s="39" t="str">
        <f>IF(AND('Mapa final'!$AH$31="Alta",'Mapa final'!$AJ$31="Mayor"),CONCATENATE("R2C",'Mapa final'!$R$31),"")</f>
        <v/>
      </c>
      <c r="AH24" s="40" t="str">
        <f>IF(AND('Mapa final'!$AH$32="Alta",'Mapa final'!$AJ$32="Mayor"),CONCATENATE("R2C",'Mapa final'!$R$32),"")</f>
        <v/>
      </c>
      <c r="AI24" s="41" t="str">
        <f>IF(AND('Mapa final'!$AH$27="Alta",'Mapa final'!$AJ$27="Catastrófico"),CONCATENATE("R2C",'Mapa final'!$R$27),"")</f>
        <v/>
      </c>
      <c r="AJ24" s="42" t="str">
        <f>IF(AND('Mapa final'!$AH$28="Alta",'Mapa final'!$AJ$28="Catastrófico"),CONCATENATE("R2C",'Mapa final'!$R$28),"")</f>
        <v/>
      </c>
      <c r="AK24" s="42" t="str">
        <f>IF(AND('Mapa final'!$AH$29="Alta",'Mapa final'!$AJ$29="Catastrófico"),CONCATENATE("R2C",'Mapa final'!$R$29),"")</f>
        <v/>
      </c>
      <c r="AL24" s="42" t="str">
        <f>IF(AND('Mapa final'!$AH$30="Alta",'Mapa final'!$AJ$30="Catastrófico"),CONCATENATE("R2C",'Mapa final'!$R$30),"")</f>
        <v/>
      </c>
      <c r="AM24" s="42" t="str">
        <f>IF(AND('Mapa final'!$AH$31="Alta",'Mapa final'!$AJ$31="Catastrófico"),CONCATENATE("R2C",'Mapa final'!$R$31),"")</f>
        <v/>
      </c>
      <c r="AN24" s="43" t="str">
        <f>IF(AND('Mapa final'!$AH$32="Alta",'Mapa final'!$AJ$32="Catastrófico"),CONCATENATE("R2C",'Mapa final'!$R$32),"")</f>
        <v/>
      </c>
      <c r="AO24" s="68"/>
      <c r="AP24" s="529"/>
      <c r="AQ24" s="530"/>
      <c r="AR24" s="530"/>
      <c r="AS24" s="530"/>
      <c r="AT24" s="530"/>
      <c r="AU24" s="531"/>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row>
    <row r="25" spans="2:77" ht="15" customHeight="1">
      <c r="B25" s="68"/>
      <c r="C25" s="430"/>
      <c r="D25" s="430"/>
      <c r="E25" s="431"/>
      <c r="F25" s="520"/>
      <c r="G25" s="521"/>
      <c r="H25" s="521"/>
      <c r="I25" s="521"/>
      <c r="J25" s="521"/>
      <c r="K25" s="53" t="str">
        <f>IF(AND('Mapa final'!$AH$33="Alta",'Mapa final'!$AJ$33="Leve"),CONCATENATE("R2C",'Mapa final'!$R$33),"")</f>
        <v/>
      </c>
      <c r="L25" s="54" t="str">
        <f>IF(AND('Mapa final'!$AH$34="Alta",'Mapa final'!$AJ$34="Leve"),CONCATENATE("R2C",'Mapa final'!$R$34),"")</f>
        <v/>
      </c>
      <c r="M25" s="54" t="str">
        <f>IF(AND('Mapa final'!$AH$35="Alta",'Mapa final'!$AJ$35="Leve"),CONCATENATE("R2C",'Mapa final'!$R$35),"")</f>
        <v/>
      </c>
      <c r="N25" s="54" t="str">
        <f>IF(AND('Mapa final'!$AH$36="Alta",'Mapa final'!$AJ$36="Leve"),CONCATENATE("R2C",'Mapa final'!$R$36),"")</f>
        <v/>
      </c>
      <c r="O25" s="54" t="str">
        <f>IF(AND('Mapa final'!$AH$37="Alta",'Mapa final'!$AJ$37="Leve"),CONCATENATE("R2C",'Mapa final'!$R$37),"")</f>
        <v/>
      </c>
      <c r="P25" s="55" t="str">
        <f>IF(AND('Mapa final'!$AH$38="Alta",'Mapa final'!$AJ$38="Leve"),CONCATENATE("R2C",'Mapa final'!$R$38),"")</f>
        <v/>
      </c>
      <c r="Q25" s="53" t="str">
        <f>IF(AND('Mapa final'!$AH$33="Alta",'Mapa final'!$AJ$33="Menor"),CONCATENATE("R2C",'Mapa final'!$R$33),"")</f>
        <v/>
      </c>
      <c r="R25" s="54" t="str">
        <f>IF(AND('Mapa final'!$AH$34="Alta",'Mapa final'!$AJ$34="Menor"),CONCATENATE("R2C",'Mapa final'!$R$34),"")</f>
        <v/>
      </c>
      <c r="S25" s="54" t="str">
        <f>IF(AND('Mapa final'!$AH$35="Alta",'Mapa final'!$AJ$35="Menor"),CONCATENATE("R2C",'Mapa final'!$R$35),"")</f>
        <v/>
      </c>
      <c r="T25" s="54" t="str">
        <f>IF(AND('Mapa final'!$AH$36="Alta",'Mapa final'!$AJ$36="Menor"),CONCATENATE("R2C",'Mapa final'!$R$36),"")</f>
        <v/>
      </c>
      <c r="U25" s="54" t="str">
        <f>IF(AND('Mapa final'!$AH$37="Alta",'Mapa final'!$AJ$37="LMenor"),CONCATENATE("R2C",'Mapa final'!$R$37),"")</f>
        <v/>
      </c>
      <c r="V25" s="55" t="str">
        <f>IF(AND('Mapa final'!$AH$38="Alta",'Mapa final'!$AJ$38="Menor"),CONCATENATE("R2C",'Mapa final'!$R$38),"")</f>
        <v/>
      </c>
      <c r="W25" s="38" t="str">
        <f>IF(AND('Mapa final'!$AH$33="Alta",'Mapa final'!$AJ$33="Moderado"),CONCATENATE("R2C",'Mapa final'!$R$33),"")</f>
        <v/>
      </c>
      <c r="X25" s="39" t="str">
        <f>IF(AND('Mapa final'!$AH$34="Alta",'Mapa final'!$AJ$34="Moderado"),CONCATENATE("R2C",'Mapa final'!$R$34),"")</f>
        <v/>
      </c>
      <c r="Y25" s="39" t="str">
        <f>IF(AND('Mapa final'!$AH$35="Alta",'Mapa final'!$AJ$35="Moderado"),CONCATENATE("R2C",'Mapa final'!$R$35),"")</f>
        <v/>
      </c>
      <c r="Z25" s="39" t="str">
        <f>IF(AND('Mapa final'!$AH$36="Alta",'Mapa final'!$AJ$36="Moderado"),CONCATENATE("R2C",'Mapa final'!$R$36),"")</f>
        <v/>
      </c>
      <c r="AA25" s="39" t="str">
        <f>IF(AND('Mapa final'!$AH$37="Alta",'Mapa final'!$AJ$37="Moderado"),CONCATENATE("R2C",'Mapa final'!$R$37),"")</f>
        <v/>
      </c>
      <c r="AB25" s="40" t="str">
        <f>IF(AND('Mapa final'!$AH$38="Alta",'Mapa final'!$AJ$38="Moderado"),CONCATENATE("R2C",'Mapa final'!$R$38),"")</f>
        <v/>
      </c>
      <c r="AC25" s="38" t="str">
        <f>IF(AND('Mapa final'!$AH$33="Alta",'Mapa final'!$AJ$33="Mayor"),CONCATENATE("R2C",'Mapa final'!$R$33),"")</f>
        <v/>
      </c>
      <c r="AD25" s="39" t="str">
        <f>IF(AND('Mapa final'!$AH$34="Alta",'Mapa final'!$AJ$34="Mayor"),CONCATENATE("R2C",'Mapa final'!$R$34),"")</f>
        <v/>
      </c>
      <c r="AE25" s="39" t="str">
        <f>IF(AND('Mapa final'!$AH$35="Alta",'Mapa final'!$AJ$35="Mayor"),CONCATENATE("R2C",'Mapa final'!$R$35),"")</f>
        <v/>
      </c>
      <c r="AF25" s="39" t="str">
        <f>IF(AND('Mapa final'!$AH$36="Alta",'Mapa final'!$AJ$36="Mayor"),CONCATENATE("R2C",'Mapa final'!$R$36),"")</f>
        <v/>
      </c>
      <c r="AG25" s="39" t="str">
        <f>IF(AND('Mapa final'!$AH$37="Alta",'Mapa final'!$AJ$37="Mayor"),CONCATENATE("R2C",'Mapa final'!$R$37),"")</f>
        <v/>
      </c>
      <c r="AH25" s="40" t="str">
        <f>IF(AND('Mapa final'!$AH$38="Alta",'Mapa final'!$AJ$38="Mayor"),CONCATENATE("R2C",'Mapa final'!$R$38),"")</f>
        <v/>
      </c>
      <c r="AI25" s="41" t="str">
        <f>IF(AND('Mapa final'!$AH$33="Alta",'Mapa final'!$AJ$33="Catastrófico"),CONCATENATE("R2C",'Mapa final'!$R$33),"")</f>
        <v/>
      </c>
      <c r="AJ25" s="42" t="str">
        <f>IF(AND('Mapa final'!$AH$34="Alta",'Mapa final'!$AJ$34="Catastrófico"),CONCATENATE("R2C",'Mapa final'!$R$34),"")</f>
        <v/>
      </c>
      <c r="AK25" s="42" t="str">
        <f>IF(AND('Mapa final'!$AH$35="Alta",'Mapa final'!$AJ$35="Catastrófico"),CONCATENATE("R2C",'Mapa final'!$R$35),"")</f>
        <v/>
      </c>
      <c r="AL25" s="42" t="str">
        <f>IF(AND('Mapa final'!$AH$36="Alta",'Mapa final'!$AJ$36="Catastrófico"),CONCATENATE("R2C",'Mapa final'!$R$36),"")</f>
        <v/>
      </c>
      <c r="AM25" s="42" t="str">
        <f>IF(AND('Mapa final'!$AH$37="Alta",'Mapa final'!$AJ$37="LCatastrófico"),CONCATENATE("R2C",'Mapa final'!$R$37),"")</f>
        <v/>
      </c>
      <c r="AN25" s="43" t="str">
        <f>IF(AND('Mapa final'!$AH$38="Alta",'Mapa final'!$AJ$38="Catastrófico"),CONCATENATE("R2C",'Mapa final'!$R$38),"")</f>
        <v/>
      </c>
      <c r="AO25" s="68"/>
      <c r="AP25" s="529"/>
      <c r="AQ25" s="530"/>
      <c r="AR25" s="530"/>
      <c r="AS25" s="530"/>
      <c r="AT25" s="530"/>
      <c r="AU25" s="531"/>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row>
    <row r="26" spans="2:77" ht="15" customHeight="1">
      <c r="B26" s="68"/>
      <c r="C26" s="430"/>
      <c r="D26" s="430"/>
      <c r="E26" s="431"/>
      <c r="F26" s="520"/>
      <c r="G26" s="521"/>
      <c r="H26" s="521"/>
      <c r="I26" s="521"/>
      <c r="J26" s="521"/>
      <c r="K26" s="53" t="str">
        <f>IF(AND('Mapa final'!$AH$39="Alta",'Mapa final'!$AJ$39="Leve"),CONCATENATE("R2C",'Mapa final'!$R$39),"")</f>
        <v/>
      </c>
      <c r="L26" s="54" t="str">
        <f>IF(AND('Mapa final'!$AH$40="Alta",'Mapa final'!$AJ$40="Leve"),CONCATENATE("R2C",'Mapa final'!$R$40),"")</f>
        <v/>
      </c>
      <c r="M26" s="54" t="str">
        <f>IF(AND('Mapa final'!$AH$41="Alta",'Mapa final'!$AJ$41="Leve"),CONCATENATE("R2C",'Mapa final'!$R$41),"")</f>
        <v/>
      </c>
      <c r="N26" s="54" t="str">
        <f>IF(AND('Mapa final'!$AH$42="Alta",'Mapa final'!$AJ$42="Leve"),CONCATENATE("R2C",'Mapa final'!$R$42),"")</f>
        <v/>
      </c>
      <c r="O26" s="54" t="str">
        <f>IF(AND('Mapa final'!$AH$43="Alta",'Mapa final'!$AJ$43="Leve"),CONCATENATE("R2C",'Mapa final'!$R$43),"")</f>
        <v/>
      </c>
      <c r="P26" s="55" t="str">
        <f>IF(AND('Mapa final'!$AH$44="Alta",'Mapa final'!$AJ$44="Leve"),CONCATENATE("R2C",'Mapa final'!$R$44),"")</f>
        <v/>
      </c>
      <c r="Q26" s="53" t="str">
        <f>IF(AND('Mapa final'!$AH$39="Alta",'Mapa final'!$AJ$39="Menor"),CONCATENATE("R2C",'Mapa final'!$R$39),"")</f>
        <v/>
      </c>
      <c r="R26" s="54" t="str">
        <f>IF(AND('Mapa final'!$AH$40="Alta",'Mapa final'!$AJ$40="Menor"),CONCATENATE("R2C",'Mapa final'!$R$40),"")</f>
        <v/>
      </c>
      <c r="S26" s="54" t="str">
        <f>IF(AND('Mapa final'!$AH$41="Alta",'Mapa final'!$AJ$41="Menor"),CONCATENATE("R2C",'Mapa final'!$R$41),"")</f>
        <v/>
      </c>
      <c r="T26" s="54" t="str">
        <f>IF(AND('Mapa final'!$AH$42="Alta",'Mapa final'!$AJ$42="Menor"),CONCATENATE("R2C",'Mapa final'!$R$42),"")</f>
        <v/>
      </c>
      <c r="U26" s="54" t="str">
        <f>IF(AND('Mapa final'!$AH$43="Alta",'Mapa final'!$AJ$43="Menor"),CONCATENATE("R2C",'Mapa final'!$R$43),"")</f>
        <v/>
      </c>
      <c r="V26" s="55" t="str">
        <f>IF(AND('Mapa final'!$AH$44="Alta",'Mapa final'!$AJ$44="Menor"),CONCATENATE("R2C",'Mapa final'!$R$44),"")</f>
        <v/>
      </c>
      <c r="W26" s="38" t="str">
        <f>IF(AND('Mapa final'!$AH$39="Alta",'Mapa final'!$AJ$39="Moderado"),CONCATENATE("R2C",'Mapa final'!$R$39),"")</f>
        <v/>
      </c>
      <c r="X26" s="39" t="str">
        <f>IF(AND('Mapa final'!$AH$40="Alta",'Mapa final'!$AJ$40="Moderado"),CONCATENATE("R2C",'Mapa final'!$R$40),"")</f>
        <v/>
      </c>
      <c r="Y26" s="39" t="str">
        <f>IF(AND('Mapa final'!$AH$41="Alta",'Mapa final'!$AJ$41="Moderado"),CONCATENATE("R2C",'Mapa final'!$R$41),"")</f>
        <v/>
      </c>
      <c r="Z26" s="39" t="str">
        <f>IF(AND('Mapa final'!$AH$42="Alta",'Mapa final'!$AJ$42="Moderado"),CONCATENATE("R2C",'Mapa final'!$R$42),"")</f>
        <v/>
      </c>
      <c r="AA26" s="39" t="str">
        <f>IF(AND('Mapa final'!$AH$43="Alta",'Mapa final'!$AJ$43="Moderado"),CONCATENATE("R2C",'Mapa final'!$R$43),"")</f>
        <v/>
      </c>
      <c r="AB26" s="40" t="str">
        <f>IF(AND('Mapa final'!$AH$44="Alta",'Mapa final'!$AJ$44="Moderado"),CONCATENATE("R2C",'Mapa final'!$R$44),"")</f>
        <v/>
      </c>
      <c r="AC26" s="38" t="str">
        <f>IF(AND('Mapa final'!$AH$39="Alta",'Mapa final'!$AJ$39="Mayor"),CONCATENATE("R2C",'Mapa final'!$R$39),"")</f>
        <v/>
      </c>
      <c r="AD26" s="39" t="str">
        <f>IF(AND('Mapa final'!$AH$40="Alta",'Mapa final'!$AJ$40="Mayor"),CONCATENATE("R2C",'Mapa final'!$R$40),"")</f>
        <v/>
      </c>
      <c r="AE26" s="39" t="str">
        <f>IF(AND('Mapa final'!$AH$41="Alta",'Mapa final'!$AJ$41="Mayor"),CONCATENATE("R2C",'Mapa final'!$R$41),"")</f>
        <v/>
      </c>
      <c r="AF26" s="39" t="str">
        <f>IF(AND('Mapa final'!$AH$42="Alta",'Mapa final'!$AJ$42="Mayor"),CONCATENATE("R2C",'Mapa final'!$R$42),"")</f>
        <v/>
      </c>
      <c r="AG26" s="39" t="str">
        <f>IF(AND('Mapa final'!$AH$43="Alta",'Mapa final'!$AJ$43="Mayor"),CONCATENATE("R2C",'Mapa final'!$R$43),"")</f>
        <v/>
      </c>
      <c r="AH26" s="40" t="str">
        <f>IF(AND('Mapa final'!$AH$44="Alta",'Mapa final'!$AJ$44="Mayor"),CONCATENATE("R2C",'Mapa final'!$R$44),"")</f>
        <v/>
      </c>
      <c r="AI26" s="41" t="str">
        <f>IF(AND('Mapa final'!$AH$39="Alta",'Mapa final'!$AJ$39="Catastrófico"),CONCATENATE("R2C",'Mapa final'!$R$39),"")</f>
        <v/>
      </c>
      <c r="AJ26" s="42" t="str">
        <f>IF(AND('Mapa final'!$AH$40="Alta",'Mapa final'!$AJ$40="Catastrófico"),CONCATENATE("R2C",'Mapa final'!$R$40),"")</f>
        <v/>
      </c>
      <c r="AK26" s="42" t="str">
        <f>IF(AND('Mapa final'!$AH$41="Alta",'Mapa final'!$AJ$41="Catastrófico"),CONCATENATE("R2C",'Mapa final'!$R$41),"")</f>
        <v/>
      </c>
      <c r="AL26" s="42" t="str">
        <f>IF(AND('Mapa final'!$AH$42="Alta",'Mapa final'!$AJ$42="Catastrófico"),CONCATENATE("R2C",'Mapa final'!$R$42),"")</f>
        <v/>
      </c>
      <c r="AM26" s="42" t="str">
        <f>IF(AND('Mapa final'!$AH$43="Alta",'Mapa final'!$AJ$43="Catastrófico"),CONCATENATE("R2C",'Mapa final'!$R$43),"")</f>
        <v/>
      </c>
      <c r="AN26" s="43" t="str">
        <f>IF(AND('Mapa final'!$AH$44="Alta",'Mapa final'!$AJ$44="Catastrófico"),CONCATENATE("R2C",'Mapa final'!$R$44),"")</f>
        <v/>
      </c>
      <c r="AO26" s="68"/>
      <c r="AP26" s="529"/>
      <c r="AQ26" s="530"/>
      <c r="AR26" s="530"/>
      <c r="AS26" s="530"/>
      <c r="AT26" s="530"/>
      <c r="AU26" s="531"/>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row>
    <row r="27" spans="2:77" ht="15" customHeight="1">
      <c r="B27" s="68"/>
      <c r="C27" s="430"/>
      <c r="D27" s="430"/>
      <c r="E27" s="431"/>
      <c r="F27" s="520"/>
      <c r="G27" s="521"/>
      <c r="H27" s="521"/>
      <c r="I27" s="521"/>
      <c r="J27" s="521"/>
      <c r="K27" s="53" t="str">
        <f>IF(AND('Mapa final'!$AH$45="Alta",'Mapa final'!$AJ$45="Leve"),CONCATENATE("R2C",'Mapa final'!$R$45),"")</f>
        <v/>
      </c>
      <c r="L27" s="54" t="str">
        <f>IF(AND('Mapa final'!$AH$46="Alta",'Mapa final'!$AJ$46="Leve"),CONCATENATE("R2C",'Mapa final'!$R$46),"")</f>
        <v/>
      </c>
      <c r="M27" s="54" t="str">
        <f>IF(AND('Mapa final'!$AH$47="Alta",'Mapa final'!$AJ$47="Leve"),CONCATENATE("R2C",'Mapa final'!$R$47),"")</f>
        <v/>
      </c>
      <c r="N27" s="54" t="str">
        <f>IF(AND('Mapa final'!$AH$48="Alta",'Mapa final'!$AJ$48="Leve"),CONCATENATE("R2C",'Mapa final'!$R$48),"")</f>
        <v/>
      </c>
      <c r="O27" s="54" t="str">
        <f>IF(AND('Mapa final'!$AH$49="Alta",'Mapa final'!$AJ$49="Leve"),CONCATENATE("R2C",'Mapa final'!$R$49),"")</f>
        <v/>
      </c>
      <c r="P27" s="55" t="str">
        <f>IF(AND('Mapa final'!$AH$60="Alta",'Mapa final'!$AJ$50="Leve"),CONCATENATE("R2C",'Mapa final'!$R$50),"")</f>
        <v/>
      </c>
      <c r="Q27" s="53" t="str">
        <f>IF(AND('Mapa final'!$AH$45="Alta",'Mapa final'!$AJ$45="Menor"),CONCATENATE("R2C",'Mapa final'!$R$45),"")</f>
        <v/>
      </c>
      <c r="R27" s="54" t="str">
        <f>IF(AND('Mapa final'!$AH$46="Alta",'Mapa final'!$AJ$46="Menor"),CONCATENATE("R2C",'Mapa final'!$R$46),"")</f>
        <v/>
      </c>
      <c r="S27" s="54" t="str">
        <f>IF(AND('Mapa final'!$AH$47="Alta",'Mapa final'!$AJ$47="Menor"),CONCATENATE("R2C",'Mapa final'!$R$47),"")</f>
        <v/>
      </c>
      <c r="T27" s="54" t="str">
        <f>IF(AND('Mapa final'!$AH$48="Alta",'Mapa final'!$AJ$48="Menor"),CONCATENATE("R2C",'Mapa final'!$R$48),"")</f>
        <v/>
      </c>
      <c r="U27" s="54" t="str">
        <f>IF(AND('Mapa final'!$AH$49="Alta",'Mapa final'!$AJ$49="Menor"),CONCATENATE("R2C",'Mapa final'!$R$49),"")</f>
        <v/>
      </c>
      <c r="V27" s="55" t="str">
        <f>IF(AND('Mapa final'!$AH$60="Alta",'Mapa final'!$AJ$50="Menor"),CONCATENATE("R2C",'Mapa final'!$R$50),"")</f>
        <v/>
      </c>
      <c r="W27" s="38" t="str">
        <f>IF(AND('Mapa final'!$AH$45="Alta",'Mapa final'!$AJ$45="Moderado"),CONCATENATE("R2C",'Mapa final'!$R$45),"")</f>
        <v/>
      </c>
      <c r="X27" s="39" t="str">
        <f>IF(AND('Mapa final'!$AH$46="Alta",'Mapa final'!$AJ$46="Moderado"),CONCATENATE("R2C",'Mapa final'!$R$46),"")</f>
        <v/>
      </c>
      <c r="Y27" s="39" t="str">
        <f>IF(AND('Mapa final'!$AH$47="Alta",'Mapa final'!$AJ$47="Moderado"),CONCATENATE("R2C",'Mapa final'!$R$47),"")</f>
        <v/>
      </c>
      <c r="Z27" s="39" t="str">
        <f>IF(AND('Mapa final'!$AH$48="Alta",'Mapa final'!$AJ$48="Moderado"),CONCATENATE("R2C",'Mapa final'!$R$48),"")</f>
        <v/>
      </c>
      <c r="AA27" s="39" t="str">
        <f>IF(AND('Mapa final'!$AH$49="Alta",'Mapa final'!$AJ$49="Moderado"),CONCATENATE("R2C",'Mapa final'!$R$49),"")</f>
        <v/>
      </c>
      <c r="AB27" s="40" t="str">
        <f>IF(AND('Mapa final'!$AH$60="Alta",'Mapa final'!$AJ$50="Moderado"),CONCATENATE("R2C",'Mapa final'!$R$50),"")</f>
        <v/>
      </c>
      <c r="AC27" s="38" t="str">
        <f>IF(AND('Mapa final'!$AH$45="Alta",'Mapa final'!$AJ$45="Mayor"),CONCATENATE("R2C",'Mapa final'!$R$45),"")</f>
        <v/>
      </c>
      <c r="AD27" s="39" t="str">
        <f>IF(AND('Mapa final'!$AH$46="Alta",'Mapa final'!$AJ$46="Mayor"),CONCATENATE("R2C",'Mapa final'!$R$46),"")</f>
        <v/>
      </c>
      <c r="AE27" s="39" t="str">
        <f>IF(AND('Mapa final'!$AH$47="Alta",'Mapa final'!$AJ$47="Mayor"),CONCATENATE("R2C",'Mapa final'!$R$47),"")</f>
        <v/>
      </c>
      <c r="AF27" s="39" t="str">
        <f>IF(AND('Mapa final'!$AH$48="Alta",'Mapa final'!$AJ$48="Mayor"),CONCATENATE("R2C",'Mapa final'!$R$48),"")</f>
        <v/>
      </c>
      <c r="AG27" s="39" t="str">
        <f>IF(AND('Mapa final'!$AH$49="Alta",'Mapa final'!$AJ$49="Mayor"),CONCATENATE("R2C",'Mapa final'!$R$49),"")</f>
        <v/>
      </c>
      <c r="AH27" s="40" t="str">
        <f>IF(AND('Mapa final'!$AH$60="Alta",'Mapa final'!$AJ$50="Mayor"),CONCATENATE("R2C",'Mapa final'!$R$50),"")</f>
        <v/>
      </c>
      <c r="AI27" s="41" t="str">
        <f>IF(AND('Mapa final'!$AH$45="Alta",'Mapa final'!$AJ$45="Catastrófico"),CONCATENATE("R2C",'Mapa final'!$R$45),"")</f>
        <v/>
      </c>
      <c r="AJ27" s="42" t="str">
        <f>IF(AND('Mapa final'!$AH$46="Alta",'Mapa final'!$AJ$46="Catastrófico"),CONCATENATE("R2C",'Mapa final'!$R$46),"")</f>
        <v/>
      </c>
      <c r="AK27" s="42" t="str">
        <f>IF(AND('Mapa final'!$AH$47="Alta",'Mapa final'!$AJ$47="Catastrófico"),CONCATENATE("R2C",'Mapa final'!$R$47),"")</f>
        <v/>
      </c>
      <c r="AL27" s="42" t="str">
        <f>IF(AND('Mapa final'!$AH$48="Alta",'Mapa final'!$AJ$48="Catastrófico"),CONCATENATE("R2C",'Mapa final'!$R$48),"")</f>
        <v/>
      </c>
      <c r="AM27" s="42" t="str">
        <f>IF(AND('Mapa final'!$AH$49="Alta",'Mapa final'!$AJ$49="Catastrófico"),CONCATENATE("R2C",'Mapa final'!$R$49),"")</f>
        <v/>
      </c>
      <c r="AN27" s="43" t="str">
        <f>IF(AND('Mapa final'!$AH$60="Alta",'Mapa final'!$AJ$50="Catastrófico"),CONCATENATE("R2C",'Mapa final'!$R$50),"")</f>
        <v/>
      </c>
      <c r="AO27" s="68"/>
      <c r="AP27" s="529"/>
      <c r="AQ27" s="530"/>
      <c r="AR27" s="530"/>
      <c r="AS27" s="530"/>
      <c r="AT27" s="530"/>
      <c r="AU27" s="531"/>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row>
    <row r="28" spans="2:77" ht="15" customHeight="1">
      <c r="B28" s="68"/>
      <c r="C28" s="430"/>
      <c r="D28" s="430"/>
      <c r="E28" s="431"/>
      <c r="F28" s="520"/>
      <c r="G28" s="521"/>
      <c r="H28" s="521"/>
      <c r="I28" s="521"/>
      <c r="J28" s="521"/>
      <c r="K28" s="53" t="str">
        <f>IF(AND('Mapa final'!$AH$51="Alta",'Mapa final'!$AJ$51="Leve"),CONCATENATE("R2C",'Mapa final'!$R$51),"")</f>
        <v/>
      </c>
      <c r="L28" s="54" t="str">
        <f>IF(AND('Mapa final'!$AH$52="Alta",'Mapa final'!$AJ$52="Leve"),CONCATENATE("R2C",'Mapa final'!$R$52),"")</f>
        <v/>
      </c>
      <c r="M28" s="54" t="str">
        <f>IF(AND('Mapa final'!$AH$53="Alta",'Mapa final'!$AJ$53="Leve"),CONCATENATE("R2C",'Mapa final'!$R$53),"")</f>
        <v/>
      </c>
      <c r="N28" s="54" t="str">
        <f>IF(AND('Mapa final'!$AH$54="Alta",'Mapa final'!$AJ$54="Leve"),CONCATENATE("R2C",'Mapa final'!$R$54),"")</f>
        <v/>
      </c>
      <c r="O28" s="54" t="str">
        <f>IF(AND('Mapa final'!$AH$55="Alta",'Mapa final'!$AJ$55="Leve"),CONCATENATE("R2C",'Mapa final'!$R$55),"")</f>
        <v/>
      </c>
      <c r="P28" s="55" t="str">
        <f>IF(AND('Mapa final'!$AH$56="Alta",'Mapa final'!$AJ$56="Leve"),CONCATENATE("R2C",'Mapa final'!$R$56),"")</f>
        <v/>
      </c>
      <c r="Q28" s="53" t="str">
        <f>IF(AND('Mapa final'!$AH$51="Alta",'Mapa final'!$AJ$51="Menor"),CONCATENATE("R2C",'Mapa final'!$R$51),"")</f>
        <v/>
      </c>
      <c r="R28" s="54" t="str">
        <f>IF(AND('Mapa final'!$AH$52="Alta",'Mapa final'!$AJ$52="Menor"),CONCATENATE("R2C",'Mapa final'!$R$52),"")</f>
        <v/>
      </c>
      <c r="S28" s="54" t="str">
        <f>IF(AND('Mapa final'!$AH$53="Alta",'Mapa final'!$AJ$53="Menor"),CONCATENATE("R2C",'Mapa final'!$R$53),"")</f>
        <v/>
      </c>
      <c r="T28" s="54" t="str">
        <f>IF(AND('Mapa final'!$AH$54="Alta",'Mapa final'!$AJ$54="Menor"),CONCATENATE("R2C",'Mapa final'!$R$54),"")</f>
        <v/>
      </c>
      <c r="U28" s="54" t="str">
        <f>IF(AND('Mapa final'!$AH$55="Alta",'Mapa final'!$AJ$55="Menor"),CONCATENATE("R2C",'Mapa final'!$R$55),"")</f>
        <v/>
      </c>
      <c r="V28" s="55" t="str">
        <f>IF(AND('Mapa final'!$AH$56="Alta",'Mapa final'!$AJ$56="Menor"),CONCATENATE("R2C",'Mapa final'!$R$56),"")</f>
        <v/>
      </c>
      <c r="W28" s="38" t="str">
        <f>IF(AND('Mapa final'!$AH$51="Alta",'Mapa final'!$AJ$51="Moderado"),CONCATENATE("R2C",'Mapa final'!$R$51),"")</f>
        <v/>
      </c>
      <c r="X28" s="39" t="str">
        <f>IF(AND('Mapa final'!$AH$52="Alta",'Mapa final'!$AJ$52="Moderado"),CONCATENATE("R2C",'Mapa final'!$R$52),"")</f>
        <v/>
      </c>
      <c r="Y28" s="39" t="str">
        <f>IF(AND('Mapa final'!$AH$53="Alta",'Mapa final'!$AJ$53="Moderado"),CONCATENATE("R2C",'Mapa final'!$R$53),"")</f>
        <v/>
      </c>
      <c r="Z28" s="39" t="str">
        <f>IF(AND('Mapa final'!$AH$54="Alta",'Mapa final'!$AJ$54="Moderado"),CONCATENATE("R2C",'Mapa final'!$R$54),"")</f>
        <v/>
      </c>
      <c r="AA28" s="39" t="str">
        <f>IF(AND('Mapa final'!$AH$55="Alta",'Mapa final'!$AJ$55="Moderado"),CONCATENATE("R2C",'Mapa final'!$R$55),"")</f>
        <v/>
      </c>
      <c r="AB28" s="40" t="str">
        <f>IF(AND('Mapa final'!$AH$56="Alta",'Mapa final'!$AJ$56="Moderado"),CONCATENATE("R2C",'Mapa final'!$R$56),"")</f>
        <v/>
      </c>
      <c r="AC28" s="38" t="str">
        <f>IF(AND('Mapa final'!$AH$51="Alta",'Mapa final'!$AJ$51="Mayor"),CONCATENATE("R2C",'Mapa final'!$R$51),"")</f>
        <v/>
      </c>
      <c r="AD28" s="39" t="str">
        <f>IF(AND('Mapa final'!$AH$52="Alta",'Mapa final'!$AJ$52="Mayor"),CONCATENATE("R2C",'Mapa final'!$R$52),"")</f>
        <v/>
      </c>
      <c r="AE28" s="39" t="str">
        <f>IF(AND('Mapa final'!$AH$53="Alta",'Mapa final'!$AJ$53="Mayor"),CONCATENATE("R2C",'Mapa final'!$R$53),"")</f>
        <v/>
      </c>
      <c r="AF28" s="39" t="str">
        <f>IF(AND('Mapa final'!$AH$54="Alta",'Mapa final'!$AJ$54="Mayor"),CONCATENATE("R2C",'Mapa final'!$R$54),"")</f>
        <v/>
      </c>
      <c r="AG28" s="39" t="str">
        <f>IF(AND('Mapa final'!$AH$55="Alta",'Mapa final'!$AJ$55="Mayor"),CONCATENATE("R2C",'Mapa final'!$R$55),"")</f>
        <v/>
      </c>
      <c r="AH28" s="40" t="str">
        <f>IF(AND('Mapa final'!$AH$56="Alta",'Mapa final'!$AJ$56="Mayor"),CONCATENATE("R2C",'Mapa final'!$R$56),"")</f>
        <v/>
      </c>
      <c r="AI28" s="41" t="str">
        <f>IF(AND('Mapa final'!$AH$51="Alta",'Mapa final'!$AJ$51="Catastrófico"),CONCATENATE("R2C",'Mapa final'!$R$51),"")</f>
        <v/>
      </c>
      <c r="AJ28" s="42" t="str">
        <f>IF(AND('Mapa final'!$AH$52="Alta",'Mapa final'!$AJ$52="Catastrófico"),CONCATENATE("R2C",'Mapa final'!$R$52),"")</f>
        <v/>
      </c>
      <c r="AK28" s="42" t="str">
        <f>IF(AND('Mapa final'!$AH$53="Alta",'Mapa final'!$AJ$53="Catastrófico"),CONCATENATE("R2C",'Mapa final'!$R$53),"")</f>
        <v/>
      </c>
      <c r="AL28" s="42" t="str">
        <f>IF(AND('Mapa final'!$AH$54="Alta",'Mapa final'!$AJ$54="Catastrófico"),CONCATENATE("R2C",'Mapa final'!$R$54),"")</f>
        <v/>
      </c>
      <c r="AM28" s="42" t="str">
        <f>IF(AND('Mapa final'!$AH$55="Alta",'Mapa final'!$AJ$55="Catastrófico"),CONCATENATE("R2C",'Mapa final'!$R$55),"")</f>
        <v/>
      </c>
      <c r="AN28" s="43" t="str">
        <f>IF(AND('Mapa final'!$AH$56="Alta",'Mapa final'!$AJ$56="Catastrófico"),CONCATENATE("R2C",'Mapa final'!$R$56),"")</f>
        <v/>
      </c>
      <c r="AO28" s="68"/>
      <c r="AP28" s="529"/>
      <c r="AQ28" s="530"/>
      <c r="AR28" s="530"/>
      <c r="AS28" s="530"/>
      <c r="AT28" s="530"/>
      <c r="AU28" s="531"/>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row>
    <row r="29" spans="2:77" ht="15" customHeight="1">
      <c r="B29" s="68"/>
      <c r="C29" s="430"/>
      <c r="D29" s="430"/>
      <c r="E29" s="431"/>
      <c r="F29" s="520"/>
      <c r="G29" s="521"/>
      <c r="H29" s="521"/>
      <c r="I29" s="521"/>
      <c r="J29" s="521"/>
      <c r="K29" s="53" t="str">
        <f>IF(AND('Mapa final'!$AH$57="Alta",'Mapa final'!$AJ$57="Leve"),CONCATENATE("R2C",'Mapa final'!$R$57),"")</f>
        <v/>
      </c>
      <c r="L29" s="54" t="str">
        <f>IF(AND('Mapa final'!$AH$58="Alta",'Mapa final'!$AJ$58="Leve"),CONCATENATE("R2C",'Mapa final'!$R$58),"")</f>
        <v/>
      </c>
      <c r="M29" s="54" t="str">
        <f>IF(AND('Mapa final'!$AH$59="Alta",'Mapa final'!$AJ$59="Leve"),CONCATENATE("R2C",'Mapa final'!$R$59),"")</f>
        <v/>
      </c>
      <c r="N29" s="54" t="str">
        <f>IF(AND('Mapa final'!$AH$60="Alta",'Mapa final'!$AJ$60="Leve"),CONCATENATE("R2C",'Mapa final'!$R$60),"")</f>
        <v/>
      </c>
      <c r="O29" s="54" t="str">
        <f>IF(AND('Mapa final'!$AH$61="Alta",'Mapa final'!$AJ$61="Leve"),CONCATENATE("R2C",'Mapa final'!$R$61),"")</f>
        <v/>
      </c>
      <c r="P29" s="55" t="str">
        <f>IF(AND('Mapa final'!$AH$62="Alta",'Mapa final'!$AJ$62="Leve"),CONCATENATE("R2C",'Mapa final'!$R$62),"")</f>
        <v/>
      </c>
      <c r="Q29" s="53" t="str">
        <f>IF(AND('Mapa final'!$AH$57="Alta",'Mapa final'!$AJ$57="Menor"),CONCATENATE("R2C",'Mapa final'!$R$57),"")</f>
        <v/>
      </c>
      <c r="R29" s="54" t="str">
        <f>IF(AND('Mapa final'!$AH$58="Alta",'Mapa final'!$AJ$58="Menor"),CONCATENATE("R2C",'Mapa final'!$R$58),"")</f>
        <v/>
      </c>
      <c r="S29" s="54" t="str">
        <f>IF(AND('Mapa final'!$AH$59="Alta",'Mapa final'!$AJ$59="Menor"),CONCATENATE("R2C",'Mapa final'!$R$59),"")</f>
        <v/>
      </c>
      <c r="T29" s="54" t="str">
        <f>IF(AND('Mapa final'!$AH$60="Alta",'Mapa final'!$AJ$60="Menor"),CONCATENATE("R2C",'Mapa final'!$R$60),"")</f>
        <v/>
      </c>
      <c r="U29" s="54" t="str">
        <f>IF(AND('Mapa final'!$AH$61="Alta",'Mapa final'!$AJ$61="Menor"),CONCATENATE("R2C",'Mapa final'!$R$61),"")</f>
        <v/>
      </c>
      <c r="V29" s="55" t="str">
        <f>IF(AND('Mapa final'!$AH$62="Alta",'Mapa final'!$AJ$62="Menor"),CONCATENATE("R2C",'Mapa final'!$R$62),"")</f>
        <v/>
      </c>
      <c r="W29" s="38" t="str">
        <f>IF(AND('Mapa final'!$AH$57="Alta",'Mapa final'!$AJ$57="Moderado"),CONCATENATE("R2C",'Mapa final'!$R$57),"")</f>
        <v/>
      </c>
      <c r="X29" s="39" t="str">
        <f>IF(AND('Mapa final'!$AH$58="Alta",'Mapa final'!$AJ$58="Moderado"),CONCATENATE("R2C",'Mapa final'!$R$58),"")</f>
        <v/>
      </c>
      <c r="Y29" s="39" t="str">
        <f>IF(AND('Mapa final'!$AH$59="Alta",'Mapa final'!$AJ$59="Moderado"),CONCATENATE("R2C",'Mapa final'!$R$59),"")</f>
        <v/>
      </c>
      <c r="Z29" s="39" t="str">
        <f>IF(AND('Mapa final'!$AH$60="Alta",'Mapa final'!$AJ$60="Moderado"),CONCATENATE("R2C",'Mapa final'!$R$60),"")</f>
        <v/>
      </c>
      <c r="AA29" s="39" t="str">
        <f>IF(AND('Mapa final'!$AH$61="Alta",'Mapa final'!$AJ$61="Moderado"),CONCATENATE("R2C",'Mapa final'!$R$61),"")</f>
        <v/>
      </c>
      <c r="AB29" s="40" t="str">
        <f>IF(AND('Mapa final'!$AH$62="Alta",'Mapa final'!$AJ$62="Moderado"),CONCATENATE("R2C",'Mapa final'!$R$62),"")</f>
        <v/>
      </c>
      <c r="AC29" s="38" t="str">
        <f>IF(AND('Mapa final'!$AH$57="Alta",'Mapa final'!$AJ$57="Mayor"),CONCATENATE("R2C",'Mapa final'!$R$57),"")</f>
        <v/>
      </c>
      <c r="AD29" s="39" t="str">
        <f>IF(AND('Mapa final'!$AH$58="Alta",'Mapa final'!$AJ$58="Mayor"),CONCATENATE("R2C",'Mapa final'!$R$58),"")</f>
        <v/>
      </c>
      <c r="AE29" s="39" t="str">
        <f>IF(AND('Mapa final'!$AH$59="Alta",'Mapa final'!$AJ$59="Mayor"),CONCATENATE("R2C",'Mapa final'!$R$59),"")</f>
        <v/>
      </c>
      <c r="AF29" s="39" t="str">
        <f>IF(AND('Mapa final'!$AH$60="Alta",'Mapa final'!$AJ$60="Mayor"),CONCATENATE("R2C",'Mapa final'!$R$60),"")</f>
        <v/>
      </c>
      <c r="AG29" s="39" t="str">
        <f>IF(AND('Mapa final'!$AH$61="Alta",'Mapa final'!$AJ$61="Mayor"),CONCATENATE("R2C",'Mapa final'!$R$61),"")</f>
        <v/>
      </c>
      <c r="AH29" s="40" t="str">
        <f>IF(AND('Mapa final'!$AH$62="Alta",'Mapa final'!$AJ$62="Mayor"),CONCATENATE("R2C",'Mapa final'!$R$62),"")</f>
        <v/>
      </c>
      <c r="AI29" s="41" t="str">
        <f>IF(AND('Mapa final'!$AH$57="Alta",'Mapa final'!$AJ$57="Catastrófico"),CONCATENATE("R2C",'Mapa final'!$R$57),"")</f>
        <v/>
      </c>
      <c r="AJ29" s="42" t="str">
        <f>IF(AND('Mapa final'!$AH$58="Alta",'Mapa final'!$AJ$58="Catastrófico"),CONCATENATE("R2C",'Mapa final'!$R$58),"")</f>
        <v/>
      </c>
      <c r="AK29" s="42" t="str">
        <f>IF(AND('Mapa final'!$AH$59="Alta",'Mapa final'!$AJ$59="Catastrófico"),CONCATENATE("R2C",'Mapa final'!$R$59),"")</f>
        <v/>
      </c>
      <c r="AL29" s="42" t="str">
        <f>IF(AND('Mapa final'!$AH$60="Alta",'Mapa final'!$AJ$60="Catastrófico"),CONCATENATE("R2C",'Mapa final'!$R$60),"")</f>
        <v/>
      </c>
      <c r="AM29" s="42" t="str">
        <f>IF(AND('Mapa final'!$AH$61="Alta",'Mapa final'!$AJ$61="Catastrófico"),CONCATENATE("R2C",'Mapa final'!$R$61),"")</f>
        <v/>
      </c>
      <c r="AN29" s="43" t="str">
        <f>IF(AND('Mapa final'!$AH$62="Alta",'Mapa final'!$AJ$62="Catastrófico"),CONCATENATE("R2C",'Mapa final'!$R$62),"")</f>
        <v/>
      </c>
      <c r="AO29" s="68"/>
      <c r="AP29" s="529"/>
      <c r="AQ29" s="530"/>
      <c r="AR29" s="530"/>
      <c r="AS29" s="530"/>
      <c r="AT29" s="530"/>
      <c r="AU29" s="531"/>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row>
    <row r="30" spans="2:77" ht="15" customHeight="1">
      <c r="B30" s="68"/>
      <c r="C30" s="430"/>
      <c r="D30" s="430"/>
      <c r="E30" s="431"/>
      <c r="F30" s="520"/>
      <c r="G30" s="521"/>
      <c r="H30" s="521"/>
      <c r="I30" s="521"/>
      <c r="J30" s="521"/>
      <c r="K30" s="53" t="str">
        <f>IF(AND('Mapa final'!$AH$63="Alta",'Mapa final'!$AJ$63="Leve"),CONCATENATE("R2C",'Mapa final'!$R$63),"")</f>
        <v/>
      </c>
      <c r="L30" s="54" t="str">
        <f>IF(AND('Mapa final'!$AH$64="Alta",'Mapa final'!$AJ$64="Leve"),CONCATENATE("R2C",'Mapa final'!$R$64),"")</f>
        <v/>
      </c>
      <c r="M30" s="54" t="str">
        <f>IF(AND('Mapa final'!$AH$65="Alta",'Mapa final'!$AJ$65="Leve"),CONCATENATE("R2C",'Mapa final'!$R$65),"")</f>
        <v/>
      </c>
      <c r="N30" s="54" t="str">
        <f>IF(AND('Mapa final'!$AH$66="Alta",'Mapa final'!$AJ$66="Leve"),CONCATENATE("R2C",'Mapa final'!$R$66),"")</f>
        <v/>
      </c>
      <c r="O30" s="54" t="str">
        <f>IF(AND('Mapa final'!$AH$67="Alta",'Mapa final'!$AJ$67="Leve"),CONCATENATE("R2C",'Mapa final'!$R$67),"")</f>
        <v/>
      </c>
      <c r="P30" s="55" t="str">
        <f>IF(AND('Mapa final'!$AH$68="Alta",'Mapa final'!$AJ$68="Leve"),CONCATENATE("R2C",'Mapa final'!$R$68),"")</f>
        <v/>
      </c>
      <c r="Q30" s="53" t="str">
        <f>IF(AND('Mapa final'!$AH$63="Alta",'Mapa final'!$AJ$63="Menor"),CONCATENATE("R2C",'Mapa final'!$R$63),"")</f>
        <v/>
      </c>
      <c r="R30" s="54" t="str">
        <f>IF(AND('Mapa final'!$AH$64="Alta",'Mapa final'!$AJ$64="Menor"),CONCATENATE("R2C",'Mapa final'!$R$64),"")</f>
        <v/>
      </c>
      <c r="S30" s="54" t="str">
        <f>IF(AND('Mapa final'!$AH$65="Alta",'Mapa final'!$AJ$65="Menor"),CONCATENATE("R2C",'Mapa final'!$R$65),"")</f>
        <v/>
      </c>
      <c r="T30" s="54" t="str">
        <f>IF(AND('Mapa final'!$AH$66="Alta",'Mapa final'!$AJ$66="Menor"),CONCATENATE("R2C",'Mapa final'!$R$66),"")</f>
        <v/>
      </c>
      <c r="U30" s="54" t="str">
        <f>IF(AND('Mapa final'!$AH$67="Alta",'Mapa final'!$AJ$67="Menor"),CONCATENATE("R2C",'Mapa final'!$R$67),"")</f>
        <v/>
      </c>
      <c r="V30" s="55" t="str">
        <f>IF(AND('Mapa final'!$AH$68="Alta",'Mapa final'!$AJ$68="Menor"),CONCATENATE("R2C",'Mapa final'!$R$68),"")</f>
        <v/>
      </c>
      <c r="W30" s="38" t="str">
        <f>IF(AND('Mapa final'!$AH$63="Alta",'Mapa final'!$AJ$63="Moderado"),CONCATENATE("R2C",'Mapa final'!$R$63),"")</f>
        <v/>
      </c>
      <c r="X30" s="39" t="str">
        <f>IF(AND('Mapa final'!$AH$64="Alta",'Mapa final'!$AJ$64="Moderado"),CONCATENATE("R2C",'Mapa final'!$R$64),"")</f>
        <v/>
      </c>
      <c r="Y30" s="39" t="str">
        <f>IF(AND('Mapa final'!$AH$65="Alta",'Mapa final'!$AJ$65="Moderado"),CONCATENATE("R2C",'Mapa final'!$R$65),"")</f>
        <v/>
      </c>
      <c r="Z30" s="39" t="str">
        <f>IF(AND('Mapa final'!$AH$66="Alta",'Mapa final'!$AJ$66="Moderado"),CONCATENATE("R2C",'Mapa final'!$R$66),"")</f>
        <v/>
      </c>
      <c r="AA30" s="39" t="str">
        <f>IF(AND('Mapa final'!$AH$67="Alta",'Mapa final'!$AJ$67="Moderado"),CONCATENATE("R2C",'Mapa final'!$R$67),"")</f>
        <v/>
      </c>
      <c r="AB30" s="40" t="str">
        <f>IF(AND('Mapa final'!$AH$68="Alta",'Mapa final'!$AJ$68="Moderado"),CONCATENATE("R2C",'Mapa final'!$R$68),"")</f>
        <v/>
      </c>
      <c r="AC30" s="38" t="str">
        <f>IF(AND('Mapa final'!$AH$63="Alta",'Mapa final'!$AJ$63="Mayor"),CONCATENATE("R2C",'Mapa final'!$R$63),"")</f>
        <v/>
      </c>
      <c r="AD30" s="39" t="str">
        <f>IF(AND('Mapa final'!$AH$64="Alta",'Mapa final'!$AJ$64="Mayor"),CONCATENATE("R2C",'Mapa final'!$R$64),"")</f>
        <v/>
      </c>
      <c r="AE30" s="39" t="str">
        <f>IF(AND('Mapa final'!$AH$65="Alta",'Mapa final'!$AJ$65="Mayor"),CONCATENATE("R2C",'Mapa final'!$R$65),"")</f>
        <v/>
      </c>
      <c r="AF30" s="39" t="str">
        <f>IF(AND('Mapa final'!$AH$66="Alta",'Mapa final'!$AJ$66="Mayor"),CONCATENATE("R2C",'Mapa final'!$R$66),"")</f>
        <v/>
      </c>
      <c r="AG30" s="39" t="str">
        <f>IF(AND('Mapa final'!$AH$67="Alta",'Mapa final'!$AJ$67="Mayor"),CONCATENATE("R2C",'Mapa final'!$R$67),"")</f>
        <v/>
      </c>
      <c r="AH30" s="40" t="str">
        <f>IF(AND('Mapa final'!$AH$68="Alta",'Mapa final'!$AJ$68="Mayor"),CONCATENATE("R2C",'Mapa final'!$R$68),"")</f>
        <v/>
      </c>
      <c r="AI30" s="41" t="str">
        <f>IF(AND('Mapa final'!$AH$63="Alta",'Mapa final'!$AJ$63="Catastrófico"),CONCATENATE("R2C",'Mapa final'!$R$63),"")</f>
        <v/>
      </c>
      <c r="AJ30" s="42" t="str">
        <f>IF(AND('Mapa final'!$AH$64="Alta",'Mapa final'!$AJ$64="Catastrófico"),CONCATENATE("R2C",'Mapa final'!$R$64),"")</f>
        <v/>
      </c>
      <c r="AK30" s="42" t="str">
        <f>IF(AND('Mapa final'!$AH$65="Alta",'Mapa final'!$AJ$65="Catastrófico"),CONCATENATE("R2C",'Mapa final'!$R$65),"")</f>
        <v/>
      </c>
      <c r="AL30" s="42" t="str">
        <f>IF(AND('Mapa final'!$AH$66="Alta",'Mapa final'!$AJ$66="Catastrófico"),CONCATENATE("R2C",'Mapa final'!$R$66),"")</f>
        <v/>
      </c>
      <c r="AM30" s="42" t="str">
        <f>IF(AND('Mapa final'!$AH$67="Alta",'Mapa final'!$AJ$67="Catastrófico"),CONCATENATE("R2C",'Mapa final'!$R$67),"")</f>
        <v/>
      </c>
      <c r="AN30" s="43" t="str">
        <f>IF(AND('Mapa final'!$AH$68="Alta",'Mapa final'!$AJ$68="Catastrófico"),CONCATENATE("R2C",'Mapa final'!$R$68),"")</f>
        <v/>
      </c>
      <c r="AO30" s="68"/>
      <c r="AP30" s="529"/>
      <c r="AQ30" s="530"/>
      <c r="AR30" s="530"/>
      <c r="AS30" s="530"/>
      <c r="AT30" s="530"/>
      <c r="AU30" s="531"/>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row>
    <row r="31" spans="2:77" ht="15.75" customHeight="1" thickBot="1">
      <c r="B31" s="68"/>
      <c r="C31" s="430"/>
      <c r="D31" s="430"/>
      <c r="E31" s="431"/>
      <c r="F31" s="523"/>
      <c r="G31" s="524"/>
      <c r="H31" s="524"/>
      <c r="I31" s="524"/>
      <c r="J31" s="524"/>
      <c r="K31" s="56" t="str">
        <f>IF(AND('Mapa final'!$AH$69="Alta",'Mapa final'!$AJ$69="Leve"),CONCATENATE("R2C",'Mapa final'!$R$69),"")</f>
        <v/>
      </c>
      <c r="L31" s="57" t="str">
        <f>IF(AND('Mapa final'!$AH$70="Alta",'Mapa final'!$AJ$70="Leve"),CONCATENATE("R2C",'Mapa final'!$R$70),"")</f>
        <v/>
      </c>
      <c r="M31" s="57" t="str">
        <f>IF(AND('Mapa final'!$AH$71="Alta",'Mapa final'!$AJ$71="Leve"),CONCATENATE("R2C",'Mapa final'!$R$71),"")</f>
        <v/>
      </c>
      <c r="N31" s="57" t="str">
        <f>IF(AND('Mapa final'!$AH$72="Alta",'Mapa final'!$AJ$72="Leve"),CONCATENATE("R2C",'Mapa final'!$R$72),"")</f>
        <v/>
      </c>
      <c r="O31" s="57" t="str">
        <f>IF(AND('Mapa final'!$AH$74="Alta",'Mapa final'!$AJ$74="Leve"),CONCATENATE("R2C",'Mapa final'!$R$74),"")</f>
        <v/>
      </c>
      <c r="P31" s="58" t="str">
        <f>IF(AND('Mapa final'!$AH$75="Alta",'Mapa final'!$AJ$75="Leve"),CONCATENATE("R2C",'Mapa final'!$R$75),"")</f>
        <v/>
      </c>
      <c r="Q31" s="56" t="str">
        <f>IF(AND('Mapa final'!$AH$69="Alta",'Mapa final'!$AJ$69="Menor"),CONCATENATE("R2C",'Mapa final'!$R$69),"")</f>
        <v/>
      </c>
      <c r="R31" s="57" t="str">
        <f>IF(AND('Mapa final'!$AH$70="Alta",'Mapa final'!$AJ$70="Menor"),CONCATENATE("R2C",'Mapa final'!$R$70),"")</f>
        <v/>
      </c>
      <c r="S31" s="57" t="str">
        <f>IF(AND('Mapa final'!$AH$71="Alta",'Mapa final'!$AJ$71="Menor"),CONCATENATE("R2C",'Mapa final'!$R$71),"")</f>
        <v/>
      </c>
      <c r="T31" s="57" t="str">
        <f>IF(AND('Mapa final'!$AH$72="Alta",'Mapa final'!$AJ$72="Menor"),CONCATENATE("R2C",'Mapa final'!$R$72),"")</f>
        <v/>
      </c>
      <c r="U31" s="57" t="str">
        <f>IF(AND('Mapa final'!$AH$74="Alta",'Mapa final'!$AJ$74="Menor"),CONCATENATE("R2C",'Mapa final'!$R$74),"")</f>
        <v/>
      </c>
      <c r="V31" s="58" t="str">
        <f>IF(AND('Mapa final'!$AH$75="Alta",'Mapa final'!$AJ$75="Menor"),CONCATENATE("R2C",'Mapa final'!$R$75),"")</f>
        <v/>
      </c>
      <c r="W31" s="44" t="str">
        <f>IF(AND('Mapa final'!$AH$69="Alta",'Mapa final'!$AJ$69="Moderado"),CONCATENATE("R2C",'Mapa final'!$R$69),"")</f>
        <v/>
      </c>
      <c r="X31" s="45" t="str">
        <f>IF(AND('Mapa final'!$AH$70="Alta",'Mapa final'!$AJ$70="Moderado"),CONCATENATE("R2C",'Mapa final'!$R$70),"")</f>
        <v/>
      </c>
      <c r="Y31" s="45" t="str">
        <f>IF(AND('Mapa final'!$AH$71="Alta",'Mapa final'!$AJ$71="Moderado"),CONCATENATE("R2C",'Mapa final'!$R$71),"")</f>
        <v/>
      </c>
      <c r="Z31" s="45" t="str">
        <f>IF(AND('Mapa final'!$AH$72="Alta",'Mapa final'!$AJ$72="Moderado"),CONCATENATE("R2C",'Mapa final'!$R$72),"")</f>
        <v/>
      </c>
      <c r="AA31" s="45" t="str">
        <f>IF(AND('Mapa final'!$AH$74="Alta",'Mapa final'!$AJ$74="Moderado"),CONCATENATE("R2C",'Mapa final'!$R$74),"")</f>
        <v/>
      </c>
      <c r="AB31" s="46" t="str">
        <f>IF(AND('Mapa final'!$AH$75="Alta",'Mapa final'!$AJ$75="Moderado"),CONCATENATE("R2C",'Mapa final'!$R$75),"")</f>
        <v/>
      </c>
      <c r="AC31" s="44" t="str">
        <f>IF(AND('Mapa final'!$AH$69="Alta",'Mapa final'!$AJ$69="Mayor"),CONCATENATE("R2C",'Mapa final'!$R$69),"")</f>
        <v/>
      </c>
      <c r="AD31" s="45" t="str">
        <f>IF(AND('Mapa final'!$AH$70="Alta",'Mapa final'!$AJ$70="Mayor"),CONCATENATE("R2C",'Mapa final'!$R$70),"")</f>
        <v/>
      </c>
      <c r="AE31" s="45" t="str">
        <f>IF(AND('Mapa final'!$AH$71="Alta",'Mapa final'!$AJ$71="Mayor"),CONCATENATE("R2C",'Mapa final'!$R$71),"")</f>
        <v/>
      </c>
      <c r="AF31" s="45" t="str">
        <f>IF(AND('Mapa final'!$AH$72="Alta",'Mapa final'!$AJ$72="Mayor"),CONCATENATE("R2C",'Mapa final'!$R$72),"")</f>
        <v/>
      </c>
      <c r="AG31" s="45" t="str">
        <f>IF(AND('Mapa final'!$AH$74="Alta",'Mapa final'!$AJ$74="Mayor"),CONCATENATE("R2C",'Mapa final'!$R$74),"")</f>
        <v/>
      </c>
      <c r="AH31" s="46" t="str">
        <f>IF(AND('Mapa final'!$AH$75="Alta",'Mapa final'!$AJ$75="Mayor"),CONCATENATE("R2C",'Mapa final'!$R$75),"")</f>
        <v/>
      </c>
      <c r="AI31" s="47" t="str">
        <f>IF(AND('Mapa final'!$AH$69="Alta",'Mapa final'!$AJ$69="Catastrófico"),CONCATENATE("R2C",'Mapa final'!$R$69),"")</f>
        <v/>
      </c>
      <c r="AJ31" s="48" t="str">
        <f>IF(AND('Mapa final'!$AH$70="Alta",'Mapa final'!$AJ$70="Catastrófico"),CONCATENATE("R2C",'Mapa final'!$R$70),"")</f>
        <v/>
      </c>
      <c r="AK31" s="48" t="str">
        <f>IF(AND('Mapa final'!$AH$71="Alta",'Mapa final'!$AJ$71="Catastrófico"),CONCATENATE("R2C",'Mapa final'!$R$71),"")</f>
        <v/>
      </c>
      <c r="AL31" s="48" t="str">
        <f>IF(AND('Mapa final'!$AH$72="Alta",'Mapa final'!$AJ$72="Catastrófico"),CONCATENATE("R2C",'Mapa final'!$R$72),"")</f>
        <v/>
      </c>
      <c r="AM31" s="48" t="str">
        <f>IF(AND('Mapa final'!$AH$74="Alta",'Mapa final'!$AJ$74="Catastrófico"),CONCATENATE("R2C",'Mapa final'!$R$74),"")</f>
        <v/>
      </c>
      <c r="AN31" s="49" t="str">
        <f>IF(AND('Mapa final'!$AH$75="Muy Alta",'Mapa final'!$AJ$75="Catastrófico"),CONCATENATE("R2C",'Mapa final'!$R$75),"")</f>
        <v/>
      </c>
      <c r="AO31" s="68"/>
      <c r="AP31" s="532"/>
      <c r="AQ31" s="533"/>
      <c r="AR31" s="533"/>
      <c r="AS31" s="533"/>
      <c r="AT31" s="533"/>
      <c r="AU31" s="534"/>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row>
    <row r="32" spans="2:77" ht="15" customHeight="1">
      <c r="B32" s="68"/>
      <c r="C32" s="430"/>
      <c r="D32" s="430"/>
      <c r="E32" s="431"/>
      <c r="F32" s="517" t="s">
        <v>326</v>
      </c>
      <c r="G32" s="518"/>
      <c r="H32" s="518"/>
      <c r="I32" s="518"/>
      <c r="J32" s="519"/>
      <c r="K32" s="50"/>
      <c r="L32" s="51" t="str">
        <f>IF(AND('Mapa final'!$AH$18="Media",'Mapa final'!$AJ$18="Leve"),CONCATENATE("R2C",'Mapa final'!$R$15),"")</f>
        <v/>
      </c>
      <c r="M32" s="51" t="str">
        <f>IF(AND('Mapa final'!$AH$19="Media",'Mapa final'!$AJ$19="Leve"),CONCATENATE("R2C",'Mapa final'!$R$19),"")</f>
        <v/>
      </c>
      <c r="N32" s="51" t="str">
        <f>IF(AND('Mapa final'!$AH$22="Media",'Mapa final'!$AJ$22="Leve"),CONCATENATE("R2C",'Mapa final'!$R$22),"")</f>
        <v/>
      </c>
      <c r="O32" s="51" t="e">
        <f>IF(AND('Mapa final'!#REF!="Media",'Mapa final'!#REF!="Leve"),CONCATENATE("R2C",'Mapa final'!#REF!),"")</f>
        <v>#REF!</v>
      </c>
      <c r="P32" s="52" t="e">
        <f>IF(AND('Mapa final'!#REF!="Media",'Mapa final'!#REF!="Leve"),CONCATENATE("R2C",'Mapa final'!#REF!),"")</f>
        <v>#REF!</v>
      </c>
      <c r="Q32" s="50"/>
      <c r="R32" s="51" t="str">
        <f>IF(AND('Mapa final'!$AH$18="Media",'Mapa final'!$AJ$18="Menore"),CONCATENATE("R2C",'Mapa final'!$R$15),"")</f>
        <v/>
      </c>
      <c r="S32" s="51" t="str">
        <f>IF(AND('Mapa final'!$AH$19="Media",'Mapa final'!$AJ$19="Menor"),CONCATENATE("R2C",'Mapa final'!$R$19),"")</f>
        <v/>
      </c>
      <c r="T32" s="51" t="str">
        <f>IF(AND('Mapa final'!$AH$22="Media",'Mapa final'!$AJ$22="Menor"),CONCATENATE("R2C",'Mapa final'!$R$22),"")</f>
        <v/>
      </c>
      <c r="U32" s="51" t="e">
        <f>IF(AND('Mapa final'!#REF!="Media",'Mapa final'!#REF!="Menor"),CONCATENATE("R2C",'Mapa final'!#REF!),"")</f>
        <v>#REF!</v>
      </c>
      <c r="V32" s="52" t="e">
        <f>IF(AND('Mapa final'!#REF!="Media",'Mapa final'!#REF!="Menor"),CONCATENATE("R2C",'Mapa final'!#REF!),"")</f>
        <v>#REF!</v>
      </c>
      <c r="W32" s="50"/>
      <c r="X32" s="51" t="str">
        <f>IF(AND('Mapa final'!$AH$18="Media",'Mapa final'!$AJ$18="Moderado"),CONCATENATE("R2C",'Mapa final'!$R$15),"")</f>
        <v/>
      </c>
      <c r="Y32" s="51"/>
      <c r="Z32" s="51" t="str">
        <f>IF(AND('Mapa final'!$AH$22="Media",'Mapa final'!$AJ$22="Moderado"),CONCATENATE("R2C",'Mapa final'!$R$22),"")</f>
        <v/>
      </c>
      <c r="AA32" s="51" t="e">
        <f>IF(AND('Mapa final'!#REF!="Media",'Mapa final'!#REF!="Moderado"),CONCATENATE("R2C",'Mapa final'!#REF!),"")</f>
        <v>#REF!</v>
      </c>
      <c r="AB32" s="52" t="e">
        <f>IF(AND('Mapa final'!#REF!="Media",'Mapa final'!#REF!="Moderado"),CONCATENATE("R2C",'Mapa final'!#REF!),"")</f>
        <v>#REF!</v>
      </c>
      <c r="AC32" s="32"/>
      <c r="AD32" s="33" t="str">
        <f>IF(AND('Mapa final'!$AH$18="Media",'Mapa final'!$AJ$18="Mayor"),CONCATENATE("R2C",'Mapa final'!$R$15),"")</f>
        <v/>
      </c>
      <c r="AE32" s="33" t="str">
        <f>IF(AND('Mapa final'!$AH$19="Media",'Mapa final'!$AJ$19="Mayor"),CONCATENATE("R2C",'Mapa final'!$R$19),"")</f>
        <v/>
      </c>
      <c r="AF32" s="33" t="str">
        <f>IF(AND('Mapa final'!$AH$22="Media",'Mapa final'!$AJ$22="Mayor"),CONCATENATE("R2C",'Mapa final'!$R$22),"")</f>
        <v/>
      </c>
      <c r="AG32" s="33" t="e">
        <f>IF(AND('Mapa final'!#REF!="Media",'Mapa final'!#REF!="Mayor"),CONCATENATE("R2C",'Mapa final'!#REF!),"")</f>
        <v>#REF!</v>
      </c>
      <c r="AH32" s="34" t="e">
        <f>IF(AND('Mapa final'!#REF!="Media",'Mapa final'!#REF!="Mayor"),CONCATENATE("R2C",'Mapa final'!#REF!),"")</f>
        <v>#REF!</v>
      </c>
      <c r="AI32" s="35"/>
      <c r="AJ32" s="36" t="str">
        <f>IF(AND('Mapa final'!$AH$18="Media",'Mapa final'!$AJ$18="Catastrófico"),CONCATENATE("R2C",'Mapa final'!$R$15),"")</f>
        <v/>
      </c>
      <c r="AK32" s="36" t="str">
        <f>IF(AND('Mapa final'!$AH$19="Media",'Mapa final'!$AJ$19="Catastrófico"),CONCATENATE("R2C",'Mapa final'!$R$19),"")</f>
        <v/>
      </c>
      <c r="AL32" s="36" t="str">
        <f>IF(AND('Mapa final'!$AH$22="Media",'Mapa final'!$AJ$22="Catastrófico"),CONCATENATE("R2C",'Mapa final'!$R$22),"")</f>
        <v/>
      </c>
      <c r="AM32" s="36" t="e">
        <f>IF(AND('Mapa final'!#REF!="Media",'Mapa final'!#REF!="Catastrófico"),CONCATENATE("R2C",'Mapa final'!#REF!),"")</f>
        <v>#REF!</v>
      </c>
      <c r="AN32" s="37" t="e">
        <f>IF(AND('Mapa final'!#REF!="Media",'Mapa final'!#REF!="Catastrófico"),CONCATENATE("R2C",'Mapa final'!#REF!),"")</f>
        <v>#REF!</v>
      </c>
      <c r="AO32" s="68"/>
      <c r="AP32" s="557" t="s">
        <v>178</v>
      </c>
      <c r="AQ32" s="558"/>
      <c r="AR32" s="558"/>
      <c r="AS32" s="558"/>
      <c r="AT32" s="558"/>
      <c r="AU32" s="559"/>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row>
    <row r="33" spans="2:77" ht="15" customHeight="1">
      <c r="B33" s="68"/>
      <c r="C33" s="430"/>
      <c r="D33" s="430"/>
      <c r="E33" s="431"/>
      <c r="F33" s="535"/>
      <c r="G33" s="521"/>
      <c r="H33" s="521"/>
      <c r="I33" s="521"/>
      <c r="J33" s="522"/>
      <c r="K33" s="53" t="e">
        <f>IF(AND('Mapa final'!#REF!="Media",'Mapa final'!#REF!="Leve"),CONCATENATE("R2C",'Mapa final'!#REF!),"")</f>
        <v>#REF!</v>
      </c>
      <c r="L33" s="54" t="e">
        <f>IF(AND('Mapa final'!#REF!="Media",'Mapa final'!#REF!="Leve"),CONCATENATE("R2C",'Mapa final'!#REF!),"")</f>
        <v>#REF!</v>
      </c>
      <c r="M33" s="54" t="str">
        <f>IF(AND('Mapa final'!$AH$23="Media",'Mapa final'!$AJ$23="Leve"),CONCATENATE("R2C",'Mapa final'!$R$23),"")</f>
        <v/>
      </c>
      <c r="N33" s="54" t="str">
        <f>IF(AND('Mapa final'!$AH$24="Media",'Mapa final'!$AJ$24="Leve"),CONCATENATE("R2C",'Mapa final'!$R$24),"")</f>
        <v/>
      </c>
      <c r="O33" s="54" t="str">
        <f>IF(AND('Mapa final'!$AH$25="Media",'Mapa final'!$AJ$25="Leve"),CONCATENATE("R2C",'Mapa final'!$R$25),"")</f>
        <v/>
      </c>
      <c r="P33" s="55" t="str">
        <f>IF(AND('Mapa final'!$AH$26="Media",'Mapa final'!$AJ$26="Leve"),CONCATENATE("R2C",'Mapa final'!$R$26),"")</f>
        <v/>
      </c>
      <c r="Q33" s="53" t="e">
        <f>IF(AND('Mapa final'!#REF!="Media",'Mapa final'!#REF!="Menor"),CONCATENATE("R2C",'Mapa final'!#REF!),"")</f>
        <v>#REF!</v>
      </c>
      <c r="R33" s="54" t="e">
        <f>IF(AND('Mapa final'!#REF!="Media",'Mapa final'!#REF!="Menor"),CONCATENATE("R2C",'Mapa final'!#REF!),"")</f>
        <v>#REF!</v>
      </c>
      <c r="S33" s="54" t="str">
        <f>IF(AND('Mapa final'!$AH$23="Media",'Mapa final'!$AJ$23="Menor"),CONCATENATE("R2C",'Mapa final'!$R$23),"")</f>
        <v/>
      </c>
      <c r="T33" s="54" t="str">
        <f>IF(AND('Mapa final'!$AH$24="Media",'Mapa final'!$AJ$24="Menor"),CONCATENATE("R2C",'Mapa final'!$R$24),"")</f>
        <v/>
      </c>
      <c r="U33" s="54" t="str">
        <f>IF(AND('Mapa final'!$AH$25="Media",'Mapa final'!$AJ$25="Menor"),CONCATENATE("R2C",'Mapa final'!$R$25),"")</f>
        <v/>
      </c>
      <c r="V33" s="55" t="str">
        <f>IF(AND('Mapa final'!$AH$26="Media",'Mapa final'!$AJ$26="Menor"),CONCATENATE("R2C",'Mapa final'!$R$26),"")</f>
        <v/>
      </c>
      <c r="W33" s="53" t="e">
        <f>IF(AND('Mapa final'!#REF!="Media",'Mapa final'!#REF!="Moderado"),CONCATENATE("R2C",'Mapa final'!#REF!),"")</f>
        <v>#REF!</v>
      </c>
      <c r="X33" s="54" t="e">
        <f>IF(AND('Mapa final'!#REF!="Media",'Mapa final'!#REF!="Moderado"),CONCATENATE("R2C",'Mapa final'!#REF!),"")</f>
        <v>#REF!</v>
      </c>
      <c r="Y33" s="54" t="str">
        <f>IF(AND('Mapa final'!$AH$23="Media",'Mapa final'!$AJ$23="Moderado"),CONCATENATE("R2C",'Mapa final'!$R$23),"")</f>
        <v/>
      </c>
      <c r="Z33" s="54" t="str">
        <f>IF(AND('Mapa final'!$AH$24="Media",'Mapa final'!$AJ$24="Moderado"),CONCATENATE("R2C",'Mapa final'!$R$24),"")</f>
        <v/>
      </c>
      <c r="AA33" s="54" t="str">
        <f>IF(AND('Mapa final'!$AH$25="Media",'Mapa final'!$AJ$25="Moderado"),CONCATENATE("R2C",'Mapa final'!$R$25),"")</f>
        <v/>
      </c>
      <c r="AB33" s="55" t="str">
        <f>IF(AND('Mapa final'!$AH$26="Media",'Mapa final'!$AJ$26="Moderado"),CONCATENATE("R2C",'Mapa final'!$R$26),"")</f>
        <v/>
      </c>
      <c r="AC33" s="38" t="e">
        <f>IF(AND('Mapa final'!#REF!="Media",'Mapa final'!#REF!="Mayor"),CONCATENATE("R2C",'Mapa final'!#REF!),"")</f>
        <v>#REF!</v>
      </c>
      <c r="AD33" s="39" t="e">
        <f>IF(AND('Mapa final'!#REF!="Muy Alta",'Mapa final'!#REF!="Mayor"),CONCATENATE("R2C",'Mapa final'!#REF!),"")</f>
        <v>#REF!</v>
      </c>
      <c r="AE33" s="39" t="str">
        <f>IF(AND('Mapa final'!$AH$23="Media",'Mapa final'!$AJ$23="Mayor"),CONCATENATE("R2C",'Mapa final'!$R$23),"")</f>
        <v/>
      </c>
      <c r="AF33" s="39" t="str">
        <f>IF(AND('Mapa final'!$AH$24="Media",'Mapa final'!$AJ$24="Mayor"),CONCATENATE("R2C",'Mapa final'!$R$24),"")</f>
        <v/>
      </c>
      <c r="AG33" s="39" t="str">
        <f>IF(AND('Mapa final'!$AH$25="Media",'Mapa final'!$AJ$25="Mayor"),CONCATENATE("R2C",'Mapa final'!$R$25),"")</f>
        <v/>
      </c>
      <c r="AH33" s="40" t="str">
        <f>IF(AND('Mapa final'!$AH$26="Media",'Mapa final'!$AJ$26="Mayor"),CONCATENATE("R2C",'Mapa final'!$R$26),"")</f>
        <v/>
      </c>
      <c r="AI33" s="41" t="e">
        <f>IF(AND('Mapa final'!#REF!="Media",'Mapa final'!#REF!="Catastrófico"),CONCATENATE("R2C",'Mapa final'!#REF!),"")</f>
        <v>#REF!</v>
      </c>
      <c r="AJ33" s="42" t="e">
        <f>IF(AND('Mapa final'!#REF!="Media",'Mapa final'!#REF!="Catastrófico"),CONCATENATE("R2C",'Mapa final'!#REF!),"")</f>
        <v>#REF!</v>
      </c>
      <c r="AK33" s="42" t="str">
        <f>IF(AND('Mapa final'!$AH$23="Media",'Mapa final'!$AJ$23="Catastrófico"),CONCATENATE("R2C",'Mapa final'!$R$23),"")</f>
        <v/>
      </c>
      <c r="AL33" s="42" t="str">
        <f>IF(AND('Mapa final'!$AH$24="Media",'Mapa final'!$AJ$24="Catastrófico"),CONCATENATE("R2C",'Mapa final'!$R$24),"")</f>
        <v/>
      </c>
      <c r="AM33" s="42" t="str">
        <f>IF(AND('Mapa final'!$AH$25="Media",'Mapa final'!$AJ$25="Catastrófico"),CONCATENATE("R2C",'Mapa final'!$R$25),"")</f>
        <v/>
      </c>
      <c r="AN33" s="43" t="str">
        <f>IF(AND('Mapa final'!$AH$26="Media",'Mapa final'!$AJ$26="Catastrófico"),CONCATENATE("R2C",'Mapa final'!$R$26),"")</f>
        <v/>
      </c>
      <c r="AO33" s="68"/>
      <c r="AP33" s="560"/>
      <c r="AQ33" s="561"/>
      <c r="AR33" s="561"/>
      <c r="AS33" s="561"/>
      <c r="AT33" s="561"/>
      <c r="AU33" s="562"/>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row>
    <row r="34" spans="2:77" ht="15" customHeight="1">
      <c r="B34" s="68"/>
      <c r="C34" s="430"/>
      <c r="D34" s="430"/>
      <c r="E34" s="431"/>
      <c r="F34" s="520"/>
      <c r="G34" s="521"/>
      <c r="H34" s="521"/>
      <c r="I34" s="521"/>
      <c r="J34" s="522"/>
      <c r="K34" s="53" t="str">
        <f>IF(AND('Mapa final'!$AH$27="Media",'Mapa final'!$AJ$27="Leve"),CONCATENATE("R2C",'Mapa final'!$R$27),"")</f>
        <v/>
      </c>
      <c r="L34" s="54" t="str">
        <f>IF(AND('Mapa final'!$AH$28="Media",'Mapa final'!$AJ$28="Leve"),CONCATENATE("R2C",'Mapa final'!$R$28),"")</f>
        <v/>
      </c>
      <c r="M34" s="54" t="str">
        <f>IF(AND('Mapa final'!$AH$29="Media",'Mapa final'!$AJ$29="Leve"),CONCATENATE("R2C",'Mapa final'!$R$29),"")</f>
        <v/>
      </c>
      <c r="N34" s="54" t="str">
        <f>IF(AND('Mapa final'!$AH$30="Media",'Mapa final'!$AJ$30="Leve"),CONCATENATE("R2C",'Mapa final'!$R$30),"")</f>
        <v/>
      </c>
      <c r="O34" s="54" t="str">
        <f>IF(AND('Mapa final'!$AH$31="Media",'Mapa final'!$AJ$31="Leve"),CONCATENATE("R2C",'Mapa final'!$R$31),"")</f>
        <v/>
      </c>
      <c r="P34" s="55" t="str">
        <f>IF(AND('Mapa final'!$AH$32="Media",'Mapa final'!$AJ$32="Leve"),CONCATENATE("R2C",'Mapa final'!$R$32),"")</f>
        <v/>
      </c>
      <c r="Q34" s="53" t="str">
        <f>IF(AND('Mapa final'!$AH$27="Media",'Mapa final'!$AJ$27="Menor"),CONCATENATE("R2C",'Mapa final'!$R$27),"")</f>
        <v/>
      </c>
      <c r="R34" s="54" t="str">
        <f>IF(AND('Mapa final'!$AH$28="Media",'Mapa final'!$AJ$28="Menor"),CONCATENATE("R2C",'Mapa final'!$R$28),"")</f>
        <v/>
      </c>
      <c r="S34" s="54" t="str">
        <f>IF(AND('Mapa final'!$AH$29="Media",'Mapa final'!$AJ$29="Menor"),CONCATENATE("R2C",'Mapa final'!$R$29),"")</f>
        <v/>
      </c>
      <c r="T34" s="54" t="str">
        <f>IF(AND('Mapa final'!$AH$30="Media",'Mapa final'!$AJ$30="Menor"),CONCATENATE("R2C",'Mapa final'!$R$30),"")</f>
        <v/>
      </c>
      <c r="U34" s="54" t="str">
        <f>IF(AND('Mapa final'!$AH$31="Media",'Mapa final'!$AJ$31="Menor"),CONCATENATE("R2C",'Mapa final'!$R$31),"")</f>
        <v/>
      </c>
      <c r="V34" s="55" t="str">
        <f>IF(AND('Mapa final'!$AH$32="Media",'Mapa final'!$AJ$32="Menor"),CONCATENATE("R2C",'Mapa final'!$R$32),"")</f>
        <v/>
      </c>
      <c r="W34" s="53" t="str">
        <f>IF(AND('Mapa final'!$AH$27="Media",'Mapa final'!$AJ$27="Moderado"),CONCATENATE("R2C",'Mapa final'!$R$27),"")</f>
        <v/>
      </c>
      <c r="X34" s="54" t="str">
        <f>IF(AND('Mapa final'!$AH$28="Media",'Mapa final'!$AJ$28="Moderado"),CONCATENATE("R2C",'Mapa final'!$R$28),"")</f>
        <v/>
      </c>
      <c r="Y34" s="54" t="str">
        <f>IF(AND('Mapa final'!$AH$29="Media",'Mapa final'!$AJ$29="Moderado"),CONCATENATE("R2C",'Mapa final'!$R$29),"")</f>
        <v/>
      </c>
      <c r="Z34" s="54" t="str">
        <f>IF(AND('Mapa final'!$AH$30="Media",'Mapa final'!$AJ$30="Moderado"),CONCATENATE("R2C",'Mapa final'!$R$30),"")</f>
        <v/>
      </c>
      <c r="AA34" s="54" t="str">
        <f>IF(AND('Mapa final'!$AH$31="Media",'Mapa final'!$AJ$31="Moderado"),CONCATENATE("R2C",'Mapa final'!$R$31),"")</f>
        <v/>
      </c>
      <c r="AB34" s="55" t="str">
        <f>IF(AND('Mapa final'!$AH$32="Media",'Mapa final'!$AJ$32="Moderado"),CONCATENATE("R2C",'Mapa final'!$R$32),"")</f>
        <v/>
      </c>
      <c r="AC34" s="38" t="str">
        <f>IF(AND('Mapa final'!$AH$27="Media",'Mapa final'!$AJ$27="Mayor"),CONCATENATE("R2C",'Mapa final'!$R$27),"")</f>
        <v/>
      </c>
      <c r="AD34" s="39" t="str">
        <f>IF(AND('Mapa final'!$AH$28="Media",'Mapa final'!$AJ$28="Mayor"),CONCATENATE("R2C",'Mapa final'!$R$28),"")</f>
        <v/>
      </c>
      <c r="AE34" s="39" t="str">
        <f>IF(AND('Mapa final'!$AH$29="Media",'Mapa final'!$AJ$29="Mayor"),CONCATENATE("R2C",'Mapa final'!$R$29),"")</f>
        <v/>
      </c>
      <c r="AF34" s="39" t="str">
        <f>IF(AND('Mapa final'!$AH$30="Media",'Mapa final'!$AJ$30="Mayor"),CONCATENATE("R2C",'Mapa final'!$R$30),"")</f>
        <v/>
      </c>
      <c r="AG34" s="39" t="str">
        <f>IF(AND('Mapa final'!$AH$31="Media",'Mapa final'!$AJ$31="Mayor"),CONCATENATE("R2C",'Mapa final'!$R$31),"")</f>
        <v/>
      </c>
      <c r="AH34" s="40" t="str">
        <f>IF(AND('Mapa final'!$AH$32="Media",'Mapa final'!$AJ$32="Mayor"),CONCATENATE("R2C",'Mapa final'!$R$32),"")</f>
        <v/>
      </c>
      <c r="AI34" s="41" t="str">
        <f>IF(AND('Mapa final'!$AH$27="Media",'Mapa final'!$AJ$27="Catastrófico"),CONCATENATE("R2C",'Mapa final'!$R$27),"")</f>
        <v/>
      </c>
      <c r="AJ34" s="42" t="str">
        <f>IF(AND('Mapa final'!$AH$28="Media",'Mapa final'!$AJ$28="Catastrófico"),CONCATENATE("R2C",'Mapa final'!$R$28),"")</f>
        <v/>
      </c>
      <c r="AK34" s="42" t="str">
        <f>IF(AND('Mapa final'!$AH$29="Media",'Mapa final'!$AJ$29="Catastrófico"),CONCATENATE("R2C",'Mapa final'!$R$29),"")</f>
        <v/>
      </c>
      <c r="AL34" s="42" t="str">
        <f>IF(AND('Mapa final'!$AH$30="Media",'Mapa final'!$AJ$30="Catastrófico"),CONCATENATE("R2C",'Mapa final'!$R$30),"")</f>
        <v/>
      </c>
      <c r="AM34" s="42" t="str">
        <f>IF(AND('Mapa final'!$AH$31="Media",'Mapa final'!$AJ$31="Catastrófico"),CONCATENATE("R2C",'Mapa final'!$R$31),"")</f>
        <v/>
      </c>
      <c r="AN34" s="43" t="str">
        <f>IF(AND('Mapa final'!$AH$32="Media",'Mapa final'!$AJ$32="Catastrófico"),CONCATENATE("R2C",'Mapa final'!$R$32),"")</f>
        <v/>
      </c>
      <c r="AO34" s="68"/>
      <c r="AP34" s="560"/>
      <c r="AQ34" s="561"/>
      <c r="AR34" s="561"/>
      <c r="AS34" s="561"/>
      <c r="AT34" s="561"/>
      <c r="AU34" s="562"/>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row>
    <row r="35" spans="2:77" ht="15" customHeight="1">
      <c r="B35" s="68"/>
      <c r="C35" s="430"/>
      <c r="D35" s="430"/>
      <c r="E35" s="431"/>
      <c r="F35" s="520"/>
      <c r="G35" s="521"/>
      <c r="H35" s="521"/>
      <c r="I35" s="521"/>
      <c r="J35" s="522"/>
      <c r="K35" s="53" t="str">
        <f>IF(AND('Mapa final'!$AH$33="Media",'Mapa final'!$AJ$33="Leve"),CONCATENATE("R2C",'Mapa final'!$R$33),"")</f>
        <v/>
      </c>
      <c r="L35" s="54" t="str">
        <f>IF(AND('Mapa final'!$AH$34="Media",'Mapa final'!$AJ$34="Leve"),CONCATENATE("R2C",'Mapa final'!$R$34),"")</f>
        <v/>
      </c>
      <c r="M35" s="54" t="str">
        <f>IF(AND('Mapa final'!$AH$35="Media",'Mapa final'!$AJ$35="Leve"),CONCATENATE("R2C",'Mapa final'!$R$35),"")</f>
        <v/>
      </c>
      <c r="N35" s="54" t="str">
        <f>IF(AND('Mapa final'!$AH$36="Media",'Mapa final'!$AJ$36="Leve"),CONCATENATE("R2C",'Mapa final'!$R$36),"")</f>
        <v/>
      </c>
      <c r="O35" s="54" t="str">
        <f>IF(AND('Mapa final'!$AH$37="Media",'Mapa final'!$AJ$37="Leve"),CONCATENATE("R2C",'Mapa final'!$R$37),"")</f>
        <v/>
      </c>
      <c r="P35" s="55" t="str">
        <f>IF(AND('Mapa final'!$AH$38="Media",'Mapa final'!$AJ$38="Leve"),CONCATENATE("R2C",'Mapa final'!$R$38),"")</f>
        <v/>
      </c>
      <c r="Q35" s="53" t="str">
        <f>IF(AND('Mapa final'!$AH$33="Media",'Mapa final'!$AJ$33="Menor"),CONCATENATE("R2C",'Mapa final'!$R$33),"")</f>
        <v/>
      </c>
      <c r="R35" s="54" t="str">
        <f>IF(AND('Mapa final'!$AH$34="Media",'Mapa final'!$AJ$34="Menor"),CONCATENATE("R2C",'Mapa final'!$R$34),"")</f>
        <v/>
      </c>
      <c r="S35" s="54" t="str">
        <f>IF(AND('Mapa final'!$AH$35="Media",'Mapa final'!$AJ$35="Menor"),CONCATENATE("R2C",'Mapa final'!$R$35),"")</f>
        <v/>
      </c>
      <c r="T35" s="54" t="str">
        <f>IF(AND('Mapa final'!$AH$36="Media",'Mapa final'!$AJ$36="Menor"),CONCATENATE("R2C",'Mapa final'!$R$36),"")</f>
        <v/>
      </c>
      <c r="U35" s="54" t="str">
        <f>IF(AND('Mapa final'!$AH$37="Media",'Mapa final'!$AJ$37="LMenor"),CONCATENATE("R2C",'Mapa final'!$R$37),"")</f>
        <v/>
      </c>
      <c r="V35" s="55" t="str">
        <f>IF(AND('Mapa final'!$AH$38="Media",'Mapa final'!$AJ$38="Menor"),CONCATENATE("R2C",'Mapa final'!$R$38),"")</f>
        <v/>
      </c>
      <c r="W35" s="53" t="str">
        <f>IF(AND('Mapa final'!$AH$33="Media",'Mapa final'!$AJ$33="Moderado"),CONCATENATE("R2C",'Mapa final'!$R$33),"")</f>
        <v/>
      </c>
      <c r="X35" s="54" t="str">
        <f>IF(AND('Mapa final'!$AH$34="Media",'Mapa final'!$AJ$34="Moderado"),CONCATENATE("R2C",'Mapa final'!$R$34),"")</f>
        <v/>
      </c>
      <c r="Y35" s="54" t="str">
        <f>IF(AND('Mapa final'!$AH$35="Media",'Mapa final'!$AJ$35="Moderado"),CONCATENATE("R2C",'Mapa final'!$R$35),"")</f>
        <v/>
      </c>
      <c r="Z35" s="54" t="str">
        <f>IF(AND('Mapa final'!$AH$36="Media",'Mapa final'!$AJ$36="Moderado"),CONCATENATE("R2C",'Mapa final'!$R$36),"")</f>
        <v/>
      </c>
      <c r="AA35" s="54" t="str">
        <f>IF(AND('Mapa final'!$AH$37="Media",'Mapa final'!$AJ$37="Moderado"),CONCATENATE("R2C",'Mapa final'!$R$37),"")</f>
        <v/>
      </c>
      <c r="AB35" s="55" t="str">
        <f>IF(AND('Mapa final'!$AH$38="Media",'Mapa final'!$AJ$38="Moderado"),CONCATENATE("R2C",'Mapa final'!$R$38),"")</f>
        <v/>
      </c>
      <c r="AC35" s="38" t="str">
        <f>IF(AND('Mapa final'!$AH$33="Media",'Mapa final'!$AJ$33="Mayor"),CONCATENATE("R2C",'Mapa final'!$R$33),"")</f>
        <v/>
      </c>
      <c r="AD35" s="39" t="str">
        <f>IF(AND('Mapa final'!$AH$34="Media",'Mapa final'!$AJ$34="Mayor"),CONCATENATE("R2C",'Mapa final'!$R$34),"")</f>
        <v/>
      </c>
      <c r="AE35" s="39" t="str">
        <f>IF(AND('Mapa final'!$AH$35="Media",'Mapa final'!$AJ$35="Mayor"),CONCATENATE("R2C",'Mapa final'!$R$35),"")</f>
        <v/>
      </c>
      <c r="AF35" s="39" t="str">
        <f>IF(AND('Mapa final'!$AH$36="Media",'Mapa final'!$AJ$36="Mayor"),CONCATENATE("R2C",'Mapa final'!$R$36),"")</f>
        <v/>
      </c>
      <c r="AG35" s="39" t="str">
        <f>IF(AND('Mapa final'!$AH$37="Media",'Mapa final'!$AJ$37="Mayor"),CONCATENATE("R2C",'Mapa final'!$R$37),"")</f>
        <v/>
      </c>
      <c r="AH35" s="40" t="str">
        <f>IF(AND('Mapa final'!$AH$38="Media",'Mapa final'!$AJ$38="Mayor"),CONCATENATE("R2C",'Mapa final'!$R$38),"")</f>
        <v/>
      </c>
      <c r="AI35" s="41" t="str">
        <f>IF(AND('Mapa final'!$AH$33="Media",'Mapa final'!$AJ$33="Catastrófico"),CONCATENATE("R2C",'Mapa final'!$R$33),"")</f>
        <v/>
      </c>
      <c r="AJ35" s="42" t="str">
        <f>IF(AND('Mapa final'!$AH$34="Media",'Mapa final'!$AJ$34="Catastrófico"),CONCATENATE("R2C",'Mapa final'!$R$34),"")</f>
        <v/>
      </c>
      <c r="AK35" s="42" t="str">
        <f>IF(AND('Mapa final'!$AH$35="Media",'Mapa final'!$AJ$35="Catastrófico"),CONCATENATE("R2C",'Mapa final'!$R$35),"")</f>
        <v/>
      </c>
      <c r="AL35" s="42" t="str">
        <f>IF(AND('Mapa final'!$AH$36="Media",'Mapa final'!$AJ$36="Catastrófico"),CONCATENATE("R2C",'Mapa final'!$R$36),"")</f>
        <v/>
      </c>
      <c r="AM35" s="42" t="str">
        <f>IF(AND('Mapa final'!$AH$37="Media",'Mapa final'!$AJ$37="LCatastrófico"),CONCATENATE("R2C",'Mapa final'!$R$37),"")</f>
        <v/>
      </c>
      <c r="AN35" s="43" t="str">
        <f>IF(AND('Mapa final'!$AH$38="Media",'Mapa final'!$AJ$38="Catastrófico"),CONCATENATE("R2C",'Mapa final'!$R$38),"")</f>
        <v/>
      </c>
      <c r="AO35" s="68"/>
      <c r="AP35" s="560"/>
      <c r="AQ35" s="561"/>
      <c r="AR35" s="561"/>
      <c r="AS35" s="561"/>
      <c r="AT35" s="561"/>
      <c r="AU35" s="562"/>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row>
    <row r="36" spans="2:77" ht="15" customHeight="1">
      <c r="B36" s="68"/>
      <c r="C36" s="430"/>
      <c r="D36" s="430"/>
      <c r="E36" s="431"/>
      <c r="F36" s="520"/>
      <c r="G36" s="521"/>
      <c r="H36" s="521"/>
      <c r="I36" s="521"/>
      <c r="J36" s="522"/>
      <c r="K36" s="53" t="str">
        <f>IF(AND('Mapa final'!$AH$39="Media",'Mapa final'!$AJ$39="Leve"),CONCATENATE("R2C",'Mapa final'!$R$39),"")</f>
        <v/>
      </c>
      <c r="L36" s="54" t="str">
        <f>IF(AND('Mapa final'!$AH$40="Media",'Mapa final'!$AJ$40="Leve"),CONCATENATE("R2C",'Mapa final'!$R$40),"")</f>
        <v/>
      </c>
      <c r="M36" s="54" t="str">
        <f>IF(AND('Mapa final'!$AH$41="Media",'Mapa final'!$AJ$41="Leve"),CONCATENATE("R2C",'Mapa final'!$R$41),"")</f>
        <v/>
      </c>
      <c r="N36" s="54" t="str">
        <f>IF(AND('Mapa final'!$AH$42="Media",'Mapa final'!$AJ$42="Leve"),CONCATENATE("R2C",'Mapa final'!$R$42),"")</f>
        <v/>
      </c>
      <c r="O36" s="54" t="str">
        <f>IF(AND('Mapa final'!$AH$43="Media",'Mapa final'!$AJ$43="Leve"),CONCATENATE("R2C",'Mapa final'!$R$43),"")</f>
        <v/>
      </c>
      <c r="P36" s="55" t="str">
        <f>IF(AND('Mapa final'!$AH$44="Media",'Mapa final'!$AJ$44="Leve"),CONCATENATE("R2C",'Mapa final'!$R$44),"")</f>
        <v/>
      </c>
      <c r="Q36" s="53" t="str">
        <f>IF(AND('Mapa final'!$AH$39="Media",'Mapa final'!$AJ$39="Menor"),CONCATENATE("R2C",'Mapa final'!$R$39),"")</f>
        <v/>
      </c>
      <c r="R36" s="54" t="str">
        <f>IF(AND('Mapa final'!$AH$40="Media",'Mapa final'!$AJ$40="Menor"),CONCATENATE("R2C",'Mapa final'!$R$40),"")</f>
        <v/>
      </c>
      <c r="S36" s="54" t="str">
        <f>IF(AND('Mapa final'!$AH$41="Media",'Mapa final'!$AJ$41="Menor"),CONCATENATE("R2C",'Mapa final'!$R$41),"")</f>
        <v/>
      </c>
      <c r="T36" s="54" t="str">
        <f>IF(AND('Mapa final'!$AH$42="Media",'Mapa final'!$AJ$42="Menor"),CONCATENATE("R2C",'Mapa final'!$R$42),"")</f>
        <v/>
      </c>
      <c r="U36" s="54" t="str">
        <f>IF(AND('Mapa final'!$AH$43="Media",'Mapa final'!$AJ$43="Menor"),CONCATENATE("R2C",'Mapa final'!$R$43),"")</f>
        <v/>
      </c>
      <c r="V36" s="55" t="str">
        <f>IF(AND('Mapa final'!$AH$44="Media",'Mapa final'!$AJ$44="Menor"),CONCATENATE("R2C",'Mapa final'!$R$44),"")</f>
        <v/>
      </c>
      <c r="W36" s="53" t="str">
        <f>IF(AND('Mapa final'!$AH$39="Media",'Mapa final'!$AJ$39="Moderado"),CONCATENATE("R2C",'Mapa final'!$R$39),"")</f>
        <v/>
      </c>
      <c r="X36" s="54" t="str">
        <f>IF(AND('Mapa final'!$AH$40="Media",'Mapa final'!$AJ$40="Moderado"),CONCATENATE("R2C",'Mapa final'!$R$40),"")</f>
        <v/>
      </c>
      <c r="Y36" s="54" t="str">
        <f>IF(AND('Mapa final'!$AH$41="Media",'Mapa final'!$AJ$41="Moderado"),CONCATENATE("R2C",'Mapa final'!$R$41),"")</f>
        <v/>
      </c>
      <c r="Z36" s="54" t="str">
        <f>IF(AND('Mapa final'!$AH$42="Media",'Mapa final'!$AJ$42="Moderado"),CONCATENATE("R2C",'Mapa final'!$R$42),"")</f>
        <v/>
      </c>
      <c r="AA36" s="54" t="str">
        <f>IF(AND('Mapa final'!$AH$43="Media",'Mapa final'!$AJ$43="Moderado"),CONCATENATE("R2C",'Mapa final'!$R$43),"")</f>
        <v/>
      </c>
      <c r="AB36" s="55" t="str">
        <f>IF(AND('Mapa final'!$AH$44="Media",'Mapa final'!$AJ$44="Moderado"),CONCATENATE("R2C",'Mapa final'!$R$44),"")</f>
        <v/>
      </c>
      <c r="AC36" s="38" t="str">
        <f>IF(AND('Mapa final'!$AH$39="Media",'Mapa final'!$AJ$39="Mayor"),CONCATENATE("R2C",'Mapa final'!$R$39),"")</f>
        <v/>
      </c>
      <c r="AD36" s="39" t="str">
        <f>IF(AND('Mapa final'!$AH$40="Media",'Mapa final'!$AJ$40="Mayor"),CONCATENATE("R2C",'Mapa final'!$R$40),"")</f>
        <v/>
      </c>
      <c r="AE36" s="39" t="str">
        <f>IF(AND('Mapa final'!$AH$41="Media",'Mapa final'!$AJ$41="Mayor"),CONCATENATE("R2C",'Mapa final'!$R$41),"")</f>
        <v/>
      </c>
      <c r="AF36" s="39" t="str">
        <f>IF(AND('Mapa final'!$AH$42="Media",'Mapa final'!$AJ$42="Mayor"),CONCATENATE("R2C",'Mapa final'!$R$42),"")</f>
        <v/>
      </c>
      <c r="AG36" s="39" t="str">
        <f>IF(AND('Mapa final'!$AH$43="Media",'Mapa final'!$AJ$43="Mayor"),CONCATENATE("R2C",'Mapa final'!$R$43),"")</f>
        <v/>
      </c>
      <c r="AH36" s="40" t="str">
        <f>IF(AND('Mapa final'!$AH$44="Media",'Mapa final'!$AJ$44="Mayor"),CONCATENATE("R2C",'Mapa final'!$R$44),"")</f>
        <v/>
      </c>
      <c r="AI36" s="41" t="str">
        <f>IF(AND('Mapa final'!$AH$39="Media",'Mapa final'!$AJ$39="Catastrófico"),CONCATENATE("R2C",'Mapa final'!$R$39),"")</f>
        <v/>
      </c>
      <c r="AJ36" s="42" t="str">
        <f>IF(AND('Mapa final'!$AH$40="Media",'Mapa final'!$AJ$40="Catastrófico"),CONCATENATE("R2C",'Mapa final'!$R$40),"")</f>
        <v/>
      </c>
      <c r="AK36" s="42" t="str">
        <f>IF(AND('Mapa final'!$AH$41="Media",'Mapa final'!$AJ$41="Catastrófico"),CONCATENATE("R2C",'Mapa final'!$R$41),"")</f>
        <v/>
      </c>
      <c r="AL36" s="42" t="str">
        <f>IF(AND('Mapa final'!$AH$42="Media",'Mapa final'!$AJ$42="Catastrófico"),CONCATENATE("R2C",'Mapa final'!$R$42),"")</f>
        <v/>
      </c>
      <c r="AM36" s="42" t="str">
        <f>IF(AND('Mapa final'!$AH$43="Media",'Mapa final'!$AJ$43="Catastrófico"),CONCATENATE("R2C",'Mapa final'!$R$43),"")</f>
        <v/>
      </c>
      <c r="AN36" s="43" t="str">
        <f>IF(AND('Mapa final'!$AH$44="Media",'Mapa final'!$AJ$44="Catastrófico"),CONCATENATE("R2C",'Mapa final'!$R$44),"")</f>
        <v/>
      </c>
      <c r="AO36" s="68"/>
      <c r="AP36" s="560"/>
      <c r="AQ36" s="561"/>
      <c r="AR36" s="561"/>
      <c r="AS36" s="561"/>
      <c r="AT36" s="561"/>
      <c r="AU36" s="562"/>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row>
    <row r="37" spans="2:77" ht="15" customHeight="1">
      <c r="B37" s="68"/>
      <c r="C37" s="430"/>
      <c r="D37" s="430"/>
      <c r="E37" s="431"/>
      <c r="F37" s="520"/>
      <c r="G37" s="521"/>
      <c r="H37" s="521"/>
      <c r="I37" s="521"/>
      <c r="J37" s="522"/>
      <c r="K37" s="53" t="str">
        <f>IF(AND('Mapa final'!$AH$45="Media",'Mapa final'!$AJ$45="Leve"),CONCATENATE("R2C",'Mapa final'!$R$45),"")</f>
        <v/>
      </c>
      <c r="L37" s="54" t="str">
        <f>IF(AND('Mapa final'!$AH$46="Media",'Mapa final'!$AJ$46="Leve"),CONCATENATE("R2C",'Mapa final'!$R$46),"")</f>
        <v/>
      </c>
      <c r="M37" s="54" t="str">
        <f>IF(AND('Mapa final'!$AH$47="Media",'Mapa final'!$AJ$47="Leve"),CONCATENATE("R2C",'Mapa final'!$R$47),"")</f>
        <v/>
      </c>
      <c r="N37" s="54" t="str">
        <f>IF(AND('Mapa final'!$AH$48="Media",'Mapa final'!$AJ$48="Leve"),CONCATENATE("R2C",'Mapa final'!$R$48),"")</f>
        <v/>
      </c>
      <c r="O37" s="54" t="str">
        <f>IF(AND('Mapa final'!$AH$49="Media",'Mapa final'!$AJ$49="Leve"),CONCATENATE("R2C",'Mapa final'!$R$49),"")</f>
        <v/>
      </c>
      <c r="P37" s="55" t="str">
        <f>IF(AND('Mapa final'!$AH$60="Media",'Mapa final'!$AJ$50="Leve"),CONCATENATE("R2C",'Mapa final'!$R$50),"")</f>
        <v/>
      </c>
      <c r="Q37" s="53" t="str">
        <f>IF(AND('Mapa final'!$AH$45="Media",'Mapa final'!$AJ$45="Menor"),CONCATENATE("R2C",'Mapa final'!$R$45),"")</f>
        <v/>
      </c>
      <c r="R37" s="54" t="str">
        <f>IF(AND('Mapa final'!$AH$46="Media",'Mapa final'!$AJ$46="Menor"),CONCATENATE("R2C",'Mapa final'!$R$46),"")</f>
        <v/>
      </c>
      <c r="S37" s="54" t="str">
        <f>IF(AND('Mapa final'!$AH$47="Media",'Mapa final'!$AJ$47="Menor"),CONCATENATE("R2C",'Mapa final'!$R$47),"")</f>
        <v/>
      </c>
      <c r="T37" s="54" t="str">
        <f>IF(AND('Mapa final'!$AH$48="Media",'Mapa final'!$AJ$48="Menor"),CONCATENATE("R2C",'Mapa final'!$R$48),"")</f>
        <v/>
      </c>
      <c r="U37" s="54" t="str">
        <f>IF(AND('Mapa final'!$AH$49="Media",'Mapa final'!$AJ$49="Menor"),CONCATENATE("R2C",'Mapa final'!$R$49),"")</f>
        <v/>
      </c>
      <c r="V37" s="55" t="str">
        <f>IF(AND('Mapa final'!$AH$60="Media",'Mapa final'!$AJ$50="Menor"),CONCATENATE("R2C",'Mapa final'!$R$50),"")</f>
        <v/>
      </c>
      <c r="W37" s="53" t="str">
        <f>IF(AND('Mapa final'!$AH$45="Media",'Mapa final'!$AJ$45="Moderado"),CONCATENATE("R2C",'Mapa final'!$R$45),"")</f>
        <v/>
      </c>
      <c r="X37" s="54" t="str">
        <f>IF(AND('Mapa final'!$AH$46="Media",'Mapa final'!$AJ$46="Moderado"),CONCATENATE("R2C",'Mapa final'!$R$46),"")</f>
        <v/>
      </c>
      <c r="Y37" s="54" t="str">
        <f>IF(AND('Mapa final'!$AH$47="Media",'Mapa final'!$AJ$47="Moderado"),CONCATENATE("R2C",'Mapa final'!$R$47),"")</f>
        <v/>
      </c>
      <c r="Z37" s="54" t="str">
        <f>IF(AND('Mapa final'!$AH$48="Media",'Mapa final'!$AJ$48="Moderado"),CONCATENATE("R2C",'Mapa final'!$R$48),"")</f>
        <v/>
      </c>
      <c r="AA37" s="54" t="str">
        <f>IF(AND('Mapa final'!$AH$49="Media",'Mapa final'!$AJ$49="Moderado"),CONCATENATE("R2C",'Mapa final'!$R$49),"")</f>
        <v/>
      </c>
      <c r="AB37" s="55" t="str">
        <f>IF(AND('Mapa final'!$AH$60="Media",'Mapa final'!$AJ$50="Moderado"),CONCATENATE("R2C",'Mapa final'!$R$50),"")</f>
        <v/>
      </c>
      <c r="AC37" s="38" t="str">
        <f>IF(AND('Mapa final'!$AH$45="Media",'Mapa final'!$AJ$45="Mayor"),CONCATENATE("R2C",'Mapa final'!$R$45),"")</f>
        <v/>
      </c>
      <c r="AD37" s="39" t="str">
        <f>IF(AND('Mapa final'!$AH$46="Media",'Mapa final'!$AJ$46="Mayor"),CONCATENATE("R2C",'Mapa final'!$R$46),"")</f>
        <v/>
      </c>
      <c r="AE37" s="39" t="str">
        <f>IF(AND('Mapa final'!$AH$47="Media",'Mapa final'!$AJ$47="Mayor"),CONCATENATE("R2C",'Mapa final'!$R$47),"")</f>
        <v/>
      </c>
      <c r="AF37" s="39" t="str">
        <f>IF(AND('Mapa final'!$AH$48="Media",'Mapa final'!$AJ$48="Mayor"),CONCATENATE("R2C",'Mapa final'!$R$48),"")</f>
        <v/>
      </c>
      <c r="AG37" s="39" t="str">
        <f>IF(AND('Mapa final'!$AH$49="Media",'Mapa final'!$AJ$49="Mayor"),CONCATENATE("R2C",'Mapa final'!$R$49),"")</f>
        <v/>
      </c>
      <c r="AH37" s="40" t="str">
        <f>IF(AND('Mapa final'!$AH$60="Media",'Mapa final'!$AJ$50="Mayor"),CONCATENATE("R2C",'Mapa final'!$R$50),"")</f>
        <v/>
      </c>
      <c r="AI37" s="41" t="str">
        <f>IF(AND('Mapa final'!$AH$45="Media",'Mapa final'!$AJ$45="Catastrófico"),CONCATENATE("R2C",'Mapa final'!$R$45),"")</f>
        <v/>
      </c>
      <c r="AJ37" s="42" t="str">
        <f>IF(AND('Mapa final'!$AH$46="Media",'Mapa final'!$AJ$46="Catastrófico"),CONCATENATE("R2C",'Mapa final'!$R$46),"")</f>
        <v/>
      </c>
      <c r="AK37" s="42" t="str">
        <f>IF(AND('Mapa final'!$AH$47="Media",'Mapa final'!$AJ$47="Catastrófico"),CONCATENATE("R2C",'Mapa final'!$R$47),"")</f>
        <v/>
      </c>
      <c r="AL37" s="42" t="str">
        <f>IF(AND('Mapa final'!$AH$48="Media",'Mapa final'!$AJ$48="Catastrófico"),CONCATENATE("R2C",'Mapa final'!$R$48),"")</f>
        <v/>
      </c>
      <c r="AM37" s="42" t="str">
        <f>IF(AND('Mapa final'!$AH$49="Media",'Mapa final'!$AJ$49="Catastrófico"),CONCATENATE("R2C",'Mapa final'!$R$49),"")</f>
        <v/>
      </c>
      <c r="AN37" s="43" t="str">
        <f>IF(AND('Mapa final'!$AH$60="Media",'Mapa final'!$AJ$50="Catastrófico"),CONCATENATE("R2C",'Mapa final'!$R$50),"")</f>
        <v/>
      </c>
      <c r="AO37" s="68"/>
      <c r="AP37" s="560"/>
      <c r="AQ37" s="561"/>
      <c r="AR37" s="561"/>
      <c r="AS37" s="561"/>
      <c r="AT37" s="561"/>
      <c r="AU37" s="562"/>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row>
    <row r="38" spans="2:77" ht="15" customHeight="1">
      <c r="B38" s="68"/>
      <c r="C38" s="430"/>
      <c r="D38" s="430"/>
      <c r="E38" s="431"/>
      <c r="F38" s="520"/>
      <c r="G38" s="521"/>
      <c r="H38" s="521"/>
      <c r="I38" s="521"/>
      <c r="J38" s="522"/>
      <c r="K38" s="53" t="str">
        <f>IF(AND('Mapa final'!$AH$51="Media",'Mapa final'!$AJ$51="Leve"),CONCATENATE("R2C",'Mapa final'!$R$51),"")</f>
        <v/>
      </c>
      <c r="L38" s="54" t="str">
        <f>IF(AND('Mapa final'!$AH$52="Media",'Mapa final'!$AJ$52="Leve"),CONCATENATE("R2C",'Mapa final'!$R$52),"")</f>
        <v/>
      </c>
      <c r="M38" s="54" t="str">
        <f>IF(AND('Mapa final'!$AH$53="Media",'Mapa final'!$AJ$53="Leve"),CONCATENATE("R2C",'Mapa final'!$R$53),"")</f>
        <v/>
      </c>
      <c r="N38" s="54" t="str">
        <f>IF(AND('Mapa final'!$AH$54="Media",'Mapa final'!$AJ$54="Leve"),CONCATENATE("R2C",'Mapa final'!$R$54),"")</f>
        <v/>
      </c>
      <c r="O38" s="54" t="str">
        <f>IF(AND('Mapa final'!$AH$55="Media",'Mapa final'!$AJ$55="Leve"),CONCATENATE("R2C",'Mapa final'!$R$55),"")</f>
        <v/>
      </c>
      <c r="P38" s="55" t="str">
        <f>IF(AND('Mapa final'!$AH$56="Media",'Mapa final'!$AJ$56="Leve"),CONCATENATE("R2C",'Mapa final'!$R$56),"")</f>
        <v/>
      </c>
      <c r="Q38" s="53" t="str">
        <f>IF(AND('Mapa final'!$AH$51="Media",'Mapa final'!$AJ$51="Menor"),CONCATENATE("R2C",'Mapa final'!$R$51),"")</f>
        <v/>
      </c>
      <c r="R38" s="54" t="str">
        <f>IF(AND('Mapa final'!$AH$52="Media",'Mapa final'!$AJ$52="Menor"),CONCATENATE("R2C",'Mapa final'!$R$52),"")</f>
        <v/>
      </c>
      <c r="S38" s="54" t="str">
        <f>IF(AND('Mapa final'!$AH$53="Media",'Mapa final'!$AJ$53="Menor"),CONCATENATE("R2C",'Mapa final'!$R$53),"")</f>
        <v/>
      </c>
      <c r="T38" s="54" t="str">
        <f>IF(AND('Mapa final'!$AH$54="Media",'Mapa final'!$AJ$54="Menor"),CONCATENATE("R2C",'Mapa final'!$R$54),"")</f>
        <v/>
      </c>
      <c r="U38" s="54" t="str">
        <f>IF(AND('Mapa final'!$AH$55="Media",'Mapa final'!$AJ$55="Menor"),CONCATENATE("R2C",'Mapa final'!$R$55),"")</f>
        <v/>
      </c>
      <c r="V38" s="55" t="str">
        <f>IF(AND('Mapa final'!$AH$56="Media",'Mapa final'!$AJ$56="Menor"),CONCATENATE("R2C",'Mapa final'!$R$56),"")</f>
        <v/>
      </c>
      <c r="W38" s="53" t="str">
        <f>IF(AND('Mapa final'!$AH$51="Media",'Mapa final'!$AJ$51="Moderado"),CONCATENATE("R2C",'Mapa final'!$R$51),"")</f>
        <v/>
      </c>
      <c r="X38" s="54" t="str">
        <f>IF(AND('Mapa final'!$AH$52="Media",'Mapa final'!$AJ$52="Moderado"),CONCATENATE("R2C",'Mapa final'!$R$52),"")</f>
        <v/>
      </c>
      <c r="Y38" s="54" t="str">
        <f>IF(AND('Mapa final'!$AH$53="Media",'Mapa final'!$AJ$53="Moderado"),CONCATENATE("R2C",'Mapa final'!$R$53),"")</f>
        <v/>
      </c>
      <c r="Z38" s="54" t="str">
        <f>IF(AND('Mapa final'!$AH$54="Media",'Mapa final'!$AJ$54="Moderado"),CONCATENATE("R2C",'Mapa final'!$R$54),"")</f>
        <v/>
      </c>
      <c r="AA38" s="54" t="str">
        <f>IF(AND('Mapa final'!$AH$55="Media",'Mapa final'!$AJ$55="Moderado"),CONCATENATE("R2C",'Mapa final'!$R$55),"")</f>
        <v/>
      </c>
      <c r="AB38" s="55" t="str">
        <f>IF(AND('Mapa final'!$AH$56="Media",'Mapa final'!$AJ$56="Moderado"),CONCATENATE("R2C",'Mapa final'!$R$56),"")</f>
        <v/>
      </c>
      <c r="AC38" s="38" t="str">
        <f>IF(AND('Mapa final'!$AH$51="Media",'Mapa final'!$AJ$51="Mayor"),CONCATENATE("R2C",'Mapa final'!$R$51),"")</f>
        <v/>
      </c>
      <c r="AD38" s="39" t="str">
        <f>IF(AND('Mapa final'!$AH$52="Media",'Mapa final'!$AJ$52="Mayor"),CONCATENATE("R2C",'Mapa final'!$R$52),"")</f>
        <v/>
      </c>
      <c r="AE38" s="39" t="str">
        <f>IF(AND('Mapa final'!$AH$53="Media",'Mapa final'!$AJ$53="Mayor"),CONCATENATE("R2C",'Mapa final'!$R$53),"")</f>
        <v/>
      </c>
      <c r="AF38" s="39" t="str">
        <f>IF(AND('Mapa final'!$AH$54="Media",'Mapa final'!$AJ$54="Mayor"),CONCATENATE("R2C",'Mapa final'!$R$54),"")</f>
        <v/>
      </c>
      <c r="AG38" s="39" t="str">
        <f>IF(AND('Mapa final'!$AH$55="Media",'Mapa final'!$AJ$55="Mayor"),CONCATENATE("R2C",'Mapa final'!$R$55),"")</f>
        <v/>
      </c>
      <c r="AH38" s="40" t="str">
        <f>IF(AND('Mapa final'!$AH$56="Media",'Mapa final'!$AJ$56="Mayor"),CONCATENATE("R2C",'Mapa final'!$R$56),"")</f>
        <v/>
      </c>
      <c r="AI38" s="41" t="str">
        <f>IF(AND('Mapa final'!$AH$51="Media",'Mapa final'!$AJ$51="Catastrófico"),CONCATENATE("R2C",'Mapa final'!$R$51),"")</f>
        <v/>
      </c>
      <c r="AJ38" s="42" t="str">
        <f>IF(AND('Mapa final'!$AH$52="Media",'Mapa final'!$AJ$52="Catastrófico"),CONCATENATE("R2C",'Mapa final'!$R$52),"")</f>
        <v/>
      </c>
      <c r="AK38" s="42" t="str">
        <f>IF(AND('Mapa final'!$AH$53="Media",'Mapa final'!$AJ$53="Catastrófico"),CONCATENATE("R2C",'Mapa final'!$R$53),"")</f>
        <v/>
      </c>
      <c r="AL38" s="42" t="str">
        <f>IF(AND('Mapa final'!$AH$54="Media",'Mapa final'!$AJ$54="Catastrófico"),CONCATENATE("R2C",'Mapa final'!$R$54),"")</f>
        <v/>
      </c>
      <c r="AM38" s="42" t="str">
        <f>IF(AND('Mapa final'!$AH$55="Media",'Mapa final'!$AJ$55="Catastrófico"),CONCATENATE("R2C",'Mapa final'!$R$55),"")</f>
        <v/>
      </c>
      <c r="AN38" s="43" t="str">
        <f>IF(AND('Mapa final'!$AH$56="Media",'Mapa final'!$AJ$56="Catastrófico"),CONCATENATE("R2C",'Mapa final'!$R$56),"")</f>
        <v/>
      </c>
      <c r="AO38" s="68"/>
      <c r="AP38" s="560"/>
      <c r="AQ38" s="561"/>
      <c r="AR38" s="561"/>
      <c r="AS38" s="561"/>
      <c r="AT38" s="561"/>
      <c r="AU38" s="562"/>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row>
    <row r="39" spans="2:77" ht="15" customHeight="1">
      <c r="B39" s="68"/>
      <c r="C39" s="430"/>
      <c r="D39" s="430"/>
      <c r="E39" s="431"/>
      <c r="F39" s="520"/>
      <c r="G39" s="521"/>
      <c r="H39" s="521"/>
      <c r="I39" s="521"/>
      <c r="J39" s="522"/>
      <c r="K39" s="53" t="str">
        <f>IF(AND('Mapa final'!$AH$57="Media",'Mapa final'!$AJ$57="Leve"),CONCATENATE("R2C",'Mapa final'!$R$57),"")</f>
        <v/>
      </c>
      <c r="L39" s="54" t="str">
        <f>IF(AND('Mapa final'!$AH$58="Media",'Mapa final'!$AJ$58="Leve"),CONCATENATE("R2C",'Mapa final'!$R$58),"")</f>
        <v/>
      </c>
      <c r="M39" s="54" t="str">
        <f>IF(AND('Mapa final'!$AH$59="Media",'Mapa final'!$AJ$59="Leve"),CONCATENATE("R2C",'Mapa final'!$R$59),"")</f>
        <v/>
      </c>
      <c r="N39" s="54" t="str">
        <f>IF(AND('Mapa final'!$AH$60="Media",'Mapa final'!$AJ$60="Leve"),CONCATENATE("R2C",'Mapa final'!$R$60),"")</f>
        <v/>
      </c>
      <c r="O39" s="54" t="str">
        <f>IF(AND('Mapa final'!$AH$61="Media",'Mapa final'!$AJ$61="Leve"),CONCATENATE("R2C",'Mapa final'!$R$61),"")</f>
        <v/>
      </c>
      <c r="P39" s="55" t="str">
        <f>IF(AND('Mapa final'!$AH$62="Media",'Mapa final'!$AJ$62="Leve"),CONCATENATE("R2C",'Mapa final'!$R$62),"")</f>
        <v/>
      </c>
      <c r="Q39" s="53" t="str">
        <f>IF(AND('Mapa final'!$AH$57="Media",'Mapa final'!$AJ$57="Menor"),CONCATENATE("R2C",'Mapa final'!$R$57),"")</f>
        <v/>
      </c>
      <c r="R39" s="54" t="str">
        <f>IF(AND('Mapa final'!$AH$58="Media",'Mapa final'!$AJ$58="Menor"),CONCATENATE("R2C",'Mapa final'!$R$58),"")</f>
        <v/>
      </c>
      <c r="S39" s="54" t="str">
        <f>IF(AND('Mapa final'!$AH$59="Media",'Mapa final'!$AJ$59="Menor"),CONCATENATE("R2C",'Mapa final'!$R$59),"")</f>
        <v/>
      </c>
      <c r="T39" s="54" t="str">
        <f>IF(AND('Mapa final'!$AH$60="Media",'Mapa final'!$AJ$60="Menor"),CONCATENATE("R2C",'Mapa final'!$R$60),"")</f>
        <v/>
      </c>
      <c r="U39" s="54" t="str">
        <f>IF(AND('Mapa final'!$AH$61="Media",'Mapa final'!$AJ$61="Menor"),CONCATENATE("R2C",'Mapa final'!$R$61),"")</f>
        <v/>
      </c>
      <c r="V39" s="55" t="str">
        <f>IF(AND('Mapa final'!$AH$62="Media",'Mapa final'!$AJ$62="Menor"),CONCATENATE("R2C",'Mapa final'!$R$62),"")</f>
        <v/>
      </c>
      <c r="W39" s="53" t="str">
        <f>IF(AND('Mapa final'!$AH$57="Media",'Mapa final'!$AJ$57="Moderado"),CONCATENATE("R2C",'Mapa final'!$R$57),"")</f>
        <v/>
      </c>
      <c r="X39" s="54" t="str">
        <f>IF(AND('Mapa final'!$AH$58="Media",'Mapa final'!$AJ$58="Moderado"),CONCATENATE("R2C",'Mapa final'!$R$58),"")</f>
        <v/>
      </c>
      <c r="Y39" s="54" t="str">
        <f>IF(AND('Mapa final'!$AH$59="Media",'Mapa final'!$AJ$59="Moderado"),CONCATENATE("R2C",'Mapa final'!$R$59),"")</f>
        <v/>
      </c>
      <c r="Z39" s="54" t="str">
        <f>IF(AND('Mapa final'!$AH$60="Media",'Mapa final'!$AJ$60="Moderado"),CONCATENATE("R2C",'Mapa final'!$R$60),"")</f>
        <v/>
      </c>
      <c r="AA39" s="54" t="str">
        <f>IF(AND('Mapa final'!$AH$61="Media",'Mapa final'!$AJ$61="Moderado"),CONCATENATE("R2C",'Mapa final'!$R$61),"")</f>
        <v/>
      </c>
      <c r="AB39" s="55" t="str">
        <f>IF(AND('Mapa final'!$AH$62="Media",'Mapa final'!$AJ$62="Moderado"),CONCATENATE("R2C",'Mapa final'!$R$62),"")</f>
        <v/>
      </c>
      <c r="AC39" s="38" t="str">
        <f>IF(AND('Mapa final'!$AH$57="Media",'Mapa final'!$AJ$57="Mayor"),CONCATENATE("R2C",'Mapa final'!$R$57),"")</f>
        <v/>
      </c>
      <c r="AD39" s="39" t="str">
        <f>IF(AND('Mapa final'!$AH$58="Media",'Mapa final'!$AJ$58="Mayor"),CONCATENATE("R2C",'Mapa final'!$R$58),"")</f>
        <v/>
      </c>
      <c r="AE39" s="39" t="str">
        <f>IF(AND('Mapa final'!$AH$59="Media",'Mapa final'!$AJ$59="Mayor"),CONCATENATE("R2C",'Mapa final'!$R$59),"")</f>
        <v/>
      </c>
      <c r="AF39" s="39" t="str">
        <f>IF(AND('Mapa final'!$AH$60="Media",'Mapa final'!$AJ$60="Mayor"),CONCATENATE("R2C",'Mapa final'!$R$60),"")</f>
        <v/>
      </c>
      <c r="AG39" s="39" t="str">
        <f>IF(AND('Mapa final'!$AH$61="Media",'Mapa final'!$AJ$61="Mayor"),CONCATENATE("R2C",'Mapa final'!$R$61),"")</f>
        <v/>
      </c>
      <c r="AH39" s="40" t="str">
        <f>IF(AND('Mapa final'!$AH$62="Media",'Mapa final'!$AJ$62="Mayor"),CONCATENATE("R2C",'Mapa final'!$R$62),"")</f>
        <v/>
      </c>
      <c r="AI39" s="41" t="str">
        <f>IF(AND('Mapa final'!$AH$57="Media",'Mapa final'!$AJ$57="Catastrófico"),CONCATENATE("R2C",'Mapa final'!$R$57),"")</f>
        <v/>
      </c>
      <c r="AJ39" s="42" t="str">
        <f>IF(AND('Mapa final'!$AH$58="Media",'Mapa final'!$AJ$58="Catastrófico"),CONCATENATE("R2C",'Mapa final'!$R$58),"")</f>
        <v/>
      </c>
      <c r="AK39" s="42" t="str">
        <f>IF(AND('Mapa final'!$AH$59="Media",'Mapa final'!$AJ$59="Catastrófico"),CONCATENATE("R2C",'Mapa final'!$R$59),"")</f>
        <v/>
      </c>
      <c r="AL39" s="42" t="str">
        <f>IF(AND('Mapa final'!$AH$60="Media",'Mapa final'!$AJ$60="Catastrófico"),CONCATENATE("R2C",'Mapa final'!$R$60),"")</f>
        <v/>
      </c>
      <c r="AM39" s="42" t="str">
        <f>IF(AND('Mapa final'!$AH$61="Media",'Mapa final'!$AJ$61="Catastrófico"),CONCATENATE("R2C",'Mapa final'!$R$61),"")</f>
        <v/>
      </c>
      <c r="AN39" s="43" t="str">
        <f>IF(AND('Mapa final'!$AH$62="Media",'Mapa final'!$AJ$62="Catastrófico"),CONCATENATE("R2C",'Mapa final'!$R$62),"")</f>
        <v/>
      </c>
      <c r="AO39" s="68"/>
      <c r="AP39" s="560"/>
      <c r="AQ39" s="561"/>
      <c r="AR39" s="561"/>
      <c r="AS39" s="561"/>
      <c r="AT39" s="561"/>
      <c r="AU39" s="562"/>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row>
    <row r="40" spans="2:77" ht="15" customHeight="1">
      <c r="B40" s="68"/>
      <c r="C40" s="430"/>
      <c r="D40" s="430"/>
      <c r="E40" s="431"/>
      <c r="F40" s="520"/>
      <c r="G40" s="521"/>
      <c r="H40" s="521"/>
      <c r="I40" s="521"/>
      <c r="J40" s="522"/>
      <c r="K40" s="53" t="str">
        <f>IF(AND('Mapa final'!$AH$63="Media",'Mapa final'!$AJ$63="Leve"),CONCATENATE("R2C",'Mapa final'!$R$63),"")</f>
        <v/>
      </c>
      <c r="L40" s="54" t="str">
        <f>IF(AND('Mapa final'!$AH$64="Media",'Mapa final'!$AJ$64="Leve"),CONCATENATE("R2C",'Mapa final'!$R$64),"")</f>
        <v/>
      </c>
      <c r="M40" s="54" t="str">
        <f>IF(AND('Mapa final'!$AH$65="Media",'Mapa final'!$AJ$65="Leve"),CONCATENATE("R2C",'Mapa final'!$R$65),"")</f>
        <v/>
      </c>
      <c r="N40" s="54" t="str">
        <f>IF(AND('Mapa final'!$AH$66="Media",'Mapa final'!$AJ$66="Leve"),CONCATENATE("R2C",'Mapa final'!$R$66),"")</f>
        <v/>
      </c>
      <c r="O40" s="54" t="str">
        <f>IF(AND('Mapa final'!$AH$67="Media",'Mapa final'!$AJ$67="Leve"),CONCATENATE("R2C",'Mapa final'!$R$67),"")</f>
        <v/>
      </c>
      <c r="P40" s="55" t="str">
        <f>IF(AND('Mapa final'!$AH$68="Media",'Mapa final'!$AJ$68="Leve"),CONCATENATE("R2C",'Mapa final'!$R$68),"")</f>
        <v/>
      </c>
      <c r="Q40" s="53" t="str">
        <f>IF(AND('Mapa final'!$AH$63="Media",'Mapa final'!$AJ$63="Menor"),CONCATENATE("R2C",'Mapa final'!$R$63),"")</f>
        <v/>
      </c>
      <c r="R40" s="54" t="str">
        <f>IF(AND('Mapa final'!$AH$64="Media",'Mapa final'!$AJ$64="Menor"),CONCATENATE("R2C",'Mapa final'!$R$64),"")</f>
        <v/>
      </c>
      <c r="S40" s="54" t="str">
        <f>IF(AND('Mapa final'!$AH$65="Media",'Mapa final'!$AJ$65="Menor"),CONCATENATE("R2C",'Mapa final'!$R$65),"")</f>
        <v/>
      </c>
      <c r="T40" s="54" t="str">
        <f>IF(AND('Mapa final'!$AH$66="Media",'Mapa final'!$AJ$66="Menor"),CONCATENATE("R2C",'Mapa final'!$R$66),"")</f>
        <v/>
      </c>
      <c r="U40" s="54" t="str">
        <f>IF(AND('Mapa final'!$AH$67="Media",'Mapa final'!$AJ$67="Menor"),CONCATENATE("R2C",'Mapa final'!$R$67),"")</f>
        <v/>
      </c>
      <c r="V40" s="55" t="str">
        <f>IF(AND('Mapa final'!$AH$68="Media",'Mapa final'!$AJ$68="Menor"),CONCATENATE("R2C",'Mapa final'!$R$68),"")</f>
        <v/>
      </c>
      <c r="W40" s="53" t="str">
        <f>IF(AND('Mapa final'!$AH$63="Media",'Mapa final'!$AJ$63="Moderado"),CONCATENATE("R2C",'Mapa final'!$R$63),"")</f>
        <v/>
      </c>
      <c r="X40" s="54" t="str">
        <f>IF(AND('Mapa final'!$AH$64="Media",'Mapa final'!$AJ$64="Moderado"),CONCATENATE("R2C",'Mapa final'!$R$64),"")</f>
        <v/>
      </c>
      <c r="Y40" s="54" t="str">
        <f>IF(AND('Mapa final'!$AH$65="Media",'Mapa final'!$AJ$65="Moderado"),CONCATENATE("R2C",'Mapa final'!$R$65),"")</f>
        <v/>
      </c>
      <c r="Z40" s="54" t="str">
        <f>IF(AND('Mapa final'!$AH$66="Media",'Mapa final'!$AJ$66="Moderado"),CONCATENATE("R2C",'Mapa final'!$R$66),"")</f>
        <v/>
      </c>
      <c r="AA40" s="54" t="str">
        <f>IF(AND('Mapa final'!$AH$67="Media",'Mapa final'!$AJ$67="Moderado"),CONCATENATE("R2C",'Mapa final'!$R$67),"")</f>
        <v/>
      </c>
      <c r="AB40" s="55" t="str">
        <f>IF(AND('Mapa final'!$AH$68="Media",'Mapa final'!$AJ$68="Moderado"),CONCATENATE("R2C",'Mapa final'!$R$68),"")</f>
        <v/>
      </c>
      <c r="AC40" s="38" t="str">
        <f>IF(AND('Mapa final'!$AH$63="Media",'Mapa final'!$AJ$63="Mayor"),CONCATENATE("R2C",'Mapa final'!$R$63),"")</f>
        <v/>
      </c>
      <c r="AD40" s="39" t="str">
        <f>IF(AND('Mapa final'!$AH$64="Media",'Mapa final'!$AJ$64="Mayor"),CONCATENATE("R2C",'Mapa final'!$R$64),"")</f>
        <v/>
      </c>
      <c r="AE40" s="39" t="str">
        <f>IF(AND('Mapa final'!$AH$65="Media",'Mapa final'!$AJ$65="Mayor"),CONCATENATE("R2C",'Mapa final'!$R$65),"")</f>
        <v/>
      </c>
      <c r="AF40" s="39" t="str">
        <f>IF(AND('Mapa final'!$AH$66="Media",'Mapa final'!$AJ$66="Mayor"),CONCATENATE("R2C",'Mapa final'!$R$66),"")</f>
        <v/>
      </c>
      <c r="AG40" s="39" t="str">
        <f>IF(AND('Mapa final'!$AH$67="Media",'Mapa final'!$AJ$67="Mayor"),CONCATENATE("R2C",'Mapa final'!$R$67),"")</f>
        <v/>
      </c>
      <c r="AH40" s="40" t="str">
        <f>IF(AND('Mapa final'!$AH$68="Media",'Mapa final'!$AJ$68="Mayor"),CONCATENATE("R2C",'Mapa final'!$R$68),"")</f>
        <v/>
      </c>
      <c r="AI40" s="41" t="str">
        <f>IF(AND('Mapa final'!$AH$63="Media",'Mapa final'!$AJ$63="Catastrófico"),CONCATENATE("R2C",'Mapa final'!$R$63),"")</f>
        <v/>
      </c>
      <c r="AJ40" s="42" t="str">
        <f>IF(AND('Mapa final'!$AH$64="Media",'Mapa final'!$AJ$64="Catastrófico"),CONCATENATE("R2C",'Mapa final'!$R$64),"")</f>
        <v/>
      </c>
      <c r="AK40" s="42" t="str">
        <f>IF(AND('Mapa final'!$AH$65="Media",'Mapa final'!$AJ$65="Catastrófico"),CONCATENATE("R2C",'Mapa final'!$R$65),"")</f>
        <v/>
      </c>
      <c r="AL40" s="42" t="str">
        <f>IF(AND('Mapa final'!$AH$66="Media",'Mapa final'!$AJ$66="Catastrófico"),CONCATENATE("R2C",'Mapa final'!$R$66),"")</f>
        <v/>
      </c>
      <c r="AM40" s="42" t="str">
        <f>IF(AND('Mapa final'!$AH$67="Media",'Mapa final'!$AJ$67="Catastrófico"),CONCATENATE("R2C",'Mapa final'!$R$67),"")</f>
        <v/>
      </c>
      <c r="AN40" s="43" t="str">
        <f>IF(AND('Mapa final'!$AH$68="Media",'Mapa final'!$AJ$68="Catastrófico"),CONCATENATE("R2C",'Mapa final'!$R$68),"")</f>
        <v/>
      </c>
      <c r="AO40" s="68"/>
      <c r="AP40" s="560"/>
      <c r="AQ40" s="561"/>
      <c r="AR40" s="561"/>
      <c r="AS40" s="561"/>
      <c r="AT40" s="561"/>
      <c r="AU40" s="562"/>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row>
    <row r="41" spans="2:77" ht="15.75" customHeight="1" thickBot="1">
      <c r="B41" s="68"/>
      <c r="C41" s="430"/>
      <c r="D41" s="430"/>
      <c r="E41" s="431"/>
      <c r="F41" s="523"/>
      <c r="G41" s="524"/>
      <c r="H41" s="524"/>
      <c r="I41" s="524"/>
      <c r="J41" s="525"/>
      <c r="K41" s="53" t="str">
        <f>IF(AND('Mapa final'!$AH$69="Media",'Mapa final'!$AJ$69="Leve"),CONCATENATE("R2C",'Mapa final'!$R$69),"")</f>
        <v/>
      </c>
      <c r="L41" s="54" t="str">
        <f>IF(AND('Mapa final'!$AH$70="Media",'Mapa final'!$AJ$70="Leve"),CONCATENATE("R2C",'Mapa final'!$R$70),"")</f>
        <v/>
      </c>
      <c r="M41" s="54" t="str">
        <f>IF(AND('Mapa final'!$AH$71="Media",'Mapa final'!$AJ$71="Leve"),CONCATENATE("R2C",'Mapa final'!$R$71),"")</f>
        <v/>
      </c>
      <c r="N41" s="54" t="str">
        <f>IF(AND('Mapa final'!$AH$72="Media",'Mapa final'!$AJ$72="Leve"),CONCATENATE("R2C",'Mapa final'!$R$72),"")</f>
        <v/>
      </c>
      <c r="O41" s="54" t="str">
        <f>IF(AND('Mapa final'!$AH$74="Media",'Mapa final'!$AJ$74="Leve"),CONCATENATE("R2C",'Mapa final'!$R$74),"")</f>
        <v/>
      </c>
      <c r="P41" s="55" t="str">
        <f>IF(AND('Mapa final'!$AH$75="Media",'Mapa final'!$AJ$75="Leve"),CONCATENATE("R2C",'Mapa final'!$R$75),"")</f>
        <v/>
      </c>
      <c r="Q41" s="53" t="str">
        <f>IF(AND('Mapa final'!$AH$69="Media",'Mapa final'!$AJ$69="Menor"),CONCATENATE("R2C",'Mapa final'!$R$69),"")</f>
        <v/>
      </c>
      <c r="R41" s="54" t="str">
        <f>IF(AND('Mapa final'!$AH$70="Media",'Mapa final'!$AJ$70="Menor"),CONCATENATE("R2C",'Mapa final'!$R$70),"")</f>
        <v/>
      </c>
      <c r="S41" s="54" t="str">
        <f>IF(AND('Mapa final'!$AH$71="Media",'Mapa final'!$AJ$71="Menor"),CONCATENATE("R2C",'Mapa final'!$R$71),"")</f>
        <v/>
      </c>
      <c r="T41" s="54" t="str">
        <f>IF(AND('Mapa final'!$AH$72="Media",'Mapa final'!$AJ$72="Menor"),CONCATENATE("R2C",'Mapa final'!$R$72),"")</f>
        <v/>
      </c>
      <c r="U41" s="54" t="str">
        <f>IF(AND('Mapa final'!$AH$74="Media",'Mapa final'!$AJ$74="Menor"),CONCATENATE("R2C",'Mapa final'!$R$74),"")</f>
        <v/>
      </c>
      <c r="V41" s="55" t="str">
        <f>IF(AND('Mapa final'!$AH$75="Media",'Mapa final'!$AJ$75="Menor"),CONCATENATE("R2C",'Mapa final'!$R$75),"")</f>
        <v/>
      </c>
      <c r="W41" s="53" t="str">
        <f>IF(AND('Mapa final'!$AH$69="Media",'Mapa final'!$AJ$69="Moderado"),CONCATENATE("R2C",'Mapa final'!$R$69),"")</f>
        <v/>
      </c>
      <c r="X41" s="54" t="str">
        <f>IF(AND('Mapa final'!$AH$70="Media",'Mapa final'!$AJ$70="Moderado"),CONCATENATE("R2C",'Mapa final'!$R$70),"")</f>
        <v/>
      </c>
      <c r="Y41" s="54" t="str">
        <f>IF(AND('Mapa final'!$AH$71="Media",'Mapa final'!$AJ$71="Moderado"),CONCATENATE("R2C",'Mapa final'!$R$71),"")</f>
        <v/>
      </c>
      <c r="Z41" s="54" t="str">
        <f>IF(AND('Mapa final'!$AH$72="Media",'Mapa final'!$AJ$72="Moderado"),CONCATENATE("R2C",'Mapa final'!$R$72),"")</f>
        <v/>
      </c>
      <c r="AA41" s="54" t="str">
        <f>IF(AND('Mapa final'!$AH$74="Media",'Mapa final'!$AJ$74="Moderado"),CONCATENATE("R2C",'Mapa final'!$R$74),"")</f>
        <v/>
      </c>
      <c r="AB41" s="55" t="str">
        <f>IF(AND('Mapa final'!$AH$75="Media",'Mapa final'!$AJ$75="Moderado"),CONCATENATE("R2C",'Mapa final'!$R$75),"")</f>
        <v/>
      </c>
      <c r="AC41" s="44" t="str">
        <f>IF(AND('Mapa final'!$AH$69="Media",'Mapa final'!$AJ$69="Mayor"),CONCATENATE("R2C",'Mapa final'!$R$69),"")</f>
        <v/>
      </c>
      <c r="AD41" s="45" t="str">
        <f>IF(AND('Mapa final'!$AH$70="Media",'Mapa final'!$AJ$70="Mayor"),CONCATENATE("R2C",'Mapa final'!$R$70),"")</f>
        <v/>
      </c>
      <c r="AE41" s="45" t="str">
        <f>IF(AND('Mapa final'!$AH$71="Media",'Mapa final'!$AJ$71="Mayor"),CONCATENATE("R2C",'Mapa final'!$R$71),"")</f>
        <v/>
      </c>
      <c r="AF41" s="45" t="str">
        <f>IF(AND('Mapa final'!$AH$72="Media",'Mapa final'!$AJ$72="Mayor"),CONCATENATE("R2C",'Mapa final'!$R$72),"")</f>
        <v/>
      </c>
      <c r="AG41" s="45" t="str">
        <f>IF(AND('Mapa final'!$AH$74="Media",'Mapa final'!$AJ$74="Mayor"),CONCATENATE("R2C",'Mapa final'!$R$74),"")</f>
        <v/>
      </c>
      <c r="AH41" s="46" t="str">
        <f>IF(AND('Mapa final'!$AH$75="Media",'Mapa final'!$AJ$75="Mayor"),CONCATENATE("R2C",'Mapa final'!$R$75),"")</f>
        <v/>
      </c>
      <c r="AI41" s="47" t="str">
        <f>IF(AND('Mapa final'!$AH$69="Media",'Mapa final'!$AJ$69="Catastrófico"),CONCATENATE("R2C",'Mapa final'!$R$69),"")</f>
        <v/>
      </c>
      <c r="AJ41" s="48" t="str">
        <f>IF(AND('Mapa final'!$AH$70="Media",'Mapa final'!$AJ$70="Catastrófico"),CONCATENATE("R2C",'Mapa final'!$R$70),"")</f>
        <v/>
      </c>
      <c r="AK41" s="48" t="str">
        <f>IF(AND('Mapa final'!$AH$71="Media",'Mapa final'!$AJ$71="Catastrófico"),CONCATENATE("R2C",'Mapa final'!$R$71),"")</f>
        <v/>
      </c>
      <c r="AL41" s="48" t="str">
        <f>IF(AND('Mapa final'!$AH$72="Media",'Mapa final'!$AJ$72="Catastrófico"),CONCATENATE("R2C",'Mapa final'!$R$72),"")</f>
        <v/>
      </c>
      <c r="AM41" s="48" t="str">
        <f>IF(AND('Mapa final'!$AH$74="Media",'Mapa final'!$AJ$74="Catastrófico"),CONCATENATE("R2C",'Mapa final'!$R$74),"")</f>
        <v/>
      </c>
      <c r="AN41" s="49" t="str">
        <f>IF(AND('Mapa final'!$AH$75="Muy Alta",'Mapa final'!$AJ$75="Catastrófico"),CONCATENATE("R2C",'Mapa final'!$R$75),"")</f>
        <v/>
      </c>
      <c r="AO41" s="68"/>
      <c r="AP41" s="563"/>
      <c r="AQ41" s="564"/>
      <c r="AR41" s="564"/>
      <c r="AS41" s="564"/>
      <c r="AT41" s="564"/>
      <c r="AU41" s="565"/>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row>
    <row r="42" spans="2:77" ht="15" customHeight="1">
      <c r="B42" s="68"/>
      <c r="C42" s="430"/>
      <c r="D42" s="430"/>
      <c r="E42" s="431"/>
      <c r="F42" s="517" t="s">
        <v>327</v>
      </c>
      <c r="G42" s="518"/>
      <c r="H42" s="518"/>
      <c r="I42" s="518"/>
      <c r="J42" s="518"/>
      <c r="K42" s="59"/>
      <c r="L42" s="60" t="str">
        <f>IF(AND('Mapa final'!$AH$18="Baja",'Mapa final'!$AJ$18="Leve"),CONCATENATE("R2C",'Mapa final'!$R$15),"")</f>
        <v/>
      </c>
      <c r="M42" s="60" t="str">
        <f>IF(AND('Mapa final'!$AH$19="Baja",'Mapa final'!$AJ$19="Leve"),CONCATENATE("R2C",'Mapa final'!$R$19),"")</f>
        <v/>
      </c>
      <c r="N42" s="60" t="str">
        <f>IF(AND('Mapa final'!$AH$22="Baja",'Mapa final'!$AJ$22="Leve"),CONCATENATE("R2C",'Mapa final'!$R$22),"")</f>
        <v/>
      </c>
      <c r="O42" s="60" t="e">
        <f>IF(AND('Mapa final'!#REF!="Baja",'Mapa final'!#REF!="Leve"),CONCATENATE("R2C",'Mapa final'!#REF!),"")</f>
        <v>#REF!</v>
      </c>
      <c r="P42" s="61" t="e">
        <f>IF(AND('Mapa final'!#REF!="Baja",'Mapa final'!#REF!="Leve"),CONCATENATE("R2C",'Mapa final'!#REF!),"")</f>
        <v>#REF!</v>
      </c>
      <c r="Q42" s="50"/>
      <c r="R42" s="51" t="str">
        <f>IF(AND('Mapa final'!$AH$18="Baja",'Mapa final'!$AJ$18="Menore"),CONCATENATE("R2C",'Mapa final'!$R$15),"")</f>
        <v/>
      </c>
      <c r="S42" s="51" t="str">
        <f>IF(AND('Mapa final'!$AH$19="Baja",'Mapa final'!$AJ$19="Menor"),CONCATENATE("R2C",'Mapa final'!$R$19),"")</f>
        <v/>
      </c>
      <c r="T42" s="51" t="str">
        <f>IF(AND('Mapa final'!$AH$22="Baja",'Mapa final'!$AJ$22="Menor"),CONCATENATE("R2C",'Mapa final'!$R$22),"")</f>
        <v/>
      </c>
      <c r="U42" s="51" t="e">
        <f>IF(AND('Mapa final'!#REF!="Baja",'Mapa final'!#REF!="Menor"),CONCATENATE("R2C",'Mapa final'!#REF!),"")</f>
        <v>#REF!</v>
      </c>
      <c r="V42" s="52" t="e">
        <f>IF(AND('Mapa final'!#REF!="Baja",'Mapa final'!#REF!="Menor"),CONCATENATE("R2C",'Mapa final'!#REF!),"")</f>
        <v>#REF!</v>
      </c>
      <c r="W42" s="50"/>
      <c r="X42" s="51" t="str">
        <f>IF(AND('Mapa final'!$AH$18="Baja",'Mapa final'!$AJ$18="Moderado"),CONCATENATE("R2C",'Mapa final'!$R$15),"")</f>
        <v/>
      </c>
      <c r="Y42" s="51"/>
      <c r="Z42" s="51" t="str">
        <f>IF(AND('Mapa final'!$AH$22="Baja",'Mapa final'!$AJ$22="Moderado"),CONCATENATE("R2C",'Mapa final'!$D$21),"")</f>
        <v/>
      </c>
      <c r="AA42" s="51" t="e">
        <f>IF(AND('Mapa final'!#REF!="Baja",'Mapa final'!#REF!="Moderado"),CONCATENATE("R2C",'Mapa final'!#REF!),"")</f>
        <v>#REF!</v>
      </c>
      <c r="AB42" s="52" t="e">
        <f>IF(AND('Mapa final'!#REF!="Baja",'Mapa final'!#REF!="Moderado"),CONCATENATE("R2C",'Mapa final'!#REF!),"")</f>
        <v>#REF!</v>
      </c>
      <c r="AC42" s="32"/>
      <c r="AD42" s="33" t="str">
        <f>IF(AND('Mapa final'!$AH$18="Baja",'Mapa final'!$AJ$18="Mayor"),CONCATENATE("R2C",'Mapa final'!$R$15),"")</f>
        <v/>
      </c>
      <c r="AE42" s="33" t="str">
        <f>IF(AND('Mapa final'!$AH$19="Baja",'Mapa final'!$AJ$19="Mayor"),CONCATENATE("R2C",'Mapa final'!$R$19),"")</f>
        <v/>
      </c>
      <c r="AF42" s="33" t="str">
        <f>IF(AND('Mapa final'!$AH$22="Baja",'Mapa final'!$AJ$22="Mayor"),CONCATENATE("R2C",'Mapa final'!$R$22),"")</f>
        <v/>
      </c>
      <c r="AG42" s="33" t="e">
        <f>IF(AND('Mapa final'!#REF!="Baja",'Mapa final'!#REF!="Mayor"),CONCATENATE("R2C",'Mapa final'!#REF!),"")</f>
        <v>#REF!</v>
      </c>
      <c r="AH42" s="34" t="e">
        <f>IF(AND('Mapa final'!#REF!="Baja",'Mapa final'!#REF!="Mayor"),CONCATENATE("R2C",'Mapa final'!#REF!),"")</f>
        <v>#REF!</v>
      </c>
      <c r="AI42" s="35"/>
      <c r="AJ42" s="36" t="str">
        <f>IF(AND('Mapa final'!$AH$18="Baja",'Mapa final'!$AJ$18="Catastrófico"),CONCATENATE("R2C",'Mapa final'!$R$15),"")</f>
        <v>R2CCatastrófico (Corrupción)</v>
      </c>
      <c r="AK42" s="36" t="str">
        <f>IF(AND('Mapa final'!$AH$19="Baja",'Mapa final'!$AJ$19="Catastrófico"),CONCATENATE("R2C",'Mapa final'!$R$19),"")</f>
        <v xml:space="preserve">R2C     Mayor a 500 SMLMV </v>
      </c>
      <c r="AL42" s="36" t="str">
        <f>IF(AND('Mapa final'!$AH$22="Baja",'Mapa final'!$AJ$22="Catastrófico"),CONCATENATE("R2C",'Mapa final'!$R$22),"")</f>
        <v>R2C</v>
      </c>
      <c r="AM42" s="36" t="e">
        <f>IF(AND('Mapa final'!#REF!="Baja",'Mapa final'!#REF!="Catastrófico"),CONCATENATE("R2C",'Mapa final'!#REF!),"")</f>
        <v>#REF!</v>
      </c>
      <c r="AN42" s="37" t="e">
        <f>IF(AND('Mapa final'!#REF!="Baja",'Mapa final'!#REF!="Catastrófico"),CONCATENATE("R2C",'Mapa final'!#REF!),"")</f>
        <v>#REF!</v>
      </c>
      <c r="AO42" s="68"/>
      <c r="AP42" s="548" t="s">
        <v>328</v>
      </c>
      <c r="AQ42" s="549"/>
      <c r="AR42" s="549"/>
      <c r="AS42" s="549"/>
      <c r="AT42" s="549"/>
      <c r="AU42" s="550"/>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row>
    <row r="43" spans="2:77" ht="15" customHeight="1">
      <c r="B43" s="68"/>
      <c r="C43" s="430"/>
      <c r="D43" s="430"/>
      <c r="E43" s="431"/>
      <c r="F43" s="535"/>
      <c r="G43" s="521"/>
      <c r="H43" s="521"/>
      <c r="I43" s="521"/>
      <c r="J43" s="521"/>
      <c r="K43" s="62" t="e">
        <f>IF(AND('Mapa final'!#REF!="Baja",'Mapa final'!#REF!="Leve"),CONCATENATE("R2C",'Mapa final'!#REF!),"")</f>
        <v>#REF!</v>
      </c>
      <c r="L43" s="63" t="e">
        <f>IF(AND('Mapa final'!#REF!="Baja",'Mapa final'!#REF!="Leve"),CONCATENATE("R2C",'Mapa final'!#REF!),"")</f>
        <v>#REF!</v>
      </c>
      <c r="M43" s="63" t="str">
        <f>IF(AND('Mapa final'!$AH$23="Baja",'Mapa final'!$AJ$23="Leve"),CONCATENATE("R2C",'Mapa final'!$R$23),"")</f>
        <v/>
      </c>
      <c r="N43" s="63" t="str">
        <f>IF(AND('Mapa final'!$AH$24="Baja",'Mapa final'!$AJ$24="Leve"),CONCATENATE("R2C",'Mapa final'!$R$24),"")</f>
        <v/>
      </c>
      <c r="O43" s="63" t="str">
        <f>IF(AND('Mapa final'!$AH$25="Baja",'Mapa final'!$AJ$25="Leve"),CONCATENATE("R2C",'Mapa final'!$R$25),"")</f>
        <v/>
      </c>
      <c r="P43" s="64" t="str">
        <f>IF(AND('Mapa final'!$AH$26="Baja",'Mapa final'!$AJ$26="Leve"),CONCATENATE("R2C",'Mapa final'!$R$26),"")</f>
        <v/>
      </c>
      <c r="Q43" s="53" t="e">
        <f>IF(AND('Mapa final'!#REF!="Baja",'Mapa final'!#REF!="Menor"),CONCATENATE("R2C",'Mapa final'!#REF!),"")</f>
        <v>#REF!</v>
      </c>
      <c r="R43" s="54" t="e">
        <f>IF(AND('Mapa final'!#REF!="Baja",'Mapa final'!#REF!="Menor"),CONCATENATE("R2C",'Mapa final'!#REF!),"")</f>
        <v>#REF!</v>
      </c>
      <c r="S43" s="54" t="str">
        <f>IF(AND('Mapa final'!$AH$23="Baja",'Mapa final'!$AJ$23="Menor"),CONCATENATE("R2C",'Mapa final'!$R$23),"")</f>
        <v/>
      </c>
      <c r="T43" s="54" t="str">
        <f>IF(AND('Mapa final'!$AH$24="Baja",'Mapa final'!$AJ$24="Menor"),CONCATENATE("R2C",'Mapa final'!$R$24),"")</f>
        <v/>
      </c>
      <c r="U43" s="54" t="str">
        <f>IF(AND('Mapa final'!$AH$25="Baja",'Mapa final'!$AJ$25="Menor"),CONCATENATE("R2C",'Mapa final'!$R$25),"")</f>
        <v/>
      </c>
      <c r="V43" s="55" t="str">
        <f>IF(AND('Mapa final'!$AH$26="Baja",'Mapa final'!$AJ$26="Menor"),CONCATENATE("R2C",'Mapa final'!$R$26),"")</f>
        <v/>
      </c>
      <c r="W43" s="53" t="e">
        <f>IF(AND('Mapa final'!#REF!="Baja",'Mapa final'!#REF!="Moderado"),CONCATENATE("R2C",'Mapa final'!#REF!),"")</f>
        <v>#REF!</v>
      </c>
      <c r="X43" s="54" t="e">
        <f>IF(AND('Mapa final'!#REF!="Baja",'Mapa final'!#REF!="Moderado"),CONCATENATE("R2C",'Mapa final'!#REF!),"")</f>
        <v>#REF!</v>
      </c>
      <c r="Y43" s="54" t="str">
        <f>IF(AND('Mapa final'!$AH$23="Baja",'Mapa final'!$AJ$23="Moderado"),CONCATENATE("R2C",'Mapa final'!$R$23),"")</f>
        <v/>
      </c>
      <c r="Z43" s="54" t="str">
        <f>IF(AND('Mapa final'!$AH$24="Baja",'Mapa final'!$AJ$24="Moderado"),CONCATENATE("R2C",'Mapa final'!$R$24),"")</f>
        <v/>
      </c>
      <c r="AA43" s="54" t="str">
        <f>IF(AND('Mapa final'!$AH$25="Baja",'Mapa final'!$AJ$25="Moderado"),CONCATENATE("R2C",'Mapa final'!$R$25),"")</f>
        <v/>
      </c>
      <c r="AB43" s="55" t="str">
        <f>IF(AND('Mapa final'!$AH$26="Baja",'Mapa final'!$AJ$26="Moderado"),CONCATENATE("R2C",'Mapa final'!$R$26),"")</f>
        <v/>
      </c>
      <c r="AC43" s="38" t="e">
        <f>IF(AND('Mapa final'!#REF!="Baja",'Mapa final'!#REF!="Mayor"),CONCATENATE("R2C",'Mapa final'!#REF!),"")</f>
        <v>#REF!</v>
      </c>
      <c r="AD43" s="39" t="e">
        <f>IF(AND('Mapa final'!#REF!="Baja",'Mapa final'!#REF!="Mayor"),CONCATENATE("R2C",'Mapa final'!#REF!),"")</f>
        <v>#REF!</v>
      </c>
      <c r="AE43" s="39" t="str">
        <f>IF(AND('Mapa final'!$AH$23="Baja",'Mapa final'!$AJ$23="Mayor"),CONCATENATE("R2C",'Mapa final'!$R$23),"")</f>
        <v/>
      </c>
      <c r="AF43" s="39" t="str">
        <f>IF(AND('Mapa final'!$AH$24="Baja",'Mapa final'!$AJ$24="Mayor"),CONCATENATE("R2C",'Mapa final'!$R$24),"")</f>
        <v/>
      </c>
      <c r="AG43" s="39" t="str">
        <f>IF(AND('Mapa final'!$AH$25="Baja",'Mapa final'!$AJ$25="Mayor"),CONCATENATE("R2C",'Mapa final'!$R$25),"")</f>
        <v/>
      </c>
      <c r="AH43" s="40" t="str">
        <f>IF(AND('Mapa final'!$AH$26="Baja",'Mapa final'!$AJ$26="Mayor"),CONCATENATE("R2C",'Mapa final'!$R$26),"")</f>
        <v/>
      </c>
      <c r="AI43" s="41" t="e">
        <f>IF(AND('Mapa final'!#REF!="Baja",'Mapa final'!#REF!="Catastrófico"),CONCATENATE("R2C",'Mapa final'!#REF!),"")</f>
        <v>#REF!</v>
      </c>
      <c r="AJ43" s="42" t="e">
        <f>IF(AND('Mapa final'!#REF!="Baja",'Mapa final'!#REF!="Catastrófico"),CONCATENATE("R2C",'Mapa final'!#REF!),"")</f>
        <v>#REF!</v>
      </c>
      <c r="AK43" s="42" t="str">
        <f>IF(AND('Mapa final'!$AH$23="Baja",'Mapa final'!$AJ$23="Catastrófico"),CONCATENATE("R2C",'Mapa final'!$R$23),"")</f>
        <v/>
      </c>
      <c r="AL43" s="42" t="str">
        <f>IF(AND('Mapa final'!$AH$24="Baja",'Mapa final'!$AJ$24="Catastrófico"),CONCATENATE("R2C",'Mapa final'!$R$24),"")</f>
        <v/>
      </c>
      <c r="AM43" s="42" t="str">
        <f>IF(AND('Mapa final'!$AH$25="Baja",'Mapa final'!$AJ$25="Catastrófico"),CONCATENATE("R2C",'Mapa final'!$R$25),"")</f>
        <v/>
      </c>
      <c r="AN43" s="43" t="str">
        <f>IF(AND('Mapa final'!$AH$26="Baja",'Mapa final'!$AJ$26="Catastrófico"),CONCATENATE("R2C",'Mapa final'!$R$26),"")</f>
        <v/>
      </c>
      <c r="AO43" s="68"/>
      <c r="AP43" s="551"/>
      <c r="AQ43" s="552"/>
      <c r="AR43" s="552"/>
      <c r="AS43" s="552"/>
      <c r="AT43" s="552"/>
      <c r="AU43" s="553"/>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row>
    <row r="44" spans="2:77" ht="15" customHeight="1">
      <c r="B44" s="68"/>
      <c r="C44" s="430"/>
      <c r="D44" s="430"/>
      <c r="E44" s="431"/>
      <c r="F44" s="520"/>
      <c r="G44" s="521"/>
      <c r="H44" s="521"/>
      <c r="I44" s="521"/>
      <c r="J44" s="521"/>
      <c r="K44" s="62" t="str">
        <f>IF(AND('Mapa final'!$AH$27="Baja",'Mapa final'!$AJ$27="Leve"),CONCATENATE("R2C",'Mapa final'!$R$27),"")</f>
        <v/>
      </c>
      <c r="L44" s="63" t="str">
        <f>IF(AND('Mapa final'!$AH$28="Baja",'Mapa final'!$AJ$28="Leve"),CONCATENATE("R2C",'Mapa final'!$R$28),"")</f>
        <v/>
      </c>
      <c r="M44" s="63" t="str">
        <f>IF(AND('Mapa final'!$AH$29="Baja",'Mapa final'!$AJ$29="Leve"),CONCATENATE("R2C",'Mapa final'!$R$29),"")</f>
        <v/>
      </c>
      <c r="N44" s="63" t="str">
        <f>IF(AND('Mapa final'!$AH$30="Baja",'Mapa final'!$AJ$30="Leve"),CONCATENATE("R2C",'Mapa final'!$R$30),"")</f>
        <v/>
      </c>
      <c r="O44" s="63" t="str">
        <f>IF(AND('Mapa final'!$AH$31="Baja",'Mapa final'!$AJ$31="Leve"),CONCATENATE("R2C",'Mapa final'!$R$31),"")</f>
        <v/>
      </c>
      <c r="P44" s="64" t="str">
        <f>IF(AND('Mapa final'!$AH$32="Baja",'Mapa final'!$AJ$32="Leve"),CONCATENATE("R2C",'Mapa final'!$R$32),"")</f>
        <v/>
      </c>
      <c r="Q44" s="53" t="str">
        <f>IF(AND('Mapa final'!$AH$27="Baja",'Mapa final'!$AJ$27="Menor"),CONCATENATE("R2C",'Mapa final'!$R$27),"")</f>
        <v/>
      </c>
      <c r="R44" s="54" t="str">
        <f>IF(AND('Mapa final'!$AH$28="Baja",'Mapa final'!$AJ$28="Menor"),CONCATENATE("R2C",'Mapa final'!$R$28),"")</f>
        <v/>
      </c>
      <c r="S44" s="54" t="str">
        <f>IF(AND('Mapa final'!$AH$29="Baja",'Mapa final'!$AJ$29="Menor"),CONCATENATE("R2C",'Mapa final'!$R$29),"")</f>
        <v/>
      </c>
      <c r="T44" s="54" t="str">
        <f>IF(AND('Mapa final'!$AH$30="Baja",'Mapa final'!$AJ$30="Menor"),CONCATENATE("R2C",'Mapa final'!$R$30),"")</f>
        <v/>
      </c>
      <c r="U44" s="54" t="str">
        <f>IF(AND('Mapa final'!$AH$31="Baja",'Mapa final'!$AJ$31="Menor"),CONCATENATE("R2C",'Mapa final'!$R$31),"")</f>
        <v/>
      </c>
      <c r="V44" s="55" t="str">
        <f>IF(AND('Mapa final'!$AH$32="Baja",'Mapa final'!$AJ$32="Menor"),CONCATENATE("R2C",'Mapa final'!$R$32),"")</f>
        <v/>
      </c>
      <c r="W44" s="53" t="str">
        <f>IF(AND('Mapa final'!$AH$27="Baja",'Mapa final'!$AJ$27="Moderado"),CONCATENATE("R2C",'Mapa final'!$R$27),"")</f>
        <v/>
      </c>
      <c r="X44" s="54" t="str">
        <f>IF(AND('Mapa final'!$AH$28="Baja",'Mapa final'!$AJ$28="Moderado"),CONCATENATE("R2C",'Mapa final'!$R$28),"")</f>
        <v/>
      </c>
      <c r="Y44" s="54" t="str">
        <f>IF(AND('Mapa final'!$AH$29="Baja",'Mapa final'!$AJ$29="Moderado"),CONCATENATE("R2C",'Mapa final'!$R$29),"")</f>
        <v/>
      </c>
      <c r="Z44" s="54" t="str">
        <f>IF(AND('Mapa final'!$AH$30="Baja",'Mapa final'!$AJ$30="Moderado"),CONCATENATE("R2C",'Mapa final'!$R$30),"")</f>
        <v/>
      </c>
      <c r="AA44" s="54" t="str">
        <f>IF(AND('Mapa final'!$AH$31="Baja",'Mapa final'!$AJ$31="Moderado"),CONCATENATE("R2C",'Mapa final'!$R$31),"")</f>
        <v/>
      </c>
      <c r="AB44" s="55" t="str">
        <f>IF(AND('Mapa final'!$AH$32="Baja",'Mapa final'!$AJ$32="Moderado"),CONCATENATE("R2C",'Mapa final'!$R$32),"")</f>
        <v/>
      </c>
      <c r="AC44" s="38" t="str">
        <f>IF(AND('Mapa final'!$AH$27="Baja",'Mapa final'!$AJ$27="Mayor"),CONCATENATE("R2C",'Mapa final'!$R$27),"")</f>
        <v/>
      </c>
      <c r="AD44" s="39" t="str">
        <f>IF(AND('Mapa final'!$AH$28="Baja",'Mapa final'!$AJ$28="Mayor"),CONCATENATE("R2C",'Mapa final'!$R$28),"")</f>
        <v/>
      </c>
      <c r="AE44" s="39" t="str">
        <f>IF(AND('Mapa final'!$AH$29="Baja",'Mapa final'!$AJ$29="Mayor"),CONCATENATE("R2C",'Mapa final'!$R$29),"")</f>
        <v/>
      </c>
      <c r="AF44" s="39" t="str">
        <f>IF(AND('Mapa final'!$AH$30="Baja",'Mapa final'!$AJ$30="Mayor"),CONCATENATE("R2C",'Mapa final'!$R$30),"")</f>
        <v/>
      </c>
      <c r="AG44" s="39" t="str">
        <f>IF(AND('Mapa final'!$AH$31="Baja",'Mapa final'!$AJ$31="Mayor"),CONCATENATE("R2C",'Mapa final'!$R$31),"")</f>
        <v/>
      </c>
      <c r="AH44" s="40" t="str">
        <f>IF(AND('Mapa final'!$AH$32="Baja",'Mapa final'!$AJ$32="Mayor"),CONCATENATE("R2C",'Mapa final'!$R$32),"")</f>
        <v/>
      </c>
      <c r="AI44" s="41" t="str">
        <f>IF(AND('Mapa final'!$AH$27="Baja",'Mapa final'!$AJ$27="Catastrófico"),CONCATENATE("R2C",'Mapa final'!$R$27),"")</f>
        <v/>
      </c>
      <c r="AJ44" s="42" t="str">
        <f>IF(AND('Mapa final'!$AH$28="Baja",'Mapa final'!$AJ$28="Catastrófico"),CONCATENATE("R2C",'Mapa final'!$R$28),"")</f>
        <v/>
      </c>
      <c r="AK44" s="42" t="str">
        <f>IF(AND('Mapa final'!$AH$29="Baja",'Mapa final'!$AJ$29="Catastrófico"),CONCATENATE("R2C",'Mapa final'!$R$29),"")</f>
        <v/>
      </c>
      <c r="AL44" s="42" t="str">
        <f>IF(AND('Mapa final'!$AH$30="Baja",'Mapa final'!$AJ$30="Catastrófico"),CONCATENATE("R2C",'Mapa final'!$R$30),"")</f>
        <v/>
      </c>
      <c r="AM44" s="42" t="str">
        <f>IF(AND('Mapa final'!$AH$31="Baja",'Mapa final'!$AJ$31="Catastrófico"),CONCATENATE("R2C",'Mapa final'!$R$31),"")</f>
        <v/>
      </c>
      <c r="AN44" s="43" t="str">
        <f>IF(AND('Mapa final'!$AH$32="Baja",'Mapa final'!$AJ$32="Catastrófico"),CONCATENATE("R2C",'Mapa final'!$R$32),"")</f>
        <v/>
      </c>
      <c r="AO44" s="68"/>
      <c r="AP44" s="551"/>
      <c r="AQ44" s="552"/>
      <c r="AR44" s="552"/>
      <c r="AS44" s="552"/>
      <c r="AT44" s="552"/>
      <c r="AU44" s="553"/>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row>
    <row r="45" spans="2:77" ht="15" customHeight="1">
      <c r="B45" s="68"/>
      <c r="C45" s="430"/>
      <c r="D45" s="430"/>
      <c r="E45" s="431"/>
      <c r="F45" s="520"/>
      <c r="G45" s="521"/>
      <c r="H45" s="521"/>
      <c r="I45" s="521"/>
      <c r="J45" s="521"/>
      <c r="K45" s="62" t="str">
        <f>IF(AND('Mapa final'!$AH$33="Baja",'Mapa final'!$AJ$33="Leve"),CONCATENATE("R2C",'Mapa final'!$R$33),"")</f>
        <v/>
      </c>
      <c r="L45" s="63" t="str">
        <f>IF(AND('Mapa final'!$AH$34="Baja",'Mapa final'!$AJ$34="Leve"),CONCATENATE("R2C",'Mapa final'!$R$34),"")</f>
        <v/>
      </c>
      <c r="M45" s="63" t="str">
        <f>IF(AND('Mapa final'!$AH$35="Baja",'Mapa final'!$AJ$35="Leve"),CONCATENATE("R2C",'Mapa final'!$R$35),"")</f>
        <v/>
      </c>
      <c r="N45" s="63" t="str">
        <f>IF(AND('Mapa final'!$AH$36="Baja",'Mapa final'!$AJ$36="Leve"),CONCATENATE("R2C",'Mapa final'!$R$36),"")</f>
        <v/>
      </c>
      <c r="O45" s="63" t="str">
        <f>IF(AND('Mapa final'!$AH$37="Baja",'Mapa final'!$AJ$37="Leve"),CONCATENATE("R2C",'Mapa final'!$R$37),"")</f>
        <v/>
      </c>
      <c r="P45" s="64" t="str">
        <f>IF(AND('Mapa final'!$AH$38="Baja",'Mapa final'!$AJ$38="Leve"),CONCATENATE("R2C",'Mapa final'!$R$38),"")</f>
        <v/>
      </c>
      <c r="Q45" s="53" t="str">
        <f>IF(AND('Mapa final'!$AH$33="Baja",'Mapa final'!$AJ$33="Menor"),CONCATENATE("R2C",'Mapa final'!$R$33),"")</f>
        <v/>
      </c>
      <c r="R45" s="54" t="str">
        <f>IF(AND('Mapa final'!$AH$34="Baja",'Mapa final'!$AJ$34="Menor"),CONCATENATE("R2C",'Mapa final'!$R$34),"")</f>
        <v/>
      </c>
      <c r="S45" s="54" t="str">
        <f>IF(AND('Mapa final'!$AH$35="Baja",'Mapa final'!$AJ$35="Menor"),CONCATENATE("R2C",'Mapa final'!$R$35),"")</f>
        <v/>
      </c>
      <c r="T45" s="54" t="str">
        <f>IF(AND('Mapa final'!$AH$36="Baja",'Mapa final'!$AJ$36="Menor"),CONCATENATE("R2C",'Mapa final'!$R$36),"")</f>
        <v/>
      </c>
      <c r="U45" s="54" t="str">
        <f>IF(AND('Mapa final'!$AH$37="Baja",'Mapa final'!$AJ$37="LMenor"),CONCATENATE("R2C",'Mapa final'!$R$37),"")</f>
        <v/>
      </c>
      <c r="V45" s="55" t="str">
        <f>IF(AND('Mapa final'!$AH$38="Baja",'Mapa final'!$AJ$38="Menor"),CONCATENATE("R2C",'Mapa final'!$R$38),"")</f>
        <v/>
      </c>
      <c r="W45" s="53" t="str">
        <f>IF(AND('Mapa final'!$AH$33="Baja",'Mapa final'!$AJ$33="Moderado"),CONCATENATE("R2C",'Mapa final'!$R$33),"")</f>
        <v/>
      </c>
      <c r="X45" s="54" t="str">
        <f>IF(AND('Mapa final'!$AH$34="Baja",'Mapa final'!$AJ$34="Moderado"),CONCATENATE("R2C",'Mapa final'!$R$34),"")</f>
        <v/>
      </c>
      <c r="Y45" s="54" t="str">
        <f>IF(AND('Mapa final'!$AH$35="Baja",'Mapa final'!$AJ$35="Moderado"),CONCATENATE("R2C",'Mapa final'!$R$35),"")</f>
        <v/>
      </c>
      <c r="Z45" s="54" t="str">
        <f>IF(AND('Mapa final'!$AH$36="Baja",'Mapa final'!$AJ$36="Moderado"),CONCATENATE("R2C",'Mapa final'!$R$36),"")</f>
        <v/>
      </c>
      <c r="AA45" s="54" t="str">
        <f>IF(AND('Mapa final'!$AH$37="Baja",'Mapa final'!$AJ$37="Moderado"),CONCATENATE("R2C",'Mapa final'!$R$37),"")</f>
        <v/>
      </c>
      <c r="AB45" s="55" t="str">
        <f>IF(AND('Mapa final'!$AH$38="Baja",'Mapa final'!$AJ$38="Moderado"),CONCATENATE("R2C",'Mapa final'!$R$38),"")</f>
        <v/>
      </c>
      <c r="AC45" s="38" t="str">
        <f>IF(AND('Mapa final'!$AH$33="Baja",'Mapa final'!$AJ$33="Mayor"),CONCATENATE("R2C",'Mapa final'!$R$33),"")</f>
        <v/>
      </c>
      <c r="AD45" s="39" t="str">
        <f>IF(AND('Mapa final'!$AH$34="Baja",'Mapa final'!$AJ$34="Mayor"),CONCATENATE("R2C",'Mapa final'!$R$34),"")</f>
        <v/>
      </c>
      <c r="AE45" s="39" t="str">
        <f>IF(AND('Mapa final'!$AH$35="Baja",'Mapa final'!$AJ$35="Mayor"),CONCATENATE("R2C",'Mapa final'!$R$35),"")</f>
        <v/>
      </c>
      <c r="AF45" s="39" t="str">
        <f>IF(AND('Mapa final'!$AH$36="Baja",'Mapa final'!$AJ$36="Mayor"),CONCATENATE("R2C",'Mapa final'!$R$36),"")</f>
        <v/>
      </c>
      <c r="AG45" s="39" t="str">
        <f>IF(AND('Mapa final'!$AH$37="Baja",'Mapa final'!$AJ$37="Mayor"),CONCATENATE("R2C",'Mapa final'!$R$37),"")</f>
        <v/>
      </c>
      <c r="AH45" s="40" t="str">
        <f>IF(AND('Mapa final'!$AH$38="Baja",'Mapa final'!$AJ$38="Mayor"),CONCATENATE("R2C",'Mapa final'!$R$38),"")</f>
        <v/>
      </c>
      <c r="AI45" s="41" t="str">
        <f>IF(AND('Mapa final'!$AH$33="Baja",'Mapa final'!$AJ$33="Catastrófico"),CONCATENATE("R2C",'Mapa final'!$R$33),"")</f>
        <v/>
      </c>
      <c r="AJ45" s="42" t="str">
        <f>IF(AND('Mapa final'!$AH$34="Baja",'Mapa final'!$AJ$34="Catastrófico"),CONCATENATE("R2C",'Mapa final'!$R$34),"")</f>
        <v/>
      </c>
      <c r="AK45" s="42" t="str">
        <f>IF(AND('Mapa final'!$AH$35="Baja",'Mapa final'!$AJ$35="Catastrófico"),CONCATENATE("R2C",'Mapa final'!$R$35),"")</f>
        <v/>
      </c>
      <c r="AL45" s="42" t="str">
        <f>IF(AND('Mapa final'!$AH$36="Baja",'Mapa final'!$AJ$36="Catastrófico"),CONCATENATE("R2C",'Mapa final'!$R$36),"")</f>
        <v/>
      </c>
      <c r="AM45" s="42" t="str">
        <f>IF(AND('Mapa final'!$AH$37="Baja",'Mapa final'!$AJ$37="LCatastrófico"),CONCATENATE("R2C",'Mapa final'!$R$37),"")</f>
        <v/>
      </c>
      <c r="AN45" s="43" t="str">
        <f>IF(AND('Mapa final'!$AH$38="Baja",'Mapa final'!$AJ$38="Catastrófico"),CONCATENATE("R2C",'Mapa final'!$R$38),"")</f>
        <v/>
      </c>
      <c r="AO45" s="68"/>
      <c r="AP45" s="551"/>
      <c r="AQ45" s="552"/>
      <c r="AR45" s="552"/>
      <c r="AS45" s="552"/>
      <c r="AT45" s="552"/>
      <c r="AU45" s="553"/>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row>
    <row r="46" spans="2:77" ht="15" customHeight="1">
      <c r="B46" s="68"/>
      <c r="C46" s="430"/>
      <c r="D46" s="430"/>
      <c r="E46" s="431"/>
      <c r="F46" s="520"/>
      <c r="G46" s="521"/>
      <c r="H46" s="521"/>
      <c r="I46" s="521"/>
      <c r="J46" s="521"/>
      <c r="K46" s="62" t="str">
        <f>IF(AND('Mapa final'!$AH$39="Baja",'Mapa final'!$AJ$39="Leve"),CONCATENATE("R2C",'Mapa final'!$R$39),"")</f>
        <v/>
      </c>
      <c r="L46" s="63" t="str">
        <f>IF(AND('Mapa final'!$AH$40="Baja",'Mapa final'!$AJ$40="Leve"),CONCATENATE("R2C",'Mapa final'!$R$40),"")</f>
        <v/>
      </c>
      <c r="M46" s="63" t="str">
        <f>IF(AND('Mapa final'!$AH$41="Baja",'Mapa final'!$AJ$41="Leve"),CONCATENATE("R2C",'Mapa final'!$R$41),"")</f>
        <v/>
      </c>
      <c r="N46" s="63" t="str">
        <f>IF(AND('Mapa final'!$AH$42="Baja",'Mapa final'!$AJ$42="Leve"),CONCATENATE("R2C",'Mapa final'!$R$42),"")</f>
        <v/>
      </c>
      <c r="O46" s="63" t="str">
        <f>IF(AND('Mapa final'!$AH$43="Baja",'Mapa final'!$AJ$43="Leve"),CONCATENATE("R2C",'Mapa final'!$R$43),"")</f>
        <v/>
      </c>
      <c r="P46" s="64" t="str">
        <f>IF(AND('Mapa final'!$AH$44="Baja",'Mapa final'!$AJ$44="Leve"),CONCATENATE("R2C",'Mapa final'!$R$44),"")</f>
        <v/>
      </c>
      <c r="Q46" s="53" t="str">
        <f>IF(AND('Mapa final'!$AH$39="Baja",'Mapa final'!$AJ$39="Menor"),CONCATENATE("R2C",'Mapa final'!$R$39),"")</f>
        <v/>
      </c>
      <c r="R46" s="54" t="str">
        <f>IF(AND('Mapa final'!$AH$40="Baja",'Mapa final'!$AJ$40="Menor"),CONCATENATE("R2C",'Mapa final'!$R$40),"")</f>
        <v/>
      </c>
      <c r="S46" s="54" t="str">
        <f>IF(AND('Mapa final'!$AH$41="Baja",'Mapa final'!$AJ$41="Menor"),CONCATENATE("R2C",'Mapa final'!$R$41),"")</f>
        <v/>
      </c>
      <c r="T46" s="54" t="str">
        <f>IF(AND('Mapa final'!$AH$42="Baja",'Mapa final'!$AJ$42="Menor"),CONCATENATE("R2C",'Mapa final'!$R$42),"")</f>
        <v/>
      </c>
      <c r="U46" s="54" t="str">
        <f>IF(AND('Mapa final'!$AH$43="Baja",'Mapa final'!$AJ$43="Menor"),CONCATENATE("R2C",'Mapa final'!$R$43),"")</f>
        <v/>
      </c>
      <c r="V46" s="55" t="str">
        <f>IF(AND('Mapa final'!$AH$44="Baja",'Mapa final'!$AJ$44="Menor"),CONCATENATE("R2C",'Mapa final'!$R$44),"")</f>
        <v/>
      </c>
      <c r="W46" s="53" t="str">
        <f>IF(AND('Mapa final'!$AH$39="Baja",'Mapa final'!$AJ$39="Moderado"),CONCATENATE("R2C",'Mapa final'!$R$39),"")</f>
        <v/>
      </c>
      <c r="X46" s="54" t="str">
        <f>IF(AND('Mapa final'!$AH$40="Baja",'Mapa final'!$AJ$40="Moderado"),CONCATENATE("R2C",'Mapa final'!$R$40),"")</f>
        <v/>
      </c>
      <c r="Y46" s="54" t="str">
        <f>IF(AND('Mapa final'!$AH$41="Baja",'Mapa final'!$AJ$41="Moderado"),CONCATENATE("R2C",'Mapa final'!$R$41),"")</f>
        <v/>
      </c>
      <c r="Z46" s="54" t="str">
        <f>IF(AND('Mapa final'!$AH$42="Baja",'Mapa final'!$AJ$42="Moderado"),CONCATENATE("R2C",'Mapa final'!$R$42),"")</f>
        <v/>
      </c>
      <c r="AA46" s="54" t="str">
        <f>IF(AND('Mapa final'!$AH$43="Baja",'Mapa final'!$AJ$43="Moderado"),CONCATENATE("R2C",'Mapa final'!$R$43),"")</f>
        <v/>
      </c>
      <c r="AB46" s="55" t="str">
        <f>IF(AND('Mapa final'!$AH$44="Baja",'Mapa final'!$AJ$44="Moderado"),CONCATENATE("R2C",'Mapa final'!$R$44),"")</f>
        <v/>
      </c>
      <c r="AC46" s="38" t="str">
        <f>IF(AND('Mapa final'!$AH$39="Baja",'Mapa final'!$AJ$39="Mayor"),CONCATENATE("R2C",'Mapa final'!$R$39),"")</f>
        <v/>
      </c>
      <c r="AD46" s="39" t="str">
        <f>IF(AND('Mapa final'!$AH$40="Baja",'Mapa final'!$AJ$40="Mayor"),CONCATENATE("R2C",'Mapa final'!$R$40),"")</f>
        <v/>
      </c>
      <c r="AE46" s="39" t="str">
        <f>IF(AND('Mapa final'!$AH$41="Baja",'Mapa final'!$AJ$41="Mayor"),CONCATENATE("R2C",'Mapa final'!$R$41),"")</f>
        <v/>
      </c>
      <c r="AF46" s="39" t="str">
        <f>IF(AND('Mapa final'!$AH$42="Baja",'Mapa final'!$AJ$42="Mayor"),CONCATENATE("R2C",'Mapa final'!$R$42),"")</f>
        <v/>
      </c>
      <c r="AG46" s="39" t="str">
        <f>IF(AND('Mapa final'!$AH$43="Baja",'Mapa final'!$AJ$43="Mayor"),CONCATENATE("R2C",'Mapa final'!$R$43),"")</f>
        <v/>
      </c>
      <c r="AH46" s="40" t="str">
        <f>IF(AND('Mapa final'!$AH$44="Baja",'Mapa final'!$AJ$44="Mayor"),CONCATENATE("R2C",'Mapa final'!$R$44),"")</f>
        <v/>
      </c>
      <c r="AI46" s="41" t="str">
        <f>IF(AND('Mapa final'!$AH$39="Baja",'Mapa final'!$AJ$39="Catastrófico"),CONCATENATE("R2C",'Mapa final'!$R$39),"")</f>
        <v/>
      </c>
      <c r="AJ46" s="42" t="str">
        <f>IF(AND('Mapa final'!$AH$40="Baja",'Mapa final'!$AJ$40="Catastrófico"),CONCATENATE("R2C",'Mapa final'!$R$40),"")</f>
        <v/>
      </c>
      <c r="AK46" s="42" t="str">
        <f>IF(AND('Mapa final'!$AH$41="Baja",'Mapa final'!$AJ$41="Catastrófico"),CONCATENATE("R2C",'Mapa final'!$R$41),"")</f>
        <v/>
      </c>
      <c r="AL46" s="42" t="str">
        <f>IF(AND('Mapa final'!$AH$42="Baja",'Mapa final'!$AJ$42="Catastrófico"),CONCATENATE("R2C",'Mapa final'!$R$42),"")</f>
        <v/>
      </c>
      <c r="AM46" s="42" t="str">
        <f>IF(AND('Mapa final'!$AH$43="Baja",'Mapa final'!$AJ$43="Catastrófico"),CONCATENATE("R2C",'Mapa final'!$R$43),"")</f>
        <v/>
      </c>
      <c r="AN46" s="43" t="str">
        <f>IF(AND('Mapa final'!$AH$44="Baja",'Mapa final'!$AJ$44="Catastrófico"),CONCATENATE("R2C",'Mapa final'!$R$44),"")</f>
        <v/>
      </c>
      <c r="AO46" s="68"/>
      <c r="AP46" s="551"/>
      <c r="AQ46" s="552"/>
      <c r="AR46" s="552"/>
      <c r="AS46" s="552"/>
      <c r="AT46" s="552"/>
      <c r="AU46" s="553"/>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row>
    <row r="47" spans="2:77" ht="15" customHeight="1">
      <c r="B47" s="68"/>
      <c r="C47" s="430"/>
      <c r="D47" s="430"/>
      <c r="E47" s="431"/>
      <c r="F47" s="520"/>
      <c r="G47" s="521"/>
      <c r="H47" s="521"/>
      <c r="I47" s="521"/>
      <c r="J47" s="521"/>
      <c r="K47" s="62" t="str">
        <f>IF(AND('Mapa final'!$AH$45="Baja",'Mapa final'!$AJ$45="Leve"),CONCATENATE("R2C",'Mapa final'!$R$45),"")</f>
        <v/>
      </c>
      <c r="L47" s="63" t="str">
        <f>IF(AND('Mapa final'!$AH$46="Baja",'Mapa final'!$AJ$46="Leve"),CONCATENATE("R2C",'Mapa final'!$R$46),"")</f>
        <v/>
      </c>
      <c r="M47" s="63" t="str">
        <f>IF(AND('Mapa final'!$AH$47="Baja",'Mapa final'!$AJ$47="Leve"),CONCATENATE("R2C",'Mapa final'!$R$47),"")</f>
        <v/>
      </c>
      <c r="N47" s="63" t="str">
        <f>IF(AND('Mapa final'!$AH$48="Baja",'Mapa final'!$AJ$48="Leve"),CONCATENATE("R2C",'Mapa final'!$R$48),"")</f>
        <v/>
      </c>
      <c r="O47" s="63" t="str">
        <f>IF(AND('Mapa final'!$AH$49="Baja",'Mapa final'!$AJ$49="Leve"),CONCATENATE("R2C",'Mapa final'!$R$49),"")</f>
        <v/>
      </c>
      <c r="P47" s="64" t="str">
        <f>IF(AND('Mapa final'!$AH$60="Baja",'Mapa final'!$AJ$50="Leve"),CONCATENATE("R2C",'Mapa final'!$R$50),"")</f>
        <v/>
      </c>
      <c r="Q47" s="53" t="str">
        <f>IF(AND('Mapa final'!$AH$45="Baja",'Mapa final'!$AJ$45="Menor"),CONCATENATE("R2C",'Mapa final'!$R$45),"")</f>
        <v/>
      </c>
      <c r="R47" s="54" t="str">
        <f>IF(AND('Mapa final'!$AH$46="Baja",'Mapa final'!$AJ$46="Menor"),CONCATENATE("R2C",'Mapa final'!$R$46),"")</f>
        <v/>
      </c>
      <c r="S47" s="54" t="str">
        <f>IF(AND('Mapa final'!$AH$47="Baja",'Mapa final'!$AJ$47="Menor"),CONCATENATE("R2C",'Mapa final'!$R$47),"")</f>
        <v/>
      </c>
      <c r="T47" s="54" t="str">
        <f>IF(AND('Mapa final'!$AH$48="Baja",'Mapa final'!$AJ$48="Menor"),CONCATENATE("R2C",'Mapa final'!$R$48),"")</f>
        <v/>
      </c>
      <c r="U47" s="54" t="str">
        <f>IF(AND('Mapa final'!$AH$49="Baja",'Mapa final'!$AJ$49="Menor"),CONCATENATE("R2C",'Mapa final'!$R$49),"")</f>
        <v/>
      </c>
      <c r="V47" s="55" t="str">
        <f>IF(AND('Mapa final'!$AH$60="Baja",'Mapa final'!$AJ$50="Menor"),CONCATENATE("R2C",'Mapa final'!$R$50),"")</f>
        <v/>
      </c>
      <c r="W47" s="53" t="str">
        <f>IF(AND('Mapa final'!$AH$45="Baja",'Mapa final'!$AJ$45="Moderado"),CONCATENATE("R2C",'Mapa final'!$R$45),"")</f>
        <v/>
      </c>
      <c r="X47" s="54" t="str">
        <f>IF(AND('Mapa final'!$AH$46="Baja",'Mapa final'!$AJ$46="Moderado"),CONCATENATE("R2C",'Mapa final'!$R$46),"")</f>
        <v/>
      </c>
      <c r="Y47" s="54" t="str">
        <f>IF(AND('Mapa final'!$AH$47="Baja",'Mapa final'!$AJ$47="Moderado"),CONCATENATE("R2C",'Mapa final'!$R$47),"")</f>
        <v/>
      </c>
      <c r="Z47" s="54" t="str">
        <f>IF(AND('Mapa final'!$AH$48="Baja",'Mapa final'!$AJ$48="Moderado"),CONCATENATE("R2C",'Mapa final'!$R$48),"")</f>
        <v/>
      </c>
      <c r="AA47" s="54" t="str">
        <f>IF(AND('Mapa final'!$AH$49="Baja",'Mapa final'!$AJ$49="Moderado"),CONCATENATE("R2C",'Mapa final'!$R$49),"")</f>
        <v/>
      </c>
      <c r="AB47" s="55" t="str">
        <f>IF(AND('Mapa final'!$AH$60="Baja",'Mapa final'!$AJ$50="Moderado"),CONCATENATE("R2C",'Mapa final'!$R$50),"")</f>
        <v/>
      </c>
      <c r="AC47" s="38" t="str">
        <f>IF(AND('Mapa final'!$AH$45="Baja",'Mapa final'!$AJ$45="Mayor"),CONCATENATE("R2C",'Mapa final'!$R$45),"")</f>
        <v/>
      </c>
      <c r="AD47" s="39" t="str">
        <f>IF(AND('Mapa final'!$AH$46="Baja",'Mapa final'!$AJ$46="Mayor"),CONCATENATE("R2C",'Mapa final'!$R$46),"")</f>
        <v/>
      </c>
      <c r="AE47" s="39" t="str">
        <f>IF(AND('Mapa final'!$AH$47="Baja",'Mapa final'!$AJ$47="Mayor"),CONCATENATE("R2C",'Mapa final'!$R$47),"")</f>
        <v/>
      </c>
      <c r="AF47" s="39" t="str">
        <f>IF(AND('Mapa final'!$AH$48="Baja",'Mapa final'!$AJ$48="Mayor"),CONCATENATE("R2C",'Mapa final'!$R$48),"")</f>
        <v/>
      </c>
      <c r="AG47" s="39" t="str">
        <f>IF(AND('Mapa final'!$AH$49="Baja",'Mapa final'!$AJ$49="Mayor"),CONCATENATE("R2C",'Mapa final'!$R$49),"")</f>
        <v/>
      </c>
      <c r="AH47" s="40" t="str">
        <f>IF(AND('Mapa final'!$AH$60="Baja",'Mapa final'!$AJ$50="Mayor"),CONCATENATE("R2C",'Mapa final'!$R$50),"")</f>
        <v/>
      </c>
      <c r="AI47" s="41" t="str">
        <f>IF(AND('Mapa final'!$AH$45="Baja",'Mapa final'!$AJ$45="Catastrófico"),CONCATENATE("R2C",'Mapa final'!$R$45),"")</f>
        <v/>
      </c>
      <c r="AJ47" s="42" t="str">
        <f>IF(AND('Mapa final'!$AH$46="Baja",'Mapa final'!$AJ$46="Catastrófico"),CONCATENATE("R2C",'Mapa final'!$R$46),"")</f>
        <v/>
      </c>
      <c r="AK47" s="42" t="str">
        <f>IF(AND('Mapa final'!$AH$47="Baja",'Mapa final'!$AJ$47="Catastrófico"),CONCATENATE("R2C",'Mapa final'!$R$47),"")</f>
        <v/>
      </c>
      <c r="AL47" s="42" t="str">
        <f>IF(AND('Mapa final'!$AH$48="Baja",'Mapa final'!$AJ$48="Catastrófico"),CONCATENATE("R2C",'Mapa final'!$R$48),"")</f>
        <v/>
      </c>
      <c r="AM47" s="42" t="str">
        <f>IF(AND('Mapa final'!$AH$49="Baja",'Mapa final'!$AJ$49="Catastrófico"),CONCATENATE("R2C",'Mapa final'!$R$49),"")</f>
        <v/>
      </c>
      <c r="AN47" s="43" t="str">
        <f>IF(AND('Mapa final'!$AH$60="Baja",'Mapa final'!$AJ$50="Catastrófico"),CONCATENATE("R2C",'Mapa final'!$R$50),"")</f>
        <v/>
      </c>
      <c r="AO47" s="68"/>
      <c r="AP47" s="551"/>
      <c r="AQ47" s="552"/>
      <c r="AR47" s="552"/>
      <c r="AS47" s="552"/>
      <c r="AT47" s="552"/>
      <c r="AU47" s="553"/>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row>
    <row r="48" spans="2:77" ht="15" customHeight="1">
      <c r="B48" s="68"/>
      <c r="C48" s="430"/>
      <c r="D48" s="430"/>
      <c r="E48" s="431"/>
      <c r="F48" s="520"/>
      <c r="G48" s="521"/>
      <c r="H48" s="521"/>
      <c r="I48" s="521"/>
      <c r="J48" s="521"/>
      <c r="K48" s="62" t="str">
        <f>IF(AND('Mapa final'!$AH$51="Baja",'Mapa final'!$AJ$51="Leve"),CONCATENATE("R2C",'Mapa final'!$R$51),"")</f>
        <v/>
      </c>
      <c r="L48" s="63" t="str">
        <f>IF(AND('Mapa final'!$AH$52="Baja",'Mapa final'!$AJ$52="Leve"),CONCATENATE("R2C",'Mapa final'!$R$52),"")</f>
        <v/>
      </c>
      <c r="M48" s="63" t="str">
        <f>IF(AND('Mapa final'!$AH$53="Baja",'Mapa final'!$AJ$53="Leve"),CONCATENATE("R2C",'Mapa final'!$R$53),"")</f>
        <v/>
      </c>
      <c r="N48" s="63" t="str">
        <f>IF(AND('Mapa final'!$AH$54="Baja",'Mapa final'!$AJ$54="Leve"),CONCATENATE("R2C",'Mapa final'!$R$54),"")</f>
        <v/>
      </c>
      <c r="O48" s="63" t="str">
        <f>IF(AND('Mapa final'!$AH$55="Baja",'Mapa final'!$AJ$55="Leve"),CONCATENATE("R2C",'Mapa final'!$R$55),"")</f>
        <v/>
      </c>
      <c r="P48" s="64" t="str">
        <f>IF(AND('Mapa final'!$AH$56="Baja",'Mapa final'!$AJ$56="Leve"),CONCATENATE("R2C",'Mapa final'!$R$56),"")</f>
        <v/>
      </c>
      <c r="Q48" s="53" t="str">
        <f>IF(AND('Mapa final'!$AH$51="Baja",'Mapa final'!$AJ$51="Menor"),CONCATENATE("R2C",'Mapa final'!$R$51),"")</f>
        <v/>
      </c>
      <c r="R48" s="54" t="str">
        <f>IF(AND('Mapa final'!$AH$52="Baja",'Mapa final'!$AJ$52="Menor"),CONCATENATE("R2C",'Mapa final'!$R$52),"")</f>
        <v/>
      </c>
      <c r="S48" s="54" t="str">
        <f>IF(AND('Mapa final'!$AH$53="Baja",'Mapa final'!$AJ$53="Menor"),CONCATENATE("R2C",'Mapa final'!$R$53),"")</f>
        <v/>
      </c>
      <c r="T48" s="54" t="str">
        <f>IF(AND('Mapa final'!$AH$54="Baja",'Mapa final'!$AJ$54="Menor"),CONCATENATE("R2C",'Mapa final'!$R$54),"")</f>
        <v/>
      </c>
      <c r="U48" s="54" t="str">
        <f>IF(AND('Mapa final'!$AH$55="Baja",'Mapa final'!$AJ$55="Menor"),CONCATENATE("R2C",'Mapa final'!$R$55),"")</f>
        <v/>
      </c>
      <c r="V48" s="55" t="str">
        <f>IF(AND('Mapa final'!$AH$56="Baja",'Mapa final'!$AJ$56="Menor"),CONCATENATE("R2C",'Mapa final'!$R$56),"")</f>
        <v/>
      </c>
      <c r="W48" s="53" t="str">
        <f>IF(AND('Mapa final'!$AH$51="Baja",'Mapa final'!$AJ$51="Moderado"),CONCATENATE("R2C",'Mapa final'!$R$51),"")</f>
        <v/>
      </c>
      <c r="X48" s="54" t="str">
        <f>IF(AND('Mapa final'!$AH$52="Baja",'Mapa final'!$AJ$52="Moderado"),CONCATENATE("R2C",'Mapa final'!$R$52),"")</f>
        <v/>
      </c>
      <c r="Y48" s="54" t="str">
        <f>IF(AND('Mapa final'!$AH$53="Baja",'Mapa final'!$AJ$53="Moderado"),CONCATENATE("R2C",'Mapa final'!$R$53),"")</f>
        <v/>
      </c>
      <c r="Z48" s="54" t="str">
        <f>IF(AND('Mapa final'!$AH$54="Baja",'Mapa final'!$AJ$54="Moderado"),CONCATENATE("R2C",'Mapa final'!$R$54),"")</f>
        <v/>
      </c>
      <c r="AA48" s="54" t="str">
        <f>IF(AND('Mapa final'!$AH$55="Baja",'Mapa final'!$AJ$55="Moderado"),CONCATENATE("R2C",'Mapa final'!$R$55),"")</f>
        <v/>
      </c>
      <c r="AB48" s="55" t="str">
        <f>IF(AND('Mapa final'!$AH$56="Baja",'Mapa final'!$AJ$56="Moderado"),CONCATENATE("R2C",'Mapa final'!$R$56),"")</f>
        <v/>
      </c>
      <c r="AC48" s="38" t="str">
        <f>IF(AND('Mapa final'!$AH$51="Baja",'Mapa final'!$AJ$51="Mayor"),CONCATENATE("R2C",'Mapa final'!$R$51),"")</f>
        <v/>
      </c>
      <c r="AD48" s="39" t="str">
        <f>IF(AND('Mapa final'!$AH$52="Baja",'Mapa final'!$AJ$52="Mayor"),CONCATENATE("R2C",'Mapa final'!$R$52),"")</f>
        <v/>
      </c>
      <c r="AE48" s="39" t="str">
        <f>IF(AND('Mapa final'!$AH$53="Baja",'Mapa final'!$AJ$53="Mayor"),CONCATENATE("R2C",'Mapa final'!$R$53),"")</f>
        <v/>
      </c>
      <c r="AF48" s="39" t="str">
        <f>IF(AND('Mapa final'!$AH$54="Baja",'Mapa final'!$AJ$54="Mayor"),CONCATENATE("R2C",'Mapa final'!$R$54),"")</f>
        <v/>
      </c>
      <c r="AG48" s="39" t="str">
        <f>IF(AND('Mapa final'!$AH$55="Baja",'Mapa final'!$AJ$55="Mayor"),CONCATENATE("R2C",'Mapa final'!$R$55),"")</f>
        <v/>
      </c>
      <c r="AH48" s="40" t="str">
        <f>IF(AND('Mapa final'!$AH$56="Baja",'Mapa final'!$AJ$56="Mayor"),CONCATENATE("R2C",'Mapa final'!$R$56),"")</f>
        <v/>
      </c>
      <c r="AI48" s="41" t="str">
        <f>IF(AND('Mapa final'!$AH$51="Baja",'Mapa final'!$AJ$51="Catastrófico"),CONCATENATE("R2C",'Mapa final'!$R$51),"")</f>
        <v/>
      </c>
      <c r="AJ48" s="42" t="str">
        <f>IF(AND('Mapa final'!$AH$52="Baja",'Mapa final'!$AJ$52="Catastrófico"),CONCATENATE("R2C",'Mapa final'!$R$52),"")</f>
        <v/>
      </c>
      <c r="AK48" s="42" t="str">
        <f>IF(AND('Mapa final'!$AH$53="Baja",'Mapa final'!$AJ$53="Catastrófico"),CONCATENATE("R2C",'Mapa final'!$R$53),"")</f>
        <v/>
      </c>
      <c r="AL48" s="42" t="str">
        <f>IF(AND('Mapa final'!$AH$54="Baja",'Mapa final'!$AJ$54="Catastrófico"),CONCATENATE("R2C",'Mapa final'!$R$54),"")</f>
        <v/>
      </c>
      <c r="AM48" s="42" t="str">
        <f>IF(AND('Mapa final'!$AH$55="Baja",'Mapa final'!$AJ$55="Catastrófico"),CONCATENATE("R2C",'Mapa final'!$R$55),"")</f>
        <v/>
      </c>
      <c r="AN48" s="43" t="str">
        <f>IF(AND('Mapa final'!$AH$56="Baja",'Mapa final'!$AJ$56="Catastrófico"),CONCATENATE("R2C",'Mapa final'!$R$56),"")</f>
        <v/>
      </c>
      <c r="AO48" s="68"/>
      <c r="AP48" s="551"/>
      <c r="AQ48" s="552"/>
      <c r="AR48" s="552"/>
      <c r="AS48" s="552"/>
      <c r="AT48" s="552"/>
      <c r="AU48" s="553"/>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row>
    <row r="49" spans="2:81" ht="15" customHeight="1">
      <c r="B49" s="68"/>
      <c r="C49" s="430"/>
      <c r="D49" s="430"/>
      <c r="E49" s="431"/>
      <c r="F49" s="520"/>
      <c r="G49" s="521"/>
      <c r="H49" s="521"/>
      <c r="I49" s="521"/>
      <c r="J49" s="521"/>
      <c r="K49" s="62" t="str">
        <f>IF(AND('Mapa final'!$AH$57="Baja",'Mapa final'!$AJ$57="Leve"),CONCATENATE("R2C",'Mapa final'!$R$57),"")</f>
        <v/>
      </c>
      <c r="L49" s="63" t="str">
        <f>IF(AND('Mapa final'!$AH$58="Baja",'Mapa final'!$AJ$58="Leve"),CONCATENATE("R2C",'Mapa final'!$R$58),"")</f>
        <v/>
      </c>
      <c r="M49" s="63" t="str">
        <f>IF(AND('Mapa final'!$AH$59="Baja",'Mapa final'!$AJ$59="Leve"),CONCATENATE("R2C",'Mapa final'!$R$59),"")</f>
        <v/>
      </c>
      <c r="N49" s="63" t="str">
        <f>IF(AND('Mapa final'!$AH$60="Baja",'Mapa final'!$AJ$60="Leve"),CONCATENATE("R2C",'Mapa final'!$R$60),"")</f>
        <v/>
      </c>
      <c r="O49" s="63" t="str">
        <f>IF(AND('Mapa final'!$AH$61="Baja",'Mapa final'!$AJ$61="Leve"),CONCATENATE("R2C",'Mapa final'!$R$61),"")</f>
        <v/>
      </c>
      <c r="P49" s="64" t="str">
        <f>IF(AND('Mapa final'!$AH$62="Baja",'Mapa final'!$AJ$62="Leve"),CONCATENATE("R2C",'Mapa final'!$R$62),"")</f>
        <v/>
      </c>
      <c r="Q49" s="53" t="str">
        <f>IF(AND('Mapa final'!$AH$57="Baja",'Mapa final'!$AJ$57="Menor"),CONCATENATE("R2C",'Mapa final'!$R$57),"")</f>
        <v/>
      </c>
      <c r="R49" s="54" t="str">
        <f>IF(AND('Mapa final'!$AH$58="Baja",'Mapa final'!$AJ$58="Menor"),CONCATENATE("R2C",'Mapa final'!$R$58),"")</f>
        <v/>
      </c>
      <c r="S49" s="54" t="str">
        <f>IF(AND('Mapa final'!$AH$59="Baja",'Mapa final'!$AJ$59="Menor"),CONCATENATE("R2C",'Mapa final'!$R$59),"")</f>
        <v/>
      </c>
      <c r="T49" s="54" t="str">
        <f>IF(AND('Mapa final'!$AH$60="Baja",'Mapa final'!$AJ$60="Menor"),CONCATENATE("R2C",'Mapa final'!$R$60),"")</f>
        <v/>
      </c>
      <c r="U49" s="54" t="str">
        <f>IF(AND('Mapa final'!$AH$61="Baja",'Mapa final'!$AJ$61="Menor"),CONCATENATE("R2C",'Mapa final'!$R$61),"")</f>
        <v/>
      </c>
      <c r="V49" s="55" t="str">
        <f>IF(AND('Mapa final'!$AH$62="Baja",'Mapa final'!$AJ$62="Menor"),CONCATENATE("R2C",'Mapa final'!$R$62),"")</f>
        <v/>
      </c>
      <c r="W49" s="53" t="str">
        <f>IF(AND('Mapa final'!$AH$57="Baja",'Mapa final'!$AJ$57="Moderado"),CONCATENATE("R2C",'Mapa final'!$R$57),"")</f>
        <v/>
      </c>
      <c r="X49" s="54" t="str">
        <f>IF(AND('Mapa final'!$AH$58="Baja",'Mapa final'!$AJ$58="Moderado"),CONCATENATE("R2C",'Mapa final'!$R$58),"")</f>
        <v/>
      </c>
      <c r="Y49" s="54" t="str">
        <f>IF(AND('Mapa final'!$AH$59="Baja",'Mapa final'!$AJ$59="Moderado"),CONCATENATE("R2C",'Mapa final'!$R$59),"")</f>
        <v/>
      </c>
      <c r="Z49" s="54" t="str">
        <f>IF(AND('Mapa final'!$AH$60="Baja",'Mapa final'!$AJ$60="Moderado"),CONCATENATE("R2C",'Mapa final'!$R$60),"")</f>
        <v/>
      </c>
      <c r="AA49" s="54" t="str">
        <f>IF(AND('Mapa final'!$AH$61="Baja",'Mapa final'!$AJ$61="Moderado"),CONCATENATE("R2C",'Mapa final'!$R$61),"")</f>
        <v/>
      </c>
      <c r="AB49" s="55" t="str">
        <f>IF(AND('Mapa final'!$AH$62="Baja",'Mapa final'!$AJ$62="Moderado"),CONCATENATE("R2C",'Mapa final'!$R$62),"")</f>
        <v/>
      </c>
      <c r="AC49" s="38" t="str">
        <f>IF(AND('Mapa final'!$AH$57="Baja",'Mapa final'!$AJ$57="Mayor"),CONCATENATE("R2C",'Mapa final'!$R$57),"")</f>
        <v/>
      </c>
      <c r="AD49" s="39" t="str">
        <f>IF(AND('Mapa final'!$AH$58="Baja",'Mapa final'!$AJ$58="Mayor"),CONCATENATE("R2C",'Mapa final'!$R$58),"")</f>
        <v/>
      </c>
      <c r="AE49" s="39" t="str">
        <f>IF(AND('Mapa final'!$AH$59="Baja",'Mapa final'!$AJ$59="Mayor"),CONCATENATE("R2C",'Mapa final'!$R$59),"")</f>
        <v/>
      </c>
      <c r="AF49" s="39" t="str">
        <f>IF(AND('Mapa final'!$AH$60="Baja",'Mapa final'!$AJ$60="Mayor"),CONCATENATE("R2C",'Mapa final'!$R$60),"")</f>
        <v/>
      </c>
      <c r="AG49" s="39" t="str">
        <f>IF(AND('Mapa final'!$AH$61="Baja",'Mapa final'!$AJ$61="Mayor"),CONCATENATE("R2C",'Mapa final'!$R$61),"")</f>
        <v/>
      </c>
      <c r="AH49" s="40" t="str">
        <f>IF(AND('Mapa final'!$AH$62="Baja",'Mapa final'!$AJ$62="Mayor"),CONCATENATE("R2C",'Mapa final'!$R$62),"")</f>
        <v/>
      </c>
      <c r="AI49" s="41" t="str">
        <f>IF(AND('Mapa final'!$AH$57="Baja",'Mapa final'!$AJ$57="Catastrófico"),CONCATENATE("R2C",'Mapa final'!$R$57),"")</f>
        <v/>
      </c>
      <c r="AJ49" s="42" t="str">
        <f>IF(AND('Mapa final'!$AH$58="Baja",'Mapa final'!$AJ$58="Catastrófico"),CONCATENATE("R2C",'Mapa final'!$R$58),"")</f>
        <v/>
      </c>
      <c r="AK49" s="42" t="str">
        <f>IF(AND('Mapa final'!$AH$59="Baja",'Mapa final'!$AJ$59="Catastrófico"),CONCATENATE("R2C",'Mapa final'!$R$59),"")</f>
        <v/>
      </c>
      <c r="AL49" s="42" t="str">
        <f>IF(AND('Mapa final'!$AH$60="Baja",'Mapa final'!$AJ$60="Catastrófico"),CONCATENATE("R2C",'Mapa final'!$R$60),"")</f>
        <v/>
      </c>
      <c r="AM49" s="42" t="str">
        <f>IF(AND('Mapa final'!$AH$61="Baja",'Mapa final'!$AJ$61="Catastrófico"),CONCATENATE("R2C",'Mapa final'!$R$61),"")</f>
        <v/>
      </c>
      <c r="AN49" s="43" t="str">
        <f>IF(AND('Mapa final'!$AH$62="Baja",'Mapa final'!$AJ$62="Catastrófico"),CONCATENATE("R2C",'Mapa final'!$R$62),"")</f>
        <v/>
      </c>
      <c r="AO49" s="68"/>
      <c r="AP49" s="551"/>
      <c r="AQ49" s="552"/>
      <c r="AR49" s="552"/>
      <c r="AS49" s="552"/>
      <c r="AT49" s="552"/>
      <c r="AU49" s="553"/>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row>
    <row r="50" spans="2:81" ht="15" customHeight="1">
      <c r="B50" s="68"/>
      <c r="C50" s="430"/>
      <c r="D50" s="430"/>
      <c r="E50" s="431"/>
      <c r="F50" s="520"/>
      <c r="G50" s="521"/>
      <c r="H50" s="521"/>
      <c r="I50" s="521"/>
      <c r="J50" s="521"/>
      <c r="K50" s="62" t="str">
        <f>IF(AND('Mapa final'!$AH$63="Baja",'Mapa final'!$AJ$63="Leve"),CONCATENATE("R2C",'Mapa final'!$R$63),"")</f>
        <v/>
      </c>
      <c r="L50" s="63" t="str">
        <f>IF(AND('Mapa final'!$AH$64="Baja",'Mapa final'!$AJ$64="Leve"),CONCATENATE("R2C",'Mapa final'!$R$64),"")</f>
        <v/>
      </c>
      <c r="M50" s="63" t="str">
        <f>IF(AND('Mapa final'!$AH$65="Baja",'Mapa final'!$AJ$65="Leve"),CONCATENATE("R2C",'Mapa final'!$R$65),"")</f>
        <v/>
      </c>
      <c r="N50" s="63" t="str">
        <f>IF(AND('Mapa final'!$AH$66="Baja",'Mapa final'!$AJ$66="Leve"),CONCATENATE("R2C",'Mapa final'!$R$66),"")</f>
        <v/>
      </c>
      <c r="O50" s="63" t="str">
        <f>IF(AND('Mapa final'!$AH$67="Baja",'Mapa final'!$AJ$67="Leve"),CONCATENATE("R2C",'Mapa final'!$R$67),"")</f>
        <v/>
      </c>
      <c r="P50" s="64" t="str">
        <f>IF(AND('Mapa final'!$AH$68="Baja",'Mapa final'!$AJ$68="Leve"),CONCATENATE("R2C",'Mapa final'!$R$68),"")</f>
        <v/>
      </c>
      <c r="Q50" s="53" t="str">
        <f>IF(AND('Mapa final'!$AH$63="Baja",'Mapa final'!$AJ$63="Menor"),CONCATENATE("R2C",'Mapa final'!$R$63),"")</f>
        <v/>
      </c>
      <c r="R50" s="54" t="str">
        <f>IF(AND('Mapa final'!$AH$64="Baja",'Mapa final'!$AJ$64="Menor"),CONCATENATE("R2C",'Mapa final'!$R$64),"")</f>
        <v/>
      </c>
      <c r="S50" s="54" t="str">
        <f>IF(AND('Mapa final'!$AH$65="Baja",'Mapa final'!$AJ$65="Menor"),CONCATENATE("R2C",'Mapa final'!$R$65),"")</f>
        <v/>
      </c>
      <c r="T50" s="54" t="str">
        <f>IF(AND('Mapa final'!$AH$66="Baja",'Mapa final'!$AJ$66="Menor"),CONCATENATE("R2C",'Mapa final'!$R$66),"")</f>
        <v/>
      </c>
      <c r="U50" s="54" t="str">
        <f>IF(AND('Mapa final'!$AH$67="Baja",'Mapa final'!$AJ$67="Menor"),CONCATENATE("R2C",'Mapa final'!$R$67),"")</f>
        <v/>
      </c>
      <c r="V50" s="55" t="str">
        <f>IF(AND('Mapa final'!$AH$68="Baja",'Mapa final'!$AJ$68="Menor"),CONCATENATE("R2C",'Mapa final'!$R$68),"")</f>
        <v/>
      </c>
      <c r="W50" s="53" t="str">
        <f>IF(AND('Mapa final'!$AH$63="Baja",'Mapa final'!$AJ$63="Moderado"),CONCATENATE("R2C",'Mapa final'!$R$63),"")</f>
        <v/>
      </c>
      <c r="X50" s="54" t="str">
        <f>IF(AND('Mapa final'!$AH$64="Baja",'Mapa final'!$AJ$64="Moderado"),CONCATENATE("R2C",'Mapa final'!$R$64),"")</f>
        <v/>
      </c>
      <c r="Y50" s="54" t="str">
        <f>IF(AND('Mapa final'!$AH$65="Baja",'Mapa final'!$AJ$65="Moderado"),CONCATENATE("R2C",'Mapa final'!$R$65),"")</f>
        <v/>
      </c>
      <c r="Z50" s="54" t="str">
        <f>IF(AND('Mapa final'!$AH$66="Baja",'Mapa final'!$AJ$66="Moderado"),CONCATENATE("R2C",'Mapa final'!$R$66),"")</f>
        <v/>
      </c>
      <c r="AA50" s="54" t="str">
        <f>IF(AND('Mapa final'!$AH$67="Baja",'Mapa final'!$AJ$67="Moderado"),CONCATENATE("R2C",'Mapa final'!$R$67),"")</f>
        <v/>
      </c>
      <c r="AB50" s="55" t="str">
        <f>IF(AND('Mapa final'!$AH$68="Baja",'Mapa final'!$AJ$68="Moderado"),CONCATENATE("R2C",'Mapa final'!$R$68),"")</f>
        <v/>
      </c>
      <c r="AC50" s="38" t="str">
        <f>IF(AND('Mapa final'!$AH$63="Baja",'Mapa final'!$AJ$63="Mayor"),CONCATENATE("R2C",'Mapa final'!$R$63),"")</f>
        <v/>
      </c>
      <c r="AD50" s="39" t="str">
        <f>IF(AND('Mapa final'!$AH$64="Baja",'Mapa final'!$AJ$64="Mayor"),CONCATENATE("R2C",'Mapa final'!$R$64),"")</f>
        <v/>
      </c>
      <c r="AE50" s="39" t="str">
        <f>IF(AND('Mapa final'!$AH$65="Baja",'Mapa final'!$AJ$65="Mayor"),CONCATENATE("R2C",'Mapa final'!$R$65),"")</f>
        <v/>
      </c>
      <c r="AF50" s="39" t="str">
        <f>IF(AND('Mapa final'!$AH$66="Baja",'Mapa final'!$AJ$66="Mayor"),CONCATENATE("R2C",'Mapa final'!$R$66),"")</f>
        <v/>
      </c>
      <c r="AG50" s="39" t="str">
        <f>IF(AND('Mapa final'!$AH$67="Baja",'Mapa final'!$AJ$67="Mayor"),CONCATENATE("R2C",'Mapa final'!$R$67),"")</f>
        <v/>
      </c>
      <c r="AH50" s="40" t="str">
        <f>IF(AND('Mapa final'!$AH$68="Baja",'Mapa final'!$AJ$68="Mayor"),CONCATENATE("R2C",'Mapa final'!$R$68),"")</f>
        <v/>
      </c>
      <c r="AI50" s="41" t="str">
        <f>IF(AND('Mapa final'!$AH$63="Baja",'Mapa final'!$AJ$63="Catastrófico"),CONCATENATE("R2C",'Mapa final'!$R$63),"")</f>
        <v/>
      </c>
      <c r="AJ50" s="42" t="str">
        <f>IF(AND('Mapa final'!$AH$64="Baja",'Mapa final'!$AJ$64="Catastrófico"),CONCATENATE("R2C",'Mapa final'!$R$64),"")</f>
        <v/>
      </c>
      <c r="AK50" s="42" t="str">
        <f>IF(AND('Mapa final'!$AH$65="Baja",'Mapa final'!$AJ$65="Catastrófico"),CONCATENATE("R2C",'Mapa final'!$R$65),"")</f>
        <v/>
      </c>
      <c r="AL50" s="42" t="str">
        <f>IF(AND('Mapa final'!$AH$66="Baja",'Mapa final'!$AJ$66="Catastrófico"),CONCATENATE("R2C",'Mapa final'!$R$66),"")</f>
        <v/>
      </c>
      <c r="AM50" s="42" t="str">
        <f>IF(AND('Mapa final'!$AH$67="Baja",'Mapa final'!$AJ$67="Catastrófico"),CONCATENATE("R2C",'Mapa final'!$R$67),"")</f>
        <v/>
      </c>
      <c r="AN50" s="43" t="str">
        <f>IF(AND('Mapa final'!$AH$68="Baja",'Mapa final'!$AJ$68="Catastrófico"),CONCATENATE("R2C",'Mapa final'!$R$68),"")</f>
        <v/>
      </c>
      <c r="AO50" s="68"/>
      <c r="AP50" s="551"/>
      <c r="AQ50" s="552"/>
      <c r="AR50" s="552"/>
      <c r="AS50" s="552"/>
      <c r="AT50" s="552"/>
      <c r="AU50" s="553"/>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row>
    <row r="51" spans="2:81" ht="15.75" customHeight="1" thickBot="1">
      <c r="B51" s="68"/>
      <c r="C51" s="430"/>
      <c r="D51" s="430"/>
      <c r="E51" s="431"/>
      <c r="F51" s="523"/>
      <c r="G51" s="524"/>
      <c r="H51" s="524"/>
      <c r="I51" s="524"/>
      <c r="J51" s="524"/>
      <c r="K51" s="65" t="str">
        <f>IF(AND('Mapa final'!$AH$69="Baja",'Mapa final'!$AJ$69="Leve"),CONCATENATE("R2C",'Mapa final'!$R$69),"")</f>
        <v/>
      </c>
      <c r="L51" s="66" t="str">
        <f>IF(AND('Mapa final'!$AH$70="Baja",'Mapa final'!$AJ$70="Leve"),CONCATENATE("R2C",'Mapa final'!$R$70),"")</f>
        <v/>
      </c>
      <c r="M51" s="66" t="str">
        <f>IF(AND('Mapa final'!$AH$71="Baja",'Mapa final'!$AJ$71="Leve"),CONCATENATE("R2C",'Mapa final'!$R$71),"")</f>
        <v/>
      </c>
      <c r="N51" s="66" t="str">
        <f>IF(AND('Mapa final'!$AH$72="Baja",'Mapa final'!$AJ$72="Leve"),CONCATENATE("R2C",'Mapa final'!$R$72),"")</f>
        <v/>
      </c>
      <c r="O51" s="66" t="str">
        <f>IF(AND('Mapa final'!$AH$74="Baja",'Mapa final'!$AJ$74="Leve"),CONCATENATE("R2C",'Mapa final'!$R$74),"")</f>
        <v/>
      </c>
      <c r="P51" s="67" t="str">
        <f>IF(AND('Mapa final'!$AH$75="Baja",'Mapa final'!$AJ$75="Leve"),CONCATENATE("R2C",'Mapa final'!$R$75),"")</f>
        <v/>
      </c>
      <c r="Q51" s="53" t="str">
        <f>IF(AND('Mapa final'!$AH$69="Baja",'Mapa final'!$AJ$69="Menor"),CONCATENATE("R2C",'Mapa final'!$R$69),"")</f>
        <v/>
      </c>
      <c r="R51" s="54" t="str">
        <f>IF(AND('Mapa final'!$AH$70="Baja",'Mapa final'!$AJ$70="Menor"),CONCATENATE("R2C",'Mapa final'!$R$70),"")</f>
        <v/>
      </c>
      <c r="S51" s="54" t="str">
        <f>IF(AND('Mapa final'!$AH$71="Baja",'Mapa final'!$AJ$71="Menor"),CONCATENATE("R2C",'Mapa final'!$R$71),"")</f>
        <v/>
      </c>
      <c r="T51" s="54" t="str">
        <f>IF(AND('Mapa final'!$AH$72="Baja",'Mapa final'!$AJ$72="Menor"),CONCATENATE("R2C",'Mapa final'!$R$72),"")</f>
        <v/>
      </c>
      <c r="U51" s="54" t="str">
        <f>IF(AND('Mapa final'!$AH$74="Baja",'Mapa final'!$AJ$74="Menor"),CONCATENATE("R2C",'Mapa final'!$R$74),"")</f>
        <v/>
      </c>
      <c r="V51" s="55" t="str">
        <f>IF(AND('Mapa final'!$AH$75="Baja",'Mapa final'!$AJ$75="Menor"),CONCATENATE("R2C",'Mapa final'!$R$75),"")</f>
        <v/>
      </c>
      <c r="W51" s="56" t="str">
        <f>IF(AND('Mapa final'!$AH$69="Baja",'Mapa final'!$AJ$69="Moderado"),CONCATENATE("R2C",'Mapa final'!$R$69),"")</f>
        <v/>
      </c>
      <c r="X51" s="57" t="str">
        <f>IF(AND('Mapa final'!$AH$70="Baja",'Mapa final'!$AJ$70="Moderado"),CONCATENATE("R2C",'Mapa final'!$R$70),"")</f>
        <v/>
      </c>
      <c r="Y51" s="57" t="str">
        <f>IF(AND('Mapa final'!$AH$71="Baja",'Mapa final'!$AJ$71="Moderado"),CONCATENATE("R2C",'Mapa final'!$R$71),"")</f>
        <v/>
      </c>
      <c r="Z51" s="57" t="str">
        <f>IF(AND('Mapa final'!$AH$72="Baja",'Mapa final'!$AJ$72="Moderado"),CONCATENATE("R2C",'Mapa final'!$R$72),"")</f>
        <v/>
      </c>
      <c r="AA51" s="57" t="str">
        <f>IF(AND('Mapa final'!$AH$74="Baja",'Mapa final'!$AJ$74="Moderado"),CONCATENATE("R2C",'Mapa final'!$R$74),"")</f>
        <v/>
      </c>
      <c r="AB51" s="58" t="str">
        <f>IF(AND('Mapa final'!$AH$75="Baja",'Mapa final'!$AJ$75="Moderado"),CONCATENATE("R2C",'Mapa final'!$R$75),"")</f>
        <v/>
      </c>
      <c r="AC51" s="44" t="str">
        <f>IF(AND('Mapa final'!$AH$69="Baja",'Mapa final'!$AJ$69="Mayor"),CONCATENATE("R2C",'Mapa final'!$R$69),"")</f>
        <v/>
      </c>
      <c r="AD51" s="45" t="str">
        <f>IF(AND('Mapa final'!$AH$70="Baja",'Mapa final'!$AJ$70="Mayor"),CONCATENATE("R2C",'Mapa final'!$R$70),"")</f>
        <v/>
      </c>
      <c r="AE51" s="45" t="str">
        <f>IF(AND('Mapa final'!$AH$71="Baja",'Mapa final'!$AJ$71="Mayor"),CONCATENATE("R2C",'Mapa final'!$R$71),"")</f>
        <v/>
      </c>
      <c r="AF51" s="45" t="str">
        <f>IF(AND('Mapa final'!$AH$72="Baja",'Mapa final'!$AJ$72="Mayor"),CONCATENATE("R2C",'Mapa final'!$R$72),"")</f>
        <v/>
      </c>
      <c r="AG51" s="45" t="str">
        <f>IF(AND('Mapa final'!$AH$74="Baja",'Mapa final'!$AJ$74="Mayor"),CONCATENATE("R2C",'Mapa final'!$R$74),"")</f>
        <v/>
      </c>
      <c r="AH51" s="46" t="str">
        <f>IF(AND('Mapa final'!$AH$75="Baja",'Mapa final'!$AJ$75="Mayor"),CONCATENATE("R2C",'Mapa final'!$R$75),"")</f>
        <v/>
      </c>
      <c r="AI51" s="47" t="str">
        <f>IF(AND('Mapa final'!$AH$69="Baja",'Mapa final'!$AJ$69="Catastrófico"),CONCATENATE("R2C",'Mapa final'!$R$69),"")</f>
        <v/>
      </c>
      <c r="AJ51" s="48" t="str">
        <f>IF(AND('Mapa final'!$AH$70="Baja",'Mapa final'!$AJ$70="Catastrófico"),CONCATENATE("R2C",'Mapa final'!$R$70),"")</f>
        <v/>
      </c>
      <c r="AK51" s="48" t="str">
        <f>IF(AND('Mapa final'!$AH$71="Baja",'Mapa final'!$AJ$71="Catastrófico"),CONCATENATE("R2C",'Mapa final'!$R$71),"")</f>
        <v/>
      </c>
      <c r="AL51" s="48" t="str">
        <f>IF(AND('Mapa final'!$AH$72="Baja",'Mapa final'!$AJ$72="Catastrófico"),CONCATENATE("R2C",'Mapa final'!$R$72),"")</f>
        <v/>
      </c>
      <c r="AM51" s="48" t="str">
        <f>IF(AND('Mapa final'!$AH$74="Baja",'Mapa final'!$AJ$74="Catastrófico"),CONCATENATE("R2C",'Mapa final'!$R$74),"")</f>
        <v/>
      </c>
      <c r="AN51" s="49" t="str">
        <f>IF(AND('Mapa final'!$AH$75="Baja",'Mapa final'!$AJ$75="Catastrófico"),CONCATENATE("R2C",'Mapa final'!$R$75),"")</f>
        <v/>
      </c>
      <c r="AO51" s="68"/>
      <c r="AP51" s="554"/>
      <c r="AQ51" s="555"/>
      <c r="AR51" s="555"/>
      <c r="AS51" s="555"/>
      <c r="AT51" s="555"/>
      <c r="AU51" s="556"/>
    </row>
    <row r="52" spans="2:81" ht="41.25" customHeight="1">
      <c r="B52" s="68"/>
      <c r="C52" s="430"/>
      <c r="D52" s="430"/>
      <c r="E52" s="431"/>
      <c r="F52" s="517" t="s">
        <v>329</v>
      </c>
      <c r="G52" s="518"/>
      <c r="H52" s="518"/>
      <c r="I52" s="518"/>
      <c r="J52" s="519"/>
      <c r="K52" s="59"/>
      <c r="L52" s="60" t="str">
        <f>IF(AND('Mapa final'!$AH$18="Muy Baja",'Mapa final'!$AJ$18="Leve"),CONCATENATE("R2C",'Mapa final'!$R$15),"")</f>
        <v/>
      </c>
      <c r="M52" s="60" t="str">
        <f>IF(AND('Mapa final'!$AH$19="Muy Baja",'Mapa final'!$AJ$19="Leve"),CONCATENATE("R2C",'Mapa final'!$R$19),"")</f>
        <v/>
      </c>
      <c r="N52" s="60" t="str">
        <f>IF(AND('Mapa final'!$AH$22="Muy Baja",'Mapa final'!$AJ$22="Leve"),CONCATENATE("R2C",'Mapa final'!$R$22),"")</f>
        <v/>
      </c>
      <c r="O52" s="60" t="e">
        <f>IF(AND('Mapa final'!#REF!="Muy Baja",'Mapa final'!#REF!="Leve"),CONCATENATE("R2C",'Mapa final'!#REF!),"")</f>
        <v>#REF!</v>
      </c>
      <c r="P52" s="61" t="e">
        <f>IF(AND('Mapa final'!#REF!="Muy Baja",'Mapa final'!#REF!="Leve"),CONCATENATE("R2C",'Mapa final'!#REF!),"")</f>
        <v>#REF!</v>
      </c>
      <c r="Q52" s="59"/>
      <c r="R52" s="60" t="str">
        <f>IF(AND('Mapa final'!$AH$18="Muy Baja",'Mapa final'!$AJ$18="Menore"),CONCATENATE("R2C",'Mapa final'!$R$15),"")</f>
        <v/>
      </c>
      <c r="S52" s="60" t="str">
        <f>IF(AND('Mapa final'!$AH$19="Muy Baja",'Mapa final'!$AJ$19="Menor"),CONCATENATE("R2C",'Mapa final'!$R$19),"")</f>
        <v/>
      </c>
      <c r="T52" s="60" t="str">
        <f>IF(AND('Mapa final'!$AH$22="Muy Baja",'Mapa final'!$AJ$22="Menor"),CONCATENATE("R2C",'Mapa final'!$R$22),"")</f>
        <v/>
      </c>
      <c r="U52" s="60" t="e">
        <f>IF(AND('Mapa final'!#REF!="Muy Baja",'Mapa final'!#REF!="Menor"),CONCATENATE("R2C",'Mapa final'!#REF!),"")</f>
        <v>#REF!</v>
      </c>
      <c r="V52" s="61" t="e">
        <f>IF(AND('Mapa final'!#REF!="Muy Baja",'Mapa final'!#REF!="Menor"),CONCATENATE("R2C",'Mapa final'!#REF!),"")</f>
        <v>#REF!</v>
      </c>
      <c r="W52" s="50"/>
      <c r="X52" s="199" t="str">
        <f>IF(AND('Mapa final'!$AH$18="Muy Baja",'Mapa final'!$AJ$18="Moderado"),CONCATENATE("R2C",'Mapa final'!$D$15),"")</f>
        <v/>
      </c>
      <c r="Y52" s="51"/>
      <c r="Z52" s="51" t="str">
        <f>IF(AND('Mapa final'!$AH$22="Muy Baja",'Mapa final'!$AJ$22="Moderado"),CONCATENATE("R2C",'Mapa final'!$R$22),"")</f>
        <v/>
      </c>
      <c r="AA52" s="51" t="e">
        <f>IF(AND('Mapa final'!#REF!="Muy Baja",'Mapa final'!#REF!="Moderado"),CONCATENATE("R2C",'Mapa final'!#REF!),"")</f>
        <v>#REF!</v>
      </c>
      <c r="AB52" s="52" t="e">
        <f>IF(AND('Mapa final'!#REF!="Muy Baja",'Mapa final'!#REF!="Moderado"),CONCATENATE("R2C",'Mapa final'!#REF!),"")</f>
        <v>#REF!</v>
      </c>
      <c r="AC52" s="32"/>
      <c r="AD52" s="33" t="str">
        <f>IF(AND('Mapa final'!$AH$18="Muy Baja",'Mapa final'!$AJ$18="Mayor"),CONCATENATE("R2C",'Mapa final'!$R$15),"")</f>
        <v/>
      </c>
      <c r="AE52" s="198" t="str">
        <f>IF(AND('Mapa final'!$AH$19="Muy Baja",'Mapa final'!$AJ$19="Mayor"),CONCATENATE("R2C",'Mapa final'!$D$19),"")</f>
        <v/>
      </c>
      <c r="AF52" s="33" t="str">
        <f>IF(AND('Mapa final'!$AH$22="Muy Baja",'Mapa final'!$AJ$22="Mayor"),CONCATENATE("R2C",'Mapa final'!$R$22),"")</f>
        <v/>
      </c>
      <c r="AG52" s="33" t="e">
        <f>IF(AND('Mapa final'!#REF!="Muy Baja",'Mapa final'!#REF!="Mayor"),CONCATENATE("R2C",'Mapa final'!#REF!),"")</f>
        <v>#REF!</v>
      </c>
      <c r="AH52" s="34" t="e">
        <f>IF(AND('Mapa final'!#REF!="Muy Baja",'Mapa final'!#REF!="Mayor"),CONCATENATE("R2C",'Mapa final'!#REF!),"")</f>
        <v>#REF!</v>
      </c>
      <c r="AI52" s="35"/>
      <c r="AJ52" s="36" t="str">
        <f>IF(AND('Mapa final'!$AH$18="Muy Baja",'Mapa final'!$AJ$18="Catastrófico"),CONCATENATE("R2C",'Mapa final'!$D$15),"")</f>
        <v/>
      </c>
      <c r="AK52" s="36" t="str">
        <f>IF(AND('Mapa final'!$AH$19="Muy Baja",'Mapa final'!$AJ$19="Catastrófico"),CONCATENATE("R2C",'Mapa final'!$R$19),"")</f>
        <v/>
      </c>
      <c r="AL52" s="36" t="str">
        <f>IF(AND('Mapa final'!$AH$22="Muy Baja",'Mapa final'!$AJ$22="Catastrófico"),CONCATENATE("R2C",'Mapa final'!$R$22),"")</f>
        <v/>
      </c>
      <c r="AM52" s="36" t="e">
        <f>IF(AND('Mapa final'!#REF!="Muy Baja",'Mapa final'!#REF!="Catastrófico"),CONCATENATE("R2C",'Mapa final'!#REF!),"")</f>
        <v>#REF!</v>
      </c>
      <c r="AN52" s="37" t="e">
        <f>IF(AND('Mapa final'!#REF!="Muy Baja",'Mapa final'!#REF!="Catastrófico"),CONCATENATE("R2C",'Mapa final'!#REF!),"")</f>
        <v>#REF!</v>
      </c>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row>
    <row r="53" spans="2:81" ht="57.75" customHeight="1">
      <c r="B53" s="68"/>
      <c r="C53" s="430"/>
      <c r="D53" s="430"/>
      <c r="E53" s="431"/>
      <c r="F53" s="535"/>
      <c r="G53" s="521"/>
      <c r="H53" s="521"/>
      <c r="I53" s="521"/>
      <c r="J53" s="522"/>
      <c r="K53" s="62" t="e">
        <f>IF(AND('Mapa final'!#REF!="Muy Baja",'Mapa final'!#REF!="Leve"),CONCATENATE("R2C",'Mapa final'!#REF!),"")</f>
        <v>#REF!</v>
      </c>
      <c r="L53" s="63" t="e">
        <f>IF(AND('Mapa final'!#REF!="Muy Baja",'Mapa final'!#REF!="Leve"),CONCATENATE("R2C",'Mapa final'!#REF!),"")</f>
        <v>#REF!</v>
      </c>
      <c r="M53" s="63" t="str">
        <f>IF(AND('Mapa final'!$AH$23="Muy Baja",'Mapa final'!$AJ$23="Leve"),CONCATENATE("R2C",'Mapa final'!$R$23),"")</f>
        <v/>
      </c>
      <c r="N53" s="63" t="str">
        <f>IF(AND('Mapa final'!$AH$24="Muy Baja",'Mapa final'!$AJ$24="Leve"),CONCATENATE("R2C",'Mapa final'!$R$24),"")</f>
        <v/>
      </c>
      <c r="O53" s="63" t="str">
        <f>IF(AND('Mapa final'!$AH$25="Muy Baja",'Mapa final'!$AJ$25="Leve"),CONCATENATE("R2C",'Mapa final'!$R$25),"")</f>
        <v/>
      </c>
      <c r="P53" s="64" t="str">
        <f>IF(AND('Mapa final'!$AH$26="Muy Baja",'Mapa final'!$AJ$26="Leve"),CONCATENATE("R2C",'Mapa final'!$R$26),"")</f>
        <v/>
      </c>
      <c r="Q53" s="62" t="e">
        <f>IF(AND('Mapa final'!#REF!="Muy Baja",'Mapa final'!#REF!="Menor"),CONCATENATE("R2C",'Mapa final'!#REF!),"")</f>
        <v>#REF!</v>
      </c>
      <c r="R53" s="63" t="e">
        <f>IF(AND('Mapa final'!#REF!="Muy Baja",'Mapa final'!#REF!="Menor"),CONCATENATE("R2C",'Mapa final'!#REF!),"")</f>
        <v>#REF!</v>
      </c>
      <c r="S53" s="63" t="str">
        <f>IF(AND('Mapa final'!$AH$23="Muy Baja",'Mapa final'!$AJ$23="Menor"),CONCATENATE("R2C",'Mapa final'!$R$23),"")</f>
        <v/>
      </c>
      <c r="T53" s="63" t="str">
        <f>IF(AND('Mapa final'!$AH$24="Muy Baja",'Mapa final'!$AJ$24="Menor"),CONCATENATE("R2C",'Mapa final'!$R$24),"")</f>
        <v/>
      </c>
      <c r="U53" s="63" t="str">
        <f>IF(AND('Mapa final'!$AH$25="Muy Baja",'Mapa final'!$AJ$25="Menor"),CONCATENATE("R2C",'Mapa final'!$R$25),"")</f>
        <v/>
      </c>
      <c r="V53" s="64" t="str">
        <f>IF(AND('Mapa final'!$AH$26="Muy Baja",'Mapa final'!$AJ$26="Menor"),CONCATENATE("R2C",'Mapa final'!$R$26),"")</f>
        <v/>
      </c>
      <c r="W53" s="53" t="e">
        <f>IF(AND('Mapa final'!#REF!="Muy Baja",'Mapa final'!#REF!="Moderado"),CONCATENATE("R2C",'Mapa final'!#REF!),"")</f>
        <v>#REF!</v>
      </c>
      <c r="X53" s="54" t="e">
        <f>IF(AND('Mapa final'!#REF!="Muy Baja",'Mapa final'!#REF!="Moderado"),CONCATENATE("R2C",'Mapa final'!#REF!),"")</f>
        <v>#REF!</v>
      </c>
      <c r="Y53" s="54" t="str">
        <f>IF(AND('Mapa final'!$AH$23="Muy Baja",'Mapa final'!$AJ$23="Moderado"),CONCATENATE("R2C",'Mapa final'!$R$23),"")</f>
        <v/>
      </c>
      <c r="Z53" s="54" t="str">
        <f>IF(AND('Mapa final'!$AH$24="Muy Baja",'Mapa final'!$AJ$24="Moderado"),CONCATENATE("R2C",'Mapa final'!$R$24),"")</f>
        <v/>
      </c>
      <c r="AA53" s="54" t="str">
        <f>IF(AND('Mapa final'!$AH$25="Muy Baja",'Mapa final'!$AJ$25="Moderado"),CONCATENATE("R2C",'Mapa final'!$R$25),"")</f>
        <v/>
      </c>
      <c r="AB53" s="55" t="str">
        <f>IF(AND('Mapa final'!$AH$26="Muy Baja",'Mapa final'!$AJ$26="Moderado"),CONCATENATE("R2C",'Mapa final'!$R$26),"")</f>
        <v/>
      </c>
      <c r="AC53" s="38" t="e">
        <f>IF(AND('Mapa final'!#REF!="Muy Baja",'Mapa final'!#REF!="Mayor"),CONCATENATE("R2C",'Mapa final'!#REF!),"")</f>
        <v>#REF!</v>
      </c>
      <c r="AD53" s="39" t="e">
        <f>IF(AND('Mapa final'!#REF!="Muy Baja",'Mapa final'!#REF!="Mayor"),CONCATENATE("R2C",'Mapa final'!#REF!),"")</f>
        <v>#REF!</v>
      </c>
      <c r="AE53" s="39" t="str">
        <f>IF(AND('Mapa final'!$AH$23="Muy Baja",'Mapa final'!$AJ$23="Mayor"),CONCATENATE("R2C",'Mapa final'!$R$23),"")</f>
        <v/>
      </c>
      <c r="AF53" s="39" t="str">
        <f>IF(AND('Mapa final'!$AH$24="Muy Baja",'Mapa final'!$AJ$24="Mayor"),CONCATENATE("R2C",'Mapa final'!$R$24),"")</f>
        <v/>
      </c>
      <c r="AG53" s="39" t="str">
        <f>IF(AND('Mapa final'!$AH$25="Muy Baja",'Mapa final'!$AJ$25="Mayor"),CONCATENATE("R2C",'Mapa final'!$R$25),"")</f>
        <v/>
      </c>
      <c r="AH53" s="40" t="str">
        <f>IF(AND('Mapa final'!$AH$26="Muy Baja",'Mapa final'!$AJ$26="Mayor"),CONCATENATE("R2C",'Mapa final'!$R$26),"")</f>
        <v/>
      </c>
      <c r="AI53" s="41" t="e">
        <f>IF(AND('Mapa final'!#REF!="Muy Baja",'Mapa final'!#REF!="Catastrófico"),CONCATENATE("R2C",'Mapa final'!#REF!),"")</f>
        <v>#REF!</v>
      </c>
      <c r="AJ53" s="42" t="e">
        <f>IF(AND('Mapa final'!#REF!="Muy Baja",'Mapa final'!#REF!="Catastrófico"),CONCATENATE("R2C",'Mapa final'!#REF!),"")</f>
        <v>#REF!</v>
      </c>
      <c r="AK53" s="42" t="str">
        <f>IF(AND('Mapa final'!$AH$23="Muy Baja",'Mapa final'!$AJ$23="Catastrófico"),CONCATENATE("R2C",'Mapa final'!$R$23),"")</f>
        <v/>
      </c>
      <c r="AL53" s="42" t="str">
        <f>IF(AND('Mapa final'!$AH$24="Muy Baja",'Mapa final'!$AJ$24="Catastrófico"),CONCATENATE("R2C",'Mapa final'!$R$24),"")</f>
        <v/>
      </c>
      <c r="AM53" s="42" t="str">
        <f>IF(AND('Mapa final'!$AH$25="Muy Baja",'Mapa final'!$AJ$25="Catastrófico"),CONCATENATE("R2C",'Mapa final'!$R$25),"")</f>
        <v/>
      </c>
      <c r="AN53" s="43" t="str">
        <f>IF(AND('Mapa final'!$AH$26="Muy Baja",'Mapa final'!$AJ$26="Catastrófico"),CONCATENATE("R2C",'Mapa final'!$R$26),"")</f>
        <v/>
      </c>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row>
    <row r="54" spans="2:81" ht="15" customHeight="1">
      <c r="B54" s="68"/>
      <c r="C54" s="430"/>
      <c r="D54" s="430"/>
      <c r="E54" s="431"/>
      <c r="F54" s="535"/>
      <c r="G54" s="521"/>
      <c r="H54" s="521"/>
      <c r="I54" s="521"/>
      <c r="J54" s="522"/>
      <c r="K54" s="62" t="str">
        <f>IF(AND('Mapa final'!$AH$27="Muy Baja",'Mapa final'!$AJ$27="Leve"),CONCATENATE("R2C",'Mapa final'!$R$27),"")</f>
        <v/>
      </c>
      <c r="L54" s="63" t="str">
        <f>IF(AND('Mapa final'!$AH$28="Muy Baja",'Mapa final'!$AJ$28="Leve"),CONCATENATE("R2C",'Mapa final'!$R$28),"")</f>
        <v/>
      </c>
      <c r="M54" s="63" t="str">
        <f>IF(AND('Mapa final'!$AH$29="Muy Baja",'Mapa final'!$AJ$29="Leve"),CONCATENATE("R2C",'Mapa final'!$R$29),"")</f>
        <v/>
      </c>
      <c r="N54" s="63" t="str">
        <f>IF(AND('Mapa final'!$AH$30="Muy Baja",'Mapa final'!$AJ$30="Leve"),CONCATENATE("R2C",'Mapa final'!$R$30),"")</f>
        <v/>
      </c>
      <c r="O54" s="63" t="str">
        <f>IF(AND('Mapa final'!$AH$31="Muy Baja",'Mapa final'!$AJ$31="Leve"),CONCATENATE("R2C",'Mapa final'!$R$31),"")</f>
        <v/>
      </c>
      <c r="P54" s="64" t="str">
        <f>IF(AND('Mapa final'!$AH$32="Muy Baja",'Mapa final'!$AJ$32="Leve"),CONCATENATE("R2C",'Mapa final'!$R$32),"")</f>
        <v/>
      </c>
      <c r="Q54" s="62" t="str">
        <f>IF(AND('Mapa final'!$AH$27="Muy Baja",'Mapa final'!$AJ$27="Menor"),CONCATENATE("R2C",'Mapa final'!$R$27),"")</f>
        <v/>
      </c>
      <c r="R54" s="63" t="str">
        <f>IF(AND('Mapa final'!$AH$28="Muy Baja",'Mapa final'!$AJ$28="Menor"),CONCATENATE("R2C",'Mapa final'!$R$28),"")</f>
        <v/>
      </c>
      <c r="S54" s="63" t="str">
        <f>IF(AND('Mapa final'!$AH$29="Muy Baja",'Mapa final'!$AJ$29="Menor"),CONCATENATE("R2C",'Mapa final'!$R$29),"")</f>
        <v/>
      </c>
      <c r="T54" s="63" t="str">
        <f>IF(AND('Mapa final'!$AH$30="Muy Baja",'Mapa final'!$AJ$30="Menor"),CONCATENATE("R2C",'Mapa final'!$R$30),"")</f>
        <v/>
      </c>
      <c r="U54" s="63" t="str">
        <f>IF(AND('Mapa final'!$AH$31="Muy Baja",'Mapa final'!$AJ$31="Menor"),CONCATENATE("R2C",'Mapa final'!$R$31),"")</f>
        <v/>
      </c>
      <c r="V54" s="64" t="str">
        <f>IF(AND('Mapa final'!$AH$32="Muy Baja",'Mapa final'!$AJ$32="Menor"),CONCATENATE("R2C",'Mapa final'!$R$32),"")</f>
        <v/>
      </c>
      <c r="W54" s="53" t="str">
        <f>IF(AND('Mapa final'!$AH$27="Muy Baja",'Mapa final'!$AJ$27="Moderado"),CONCATENATE("R2C",'Mapa final'!$R$27),"")</f>
        <v/>
      </c>
      <c r="X54" s="54" t="str">
        <f>IF(AND('Mapa final'!$AH$28="Muy Baja",'Mapa final'!$AJ$28="Moderado"),CONCATENATE("R2C",'Mapa final'!$R$28),"")</f>
        <v/>
      </c>
      <c r="Y54" s="54" t="str">
        <f>IF(AND('Mapa final'!$AH$29="Muy Baja",'Mapa final'!$AJ$29="Moderado"),CONCATENATE("R2C",'Mapa final'!$R$29),"")</f>
        <v/>
      </c>
      <c r="Z54" s="54" t="str">
        <f>IF(AND('Mapa final'!$AH$30="Muy Baja",'Mapa final'!$AJ$30="Moderado"),CONCATENATE("R2C",'Mapa final'!$R$30),"")</f>
        <v/>
      </c>
      <c r="AA54" s="54" t="str">
        <f>IF(AND('Mapa final'!$AH$31="Muy Baja",'Mapa final'!$AJ$31="Moderado"),CONCATENATE("R2C",'Mapa final'!$R$31),"")</f>
        <v/>
      </c>
      <c r="AB54" s="55" t="str">
        <f>IF(AND('Mapa final'!$AH$32="Muy Baja",'Mapa final'!$AJ$32="Moderado"),CONCATENATE("R2C",'Mapa final'!$R$32),"")</f>
        <v/>
      </c>
      <c r="AC54" s="38" t="str">
        <f>IF(AND('Mapa final'!$AH$27="Muy Baja",'Mapa final'!$AJ$27="Mayor"),CONCATENATE("R2C",'Mapa final'!$R$27),"")</f>
        <v/>
      </c>
      <c r="AD54" s="39" t="str">
        <f>IF(AND('Mapa final'!$AH$28="Muy Baja",'Mapa final'!$AJ$28="Mayor"),CONCATENATE("R2C",'Mapa final'!$R$28),"")</f>
        <v/>
      </c>
      <c r="AE54" s="39" t="str">
        <f>IF(AND('Mapa final'!$AH$29="Muy Baja",'Mapa final'!$AJ$29="Mayor"),CONCATENATE("R2C",'Mapa final'!$R$29),"")</f>
        <v/>
      </c>
      <c r="AF54" s="39" t="str">
        <f>IF(AND('Mapa final'!$AH$30="Muy Baja",'Mapa final'!$AJ$30="Mayor"),CONCATENATE("R2C",'Mapa final'!$R$30),"")</f>
        <v/>
      </c>
      <c r="AG54" s="39" t="str">
        <f>IF(AND('Mapa final'!$AH$31="Muy Baja",'Mapa final'!$AJ$31="Mayor"),CONCATENATE("R2C",'Mapa final'!$R$31),"")</f>
        <v/>
      </c>
      <c r="AH54" s="40" t="str">
        <f>IF(AND('Mapa final'!$AH$32="Muy Baja",'Mapa final'!$AJ$32="Mayor"),CONCATENATE("R2C",'Mapa final'!$R$32),"")</f>
        <v/>
      </c>
      <c r="AI54" s="41" t="str">
        <f>IF(AND('Mapa final'!$AH$27="Muy Baja",'Mapa final'!$AJ$27="Catastrófico"),CONCATENATE("R2C",'Mapa final'!$R$27),"")</f>
        <v/>
      </c>
      <c r="AJ54" s="42" t="str">
        <f>IF(AND('Mapa final'!$AH$28="Muy Baja",'Mapa final'!$AJ$28="Catastrófico"),CONCATENATE("R2C",'Mapa final'!$R$28),"")</f>
        <v/>
      </c>
      <c r="AK54" s="42" t="str">
        <f>IF(AND('Mapa final'!$AH$29="Muy Baja",'Mapa final'!$AJ$29="Catastrófico"),CONCATENATE("R2C",'Mapa final'!$R$29),"")</f>
        <v/>
      </c>
      <c r="AL54" s="42" t="str">
        <f>IF(AND('Mapa final'!$AH$30="Muy Baja",'Mapa final'!$AJ$30="Catastrófico"),CONCATENATE("R2C",'Mapa final'!$R$30),"")</f>
        <v/>
      </c>
      <c r="AM54" s="42" t="str">
        <f>IF(AND('Mapa final'!$AH$31="Muy Baja",'Mapa final'!$AJ$31="Catastrófico"),CONCATENATE("R2C",'Mapa final'!$R$31),"")</f>
        <v/>
      </c>
      <c r="AN54" s="43" t="str">
        <f>IF(AND('Mapa final'!$AH$32="Muy Baja",'Mapa final'!$AJ$32="Catastrófico"),CONCATENATE("R2C",'Mapa final'!$R$32),"")</f>
        <v/>
      </c>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row>
    <row r="55" spans="2:81" ht="15" customHeight="1">
      <c r="B55" s="68"/>
      <c r="C55" s="430"/>
      <c r="D55" s="430"/>
      <c r="E55" s="431"/>
      <c r="F55" s="520"/>
      <c r="G55" s="521"/>
      <c r="H55" s="521"/>
      <c r="I55" s="521"/>
      <c r="J55" s="522"/>
      <c r="K55" s="62" t="str">
        <f>IF(AND('Mapa final'!$AH$33="Muy Baja",'Mapa final'!$AJ$33="Leve"),CONCATENATE("R2C",'Mapa final'!$R$33),"")</f>
        <v/>
      </c>
      <c r="L55" s="63" t="str">
        <f>IF(AND('Mapa final'!$AH$34="Muy Baja",'Mapa final'!$AJ$34="Leve"),CONCATENATE("R2C",'Mapa final'!$R$34),"")</f>
        <v/>
      </c>
      <c r="M55" s="63" t="str">
        <f>IF(AND('Mapa final'!$AH$35="Muy Baja",'Mapa final'!$AJ$35="Leve"),CONCATENATE("R2C",'Mapa final'!$R$35),"")</f>
        <v/>
      </c>
      <c r="N55" s="63" t="str">
        <f>IF(AND('Mapa final'!$AH$36="Muy Baja",'Mapa final'!$AJ$36="Leve"),CONCATENATE("R2C",'Mapa final'!$R$36),"")</f>
        <v/>
      </c>
      <c r="O55" s="63" t="str">
        <f>IF(AND('Mapa final'!$AH$37="Muy Baja",'Mapa final'!$AJ$37="Leve"),CONCATENATE("R2C",'Mapa final'!$R$37),"")</f>
        <v/>
      </c>
      <c r="P55" s="64" t="str">
        <f>IF(AND('Mapa final'!$AH$38="Muy Baja",'Mapa final'!$AJ$38="Leve"),CONCATENATE("R2C",'Mapa final'!$R$38),"")</f>
        <v/>
      </c>
      <c r="Q55" s="62" t="str">
        <f>IF(AND('Mapa final'!$AH$33="Muy Baja",'Mapa final'!$AJ$33="Menor"),CONCATENATE("R2C",'Mapa final'!$R$33),"")</f>
        <v/>
      </c>
      <c r="R55" s="63" t="str">
        <f>IF(AND('Mapa final'!$AH$34="Muy Baja",'Mapa final'!$AJ$34="Menor"),CONCATENATE("R2C",'Mapa final'!$R$34),"")</f>
        <v/>
      </c>
      <c r="S55" s="63" t="str">
        <f>IF(AND('Mapa final'!$AH$35="Muy Baja",'Mapa final'!$AJ$35="Menor"),CONCATENATE("R2C",'Mapa final'!$R$35),"")</f>
        <v/>
      </c>
      <c r="T55" s="63" t="str">
        <f>IF(AND('Mapa final'!$AH$36="Muy Baja",'Mapa final'!$AJ$36="Menor"),CONCATENATE("R2C",'Mapa final'!$R$36),"")</f>
        <v/>
      </c>
      <c r="U55" s="63" t="str">
        <f>IF(AND('Mapa final'!$AH$37="Muy Baja",'Mapa final'!$AJ$37="LMenor"),CONCATENATE("R2C",'Mapa final'!$R$37),"")</f>
        <v/>
      </c>
      <c r="V55" s="64" t="str">
        <f>IF(AND('Mapa final'!$AH$38="Muy Baja",'Mapa final'!$AJ$38="Menor"),CONCATENATE("R2C",'Mapa final'!$R$38),"")</f>
        <v/>
      </c>
      <c r="W55" s="53" t="str">
        <f>IF(AND('Mapa final'!$AH$33="Muy Baja",'Mapa final'!$AJ$33="Moderado"),CONCATENATE("R2C",'Mapa final'!$R$33),"")</f>
        <v/>
      </c>
      <c r="X55" s="54" t="str">
        <f>IF(AND('Mapa final'!$AH$34="Muy Baja",'Mapa final'!$AJ$34="Moderado"),CONCATENATE("R2C",'Mapa final'!$R$34),"")</f>
        <v/>
      </c>
      <c r="Y55" s="54" t="str">
        <f>IF(AND('Mapa final'!$AH$35="Muy Baja",'Mapa final'!$AJ$35="Moderado"),CONCATENATE("R2C",'Mapa final'!$R$35),"")</f>
        <v/>
      </c>
      <c r="Z55" s="54" t="str">
        <f>IF(AND('Mapa final'!$AH$36="Muy Baja",'Mapa final'!$AJ$36="Moderado"),CONCATENATE("R2C",'Mapa final'!$R$36),"")</f>
        <v/>
      </c>
      <c r="AA55" s="54" t="str">
        <f>IF(AND('Mapa final'!$AH$37="Muy Baja",'Mapa final'!$AJ$37="Moderado"),CONCATENATE("R2C",'Mapa final'!$R$37),"")</f>
        <v/>
      </c>
      <c r="AB55" s="55" t="str">
        <f>IF(AND('Mapa final'!$AH$38="Muy Baja",'Mapa final'!$AJ$38="Moderado"),CONCATENATE("R2C",'Mapa final'!$R$38),"")</f>
        <v/>
      </c>
      <c r="AC55" s="38" t="str">
        <f>IF(AND('Mapa final'!$AH$33="Muy Baja",'Mapa final'!$AJ$33="Mayor"),CONCATENATE("R2C",'Mapa final'!$R$33),"")</f>
        <v/>
      </c>
      <c r="AD55" s="39" t="str">
        <f>IF(AND('Mapa final'!$AH$34="Muy Baja",'Mapa final'!$AJ$34="Mayor"),CONCATENATE("R2C",'Mapa final'!$R$34),"")</f>
        <v/>
      </c>
      <c r="AE55" s="39" t="str">
        <f>IF(AND('Mapa final'!$AH$35="Muy Baja",'Mapa final'!$AJ$35="Mayor"),CONCATENATE("R2C",'Mapa final'!$R$35),"")</f>
        <v/>
      </c>
      <c r="AF55" s="39" t="str">
        <f>IF(AND('Mapa final'!$AH$36="Muy Baja",'Mapa final'!$AJ$36="Mayor"),CONCATENATE("R2C",'Mapa final'!$R$36),"")</f>
        <v/>
      </c>
      <c r="AG55" s="39" t="str">
        <f>IF(AND('Mapa final'!$AH$37="Muy Baja",'Mapa final'!$AJ$37="Mayor"),CONCATENATE("R2C",'Mapa final'!$R$37),"")</f>
        <v/>
      </c>
      <c r="AH55" s="40" t="str">
        <f>IF(AND('Mapa final'!$AH$38="Muy Baja",'Mapa final'!$AJ$38="Mayor"),CONCATENATE("R2C",'Mapa final'!$R$38),"")</f>
        <v/>
      </c>
      <c r="AI55" s="41" t="str">
        <f>IF(AND('Mapa final'!$AH$33="Muy Baja",'Mapa final'!$AJ$33="Catastrófico"),CONCATENATE("R2C",'Mapa final'!$R$33),"")</f>
        <v/>
      </c>
      <c r="AJ55" s="42" t="str">
        <f>IF(AND('Mapa final'!$AH$34="Muy Baja",'Mapa final'!$AJ$34="Catastrófico"),CONCATENATE("R2C",'Mapa final'!$R$34),"")</f>
        <v/>
      </c>
      <c r="AK55" s="42" t="str">
        <f>IF(AND('Mapa final'!$AH$35="Muy Baja",'Mapa final'!$AJ$35="Catastrófico"),CONCATENATE("R2C",'Mapa final'!$R$35),"")</f>
        <v/>
      </c>
      <c r="AL55" s="42" t="str">
        <f>IF(AND('Mapa final'!$AH$36="Muy Baja",'Mapa final'!$AJ$36="Catastrófico"),CONCATENATE("R2C",'Mapa final'!$R$36),"")</f>
        <v/>
      </c>
      <c r="AM55" s="42" t="str">
        <f>IF(AND('Mapa final'!$AH$37="Muy Baja",'Mapa final'!$AJ$37="LCatastrófico"),CONCATENATE("R2C",'Mapa final'!$R$37),"")</f>
        <v/>
      </c>
      <c r="AN55" s="43" t="str">
        <f>IF(AND('Mapa final'!$AH$38="Muy Baja",'Mapa final'!$AJ$38="Catastrófico"),CONCATENATE("R2C",'Mapa final'!$R$38),"")</f>
        <v/>
      </c>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row>
    <row r="56" spans="2:81" ht="15" customHeight="1">
      <c r="B56" s="68"/>
      <c r="C56" s="430"/>
      <c r="D56" s="430"/>
      <c r="E56" s="431"/>
      <c r="F56" s="520"/>
      <c r="G56" s="521"/>
      <c r="H56" s="521"/>
      <c r="I56" s="521"/>
      <c r="J56" s="522"/>
      <c r="K56" s="62" t="str">
        <f>IF(AND('Mapa final'!$AH$39="Muy Baja",'Mapa final'!$AJ$39="Leve"),CONCATENATE("R2C",'Mapa final'!$R$39),"")</f>
        <v/>
      </c>
      <c r="L56" s="63" t="str">
        <f>IF(AND('Mapa final'!$AH$40="Muy Baja",'Mapa final'!$AJ$40="Leve"),CONCATENATE("R2C",'Mapa final'!$R$40),"")</f>
        <v/>
      </c>
      <c r="M56" s="63" t="str">
        <f>IF(AND('Mapa final'!$AH$41="Muy Baja",'Mapa final'!$AJ$41="Leve"),CONCATENATE("R2C",'Mapa final'!$R$41),"")</f>
        <v/>
      </c>
      <c r="N56" s="63" t="str">
        <f>IF(AND('Mapa final'!$AH$42="Muy Baja",'Mapa final'!$AJ$42="Leve"),CONCATENATE("R2C",'Mapa final'!$R$42),"")</f>
        <v/>
      </c>
      <c r="O56" s="63" t="str">
        <f>IF(AND('Mapa final'!$AH$43="Muy Baja",'Mapa final'!$AJ$43="Leve"),CONCATENATE("R2C",'Mapa final'!$R$43),"")</f>
        <v/>
      </c>
      <c r="P56" s="64" t="str">
        <f>IF(AND('Mapa final'!$AH$44="Muy Baja",'Mapa final'!$AJ$44="Leve"),CONCATENATE("R2C",'Mapa final'!$R$44),"")</f>
        <v/>
      </c>
      <c r="Q56" s="62" t="str">
        <f>IF(AND('Mapa final'!$AH$39="Muy Baja",'Mapa final'!$AJ$39="Menor"),CONCATENATE("R2C",'Mapa final'!$R$39),"")</f>
        <v/>
      </c>
      <c r="R56" s="63" t="str">
        <f>IF(AND('Mapa final'!$AH$40="Muy Baja",'Mapa final'!$AJ$40="Menor"),CONCATENATE("R2C",'Mapa final'!$R$40),"")</f>
        <v/>
      </c>
      <c r="S56" s="63" t="str">
        <f>IF(AND('Mapa final'!$AH$41="Muy Baja",'Mapa final'!$AJ$41="Menor"),CONCATENATE("R2C",'Mapa final'!$R$41),"")</f>
        <v/>
      </c>
      <c r="T56" s="63" t="str">
        <f>IF(AND('Mapa final'!$AH$42="Muy Baja",'Mapa final'!$AJ$42="Menor"),CONCATENATE("R2C",'Mapa final'!$R$42),"")</f>
        <v/>
      </c>
      <c r="U56" s="63" t="str">
        <f>IF(AND('Mapa final'!$AH$43="Muy Baja",'Mapa final'!$AJ$43="Menor"),CONCATENATE("R2C",'Mapa final'!$R$43),"")</f>
        <v/>
      </c>
      <c r="V56" s="64" t="str">
        <f>IF(AND('Mapa final'!$AH$44="Muy Baja",'Mapa final'!$AJ$44="Menor"),CONCATENATE("R2C",'Mapa final'!$R$44),"")</f>
        <v/>
      </c>
      <c r="W56" s="53" t="str">
        <f>IF(AND('Mapa final'!$AH$39="Muy Baja",'Mapa final'!$AJ$39="Moderado"),CONCATENATE("R2C",'Mapa final'!$R$39),"")</f>
        <v/>
      </c>
      <c r="X56" s="54" t="str">
        <f>IF(AND('Mapa final'!$AH$40="Muy Baja",'Mapa final'!$AJ$40="Moderado"),CONCATENATE("R2C",'Mapa final'!$R$40),"")</f>
        <v/>
      </c>
      <c r="Y56" s="54" t="str">
        <f>IF(AND('Mapa final'!$AH$41="Muy Baja",'Mapa final'!$AJ$41="Moderado"),CONCATENATE("R2C",'Mapa final'!$R$41),"")</f>
        <v/>
      </c>
      <c r="Z56" s="54" t="str">
        <f>IF(AND('Mapa final'!$AH$42="Muy Baja",'Mapa final'!$AJ$42="Moderado"),CONCATENATE("R2C",'Mapa final'!$R$42),"")</f>
        <v/>
      </c>
      <c r="AA56" s="54" t="str">
        <f>IF(AND('Mapa final'!$AH$43="Muy Baja",'Mapa final'!$AJ$43="Moderado"),CONCATENATE("R2C",'Mapa final'!$R$43),"")</f>
        <v/>
      </c>
      <c r="AB56" s="55" t="str">
        <f>IF(AND('Mapa final'!$AH$44="Muy Baja",'Mapa final'!$AJ$44="Moderado"),CONCATENATE("R2C",'Mapa final'!$R$44),"")</f>
        <v/>
      </c>
      <c r="AC56" s="38" t="str">
        <f>IF(AND('Mapa final'!$AH$39="Muy Baja",'Mapa final'!$AJ$39="Mayor"),CONCATENATE("R2C",'Mapa final'!$R$39),"")</f>
        <v/>
      </c>
      <c r="AD56" s="39" t="str">
        <f>IF(AND('Mapa final'!$AH$40="Muy Baja",'Mapa final'!$AJ$40="Mayor"),CONCATENATE("R2C",'Mapa final'!$R$40),"")</f>
        <v/>
      </c>
      <c r="AE56" s="39" t="str">
        <f>IF(AND('Mapa final'!$AH$41="Muy Baja",'Mapa final'!$AJ$41="Mayor"),CONCATENATE("R2C",'Mapa final'!$R$41),"")</f>
        <v/>
      </c>
      <c r="AF56" s="39" t="str">
        <f>IF(AND('Mapa final'!$AH$42="Muy Baja",'Mapa final'!$AJ$42="Mayor"),CONCATENATE("R2C",'Mapa final'!$R$42),"")</f>
        <v/>
      </c>
      <c r="AG56" s="39" t="str">
        <f>IF(AND('Mapa final'!$AH$43="Muy Baja",'Mapa final'!$AJ$43="Mayor"),CONCATENATE("R2C",'Mapa final'!$R$43),"")</f>
        <v/>
      </c>
      <c r="AH56" s="40" t="str">
        <f>IF(AND('Mapa final'!$AH$44="Muy Baja",'Mapa final'!$AJ$44="Mayor"),CONCATENATE("R2C",'Mapa final'!$R$44),"")</f>
        <v/>
      </c>
      <c r="AI56" s="41" t="str">
        <f>IF(AND('Mapa final'!$AH$39="Muy Baja",'Mapa final'!$AJ$39="Catastrófico"),CONCATENATE("R2C",'Mapa final'!$R$39),"")</f>
        <v/>
      </c>
      <c r="AJ56" s="42" t="str">
        <f>IF(AND('Mapa final'!$AH$40="Muy Baja",'Mapa final'!$AJ$40="Catastrófico"),CONCATENATE("R2C",'Mapa final'!$R$40),"")</f>
        <v/>
      </c>
      <c r="AK56" s="42" t="str">
        <f>IF(AND('Mapa final'!$AH$41="Muy Baja",'Mapa final'!$AJ$41="Catastrófico"),CONCATENATE("R2C",'Mapa final'!$R$41),"")</f>
        <v/>
      </c>
      <c r="AL56" s="42" t="str">
        <f>IF(AND('Mapa final'!$AH$42="Muy Baja",'Mapa final'!$AJ$42="Catastrófico"),CONCATENATE("R2C",'Mapa final'!$R$42),"")</f>
        <v/>
      </c>
      <c r="AM56" s="42" t="str">
        <f>IF(AND('Mapa final'!$AH$43="Muy Baja",'Mapa final'!$AJ$43="Catastrófico"),CONCATENATE("R2C",'Mapa final'!$R$43),"")</f>
        <v/>
      </c>
      <c r="AN56" s="43" t="str">
        <f>IF(AND('Mapa final'!$AH$44="Muy Baja",'Mapa final'!$AJ$44="Catastrófico"),CONCATENATE("R2C",'Mapa final'!$R$44),"")</f>
        <v/>
      </c>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row>
    <row r="57" spans="2:81" ht="15" customHeight="1">
      <c r="B57" s="68"/>
      <c r="C57" s="430"/>
      <c r="D57" s="430"/>
      <c r="E57" s="431"/>
      <c r="F57" s="520"/>
      <c r="G57" s="521"/>
      <c r="H57" s="521"/>
      <c r="I57" s="521"/>
      <c r="J57" s="522"/>
      <c r="K57" s="62" t="str">
        <f>IF(AND('Mapa final'!$AH$45="Muy Baja",'Mapa final'!$AJ$45="Leve"),CONCATENATE("R2C",'Mapa final'!$R$45),"")</f>
        <v/>
      </c>
      <c r="L57" s="63" t="str">
        <f>IF(AND('Mapa final'!$AH$46="Muy Baja",'Mapa final'!$AJ$46="Leve"),CONCATENATE("R2C",'Mapa final'!$R$46),"")</f>
        <v/>
      </c>
      <c r="M57" s="63" t="str">
        <f>IF(AND('Mapa final'!$AH$47="Muy Baja",'Mapa final'!$AJ$47="Leve"),CONCATENATE("R2C",'Mapa final'!$R$47),"")</f>
        <v/>
      </c>
      <c r="N57" s="63" t="str">
        <f>IF(AND('Mapa final'!$AH$48="Muy Baja",'Mapa final'!$AJ$48="Leve"),CONCATENATE("R2C",'Mapa final'!$R$48),"")</f>
        <v/>
      </c>
      <c r="O57" s="63" t="str">
        <f>IF(AND('Mapa final'!$AH$49="Muy Baja",'Mapa final'!$AJ$49="Leve"),CONCATENATE("R2C",'Mapa final'!$R$49),"")</f>
        <v/>
      </c>
      <c r="P57" s="64" t="str">
        <f>IF(AND('Mapa final'!$AH$60="Muy Baja",'Mapa final'!$AJ$50="Leve"),CONCATENATE("R2C",'Mapa final'!$R$50),"")</f>
        <v/>
      </c>
      <c r="Q57" s="62" t="str">
        <f>IF(AND('Mapa final'!$AH$45="Muy Baja",'Mapa final'!$AJ$45="Menor"),CONCATENATE("R2C",'Mapa final'!$R$45),"")</f>
        <v/>
      </c>
      <c r="R57" s="63" t="str">
        <f>IF(AND('Mapa final'!$AH$46="Muy Baja",'Mapa final'!$AJ$46="Menor"),CONCATENATE("R2C",'Mapa final'!$R$46),"")</f>
        <v/>
      </c>
      <c r="S57" s="63" t="str">
        <f>IF(AND('Mapa final'!$AH$47="Muy Baja",'Mapa final'!$AJ$47="Menor"),CONCATENATE("R2C",'Mapa final'!$R$47),"")</f>
        <v/>
      </c>
      <c r="T57" s="63" t="str">
        <f>IF(AND('Mapa final'!$AH$48="Muy Baja",'Mapa final'!$AJ$48="Menor"),CONCATENATE("R2C",'Mapa final'!$R$48),"")</f>
        <v/>
      </c>
      <c r="U57" s="63" t="str">
        <f>IF(AND('Mapa final'!$AH$49="Muy Baja",'Mapa final'!$AJ$49="Menor"),CONCATENATE("R2C",'Mapa final'!$R$49),"")</f>
        <v/>
      </c>
      <c r="V57" s="64" t="str">
        <f>IF(AND('Mapa final'!$AH$60="Muy Baja",'Mapa final'!$AJ$50="Menor"),CONCATENATE("R2C",'Mapa final'!$R$50),"")</f>
        <v/>
      </c>
      <c r="W57" s="53" t="str">
        <f>IF(AND('Mapa final'!$AH$45="Muy Baja",'Mapa final'!$AJ$45="Moderado"),CONCATENATE("R2C",'Mapa final'!$R$45),"")</f>
        <v/>
      </c>
      <c r="X57" s="54" t="str">
        <f>IF(AND('Mapa final'!$AH$46="Muy Baja",'Mapa final'!$AJ$46="Moderado"),CONCATENATE("R2C",'Mapa final'!$R$46),"")</f>
        <v/>
      </c>
      <c r="Y57" s="54" t="str">
        <f>IF(AND('Mapa final'!$AH$47="Muy Baja",'Mapa final'!$AJ$47="Moderado"),CONCATENATE("R2C",'Mapa final'!$R$47),"")</f>
        <v/>
      </c>
      <c r="Z57" s="54" t="str">
        <f>IF(AND('Mapa final'!$AH$48="Muy Baja",'Mapa final'!$AJ$48="Moderado"),CONCATENATE("R2C",'Mapa final'!$R$48),"")</f>
        <v/>
      </c>
      <c r="AA57" s="54" t="str">
        <f>IF(AND('Mapa final'!$AH$49="Muy Baja",'Mapa final'!$AJ$49="Moderado"),CONCATENATE("R2C",'Mapa final'!$R$49),"")</f>
        <v/>
      </c>
      <c r="AB57" s="55" t="str">
        <f>IF(AND('Mapa final'!$AH$60="Muy Baja",'Mapa final'!$AJ$50="Moderado"),CONCATENATE("R2C",'Mapa final'!$R$50),"")</f>
        <v/>
      </c>
      <c r="AC57" s="38" t="str">
        <f>IF(AND('Mapa final'!$AH$45="Muy Baja",'Mapa final'!$AJ$45="Mayor"),CONCATENATE("R2C",'Mapa final'!$R$45),"")</f>
        <v/>
      </c>
      <c r="AD57" s="39" t="str">
        <f>IF(AND('Mapa final'!$AH$46="Muy Baja",'Mapa final'!$AJ$46="Mayor"),CONCATENATE("R2C",'Mapa final'!$R$46),"")</f>
        <v/>
      </c>
      <c r="AE57" s="39" t="str">
        <f>IF(AND('Mapa final'!$AH$47="Muy Baja",'Mapa final'!$AJ$47="Mayor"),CONCATENATE("R2C",'Mapa final'!$R$47),"")</f>
        <v/>
      </c>
      <c r="AF57" s="39" t="str">
        <f>IF(AND('Mapa final'!$AH$48="Muy Baja",'Mapa final'!$AJ$48="Mayor"),CONCATENATE("R2C",'Mapa final'!$R$48),"")</f>
        <v/>
      </c>
      <c r="AG57" s="39" t="str">
        <f>IF(AND('Mapa final'!$AH$49="Muy Baja",'Mapa final'!$AJ$49="Mayor"),CONCATENATE("R2C",'Mapa final'!$R$49),"")</f>
        <v/>
      </c>
      <c r="AH57" s="40" t="str">
        <f>IF(AND('Mapa final'!$AH$60="Muy Baja",'Mapa final'!$AJ$50="Mayor"),CONCATENATE("R2C",'Mapa final'!$R$50),"")</f>
        <v/>
      </c>
      <c r="AI57" s="41" t="str">
        <f>IF(AND('Mapa final'!$AH$45="Muy Baja",'Mapa final'!$AJ$45="Catastrófico"),CONCATENATE("R2C",'Mapa final'!$R$45),"")</f>
        <v/>
      </c>
      <c r="AJ57" s="42" t="str">
        <f>IF(AND('Mapa final'!$AH$46="Muy Baja",'Mapa final'!$AJ$46="Catastrófico"),CONCATENATE("R2C",'Mapa final'!$R$46),"")</f>
        <v/>
      </c>
      <c r="AK57" s="42" t="str">
        <f>IF(AND('Mapa final'!$AH$47="Muy Baja",'Mapa final'!$AJ$47="Catastrófico"),CONCATENATE("R2C",'Mapa final'!$R$47),"")</f>
        <v/>
      </c>
      <c r="AL57" s="42" t="str">
        <f>IF(AND('Mapa final'!$AH$48="Muy Baja",'Mapa final'!$AJ$48="Catastrófico"),CONCATENATE("R2C",'Mapa final'!$R$48),"")</f>
        <v/>
      </c>
      <c r="AM57" s="42" t="str">
        <f>IF(AND('Mapa final'!$AH$49="Muy Baja",'Mapa final'!$AJ$49="Catastrófico"),CONCATENATE("R2C",'Mapa final'!$R$49),"")</f>
        <v/>
      </c>
      <c r="AN57" s="43" t="str">
        <f>IF(AND('Mapa final'!$AH$60="Muy Baja",'Mapa final'!$AJ$50="Catastrófico"),CONCATENATE("R2C",'Mapa final'!$R$50),"")</f>
        <v/>
      </c>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row>
    <row r="58" spans="2:81" ht="15" customHeight="1">
      <c r="B58" s="68"/>
      <c r="C58" s="430"/>
      <c r="D58" s="430"/>
      <c r="E58" s="431"/>
      <c r="F58" s="520"/>
      <c r="G58" s="521"/>
      <c r="H58" s="521"/>
      <c r="I58" s="521"/>
      <c r="J58" s="522"/>
      <c r="K58" s="62" t="str">
        <f>IF(AND('Mapa final'!$AH$51="Muy Baja",'Mapa final'!$AJ$51="Leve"),CONCATENATE("R2C",'Mapa final'!$R$51),"")</f>
        <v/>
      </c>
      <c r="L58" s="63" t="str">
        <f>IF(AND('Mapa final'!$AH$52="Muy Baja",'Mapa final'!$AJ$52="Leve"),CONCATENATE("R2C",'Mapa final'!$R$52),"")</f>
        <v/>
      </c>
      <c r="M58" s="63" t="str">
        <f>IF(AND('Mapa final'!$AH$53="Muy Baja",'Mapa final'!$AJ$53="Leve"),CONCATENATE("R2C",'Mapa final'!$R$53),"")</f>
        <v/>
      </c>
      <c r="N58" s="63" t="str">
        <f>IF(AND('Mapa final'!$AH$54="Muy Baja",'Mapa final'!$AJ$54="Leve"),CONCATENATE("R2C",'Mapa final'!$R$54),"")</f>
        <v/>
      </c>
      <c r="O58" s="63" t="str">
        <f>IF(AND('Mapa final'!$AH$55="Muy Baja",'Mapa final'!$AJ$55="Leve"),CONCATENATE("R2C",'Mapa final'!$R$55),"")</f>
        <v/>
      </c>
      <c r="P58" s="64" t="str">
        <f>IF(AND('Mapa final'!$AH$56="Muy Baja",'Mapa final'!$AJ$56="Leve"),CONCATENATE("R2C",'Mapa final'!$R$56),"")</f>
        <v/>
      </c>
      <c r="Q58" s="62" t="str">
        <f>IF(AND('Mapa final'!$AH$51="Muy Baja",'Mapa final'!$AJ$51="Menor"),CONCATENATE("R2C",'Mapa final'!$R$51),"")</f>
        <v/>
      </c>
      <c r="R58" s="63" t="str">
        <f>IF(AND('Mapa final'!$AH$52="Muy Baja",'Mapa final'!$AJ$52="Menor"),CONCATENATE("R2C",'Mapa final'!$R$52),"")</f>
        <v/>
      </c>
      <c r="S58" s="63" t="str">
        <f>IF(AND('Mapa final'!$AH$53="Muy Baja",'Mapa final'!$AJ$53="Menor"),CONCATENATE("R2C",'Mapa final'!$R$53),"")</f>
        <v/>
      </c>
      <c r="T58" s="63" t="str">
        <f>IF(AND('Mapa final'!$AH$54="Muy Baja",'Mapa final'!$AJ$54="Menor"),CONCATENATE("R2C",'Mapa final'!$R$54),"")</f>
        <v/>
      </c>
      <c r="U58" s="63" t="str">
        <f>IF(AND('Mapa final'!$AH$55="Muy Baja",'Mapa final'!$AJ$55="Menor"),CONCATENATE("R2C",'Mapa final'!$R$55),"")</f>
        <v/>
      </c>
      <c r="V58" s="64" t="str">
        <f>IF(AND('Mapa final'!$AH$56="Muy Baja",'Mapa final'!$AJ$56="Menor"),CONCATENATE("R2C",'Mapa final'!$R$56),"")</f>
        <v/>
      </c>
      <c r="W58" s="53" t="str">
        <f>IF(AND('Mapa final'!$AH$51="Muy Baja",'Mapa final'!$AJ$51="Moderado"),CONCATENATE("R2C",'Mapa final'!$R$51),"")</f>
        <v/>
      </c>
      <c r="X58" s="54" t="str">
        <f>IF(AND('Mapa final'!$AH$52="Muy Baja",'Mapa final'!$AJ$52="Moderado"),CONCATENATE("R2C",'Mapa final'!$R$52),"")</f>
        <v/>
      </c>
      <c r="Y58" s="54" t="str">
        <f>IF(AND('Mapa final'!$AH$53="Muy Baja",'Mapa final'!$AJ$53="Moderado"),CONCATENATE("R2C",'Mapa final'!$R$53),"")</f>
        <v/>
      </c>
      <c r="Z58" s="54" t="str">
        <f>IF(AND('Mapa final'!$AH$54="Muy Baja",'Mapa final'!$AJ$54="Moderado"),CONCATENATE("R2C",'Mapa final'!$R$54),"")</f>
        <v/>
      </c>
      <c r="AA58" s="54" t="str">
        <f>IF(AND('Mapa final'!$AH$55="Muy Baja",'Mapa final'!$AJ$55="Moderado"),CONCATENATE("R2C",'Mapa final'!$R$55),"")</f>
        <v/>
      </c>
      <c r="AB58" s="55" t="str">
        <f>IF(AND('Mapa final'!$AH$56="Muy Baja",'Mapa final'!$AJ$56="Moderado"),CONCATENATE("R2C",'Mapa final'!$R$56),"")</f>
        <v/>
      </c>
      <c r="AC58" s="38" t="str">
        <f>IF(AND('Mapa final'!$AH$51="Muy Baja",'Mapa final'!$AJ$51="Mayor"),CONCATENATE("R2C",'Mapa final'!$R$51),"")</f>
        <v/>
      </c>
      <c r="AD58" s="39" t="str">
        <f>IF(AND('Mapa final'!$AH$52="Muy Baja",'Mapa final'!$AJ$52="Mayor"),CONCATENATE("R2C",'Mapa final'!$R$52),"")</f>
        <v/>
      </c>
      <c r="AE58" s="39" t="str">
        <f>IF(AND('Mapa final'!$AH$53="Muy Baja",'Mapa final'!$AJ$53="Mayor"),CONCATENATE("R2C",'Mapa final'!$R$53),"")</f>
        <v/>
      </c>
      <c r="AF58" s="39" t="str">
        <f>IF(AND('Mapa final'!$AH$54="Muy Baja",'Mapa final'!$AJ$54="Mayor"),CONCATENATE("R2C",'Mapa final'!$R$54),"")</f>
        <v/>
      </c>
      <c r="AG58" s="39" t="str">
        <f>IF(AND('Mapa final'!$AH$55="Muy Baja",'Mapa final'!$AJ$55="Mayor"),CONCATENATE("R2C",'Mapa final'!$R$55),"")</f>
        <v/>
      </c>
      <c r="AH58" s="40" t="str">
        <f>IF(AND('Mapa final'!$AH$56="Muy Baja",'Mapa final'!$AJ$56="Mayor"),CONCATENATE("R2C",'Mapa final'!$R$56),"")</f>
        <v/>
      </c>
      <c r="AI58" s="41" t="str">
        <f>IF(AND('Mapa final'!$AH$51="Muy Baja",'Mapa final'!$AJ$51="Catastrófico"),CONCATENATE("R2C",'Mapa final'!$R$51),"")</f>
        <v/>
      </c>
      <c r="AJ58" s="42" t="str">
        <f>IF(AND('Mapa final'!$AH$52="Muy Baja",'Mapa final'!$AJ$52="Catastrófico"),CONCATENATE("R2C",'Mapa final'!$R$52),"")</f>
        <v/>
      </c>
      <c r="AK58" s="42" t="str">
        <f>IF(AND('Mapa final'!$AH$53="Muy Baja",'Mapa final'!$AJ$53="Catastrófico"),CONCATENATE("R2C",'Mapa final'!$R$53),"")</f>
        <v/>
      </c>
      <c r="AL58" s="42" t="str">
        <f>IF(AND('Mapa final'!$AH$54="Muy Baja",'Mapa final'!$AJ$54="Catastrófico"),CONCATENATE("R2C",'Mapa final'!$R$54),"")</f>
        <v/>
      </c>
      <c r="AM58" s="42" t="str">
        <f>IF(AND('Mapa final'!$AH$55="Muy Baja",'Mapa final'!$AJ$55="Catastrófico"),CONCATENATE("R2C",'Mapa final'!$R$55),"")</f>
        <v/>
      </c>
      <c r="AN58" s="43" t="str">
        <f>IF(AND('Mapa final'!$AH$56="Muy Baja",'Mapa final'!$AJ$56="Catastrófico"),CONCATENATE("R2C",'Mapa final'!$R$56),"")</f>
        <v/>
      </c>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row>
    <row r="59" spans="2:81" ht="15" customHeight="1">
      <c r="B59" s="68"/>
      <c r="C59" s="430"/>
      <c r="D59" s="430"/>
      <c r="E59" s="431"/>
      <c r="F59" s="520"/>
      <c r="G59" s="521"/>
      <c r="H59" s="521"/>
      <c r="I59" s="521"/>
      <c r="J59" s="522"/>
      <c r="K59" s="62" t="str">
        <f>IF(AND('Mapa final'!$AH$57="Muy Baja",'Mapa final'!$AJ$57="Leve"),CONCATENATE("R2C",'Mapa final'!$R$57),"")</f>
        <v/>
      </c>
      <c r="L59" s="63" t="str">
        <f>IF(AND('Mapa final'!$AH$58="Muy Baja",'Mapa final'!$AJ$58="Leve"),CONCATENATE("R2C",'Mapa final'!$R$58),"")</f>
        <v/>
      </c>
      <c r="M59" s="63" t="str">
        <f>IF(AND('Mapa final'!$AH$59="Muy Baja",'Mapa final'!$AJ$59="Leve"),CONCATENATE("R2C",'Mapa final'!$R$59),"")</f>
        <v/>
      </c>
      <c r="N59" s="63" t="str">
        <f>IF(AND('Mapa final'!$AH$60="Muy Baja",'Mapa final'!$AJ$60="Leve"),CONCATENATE("R2C",'Mapa final'!$R$60),"")</f>
        <v/>
      </c>
      <c r="O59" s="63" t="str">
        <f>IF(AND('Mapa final'!$AH$61="Muy Baja",'Mapa final'!$AJ$61="Leve"),CONCATENATE("R2C",'Mapa final'!$R$61),"")</f>
        <v/>
      </c>
      <c r="P59" s="64" t="str">
        <f>IF(AND('Mapa final'!$AH$62="Muy Baja",'Mapa final'!$AJ$62="Leve"),CONCATENATE("R2C",'Mapa final'!$R$62),"")</f>
        <v/>
      </c>
      <c r="Q59" s="62" t="str">
        <f>IF(AND('Mapa final'!$AH$57="Muy Baja",'Mapa final'!$AJ$57="Menor"),CONCATENATE("R2C",'Mapa final'!$R$57),"")</f>
        <v/>
      </c>
      <c r="R59" s="63" t="str">
        <f>IF(AND('Mapa final'!$AH$58="Muy Baja",'Mapa final'!$AJ$58="Menor"),CONCATENATE("R2C",'Mapa final'!$R$58),"")</f>
        <v/>
      </c>
      <c r="S59" s="63" t="str">
        <f>IF(AND('Mapa final'!$AH$59="Muy Baja",'Mapa final'!$AJ$59="Menor"),CONCATENATE("R2C",'Mapa final'!$R$59),"")</f>
        <v/>
      </c>
      <c r="T59" s="63" t="str">
        <f>IF(AND('Mapa final'!$AH$60="Muy Baja",'Mapa final'!$AJ$60="Menor"),CONCATENATE("R2C",'Mapa final'!$R$60),"")</f>
        <v/>
      </c>
      <c r="U59" s="63" t="str">
        <f>IF(AND('Mapa final'!$AH$61="Muy Baja",'Mapa final'!$AJ$61="Menor"),CONCATENATE("R2C",'Mapa final'!$R$61),"")</f>
        <v/>
      </c>
      <c r="V59" s="64" t="str">
        <f>IF(AND('Mapa final'!$AH$62="Muy Baja",'Mapa final'!$AJ$62="Menor"),CONCATENATE("R2C",'Mapa final'!$R$62),"")</f>
        <v/>
      </c>
      <c r="W59" s="53" t="str">
        <f>IF(AND('Mapa final'!$AH$57="Muy Baja",'Mapa final'!$AJ$57="Moderado"),CONCATENATE("R2C",'Mapa final'!$R$57),"")</f>
        <v/>
      </c>
      <c r="X59" s="54" t="str">
        <f>IF(AND('Mapa final'!$AH$58="Muy Baja",'Mapa final'!$AJ$58="Moderado"),CONCATENATE("R2C",'Mapa final'!$R$58),"")</f>
        <v/>
      </c>
      <c r="Y59" s="54" t="str">
        <f>IF(AND('Mapa final'!$AH$59="Muy Baja",'Mapa final'!$AJ$59="Moderado"),CONCATENATE("R2C",'Mapa final'!$R$59),"")</f>
        <v/>
      </c>
      <c r="Z59" s="54" t="str">
        <f>IF(AND('Mapa final'!$AH$60="Muy Baja",'Mapa final'!$AJ$60="Moderado"),CONCATENATE("R2C",'Mapa final'!$R$60),"")</f>
        <v/>
      </c>
      <c r="AA59" s="54" t="str">
        <f>IF(AND('Mapa final'!$AH$61="Muy Baja",'Mapa final'!$AJ$61="Moderado"),CONCATENATE("R2C",'Mapa final'!$R$61),"")</f>
        <v/>
      </c>
      <c r="AB59" s="55" t="str">
        <f>IF(AND('Mapa final'!$AH$62="Muy Baja",'Mapa final'!$AJ$62="Moderado"),CONCATENATE("R2C",'Mapa final'!$R$62),"")</f>
        <v/>
      </c>
      <c r="AC59" s="38" t="str">
        <f>IF(AND('Mapa final'!$AH$57="Muy Baja",'Mapa final'!$AJ$57="Mayor"),CONCATENATE("R2C",'Mapa final'!$R$57),"")</f>
        <v/>
      </c>
      <c r="AD59" s="39" t="str">
        <f>IF(AND('Mapa final'!$AH$58="Muy Baja",'Mapa final'!$AJ$58="Mayor"),CONCATENATE("R2C",'Mapa final'!$R$58),"")</f>
        <v/>
      </c>
      <c r="AE59" s="39" t="str">
        <f>IF(AND('Mapa final'!$AH$59="Muy Baja",'Mapa final'!$AJ$59="Mayor"),CONCATENATE("R2C",'Mapa final'!$R$59),"")</f>
        <v/>
      </c>
      <c r="AF59" s="39" t="str">
        <f>IF(AND('Mapa final'!$AH$60="Muy Baja",'Mapa final'!$AJ$60="Mayor"),CONCATENATE("R2C",'Mapa final'!$R$60),"")</f>
        <v/>
      </c>
      <c r="AG59" s="39" t="str">
        <f>IF(AND('Mapa final'!$AH$61="Muy Baja",'Mapa final'!$AJ$61="Mayor"),CONCATENATE("R2C",'Mapa final'!$R$61),"")</f>
        <v/>
      </c>
      <c r="AH59" s="40" t="str">
        <f>IF(AND('Mapa final'!$AH$62="Muy Baja",'Mapa final'!$AJ$62="Mayor"),CONCATENATE("R2C",'Mapa final'!$R$62),"")</f>
        <v/>
      </c>
      <c r="AI59" s="41" t="str">
        <f>IF(AND('Mapa final'!$AH$57="Muy Baja",'Mapa final'!$AJ$57="Catastrófico"),CONCATENATE("R2C",'Mapa final'!$R$57),"")</f>
        <v/>
      </c>
      <c r="AJ59" s="42" t="str">
        <f>IF(AND('Mapa final'!$AH$58="Muy Baja",'Mapa final'!$AJ$58="Catastrófico"),CONCATENATE("R2C",'Mapa final'!$R$58),"")</f>
        <v/>
      </c>
      <c r="AK59" s="42" t="str">
        <f>IF(AND('Mapa final'!$AH$59="Muy Baja",'Mapa final'!$AJ$59="Catastrófico"),CONCATENATE("R2C",'Mapa final'!$R$59),"")</f>
        <v/>
      </c>
      <c r="AL59" s="42" t="str">
        <f>IF(AND('Mapa final'!$AH$60="Muy Baja",'Mapa final'!$AJ$60="Catastrófico"),CONCATENATE("R2C",'Mapa final'!$R$60),"")</f>
        <v/>
      </c>
      <c r="AM59" s="42" t="str">
        <f>IF(AND('Mapa final'!$AH$61="Muy Baja",'Mapa final'!$AJ$61="Catastrófico"),CONCATENATE("R2C",'Mapa final'!$R$61),"")</f>
        <v/>
      </c>
      <c r="AN59" s="43" t="str">
        <f>IF(AND('Mapa final'!$AH$62="Muy Baja",'Mapa final'!$AJ$62="Catastrófico"),CONCATENATE("R2C",'Mapa final'!$R$62),"")</f>
        <v/>
      </c>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row>
    <row r="60" spans="2:81" ht="15" customHeight="1">
      <c r="B60" s="68"/>
      <c r="C60" s="430"/>
      <c r="D60" s="430"/>
      <c r="E60" s="431"/>
      <c r="F60" s="520"/>
      <c r="G60" s="521"/>
      <c r="H60" s="521"/>
      <c r="I60" s="521"/>
      <c r="J60" s="522"/>
      <c r="K60" s="62" t="str">
        <f>IF(AND('Mapa final'!$AH$63="Muy Baja",'Mapa final'!$AJ$63="Leve"),CONCATENATE("R2C",'Mapa final'!$R$63),"")</f>
        <v/>
      </c>
      <c r="L60" s="63" t="str">
        <f>IF(AND('Mapa final'!$AH$64="Muy Baja",'Mapa final'!$AJ$64="Leve"),CONCATENATE("R2C",'Mapa final'!$R$64),"")</f>
        <v/>
      </c>
      <c r="M60" s="63" t="str">
        <f>IF(AND('Mapa final'!$AH$65="Muy Baja",'Mapa final'!$AJ$65="Leve"),CONCATENATE("R2C",'Mapa final'!$R$65),"")</f>
        <v/>
      </c>
      <c r="N60" s="63" t="str">
        <f>IF(AND('Mapa final'!$AH$66="Muy Baja",'Mapa final'!$AJ$66="Leve"),CONCATENATE("R2C",'Mapa final'!$R$66),"")</f>
        <v/>
      </c>
      <c r="O60" s="63" t="str">
        <f>IF(AND('Mapa final'!$AH$67="Muy Baja",'Mapa final'!$AJ$67="Leve"),CONCATENATE("R2C",'Mapa final'!$R$67),"")</f>
        <v/>
      </c>
      <c r="P60" s="64" t="str">
        <f>IF(AND('Mapa final'!$AH$68="Muy Baja",'Mapa final'!$AJ$68="Leve"),CONCATENATE("R2C",'Mapa final'!$R$68),"")</f>
        <v/>
      </c>
      <c r="Q60" s="62" t="str">
        <f>IF(AND('Mapa final'!$AH$63="Muy Baja",'Mapa final'!$AJ$63="Menor"),CONCATENATE("R2C",'Mapa final'!$R$63),"")</f>
        <v/>
      </c>
      <c r="R60" s="63" t="str">
        <f>IF(AND('Mapa final'!$AH$64="Muy Baja",'Mapa final'!$AJ$64="Menor"),CONCATENATE("R2C",'Mapa final'!$R$64),"")</f>
        <v/>
      </c>
      <c r="S60" s="63" t="str">
        <f>IF(AND('Mapa final'!$AH$65="Muy Baja",'Mapa final'!$AJ$65="Menor"),CONCATENATE("R2C",'Mapa final'!$R$65),"")</f>
        <v/>
      </c>
      <c r="T60" s="63" t="str">
        <f>IF(AND('Mapa final'!$AH$66="Muy Baja",'Mapa final'!$AJ$66="Menor"),CONCATENATE("R2C",'Mapa final'!$R$66),"")</f>
        <v/>
      </c>
      <c r="U60" s="63" t="str">
        <f>IF(AND('Mapa final'!$AH$67="Muy Baja",'Mapa final'!$AJ$67="Menor"),CONCATENATE("R2C",'Mapa final'!$R$67),"")</f>
        <v/>
      </c>
      <c r="V60" s="64" t="str">
        <f>IF(AND('Mapa final'!$AH$68="Muy Baja",'Mapa final'!$AJ$68="Menor"),CONCATENATE("R2C",'Mapa final'!$R$68),"")</f>
        <v/>
      </c>
      <c r="W60" s="53" t="str">
        <f>IF(AND('Mapa final'!$AH$63="Muy Baja",'Mapa final'!$AJ$63="Moderado"),CONCATENATE("R2C",'Mapa final'!$R$63),"")</f>
        <v/>
      </c>
      <c r="X60" s="54" t="str">
        <f>IF(AND('Mapa final'!$AH$64="Muy Baja",'Mapa final'!$AJ$64="Moderado"),CONCATENATE("R2C",'Mapa final'!$R$64),"")</f>
        <v/>
      </c>
      <c r="Y60" s="54" t="str">
        <f>IF(AND('Mapa final'!$AH$65="Muy Baja",'Mapa final'!$AJ$65="Moderado"),CONCATENATE("R2C",'Mapa final'!$R$65),"")</f>
        <v/>
      </c>
      <c r="Z60" s="54" t="str">
        <f>IF(AND('Mapa final'!$AH$66="Muy Baja",'Mapa final'!$AJ$66="Moderado"),CONCATENATE("R2C",'Mapa final'!$R$66),"")</f>
        <v/>
      </c>
      <c r="AA60" s="54" t="str">
        <f>IF(AND('Mapa final'!$AH$67="Muy Baja",'Mapa final'!$AJ$67="Moderado"),CONCATENATE("R2C",'Mapa final'!$R$67),"")</f>
        <v/>
      </c>
      <c r="AB60" s="55" t="str">
        <f>IF(AND('Mapa final'!$AH$68="Muy Baja",'Mapa final'!$AJ$68="Moderado"),CONCATENATE("R2C",'Mapa final'!$R$68),"")</f>
        <v/>
      </c>
      <c r="AC60" s="38" t="str">
        <f>IF(AND('Mapa final'!$AH$63="Muy Baja",'Mapa final'!$AJ$63="Mayor"),CONCATENATE("R2C",'Mapa final'!$R$63),"")</f>
        <v/>
      </c>
      <c r="AD60" s="39" t="str">
        <f>IF(AND('Mapa final'!$AH$64="Muy Baja",'Mapa final'!$AJ$64="Mayor"),CONCATENATE("R2C",'Mapa final'!$R$64),"")</f>
        <v/>
      </c>
      <c r="AE60" s="39" t="str">
        <f>IF(AND('Mapa final'!$AH$65="Muy Baja",'Mapa final'!$AJ$65="Mayor"),CONCATENATE("R2C",'Mapa final'!$R$65),"")</f>
        <v/>
      </c>
      <c r="AF60" s="39" t="str">
        <f>IF(AND('Mapa final'!$AH$66="Muy Baja",'Mapa final'!$AJ$66="Mayor"),CONCATENATE("R2C",'Mapa final'!$R$66),"")</f>
        <v/>
      </c>
      <c r="AG60" s="39" t="str">
        <f>IF(AND('Mapa final'!$AH$67="Muy Baja",'Mapa final'!$AJ$67="Mayor"),CONCATENATE("R2C",'Mapa final'!$R$67),"")</f>
        <v/>
      </c>
      <c r="AH60" s="40" t="str">
        <f>IF(AND('Mapa final'!$AH$68="Muy Baja",'Mapa final'!$AJ$68="Mayor"),CONCATENATE("R2C",'Mapa final'!$R$68),"")</f>
        <v/>
      </c>
      <c r="AI60" s="41" t="str">
        <f>IF(AND('Mapa final'!$AH$63="Muy Baja",'Mapa final'!$AJ$63="Catastrófico"),CONCATENATE("R2C",'Mapa final'!$R$63),"")</f>
        <v/>
      </c>
      <c r="AJ60" s="42" t="str">
        <f>IF(AND('Mapa final'!$AH$64="Muy Baja",'Mapa final'!$AJ$64="Catastrófico"),CONCATENATE("R2C",'Mapa final'!$R$64),"")</f>
        <v/>
      </c>
      <c r="AK60" s="42" t="str">
        <f>IF(AND('Mapa final'!$AH$65="Muy Baja",'Mapa final'!$AJ$65="Catastrófico"),CONCATENATE("R2C",'Mapa final'!$R$65),"")</f>
        <v/>
      </c>
      <c r="AL60" s="42" t="str">
        <f>IF(AND('Mapa final'!$AH$66="Muy Baja",'Mapa final'!$AJ$66="Catastrófico"),CONCATENATE("R2C",'Mapa final'!$R$66),"")</f>
        <v/>
      </c>
      <c r="AM60" s="42" t="str">
        <f>IF(AND('Mapa final'!$AH$67="Muy Baja",'Mapa final'!$AJ$67="Catastrófico"),CONCATENATE("R2C",'Mapa final'!$R$67),"")</f>
        <v/>
      </c>
      <c r="AN60" s="43" t="str">
        <f>IF(AND('Mapa final'!$AH$68="Muy Baja",'Mapa final'!$AJ$68="Catastrófico"),CONCATENATE("R2C",'Mapa final'!$R$68),"")</f>
        <v/>
      </c>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row>
    <row r="61" spans="2:81" ht="15.75" customHeight="1" thickBot="1">
      <c r="B61" s="68"/>
      <c r="C61" s="430"/>
      <c r="D61" s="430"/>
      <c r="E61" s="431"/>
      <c r="F61" s="523"/>
      <c r="G61" s="524"/>
      <c r="H61" s="524"/>
      <c r="I61" s="524"/>
      <c r="J61" s="525"/>
      <c r="K61" s="65" t="str">
        <f>IF(AND('Mapa final'!$AH$69="Muy Baja",'Mapa final'!$AJ$69="Leve"),CONCATENATE("R2C",'Mapa final'!$R$69),"")</f>
        <v/>
      </c>
      <c r="L61" s="66" t="str">
        <f>IF(AND('Mapa final'!$AH$70="Muy Baja",'Mapa final'!$AJ$70="Leve"),CONCATENATE("R2C",'Mapa final'!$R$70),"")</f>
        <v/>
      </c>
      <c r="M61" s="66" t="str">
        <f>IF(AND('Mapa final'!$AH$71="Muy Baja",'Mapa final'!$AJ$71="Leve"),CONCATENATE("R2C",'Mapa final'!$R$71),"")</f>
        <v/>
      </c>
      <c r="N61" s="66" t="str">
        <f>IF(AND('Mapa final'!$AH$72="Muy Baja",'Mapa final'!$AJ$72="Leve"),CONCATENATE("R2C",'Mapa final'!$R$72),"")</f>
        <v/>
      </c>
      <c r="O61" s="66" t="str">
        <f>IF(AND('Mapa final'!$AH$74="Muy Baja",'Mapa final'!$AJ$74="Leve"),CONCATENATE("R2C",'Mapa final'!$R$74),"")</f>
        <v/>
      </c>
      <c r="P61" s="67" t="str">
        <f>IF(AND('Mapa final'!$AH$75="Muy Baja",'Mapa final'!$AJ$75="Leve"),CONCATENATE("R2C",'Mapa final'!$R$75),"")</f>
        <v/>
      </c>
      <c r="Q61" s="65" t="str">
        <f>IF(AND('Mapa final'!$AH$69="Muy Baja",'Mapa final'!$AJ$69="Menor"),CONCATENATE("R2C",'Mapa final'!$R$69),"")</f>
        <v/>
      </c>
      <c r="R61" s="66" t="str">
        <f>IF(AND('Mapa final'!$AH$70="Muy Baja",'Mapa final'!$AJ$70="Menor"),CONCATENATE("R2C",'Mapa final'!$R$70),"")</f>
        <v/>
      </c>
      <c r="S61" s="66" t="str">
        <f>IF(AND('Mapa final'!$AH$71="Muy Baja",'Mapa final'!$AJ$71="Menor"),CONCATENATE("R2C",'Mapa final'!$R$71),"")</f>
        <v/>
      </c>
      <c r="T61" s="66" t="str">
        <f>IF(AND('Mapa final'!$AH$72="Muy Baja",'Mapa final'!$AJ$72="Menor"),CONCATENATE("R2C",'Mapa final'!$R$72),"")</f>
        <v/>
      </c>
      <c r="U61" s="66" t="str">
        <f>IF(AND('Mapa final'!$AH$74="Muy Baja",'Mapa final'!$AJ$74="Menor"),CONCATENATE("R2C",'Mapa final'!$R$74),"")</f>
        <v/>
      </c>
      <c r="V61" s="67" t="str">
        <f>IF(AND('Mapa final'!$AH$75="Muy Baja",'Mapa final'!$AJ$75="Menor"),CONCATENATE("R2C",'Mapa final'!$R$75),"")</f>
        <v/>
      </c>
      <c r="W61" s="56" t="str">
        <f>IF(AND('Mapa final'!$AH$69="Muy Baja",'Mapa final'!$AJ$69="Moderado"),CONCATENATE("R2C",'Mapa final'!$R$69),"")</f>
        <v/>
      </c>
      <c r="X61" s="57" t="str">
        <f>IF(AND('Mapa final'!$AH$70="Muy Baja",'Mapa final'!$AJ$70="Moderado"),CONCATENATE("R2C",'Mapa final'!$R$70),"")</f>
        <v/>
      </c>
      <c r="Y61" s="57" t="str">
        <f>IF(AND('Mapa final'!$AH$71="Muy Baja",'Mapa final'!$AJ$71="Moderado"),CONCATENATE("R2C",'Mapa final'!$R$71),"")</f>
        <v/>
      </c>
      <c r="Z61" s="57" t="str">
        <f>IF(AND('Mapa final'!$AH$72="Muy Baja",'Mapa final'!$AJ$72="Moderado"),CONCATENATE("R2C",'Mapa final'!$R$72),"")</f>
        <v/>
      </c>
      <c r="AA61" s="57" t="str">
        <f>IF(AND('Mapa final'!$AH$74="Muy Baja",'Mapa final'!$AJ$74="Moderado"),CONCATENATE("R2C",'Mapa final'!$R$74),"")</f>
        <v/>
      </c>
      <c r="AB61" s="58" t="str">
        <f>IF(AND('Mapa final'!$AH$75="Muy Baja",'Mapa final'!$AJ$75="Moderado"),CONCATENATE("R2C",'Mapa final'!$R$75),"")</f>
        <v/>
      </c>
      <c r="AC61" s="44" t="str">
        <f>IF(AND('Mapa final'!$AH$69="Muy Baja",'Mapa final'!$AJ$69="Mayor"),CONCATENATE("R2C",'Mapa final'!$R$69),"")</f>
        <v/>
      </c>
      <c r="AD61" s="45" t="str">
        <f>IF(AND('Mapa final'!$AH$70="Muy Baja",'Mapa final'!$AJ$70="Mayor"),CONCATENATE("R2C",'Mapa final'!$R$70),"")</f>
        <v/>
      </c>
      <c r="AE61" s="45" t="str">
        <f>IF(AND('Mapa final'!$AH$71="Muy Baja",'Mapa final'!$AJ$71="Mayor"),CONCATENATE("R2C",'Mapa final'!$R$71),"")</f>
        <v/>
      </c>
      <c r="AF61" s="45" t="str">
        <f>IF(AND('Mapa final'!$AH$72="Muy Baja",'Mapa final'!$AJ$72="Mayor"),CONCATENATE("R2C",'Mapa final'!$R$72),"")</f>
        <v/>
      </c>
      <c r="AG61" s="45" t="str">
        <f>IF(AND('Mapa final'!$AH$74="Muy Baja",'Mapa final'!$AJ$74="Mayor"),CONCATENATE("R2C",'Mapa final'!$R$74),"")</f>
        <v/>
      </c>
      <c r="AH61" s="46" t="str">
        <f>IF(AND('Mapa final'!$AH$75="Muy Baja",'Mapa final'!$AJ$75="Mayor"),CONCATENATE("R2C",'Mapa final'!$R$75),"")</f>
        <v/>
      </c>
      <c r="AI61" s="47" t="str">
        <f>IF(AND('Mapa final'!$AH$69="Muy Baja",'Mapa final'!$AJ$69="Catastrófico"),CONCATENATE("R2C",'Mapa final'!$R$69),"")</f>
        <v/>
      </c>
      <c r="AJ61" s="48" t="str">
        <f>IF(AND('Mapa final'!$AH$70="Muy Baja",'Mapa final'!$AJ$70="Catastrófico"),CONCATENATE("R2C",'Mapa final'!$R$70),"")</f>
        <v/>
      </c>
      <c r="AK61" s="48" t="str">
        <f>IF(AND('Mapa final'!$AH$71="Muy Baja",'Mapa final'!$AJ$71="Catastrófico"),CONCATENATE("R2C",'Mapa final'!$R$71),"")</f>
        <v/>
      </c>
      <c r="AL61" s="48" t="str">
        <f>IF(AND('Mapa final'!$AH$72="Muy Baja",'Mapa final'!$AJ$72="Catastrófico"),CONCATENATE("R2C",'Mapa final'!$R$72),"")</f>
        <v/>
      </c>
      <c r="AM61" s="48" t="str">
        <f>IF(AND('Mapa final'!$AH$74="Muy Baja",'Mapa final'!$AJ$74="Catastrófico"),CONCATENATE("R2C",'Mapa final'!$R$74),"")</f>
        <v/>
      </c>
      <c r="AN61" s="49" t="str">
        <f>IF(AND('Mapa final'!$AH$75="Muy Baja",'Mapa final'!$AJ$75="Catastrófico"),CONCATENATE("R2C",'Mapa final'!$R$75),"")</f>
        <v/>
      </c>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row>
    <row r="62" spans="2:81">
      <c r="B62" s="68"/>
      <c r="C62" s="68"/>
      <c r="D62" s="68"/>
      <c r="E62" s="68"/>
      <c r="F62" s="68"/>
      <c r="G62" s="68"/>
      <c r="H62" s="68"/>
      <c r="I62" s="68"/>
      <c r="J62" s="68"/>
      <c r="K62" s="517" t="s">
        <v>330</v>
      </c>
      <c r="L62" s="518"/>
      <c r="M62" s="518"/>
      <c r="N62" s="518"/>
      <c r="O62" s="518"/>
      <c r="P62" s="519"/>
      <c r="Q62" s="517" t="s">
        <v>331</v>
      </c>
      <c r="R62" s="518"/>
      <c r="S62" s="518"/>
      <c r="T62" s="518"/>
      <c r="U62" s="518"/>
      <c r="V62" s="519"/>
      <c r="W62" s="517" t="s">
        <v>332</v>
      </c>
      <c r="X62" s="518"/>
      <c r="Y62" s="518"/>
      <c r="Z62" s="518"/>
      <c r="AA62" s="518"/>
      <c r="AB62" s="519"/>
      <c r="AC62" s="517" t="s">
        <v>333</v>
      </c>
      <c r="AD62" s="567"/>
      <c r="AE62" s="518"/>
      <c r="AF62" s="518"/>
      <c r="AG62" s="518"/>
      <c r="AH62" s="519"/>
      <c r="AI62" s="517" t="s">
        <v>334</v>
      </c>
      <c r="AJ62" s="518"/>
      <c r="AK62" s="518"/>
      <c r="AL62" s="518"/>
      <c r="AM62" s="518"/>
      <c r="AN62" s="519"/>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row>
    <row r="63" spans="2:81">
      <c r="B63" s="68"/>
      <c r="C63" s="68"/>
      <c r="D63" s="68"/>
      <c r="E63" s="68"/>
      <c r="F63" s="68"/>
      <c r="G63" s="68"/>
      <c r="H63" s="68"/>
      <c r="I63" s="68"/>
      <c r="J63" s="68"/>
      <c r="K63" s="520"/>
      <c r="L63" s="521"/>
      <c r="M63" s="521"/>
      <c r="N63" s="521"/>
      <c r="O63" s="521"/>
      <c r="P63" s="522"/>
      <c r="Q63" s="520"/>
      <c r="R63" s="521"/>
      <c r="S63" s="521"/>
      <c r="T63" s="521"/>
      <c r="U63" s="521"/>
      <c r="V63" s="522"/>
      <c r="W63" s="520"/>
      <c r="X63" s="521"/>
      <c r="Y63" s="521"/>
      <c r="Z63" s="521"/>
      <c r="AA63" s="521"/>
      <c r="AB63" s="522"/>
      <c r="AC63" s="520"/>
      <c r="AD63" s="521"/>
      <c r="AE63" s="521"/>
      <c r="AF63" s="521"/>
      <c r="AG63" s="521"/>
      <c r="AH63" s="522"/>
      <c r="AI63" s="520"/>
      <c r="AJ63" s="521"/>
      <c r="AK63" s="521"/>
      <c r="AL63" s="521"/>
      <c r="AM63" s="521"/>
      <c r="AN63" s="522"/>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row>
    <row r="64" spans="2:81">
      <c r="B64" s="68"/>
      <c r="C64" s="68"/>
      <c r="D64" s="68"/>
      <c r="E64" s="68"/>
      <c r="F64" s="68"/>
      <c r="G64" s="68"/>
      <c r="H64" s="68"/>
      <c r="I64" s="68"/>
      <c r="J64" s="68"/>
      <c r="K64" s="520"/>
      <c r="L64" s="521"/>
      <c r="M64" s="521"/>
      <c r="N64" s="521"/>
      <c r="O64" s="521"/>
      <c r="P64" s="522"/>
      <c r="Q64" s="520"/>
      <c r="R64" s="521"/>
      <c r="S64" s="521"/>
      <c r="T64" s="521"/>
      <c r="U64" s="521"/>
      <c r="V64" s="522"/>
      <c r="W64" s="520"/>
      <c r="X64" s="521"/>
      <c r="Y64" s="521"/>
      <c r="Z64" s="521"/>
      <c r="AA64" s="521"/>
      <c r="AB64" s="522"/>
      <c r="AC64" s="520"/>
      <c r="AD64" s="521"/>
      <c r="AE64" s="521"/>
      <c r="AF64" s="521"/>
      <c r="AG64" s="521"/>
      <c r="AH64" s="522"/>
      <c r="AI64" s="520"/>
      <c r="AJ64" s="521"/>
      <c r="AK64" s="521"/>
      <c r="AL64" s="521"/>
      <c r="AM64" s="521"/>
      <c r="AN64" s="522"/>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row>
    <row r="65" spans="2:81">
      <c r="B65" s="68"/>
      <c r="C65" s="68"/>
      <c r="D65" s="68"/>
      <c r="E65" s="68"/>
      <c r="F65" s="68"/>
      <c r="G65" s="68"/>
      <c r="H65" s="68"/>
      <c r="I65" s="68"/>
      <c r="J65" s="68"/>
      <c r="K65" s="520"/>
      <c r="L65" s="521"/>
      <c r="M65" s="521"/>
      <c r="N65" s="521"/>
      <c r="O65" s="521"/>
      <c r="P65" s="522"/>
      <c r="Q65" s="520"/>
      <c r="R65" s="521"/>
      <c r="S65" s="521"/>
      <c r="T65" s="521"/>
      <c r="U65" s="521"/>
      <c r="V65" s="522"/>
      <c r="W65" s="520"/>
      <c r="X65" s="521"/>
      <c r="Y65" s="521"/>
      <c r="Z65" s="521"/>
      <c r="AA65" s="521"/>
      <c r="AB65" s="522"/>
      <c r="AC65" s="520"/>
      <c r="AD65" s="521"/>
      <c r="AE65" s="521"/>
      <c r="AF65" s="521"/>
      <c r="AG65" s="521"/>
      <c r="AH65" s="522"/>
      <c r="AI65" s="520"/>
      <c r="AJ65" s="521"/>
      <c r="AK65" s="521"/>
      <c r="AL65" s="521"/>
      <c r="AM65" s="521"/>
      <c r="AN65" s="522"/>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row>
    <row r="66" spans="2:81">
      <c r="B66" s="68"/>
      <c r="C66" s="68"/>
      <c r="D66" s="68"/>
      <c r="E66" s="68"/>
      <c r="F66" s="68"/>
      <c r="G66" s="68"/>
      <c r="H66" s="68"/>
      <c r="I66" s="68"/>
      <c r="J66" s="68"/>
      <c r="K66" s="520"/>
      <c r="L66" s="521"/>
      <c r="M66" s="521"/>
      <c r="N66" s="521"/>
      <c r="O66" s="521"/>
      <c r="P66" s="522"/>
      <c r="Q66" s="520"/>
      <c r="R66" s="521"/>
      <c r="S66" s="521"/>
      <c r="T66" s="521"/>
      <c r="U66" s="521"/>
      <c r="V66" s="522"/>
      <c r="W66" s="520"/>
      <c r="X66" s="521"/>
      <c r="Y66" s="521"/>
      <c r="Z66" s="521"/>
      <c r="AA66" s="521"/>
      <c r="AB66" s="522"/>
      <c r="AC66" s="520"/>
      <c r="AD66" s="521"/>
      <c r="AE66" s="521"/>
      <c r="AF66" s="521"/>
      <c r="AG66" s="521"/>
      <c r="AH66" s="522"/>
      <c r="AI66" s="520"/>
      <c r="AJ66" s="521"/>
      <c r="AK66" s="521"/>
      <c r="AL66" s="521"/>
      <c r="AM66" s="521"/>
      <c r="AN66" s="522"/>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row>
    <row r="67" spans="2:81" ht="16" thickBot="1">
      <c r="B67" s="68"/>
      <c r="C67" s="68"/>
      <c r="D67" s="68"/>
      <c r="E67" s="68"/>
      <c r="F67" s="68"/>
      <c r="G67" s="68"/>
      <c r="H67" s="68"/>
      <c r="I67" s="68"/>
      <c r="J67" s="68"/>
      <c r="K67" s="523"/>
      <c r="L67" s="524"/>
      <c r="M67" s="524"/>
      <c r="N67" s="524"/>
      <c r="O67" s="524"/>
      <c r="P67" s="525"/>
      <c r="Q67" s="523"/>
      <c r="R67" s="524"/>
      <c r="S67" s="524"/>
      <c r="T67" s="524"/>
      <c r="U67" s="524"/>
      <c r="V67" s="525"/>
      <c r="W67" s="523"/>
      <c r="X67" s="524"/>
      <c r="Y67" s="524"/>
      <c r="Z67" s="524"/>
      <c r="AA67" s="524"/>
      <c r="AB67" s="525"/>
      <c r="AC67" s="523"/>
      <c r="AD67" s="524"/>
      <c r="AE67" s="524"/>
      <c r="AF67" s="524"/>
      <c r="AG67" s="524"/>
      <c r="AH67" s="525"/>
      <c r="AI67" s="523"/>
      <c r="AJ67" s="524"/>
      <c r="AK67" s="524"/>
      <c r="AL67" s="524"/>
      <c r="AM67" s="524"/>
      <c r="AN67" s="525"/>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row>
    <row r="68" spans="2:81">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row>
    <row r="69" spans="2:81" ht="15" customHeight="1">
      <c r="B69" s="68"/>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2"/>
      <c r="AT69" s="72"/>
      <c r="AU69" s="72"/>
      <c r="AV69" s="68"/>
      <c r="AW69" s="68"/>
      <c r="AX69" s="68"/>
      <c r="AY69" s="68"/>
      <c r="AZ69" s="68"/>
      <c r="BA69" s="68"/>
      <c r="BB69" s="68"/>
      <c r="BC69" s="68"/>
      <c r="BD69" s="68"/>
      <c r="BE69" s="68"/>
      <c r="BF69" s="68"/>
      <c r="BG69" s="68"/>
      <c r="BH69" s="68"/>
      <c r="BI69" s="68"/>
    </row>
    <row r="70" spans="2:81" ht="15" customHeight="1">
      <c r="B70" s="68"/>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2"/>
      <c r="AU70" s="72"/>
      <c r="AV70" s="68"/>
      <c r="AW70" s="68"/>
      <c r="AX70" s="68"/>
      <c r="AY70" s="68"/>
      <c r="AZ70" s="68"/>
      <c r="BA70" s="68"/>
      <c r="BB70" s="68"/>
      <c r="BC70" s="68"/>
      <c r="BD70" s="68"/>
      <c r="BE70" s="68"/>
      <c r="BF70" s="68"/>
      <c r="BG70" s="68"/>
      <c r="BH70" s="68"/>
      <c r="BI70" s="68"/>
    </row>
    <row r="71" spans="2:81">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row>
    <row r="72" spans="2:81">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row>
    <row r="73" spans="2:81">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row>
    <row r="74" spans="2:81">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row>
    <row r="75" spans="2:81">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row>
    <row r="76" spans="2:81">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row>
    <row r="77" spans="2:81">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row>
    <row r="78" spans="2:81">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row>
    <row r="79" spans="2:81">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row>
    <row r="80" spans="2:81">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row>
    <row r="81" spans="2:61">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row>
    <row r="82" spans="2:61">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row>
    <row r="83" spans="2:61">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row>
    <row r="84" spans="2:61">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row>
    <row r="85" spans="2:61">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row>
    <row r="86" spans="2:61">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row>
    <row r="87" spans="2:61">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row>
    <row r="88" spans="2:61">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row>
    <row r="89" spans="2:61">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row>
    <row r="90" spans="2:61">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row>
    <row r="91" spans="2:61">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row>
    <row r="92" spans="2:61">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row>
    <row r="93" spans="2:61">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row>
    <row r="94" spans="2:61">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row>
    <row r="95" spans="2:61">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row>
    <row r="96" spans="2:61">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row>
    <row r="97" spans="2:61">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row>
    <row r="98" spans="2:61">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row>
    <row r="99" spans="2:61">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row>
    <row r="100" spans="2:61">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row>
    <row r="101" spans="2:61">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row>
    <row r="102" spans="2:61">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row>
    <row r="103" spans="2:61">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row>
    <row r="104" spans="2:61">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row>
    <row r="105" spans="2:61">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row>
    <row r="106" spans="2:61">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row>
    <row r="107" spans="2:61">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row>
    <row r="108" spans="2:61">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row>
    <row r="109" spans="2:61">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row>
    <row r="110" spans="2:61">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row>
    <row r="111" spans="2:61">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row>
    <row r="112" spans="2:61">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row>
    <row r="113" spans="2:61">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row>
    <row r="114" spans="2:61">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row>
    <row r="115" spans="2:61">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row>
    <row r="116" spans="2:61">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row>
    <row r="117" spans="2:61">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row>
    <row r="118" spans="2:61">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row>
    <row r="119" spans="2:61">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row>
    <row r="120" spans="2:61">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row>
    <row r="121" spans="2:61">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row>
    <row r="122" spans="2:61">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row>
    <row r="123" spans="2:61">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row>
    <row r="124" spans="2:61">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row>
    <row r="125" spans="2:61">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row>
    <row r="126" spans="2:61">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row>
    <row r="127" spans="2:61">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row>
    <row r="128" spans="2:61">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row>
    <row r="129" spans="2:61">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row>
    <row r="130" spans="2:61">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row>
    <row r="131" spans="2:61">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row>
    <row r="132" spans="2:61">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row>
    <row r="133" spans="2:61">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row>
    <row r="134" spans="2:61">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row>
    <row r="135" spans="2:61">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row>
    <row r="136" spans="2:61">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row>
    <row r="137" spans="2:61">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row>
    <row r="138" spans="2:61">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row>
    <row r="139" spans="2:61">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row>
    <row r="140" spans="2:61">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row>
    <row r="141" spans="2:61">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row>
    <row r="142" spans="2:61">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c r="BI142" s="68"/>
    </row>
    <row r="143" spans="2:61">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row>
    <row r="144" spans="2:61">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c r="AP144" s="68"/>
      <c r="AQ144" s="68"/>
      <c r="AR144" s="68"/>
      <c r="AS144" s="68"/>
      <c r="AT144" s="68"/>
      <c r="AU144" s="68"/>
      <c r="AV144" s="68"/>
      <c r="AW144" s="68"/>
      <c r="AX144" s="68"/>
      <c r="AY144" s="68"/>
      <c r="AZ144" s="68"/>
      <c r="BA144" s="68"/>
      <c r="BB144" s="68"/>
      <c r="BC144" s="68"/>
      <c r="BD144" s="68"/>
      <c r="BE144" s="68"/>
      <c r="BF144" s="68"/>
      <c r="BG144" s="68"/>
      <c r="BH144" s="68"/>
      <c r="BI144" s="68"/>
    </row>
    <row r="145" spans="2:61">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8"/>
      <c r="AS145" s="68"/>
      <c r="AT145" s="68"/>
      <c r="AU145" s="68"/>
      <c r="AV145" s="68"/>
      <c r="AW145" s="68"/>
      <c r="AX145" s="68"/>
      <c r="AY145" s="68"/>
      <c r="AZ145" s="68"/>
      <c r="BA145" s="68"/>
      <c r="BB145" s="68"/>
      <c r="BC145" s="68"/>
      <c r="BD145" s="68"/>
      <c r="BE145" s="68"/>
      <c r="BF145" s="68"/>
      <c r="BG145" s="68"/>
      <c r="BH145" s="68"/>
      <c r="BI145" s="68"/>
    </row>
    <row r="146" spans="2:61">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c r="AU146" s="68"/>
      <c r="AV146" s="68"/>
      <c r="AW146" s="68"/>
      <c r="AX146" s="68"/>
      <c r="AY146" s="68"/>
      <c r="AZ146" s="68"/>
      <c r="BA146" s="68"/>
      <c r="BB146" s="68"/>
      <c r="BC146" s="68"/>
      <c r="BD146" s="68"/>
      <c r="BE146" s="68"/>
      <c r="BF146" s="68"/>
      <c r="BG146" s="68"/>
      <c r="BH146" s="68"/>
      <c r="BI146" s="68"/>
    </row>
    <row r="147" spans="2:61">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c r="BI147" s="68"/>
    </row>
    <row r="148" spans="2:61">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8"/>
      <c r="AS148" s="68"/>
      <c r="AT148" s="68"/>
      <c r="AU148" s="68"/>
      <c r="AV148" s="68"/>
      <c r="AW148" s="68"/>
      <c r="AX148" s="68"/>
      <c r="AY148" s="68"/>
      <c r="AZ148" s="68"/>
      <c r="BA148" s="68"/>
      <c r="BB148" s="68"/>
      <c r="BC148" s="68"/>
      <c r="BD148" s="68"/>
      <c r="BE148" s="68"/>
      <c r="BF148" s="68"/>
      <c r="BG148" s="68"/>
      <c r="BH148" s="68"/>
      <c r="BI148" s="68"/>
    </row>
    <row r="149" spans="2:61">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c r="AQ149" s="68"/>
      <c r="AR149" s="68"/>
      <c r="AS149" s="68"/>
      <c r="AT149" s="68"/>
      <c r="AU149" s="68"/>
      <c r="AV149" s="68"/>
      <c r="AW149" s="68"/>
      <c r="AX149" s="68"/>
      <c r="AY149" s="68"/>
      <c r="AZ149" s="68"/>
      <c r="BA149" s="68"/>
      <c r="BB149" s="68"/>
      <c r="BC149" s="68"/>
      <c r="BD149" s="68"/>
      <c r="BE149" s="68"/>
      <c r="BF149" s="68"/>
      <c r="BG149" s="68"/>
      <c r="BH149" s="68"/>
      <c r="BI149" s="68"/>
    </row>
    <row r="150" spans="2:61">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c r="BI150" s="68"/>
    </row>
    <row r="151" spans="2:61">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row>
    <row r="152" spans="2:61">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c r="AQ152" s="68"/>
      <c r="AR152" s="68"/>
      <c r="AS152" s="68"/>
      <c r="AT152" s="68"/>
      <c r="AU152" s="68"/>
      <c r="AV152" s="68"/>
      <c r="AW152" s="68"/>
      <c r="AX152" s="68"/>
      <c r="AY152" s="68"/>
      <c r="AZ152" s="68"/>
      <c r="BA152" s="68"/>
      <c r="BB152" s="68"/>
      <c r="BC152" s="68"/>
      <c r="BD152" s="68"/>
      <c r="BE152" s="68"/>
      <c r="BF152" s="68"/>
      <c r="BG152" s="68"/>
      <c r="BH152" s="68"/>
      <c r="BI152" s="68"/>
    </row>
    <row r="153" spans="2:61">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c r="AU153" s="68"/>
      <c r="AV153" s="68"/>
      <c r="AW153" s="68"/>
      <c r="AX153" s="68"/>
      <c r="AY153" s="68"/>
      <c r="AZ153" s="68"/>
      <c r="BA153" s="68"/>
      <c r="BB153" s="68"/>
      <c r="BC153" s="68"/>
      <c r="BD153" s="68"/>
      <c r="BE153" s="68"/>
      <c r="BF153" s="68"/>
      <c r="BG153" s="68"/>
      <c r="BH153" s="68"/>
      <c r="BI153" s="68"/>
    </row>
    <row r="154" spans="2:61">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c r="BE154" s="68"/>
      <c r="BF154" s="68"/>
      <c r="BG154" s="68"/>
      <c r="BH154" s="68"/>
      <c r="BI154" s="68"/>
    </row>
    <row r="155" spans="2:61">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c r="BE155" s="68"/>
      <c r="BF155" s="68"/>
      <c r="BG155" s="68"/>
      <c r="BH155" s="68"/>
      <c r="BI155" s="68"/>
    </row>
    <row r="156" spans="2:61">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row>
    <row r="157" spans="2:61">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row>
    <row r="158" spans="2:61">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row>
    <row r="159" spans="2:61">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row>
    <row r="160" spans="2:61">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c r="BI160" s="68"/>
    </row>
    <row r="161" spans="2:61">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8"/>
      <c r="AS161" s="68"/>
      <c r="AT161" s="68"/>
      <c r="AU161" s="68"/>
      <c r="AV161" s="68"/>
      <c r="AW161" s="68"/>
      <c r="AX161" s="68"/>
      <c r="AY161" s="68"/>
      <c r="AZ161" s="68"/>
      <c r="BA161" s="68"/>
      <c r="BB161" s="68"/>
      <c r="BC161" s="68"/>
      <c r="BD161" s="68"/>
      <c r="BE161" s="68"/>
      <c r="BF161" s="68"/>
      <c r="BG161" s="68"/>
      <c r="BH161" s="68"/>
      <c r="BI161" s="68"/>
    </row>
    <row r="162" spans="2:61">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c r="AP162" s="68"/>
      <c r="AQ162" s="68"/>
      <c r="AR162" s="68"/>
      <c r="AS162" s="68"/>
      <c r="AT162" s="68"/>
      <c r="AU162" s="68"/>
      <c r="AV162" s="68"/>
      <c r="AW162" s="68"/>
      <c r="AX162" s="68"/>
      <c r="AY162" s="68"/>
      <c r="AZ162" s="68"/>
      <c r="BA162" s="68"/>
      <c r="BB162" s="68"/>
      <c r="BC162" s="68"/>
      <c r="BD162" s="68"/>
      <c r="BE162" s="68"/>
      <c r="BF162" s="68"/>
      <c r="BG162" s="68"/>
      <c r="BH162" s="68"/>
      <c r="BI162" s="68"/>
    </row>
    <row r="163" spans="2:61">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c r="AQ163" s="68"/>
      <c r="AR163" s="68"/>
      <c r="AS163" s="68"/>
      <c r="AT163" s="68"/>
      <c r="AU163" s="68"/>
      <c r="AV163" s="68"/>
      <c r="AW163" s="68"/>
      <c r="AX163" s="68"/>
      <c r="AY163" s="68"/>
      <c r="AZ163" s="68"/>
      <c r="BA163" s="68"/>
      <c r="BB163" s="68"/>
      <c r="BC163" s="68"/>
      <c r="BD163" s="68"/>
      <c r="BE163" s="68"/>
      <c r="BF163" s="68"/>
      <c r="BG163" s="68"/>
      <c r="BH163" s="68"/>
      <c r="BI163" s="68"/>
    </row>
    <row r="164" spans="2:61">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8"/>
      <c r="AS164" s="68"/>
      <c r="AT164" s="68"/>
      <c r="AU164" s="68"/>
      <c r="AV164" s="68"/>
      <c r="AW164" s="68"/>
      <c r="AX164" s="68"/>
      <c r="AY164" s="68"/>
      <c r="AZ164" s="68"/>
      <c r="BA164" s="68"/>
      <c r="BB164" s="68"/>
      <c r="BC164" s="68"/>
      <c r="BD164" s="68"/>
      <c r="BE164" s="68"/>
      <c r="BF164" s="68"/>
      <c r="BG164" s="68"/>
      <c r="BH164" s="68"/>
      <c r="BI164" s="68"/>
    </row>
    <row r="165" spans="2:61">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68"/>
      <c r="AO165" s="68"/>
      <c r="AP165" s="68"/>
      <c r="AQ165" s="68"/>
      <c r="AR165" s="68"/>
      <c r="AS165" s="68"/>
      <c r="AT165" s="68"/>
      <c r="AU165" s="68"/>
      <c r="AV165" s="68"/>
      <c r="AW165" s="68"/>
      <c r="AX165" s="68"/>
      <c r="AY165" s="68"/>
      <c r="AZ165" s="68"/>
      <c r="BA165" s="68"/>
      <c r="BB165" s="68"/>
      <c r="BC165" s="68"/>
      <c r="BD165" s="68"/>
      <c r="BE165" s="68"/>
      <c r="BF165" s="68"/>
      <c r="BG165" s="68"/>
      <c r="BH165" s="68"/>
      <c r="BI165" s="68"/>
    </row>
    <row r="166" spans="2:61">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c r="BI166" s="68"/>
    </row>
    <row r="167" spans="2:61">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c r="BI167" s="68"/>
    </row>
    <row r="168" spans="2:61">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c r="BI168" s="68"/>
    </row>
    <row r="169" spans="2:61">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row>
    <row r="170" spans="2:61">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row>
    <row r="171" spans="2:61">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c r="BI171" s="68"/>
    </row>
    <row r="172" spans="2:61">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c r="BI172" s="68"/>
    </row>
    <row r="173" spans="2:61">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8"/>
      <c r="AU173" s="68"/>
      <c r="AV173" s="68"/>
      <c r="AW173" s="68"/>
      <c r="AX173" s="68"/>
      <c r="AY173" s="68"/>
      <c r="AZ173" s="68"/>
      <c r="BA173" s="68"/>
      <c r="BB173" s="68"/>
      <c r="BC173" s="68"/>
      <c r="BD173" s="68"/>
      <c r="BE173" s="68"/>
      <c r="BF173" s="68"/>
      <c r="BG173" s="68"/>
      <c r="BH173" s="68"/>
      <c r="BI173" s="68"/>
    </row>
    <row r="174" spans="2:61">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68"/>
      <c r="AO174" s="68"/>
      <c r="AP174" s="68"/>
      <c r="AQ174" s="68"/>
      <c r="AR174" s="68"/>
      <c r="AS174" s="68"/>
      <c r="AT174" s="68"/>
      <c r="AU174" s="68"/>
      <c r="AV174" s="68"/>
      <c r="AW174" s="68"/>
      <c r="AX174" s="68"/>
      <c r="AY174" s="68"/>
      <c r="AZ174" s="68"/>
      <c r="BA174" s="68"/>
      <c r="BB174" s="68"/>
      <c r="BC174" s="68"/>
      <c r="BD174" s="68"/>
      <c r="BE174" s="68"/>
      <c r="BF174" s="68"/>
      <c r="BG174" s="68"/>
      <c r="BH174" s="68"/>
      <c r="BI174" s="68"/>
    </row>
    <row r="175" spans="2:61">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68"/>
      <c r="BI175" s="68"/>
    </row>
    <row r="176" spans="2:61">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8"/>
      <c r="AP176" s="68"/>
      <c r="AQ176" s="68"/>
      <c r="AR176" s="68"/>
      <c r="AS176" s="68"/>
      <c r="AT176" s="68"/>
      <c r="AU176" s="68"/>
      <c r="AV176" s="68"/>
      <c r="AW176" s="68"/>
      <c r="AX176" s="68"/>
      <c r="AY176" s="68"/>
      <c r="AZ176" s="68"/>
      <c r="BA176" s="68"/>
      <c r="BB176" s="68"/>
      <c r="BC176" s="68"/>
      <c r="BD176" s="68"/>
      <c r="BE176" s="68"/>
      <c r="BF176" s="68"/>
      <c r="BG176" s="68"/>
      <c r="BH176" s="68"/>
      <c r="BI176" s="68"/>
    </row>
    <row r="177" spans="2:61">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c r="BI177" s="68"/>
    </row>
    <row r="178" spans="2:61">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c r="BI178" s="68"/>
    </row>
    <row r="179" spans="2:61">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c r="BI179" s="68"/>
    </row>
    <row r="180" spans="2:61">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c r="BI180" s="68"/>
    </row>
    <row r="181" spans="2:61">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c r="BI181" s="68"/>
    </row>
    <row r="182" spans="2:61">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68"/>
      <c r="AO182" s="68"/>
      <c r="AP182" s="68"/>
      <c r="AQ182" s="68"/>
      <c r="AR182" s="68"/>
      <c r="AS182" s="68"/>
      <c r="AT182" s="68"/>
      <c r="AU182" s="68"/>
      <c r="AV182" s="68"/>
      <c r="AW182" s="68"/>
      <c r="AX182" s="68"/>
      <c r="AY182" s="68"/>
      <c r="AZ182" s="68"/>
      <c r="BA182" s="68"/>
      <c r="BB182" s="68"/>
      <c r="BC182" s="68"/>
      <c r="BD182" s="68"/>
      <c r="BE182" s="68"/>
      <c r="BF182" s="68"/>
      <c r="BG182" s="68"/>
      <c r="BH182" s="68"/>
      <c r="BI182" s="68"/>
    </row>
    <row r="183" spans="2:61">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68"/>
      <c r="AO183" s="68"/>
      <c r="AP183" s="68"/>
      <c r="AQ183" s="68"/>
      <c r="AR183" s="68"/>
      <c r="AS183" s="68"/>
      <c r="AT183" s="68"/>
      <c r="AU183" s="68"/>
      <c r="AV183" s="68"/>
      <c r="AW183" s="68"/>
      <c r="AX183" s="68"/>
      <c r="AY183" s="68"/>
      <c r="AZ183" s="68"/>
      <c r="BA183" s="68"/>
      <c r="BB183" s="68"/>
      <c r="BC183" s="68"/>
      <c r="BD183" s="68"/>
      <c r="BE183" s="68"/>
      <c r="BF183" s="68"/>
      <c r="BG183" s="68"/>
      <c r="BH183" s="68"/>
      <c r="BI183" s="68"/>
    </row>
    <row r="184" spans="2:61">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68"/>
      <c r="AO184" s="68"/>
      <c r="AP184" s="68"/>
      <c r="AQ184" s="68"/>
      <c r="AR184" s="68"/>
      <c r="AS184" s="68"/>
      <c r="AT184" s="68"/>
      <c r="AU184" s="68"/>
      <c r="AV184" s="68"/>
      <c r="AW184" s="68"/>
      <c r="AX184" s="68"/>
      <c r="AY184" s="68"/>
      <c r="AZ184" s="68"/>
      <c r="BA184" s="68"/>
      <c r="BB184" s="68"/>
      <c r="BC184" s="68"/>
      <c r="BD184" s="68"/>
      <c r="BE184" s="68"/>
      <c r="BF184" s="68"/>
      <c r="BG184" s="68"/>
      <c r="BH184" s="68"/>
      <c r="BI184" s="68"/>
    </row>
    <row r="185" spans="2:61">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68"/>
      <c r="AO185" s="68"/>
      <c r="AP185" s="68"/>
      <c r="AQ185" s="68"/>
      <c r="AR185" s="68"/>
      <c r="AS185" s="68"/>
      <c r="AT185" s="68"/>
      <c r="AU185" s="68"/>
      <c r="AV185" s="68"/>
      <c r="AW185" s="68"/>
      <c r="AX185" s="68"/>
      <c r="AY185" s="68"/>
      <c r="AZ185" s="68"/>
      <c r="BA185" s="68"/>
      <c r="BB185" s="68"/>
      <c r="BC185" s="68"/>
      <c r="BD185" s="68"/>
      <c r="BE185" s="68"/>
      <c r="BF185" s="68"/>
      <c r="BG185" s="68"/>
      <c r="BH185" s="68"/>
      <c r="BI185" s="68"/>
    </row>
    <row r="186" spans="2:61">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row>
    <row r="187" spans="2:61">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68"/>
      <c r="AO187" s="68"/>
      <c r="AP187" s="68"/>
      <c r="AQ187" s="68"/>
      <c r="AR187" s="68"/>
      <c r="AS187" s="68"/>
      <c r="AT187" s="68"/>
      <c r="AU187" s="68"/>
      <c r="AV187" s="68"/>
      <c r="AW187" s="68"/>
      <c r="AX187" s="68"/>
      <c r="AY187" s="68"/>
      <c r="AZ187" s="68"/>
      <c r="BA187" s="68"/>
      <c r="BB187" s="68"/>
      <c r="BC187" s="68"/>
      <c r="BD187" s="68"/>
      <c r="BE187" s="68"/>
      <c r="BF187" s="68"/>
      <c r="BG187" s="68"/>
      <c r="BH187" s="68"/>
      <c r="BI187" s="68"/>
    </row>
    <row r="188" spans="2:61">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68"/>
      <c r="AO188" s="68"/>
      <c r="AP188" s="68"/>
      <c r="AQ188" s="68"/>
      <c r="AR188" s="68"/>
      <c r="AS188" s="68"/>
      <c r="AT188" s="68"/>
      <c r="AU188" s="68"/>
      <c r="AV188" s="68"/>
      <c r="AW188" s="68"/>
      <c r="AX188" s="68"/>
      <c r="AY188" s="68"/>
      <c r="AZ188" s="68"/>
      <c r="BA188" s="68"/>
      <c r="BB188" s="68"/>
      <c r="BC188" s="68"/>
      <c r="BD188" s="68"/>
      <c r="BE188" s="68"/>
      <c r="BF188" s="68"/>
      <c r="BG188" s="68"/>
      <c r="BH188" s="68"/>
      <c r="BI188" s="68"/>
    </row>
    <row r="189" spans="2:61">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c r="BI189" s="68"/>
    </row>
    <row r="190" spans="2:61">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68"/>
      <c r="AO190" s="68"/>
      <c r="AP190" s="68"/>
      <c r="AQ190" s="68"/>
      <c r="AR190" s="68"/>
      <c r="AS190" s="68"/>
      <c r="AT190" s="68"/>
      <c r="AU190" s="68"/>
      <c r="AV190" s="68"/>
      <c r="AW190" s="68"/>
      <c r="AX190" s="68"/>
      <c r="AY190" s="68"/>
      <c r="AZ190" s="68"/>
      <c r="BA190" s="68"/>
      <c r="BB190" s="68"/>
      <c r="BC190" s="68"/>
      <c r="BD190" s="68"/>
      <c r="BE190" s="68"/>
      <c r="BF190" s="68"/>
      <c r="BG190" s="68"/>
      <c r="BH190" s="68"/>
      <c r="BI190" s="68"/>
    </row>
    <row r="191" spans="2:61">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row>
    <row r="192" spans="2:61">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68"/>
      <c r="AO192" s="68"/>
      <c r="AP192" s="68"/>
      <c r="AQ192" s="68"/>
      <c r="AR192" s="68"/>
      <c r="AS192" s="68"/>
      <c r="AT192" s="68"/>
      <c r="AU192" s="68"/>
      <c r="AV192" s="68"/>
      <c r="AW192" s="68"/>
      <c r="AX192" s="68"/>
      <c r="AY192" s="68"/>
      <c r="AZ192" s="68"/>
      <c r="BA192" s="68"/>
      <c r="BB192" s="68"/>
      <c r="BC192" s="68"/>
      <c r="BD192" s="68"/>
      <c r="BE192" s="68"/>
      <c r="BF192" s="68"/>
      <c r="BG192" s="68"/>
      <c r="BH192" s="68"/>
      <c r="BI192" s="68"/>
    </row>
    <row r="193" spans="2:61">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68"/>
      <c r="AO193" s="68"/>
      <c r="AP193" s="68"/>
      <c r="AQ193" s="68"/>
      <c r="AR193" s="68"/>
      <c r="AS193" s="68"/>
      <c r="AT193" s="68"/>
      <c r="AU193" s="68"/>
      <c r="AV193" s="68"/>
      <c r="AW193" s="68"/>
      <c r="AX193" s="68"/>
      <c r="AY193" s="68"/>
      <c r="AZ193" s="68"/>
      <c r="BA193" s="68"/>
      <c r="BB193" s="68"/>
      <c r="BC193" s="68"/>
      <c r="BD193" s="68"/>
      <c r="BE193" s="68"/>
      <c r="BF193" s="68"/>
      <c r="BG193" s="68"/>
      <c r="BH193" s="68"/>
      <c r="BI193" s="68"/>
    </row>
    <row r="194" spans="2:61">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68"/>
      <c r="AW194" s="68"/>
      <c r="AX194" s="68"/>
      <c r="AY194" s="68"/>
      <c r="AZ194" s="68"/>
      <c r="BA194" s="68"/>
      <c r="BB194" s="68"/>
      <c r="BC194" s="68"/>
      <c r="BD194" s="68"/>
      <c r="BE194" s="68"/>
      <c r="BF194" s="68"/>
      <c r="BG194" s="68"/>
      <c r="BH194" s="68"/>
      <c r="BI194" s="68"/>
    </row>
    <row r="195" spans="2:61">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68"/>
      <c r="AO195" s="68"/>
      <c r="AP195" s="68"/>
      <c r="AQ195" s="68"/>
      <c r="AR195" s="68"/>
      <c r="AS195" s="68"/>
      <c r="AT195" s="68"/>
      <c r="AU195" s="68"/>
      <c r="AV195" s="68"/>
      <c r="AW195" s="68"/>
      <c r="AX195" s="68"/>
      <c r="AY195" s="68"/>
      <c r="AZ195" s="68"/>
      <c r="BA195" s="68"/>
      <c r="BB195" s="68"/>
      <c r="BC195" s="68"/>
      <c r="BD195" s="68"/>
      <c r="BE195" s="68"/>
      <c r="BF195" s="68"/>
      <c r="BG195" s="68"/>
      <c r="BH195" s="68"/>
      <c r="BI195" s="68"/>
    </row>
    <row r="196" spans="2:61">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c r="AU196" s="68"/>
      <c r="AV196" s="68"/>
      <c r="AW196" s="68"/>
      <c r="AX196" s="68"/>
      <c r="AY196" s="68"/>
      <c r="AZ196" s="68"/>
      <c r="BA196" s="68"/>
      <c r="BB196" s="68"/>
      <c r="BC196" s="68"/>
      <c r="BD196" s="68"/>
      <c r="BE196" s="68"/>
      <c r="BF196" s="68"/>
      <c r="BG196" s="68"/>
      <c r="BH196" s="68"/>
      <c r="BI196" s="68"/>
    </row>
    <row r="197" spans="2:61">
      <c r="B197" s="68"/>
      <c r="K197" s="68"/>
      <c r="L197" s="68"/>
      <c r="M197" s="68"/>
      <c r="N197" s="68"/>
      <c r="O197" s="68"/>
      <c r="P197" s="68"/>
      <c r="Q197" s="68"/>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68"/>
      <c r="AO197" s="68"/>
      <c r="AP197" s="68"/>
      <c r="AQ197" s="68"/>
      <c r="AR197" s="68"/>
      <c r="AS197" s="68"/>
      <c r="AT197" s="68"/>
      <c r="AU197" s="68"/>
      <c r="AV197" s="68"/>
      <c r="AW197" s="68"/>
      <c r="AX197" s="68"/>
      <c r="AY197" s="68"/>
      <c r="AZ197" s="68"/>
      <c r="BA197" s="68"/>
      <c r="BB197" s="68"/>
      <c r="BC197" s="68"/>
      <c r="BD197" s="68"/>
      <c r="BE197" s="68"/>
      <c r="BF197" s="68"/>
      <c r="BG197" s="68"/>
      <c r="BH197" s="68"/>
      <c r="BI197" s="68"/>
    </row>
    <row r="198" spans="2:61">
      <c r="B198" s="68"/>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c r="AU198" s="68"/>
      <c r="AV198" s="68"/>
      <c r="AW198" s="68"/>
      <c r="AX198" s="68"/>
      <c r="AY198" s="68"/>
      <c r="AZ198" s="68"/>
      <c r="BA198" s="68"/>
      <c r="BB198" s="68"/>
      <c r="BC198" s="68"/>
      <c r="BD198" s="68"/>
      <c r="BE198" s="68"/>
      <c r="BF198" s="68"/>
      <c r="BG198" s="68"/>
      <c r="BH198" s="68"/>
      <c r="BI198" s="68"/>
    </row>
    <row r="199" spans="2:61">
      <c r="B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68"/>
      <c r="AW199" s="68"/>
      <c r="AX199" s="68"/>
      <c r="AY199" s="68"/>
      <c r="AZ199" s="68"/>
      <c r="BA199" s="68"/>
      <c r="BB199" s="68"/>
      <c r="BC199" s="68"/>
      <c r="BD199" s="68"/>
      <c r="BE199" s="68"/>
      <c r="BF199" s="68"/>
      <c r="BG199" s="68"/>
      <c r="BH199" s="68"/>
      <c r="BI199" s="68"/>
    </row>
    <row r="200" spans="2:61">
      <c r="B200" s="68"/>
      <c r="K200" s="68"/>
      <c r="L200" s="68"/>
      <c r="M200" s="68"/>
      <c r="N200" s="68"/>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68"/>
      <c r="AO200" s="68"/>
      <c r="AP200" s="68"/>
      <c r="AQ200" s="68"/>
      <c r="AR200" s="68"/>
      <c r="AS200" s="68"/>
      <c r="AT200" s="68"/>
      <c r="AU200" s="68"/>
      <c r="AV200" s="68"/>
      <c r="AW200" s="68"/>
      <c r="AX200" s="68"/>
      <c r="AY200" s="68"/>
      <c r="AZ200" s="68"/>
      <c r="BA200" s="68"/>
      <c r="BB200" s="68"/>
      <c r="BC200" s="68"/>
      <c r="BD200" s="68"/>
      <c r="BE200" s="68"/>
      <c r="BF200" s="68"/>
      <c r="BG200" s="68"/>
      <c r="BH200" s="68"/>
      <c r="BI200" s="68"/>
    </row>
    <row r="201" spans="2:61">
      <c r="B201" s="68"/>
      <c r="K201" s="68"/>
      <c r="L201" s="68"/>
      <c r="M201" s="68"/>
      <c r="N201" s="68"/>
      <c r="O201" s="68"/>
      <c r="P201" s="68"/>
      <c r="Q201" s="68"/>
      <c r="R201" s="68"/>
      <c r="S201" s="68"/>
      <c r="T201" s="68"/>
      <c r="U201" s="68"/>
      <c r="V201" s="68"/>
      <c r="W201" s="68"/>
      <c r="X201" s="68"/>
      <c r="Y201" s="68"/>
      <c r="Z201" s="68"/>
      <c r="AA201" s="68"/>
      <c r="AB201" s="68"/>
      <c r="AC201" s="68"/>
      <c r="AD201" s="68"/>
      <c r="AE201" s="68"/>
      <c r="AF201" s="68"/>
      <c r="AG201" s="68"/>
      <c r="AH201" s="68"/>
      <c r="AI201" s="68"/>
      <c r="AJ201" s="68"/>
      <c r="AK201" s="68"/>
      <c r="AL201" s="68"/>
      <c r="AM201" s="68"/>
      <c r="AN201" s="68"/>
      <c r="AO201" s="68"/>
      <c r="AP201" s="68"/>
      <c r="AQ201" s="68"/>
      <c r="AR201" s="68"/>
      <c r="AS201" s="68"/>
      <c r="AT201" s="68"/>
      <c r="AU201" s="68"/>
      <c r="AV201" s="68"/>
      <c r="AW201" s="68"/>
      <c r="AX201" s="68"/>
      <c r="AY201" s="68"/>
      <c r="AZ201" s="68"/>
      <c r="BA201" s="68"/>
      <c r="BB201" s="68"/>
      <c r="BC201" s="68"/>
      <c r="BD201" s="68"/>
      <c r="BE201" s="68"/>
      <c r="BF201" s="68"/>
      <c r="BG201" s="68"/>
      <c r="BH201" s="68"/>
      <c r="BI201" s="68"/>
    </row>
    <row r="202" spans="2:61">
      <c r="B202" s="68"/>
      <c r="K202" s="68"/>
      <c r="L202" s="68"/>
      <c r="M202" s="68"/>
      <c r="N202" s="68"/>
      <c r="O202" s="68"/>
      <c r="P202" s="68"/>
      <c r="Q202" s="68"/>
      <c r="R202" s="68"/>
      <c r="S202" s="68"/>
      <c r="T202" s="68"/>
      <c r="U202" s="68"/>
      <c r="V202" s="68"/>
      <c r="W202" s="68"/>
      <c r="X202" s="68"/>
      <c r="Y202" s="68"/>
      <c r="Z202" s="68"/>
      <c r="AA202" s="68"/>
      <c r="AB202" s="68"/>
      <c r="AC202" s="68"/>
      <c r="AD202" s="68"/>
      <c r="AE202" s="68"/>
      <c r="AF202" s="68"/>
      <c r="AG202" s="68"/>
      <c r="AH202" s="68"/>
      <c r="AI202" s="68"/>
      <c r="AJ202" s="68"/>
      <c r="AK202" s="68"/>
      <c r="AL202" s="68"/>
      <c r="AM202" s="68"/>
      <c r="AN202" s="68"/>
      <c r="AO202" s="68"/>
      <c r="AP202" s="68"/>
      <c r="AQ202" s="68"/>
      <c r="AR202" s="68"/>
      <c r="AS202" s="68"/>
      <c r="AT202" s="68"/>
      <c r="AU202" s="68"/>
      <c r="AV202" s="68"/>
      <c r="AW202" s="68"/>
      <c r="AX202" s="68"/>
      <c r="AY202" s="68"/>
      <c r="AZ202" s="68"/>
      <c r="BA202" s="68"/>
      <c r="BB202" s="68"/>
      <c r="BC202" s="68"/>
      <c r="BD202" s="68"/>
      <c r="BE202" s="68"/>
      <c r="BF202" s="68"/>
      <c r="BG202" s="68"/>
      <c r="BH202" s="68"/>
      <c r="BI202" s="68"/>
    </row>
    <row r="203" spans="2:61">
      <c r="B203" s="68"/>
      <c r="K203" s="68"/>
      <c r="L203" s="68"/>
      <c r="M203" s="68"/>
      <c r="N203" s="68"/>
      <c r="O203" s="68"/>
      <c r="P203" s="68"/>
      <c r="Q203" s="68"/>
      <c r="R203" s="68"/>
      <c r="S203" s="68"/>
      <c r="T203" s="68"/>
      <c r="U203" s="68"/>
      <c r="V203" s="68"/>
      <c r="W203" s="68"/>
      <c r="X203" s="68"/>
      <c r="Y203" s="68"/>
      <c r="Z203" s="68"/>
      <c r="AA203" s="68"/>
      <c r="AB203" s="68"/>
      <c r="AC203" s="68"/>
      <c r="AD203" s="68"/>
      <c r="AE203" s="68"/>
      <c r="AF203" s="68"/>
      <c r="AG203" s="68"/>
      <c r="AH203" s="68"/>
      <c r="AI203" s="68"/>
      <c r="AJ203" s="68"/>
      <c r="AK203" s="68"/>
      <c r="AL203" s="68"/>
      <c r="AM203" s="68"/>
      <c r="AN203" s="68"/>
      <c r="AO203" s="68"/>
      <c r="AP203" s="68"/>
      <c r="AQ203" s="68"/>
      <c r="AR203" s="68"/>
      <c r="AS203" s="68"/>
      <c r="AT203" s="68"/>
      <c r="AU203" s="68"/>
      <c r="AV203" s="68"/>
      <c r="AW203" s="68"/>
      <c r="AX203" s="68"/>
      <c r="AY203" s="68"/>
      <c r="AZ203" s="68"/>
      <c r="BA203" s="68"/>
      <c r="BB203" s="68"/>
      <c r="BC203" s="68"/>
      <c r="BD203" s="68"/>
      <c r="BE203" s="68"/>
      <c r="BF203" s="68"/>
      <c r="BG203" s="68"/>
      <c r="BH203" s="68"/>
      <c r="BI203" s="68"/>
    </row>
    <row r="204" spans="2:61">
      <c r="B204" s="68"/>
      <c r="K204" s="68"/>
      <c r="L204" s="68"/>
      <c r="M204" s="68"/>
      <c r="N204" s="68"/>
      <c r="O204" s="68"/>
      <c r="P204" s="68"/>
      <c r="Q204" s="68"/>
      <c r="R204" s="68"/>
      <c r="S204" s="68"/>
      <c r="T204" s="68"/>
      <c r="U204" s="68"/>
      <c r="V204" s="68"/>
      <c r="W204" s="68"/>
      <c r="X204" s="68"/>
      <c r="Y204" s="68"/>
      <c r="Z204" s="68"/>
      <c r="AA204" s="68"/>
      <c r="AB204" s="68"/>
      <c r="AC204" s="68"/>
      <c r="AD204" s="68"/>
      <c r="AE204" s="68"/>
      <c r="AF204" s="68"/>
      <c r="AG204" s="68"/>
      <c r="AH204" s="68"/>
      <c r="AI204" s="68"/>
      <c r="AJ204" s="68"/>
      <c r="AK204" s="68"/>
      <c r="AL204" s="68"/>
      <c r="AM204" s="68"/>
      <c r="AN204" s="68"/>
      <c r="AO204" s="68"/>
      <c r="AP204" s="68"/>
      <c r="AQ204" s="68"/>
      <c r="AR204" s="68"/>
      <c r="AS204" s="68"/>
      <c r="AT204" s="68"/>
      <c r="AU204" s="68"/>
      <c r="AV204" s="68"/>
      <c r="AW204" s="68"/>
      <c r="AX204" s="68"/>
      <c r="AY204" s="68"/>
      <c r="AZ204" s="68"/>
      <c r="BA204" s="68"/>
      <c r="BB204" s="68"/>
      <c r="BC204" s="68"/>
      <c r="BD204" s="68"/>
      <c r="BE204" s="68"/>
      <c r="BF204" s="68"/>
      <c r="BG204" s="68"/>
      <c r="BH204" s="68"/>
      <c r="BI204" s="68"/>
    </row>
    <row r="205" spans="2:61">
      <c r="B205" s="68"/>
      <c r="K205" s="68"/>
      <c r="L205" s="68"/>
      <c r="M205" s="68"/>
      <c r="N205" s="68"/>
      <c r="O205" s="68"/>
      <c r="P205" s="68"/>
      <c r="Q205" s="68"/>
      <c r="R205" s="68"/>
      <c r="S205" s="68"/>
      <c r="T205" s="68"/>
      <c r="U205" s="68"/>
      <c r="V205" s="68"/>
      <c r="W205" s="68"/>
      <c r="X205" s="68"/>
      <c r="Y205" s="68"/>
      <c r="Z205" s="68"/>
      <c r="AA205" s="68"/>
      <c r="AB205" s="68"/>
      <c r="AC205" s="68"/>
      <c r="AD205" s="68"/>
      <c r="AE205" s="68"/>
      <c r="AF205" s="68"/>
      <c r="AG205" s="68"/>
      <c r="AH205" s="68"/>
      <c r="AI205" s="68"/>
      <c r="AJ205" s="68"/>
      <c r="AK205" s="68"/>
      <c r="AL205" s="68"/>
      <c r="AM205" s="68"/>
      <c r="AN205" s="68"/>
      <c r="AO205" s="68"/>
      <c r="AP205" s="68"/>
      <c r="AQ205" s="68"/>
      <c r="AR205" s="68"/>
      <c r="AS205" s="68"/>
      <c r="AT205" s="68"/>
      <c r="AU205" s="68"/>
      <c r="AV205" s="68"/>
      <c r="AW205" s="68"/>
      <c r="AX205" s="68"/>
      <c r="AY205" s="68"/>
      <c r="AZ205" s="68"/>
      <c r="BA205" s="68"/>
      <c r="BB205" s="68"/>
      <c r="BC205" s="68"/>
      <c r="BD205" s="68"/>
      <c r="BE205" s="68"/>
      <c r="BF205" s="68"/>
      <c r="BG205" s="68"/>
      <c r="BH205" s="68"/>
      <c r="BI205" s="68"/>
    </row>
    <row r="206" spans="2:61">
      <c r="B206" s="68"/>
      <c r="K206" s="68"/>
      <c r="L206" s="68"/>
      <c r="M206" s="68"/>
      <c r="N206" s="68"/>
      <c r="O206" s="68"/>
      <c r="P206" s="68"/>
      <c r="Q206" s="68"/>
      <c r="R206" s="68"/>
      <c r="S206" s="68"/>
      <c r="T206" s="68"/>
      <c r="U206" s="68"/>
      <c r="V206" s="68"/>
      <c r="W206" s="68"/>
      <c r="X206" s="68"/>
      <c r="Y206" s="68"/>
      <c r="Z206" s="68"/>
      <c r="AA206" s="68"/>
      <c r="AB206" s="68"/>
      <c r="AC206" s="68"/>
      <c r="AD206" s="68"/>
      <c r="AE206" s="68"/>
      <c r="AF206" s="68"/>
      <c r="AG206" s="68"/>
      <c r="AH206" s="68"/>
      <c r="AI206" s="68"/>
      <c r="AJ206" s="68"/>
      <c r="AK206" s="68"/>
      <c r="AL206" s="68"/>
      <c r="AM206" s="68"/>
      <c r="AN206" s="68"/>
      <c r="AO206" s="68"/>
      <c r="AP206" s="68"/>
      <c r="AQ206" s="68"/>
      <c r="AR206" s="68"/>
      <c r="AS206" s="68"/>
      <c r="AT206" s="68"/>
      <c r="AU206" s="68"/>
      <c r="AV206" s="68"/>
      <c r="AW206" s="68"/>
      <c r="AX206" s="68"/>
      <c r="AY206" s="68"/>
      <c r="AZ206" s="68"/>
      <c r="BA206" s="68"/>
      <c r="BB206" s="68"/>
      <c r="BC206" s="68"/>
      <c r="BD206" s="68"/>
      <c r="BE206" s="68"/>
      <c r="BF206" s="68"/>
      <c r="BG206" s="68"/>
      <c r="BH206" s="68"/>
      <c r="BI206" s="68"/>
    </row>
    <row r="207" spans="2:61">
      <c r="B207" s="68"/>
      <c r="K207" s="68"/>
      <c r="L207" s="68"/>
      <c r="M207" s="68"/>
      <c r="N207" s="68"/>
      <c r="O207" s="68"/>
      <c r="P207" s="68"/>
      <c r="Q207" s="68"/>
      <c r="R207" s="68"/>
      <c r="S207" s="68"/>
      <c r="T207" s="68"/>
      <c r="U207" s="68"/>
      <c r="V207" s="68"/>
      <c r="W207" s="68"/>
      <c r="X207" s="68"/>
      <c r="Y207" s="68"/>
      <c r="Z207" s="68"/>
      <c r="AA207" s="68"/>
      <c r="AB207" s="68"/>
      <c r="AC207" s="68"/>
      <c r="AD207" s="68"/>
      <c r="AE207" s="68"/>
      <c r="AF207" s="68"/>
      <c r="AG207" s="68"/>
      <c r="AH207" s="68"/>
      <c r="AI207" s="68"/>
      <c r="AJ207" s="68"/>
      <c r="AK207" s="68"/>
      <c r="AL207" s="68"/>
      <c r="AM207" s="68"/>
      <c r="AN207" s="68"/>
      <c r="AO207" s="68"/>
      <c r="AP207" s="68"/>
      <c r="AQ207" s="68"/>
      <c r="AR207" s="68"/>
      <c r="AS207" s="68"/>
      <c r="AT207" s="68"/>
      <c r="AU207" s="68"/>
      <c r="AV207" s="68"/>
      <c r="AW207" s="68"/>
      <c r="AX207" s="68"/>
      <c r="AY207" s="68"/>
      <c r="AZ207" s="68"/>
      <c r="BA207" s="68"/>
      <c r="BB207" s="68"/>
      <c r="BC207" s="68"/>
      <c r="BD207" s="68"/>
      <c r="BE207" s="68"/>
      <c r="BF207" s="68"/>
      <c r="BG207" s="68"/>
      <c r="BH207" s="68"/>
      <c r="BI207" s="68"/>
    </row>
    <row r="208" spans="2:61">
      <c r="B208" s="68"/>
      <c r="K208" s="68"/>
      <c r="L208" s="68"/>
      <c r="M208" s="68"/>
      <c r="N208" s="68"/>
      <c r="O208" s="68"/>
      <c r="P208" s="68"/>
      <c r="Q208" s="68"/>
      <c r="R208" s="68"/>
      <c r="S208" s="68"/>
      <c r="T208" s="68"/>
      <c r="U208" s="68"/>
      <c r="V208" s="68"/>
      <c r="W208" s="68"/>
      <c r="X208" s="68"/>
      <c r="Y208" s="68"/>
      <c r="Z208" s="68"/>
      <c r="AA208" s="68"/>
      <c r="AB208" s="68"/>
      <c r="AC208" s="68"/>
      <c r="AD208" s="68"/>
      <c r="AE208" s="68"/>
      <c r="AF208" s="68"/>
      <c r="AG208" s="68"/>
      <c r="AH208" s="68"/>
      <c r="AI208" s="68"/>
      <c r="AJ208" s="68"/>
      <c r="AK208" s="68"/>
      <c r="AL208" s="68"/>
      <c r="AM208" s="68"/>
      <c r="AN208" s="68"/>
      <c r="AO208" s="68"/>
      <c r="AP208" s="68"/>
      <c r="AQ208" s="68"/>
      <c r="AR208" s="68"/>
      <c r="AS208" s="68"/>
      <c r="AT208" s="68"/>
      <c r="AU208" s="68"/>
      <c r="AV208" s="68"/>
      <c r="AW208" s="68"/>
      <c r="AX208" s="68"/>
      <c r="AY208" s="68"/>
      <c r="AZ208" s="68"/>
      <c r="BA208" s="68"/>
      <c r="BB208" s="68"/>
      <c r="BC208" s="68"/>
      <c r="BD208" s="68"/>
      <c r="BE208" s="68"/>
      <c r="BF208" s="68"/>
      <c r="BG208" s="68"/>
      <c r="BH208" s="68"/>
      <c r="BI208" s="68"/>
    </row>
    <row r="209" spans="2:61">
      <c r="B209" s="68"/>
      <c r="K209" s="68"/>
      <c r="L209" s="68"/>
      <c r="M209" s="68"/>
      <c r="N209" s="68"/>
      <c r="O209" s="68"/>
      <c r="P209" s="68"/>
      <c r="Q209" s="68"/>
      <c r="R209" s="68"/>
      <c r="S209" s="68"/>
      <c r="T209" s="68"/>
      <c r="U209" s="68"/>
      <c r="V209" s="68"/>
      <c r="W209" s="68"/>
      <c r="X209" s="68"/>
      <c r="Y209" s="68"/>
      <c r="Z209" s="68"/>
      <c r="AA209" s="68"/>
      <c r="AB209" s="68"/>
      <c r="AC209" s="68"/>
      <c r="AD209" s="68"/>
      <c r="AE209" s="68"/>
      <c r="AF209" s="68"/>
      <c r="AG209" s="68"/>
      <c r="AH209" s="68"/>
      <c r="AI209" s="68"/>
      <c r="AJ209" s="68"/>
      <c r="AK209" s="68"/>
      <c r="AL209" s="68"/>
      <c r="AM209" s="68"/>
      <c r="AN209" s="68"/>
      <c r="AO209" s="68"/>
      <c r="AP209" s="68"/>
      <c r="AQ209" s="68"/>
      <c r="AR209" s="68"/>
      <c r="AS209" s="68"/>
      <c r="AT209" s="68"/>
      <c r="AU209" s="68"/>
      <c r="AV209" s="68"/>
      <c r="AW209" s="68"/>
      <c r="AX209" s="68"/>
      <c r="AY209" s="68"/>
      <c r="AZ209" s="68"/>
      <c r="BA209" s="68"/>
      <c r="BB209" s="68"/>
      <c r="BC209" s="68"/>
      <c r="BD209" s="68"/>
      <c r="BE209" s="68"/>
      <c r="BF209" s="68"/>
      <c r="BG209" s="68"/>
      <c r="BH209" s="68"/>
      <c r="BI209" s="68"/>
    </row>
    <row r="210" spans="2:61">
      <c r="B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row>
    <row r="211" spans="2:61">
      <c r="B211" s="68"/>
      <c r="K211" s="68"/>
      <c r="L211" s="68"/>
      <c r="M211" s="68"/>
      <c r="N211" s="68"/>
      <c r="O211" s="68"/>
      <c r="P211" s="68"/>
      <c r="Q211" s="68"/>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c r="BI211" s="68"/>
    </row>
    <row r="212" spans="2:61">
      <c r="B212" s="68"/>
      <c r="K212" s="68"/>
      <c r="L212" s="68"/>
      <c r="M212" s="68"/>
      <c r="N212" s="68"/>
      <c r="O212" s="68"/>
      <c r="P212" s="68"/>
      <c r="Q212" s="68"/>
      <c r="R212" s="68"/>
      <c r="S212" s="68"/>
      <c r="T212" s="68"/>
      <c r="U212" s="68"/>
      <c r="V212" s="68"/>
      <c r="W212" s="68"/>
      <c r="X212" s="68"/>
      <c r="Y212" s="68"/>
      <c r="Z212" s="68"/>
      <c r="AA212" s="68"/>
      <c r="AB212" s="68"/>
      <c r="AC212" s="68"/>
      <c r="AD212" s="68"/>
      <c r="AE212" s="68"/>
      <c r="AF212" s="68"/>
      <c r="AG212" s="68"/>
      <c r="AH212" s="68"/>
      <c r="AI212" s="68"/>
      <c r="AJ212" s="68"/>
      <c r="AK212" s="68"/>
      <c r="AL212" s="68"/>
      <c r="AM212" s="68"/>
      <c r="AN212" s="68"/>
      <c r="AO212" s="68"/>
      <c r="AP212" s="68"/>
      <c r="AQ212" s="68"/>
      <c r="AR212" s="68"/>
      <c r="AS212" s="68"/>
      <c r="AT212" s="68"/>
      <c r="AU212" s="68"/>
      <c r="AV212" s="68"/>
      <c r="AW212" s="68"/>
      <c r="AX212" s="68"/>
      <c r="AY212" s="68"/>
      <c r="AZ212" s="68"/>
      <c r="BA212" s="68"/>
      <c r="BB212" s="68"/>
      <c r="BC212" s="68"/>
      <c r="BD212" s="68"/>
      <c r="BE212" s="68"/>
      <c r="BF212" s="68"/>
      <c r="BG212" s="68"/>
      <c r="BH212" s="68"/>
      <c r="BI212" s="68"/>
    </row>
    <row r="213" spans="2:61">
      <c r="B213" s="68"/>
      <c r="K213" s="68"/>
      <c r="L213" s="68"/>
      <c r="M213" s="68"/>
      <c r="N213" s="68"/>
      <c r="O213" s="68"/>
      <c r="P213" s="68"/>
      <c r="Q213" s="68"/>
      <c r="R213" s="68"/>
      <c r="S213" s="68"/>
      <c r="T213" s="68"/>
      <c r="U213" s="68"/>
      <c r="V213" s="68"/>
      <c r="W213" s="68"/>
      <c r="X213" s="68"/>
      <c r="Y213" s="68"/>
      <c r="Z213" s="68"/>
      <c r="AA213" s="68"/>
      <c r="AB213" s="68"/>
      <c r="AC213" s="68"/>
      <c r="AD213" s="68"/>
      <c r="AE213" s="68"/>
      <c r="AF213" s="68"/>
      <c r="AG213" s="68"/>
      <c r="AH213" s="68"/>
      <c r="AI213" s="68"/>
      <c r="AJ213" s="68"/>
      <c r="AK213" s="68"/>
      <c r="AL213" s="68"/>
      <c r="AM213" s="68"/>
      <c r="AN213" s="68"/>
      <c r="AO213" s="68"/>
      <c r="AP213" s="68"/>
      <c r="AQ213" s="68"/>
      <c r="AR213" s="68"/>
      <c r="AS213" s="68"/>
      <c r="AT213" s="68"/>
      <c r="AU213" s="68"/>
      <c r="AV213" s="68"/>
      <c r="AW213" s="68"/>
      <c r="AX213" s="68"/>
      <c r="AY213" s="68"/>
      <c r="AZ213" s="68"/>
      <c r="BA213" s="68"/>
      <c r="BB213" s="68"/>
      <c r="BC213" s="68"/>
      <c r="BD213" s="68"/>
      <c r="BE213" s="68"/>
      <c r="BF213" s="68"/>
      <c r="BG213" s="68"/>
      <c r="BH213" s="68"/>
      <c r="BI213" s="68"/>
    </row>
    <row r="214" spans="2:61">
      <c r="B214" s="68"/>
      <c r="K214" s="68"/>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c r="BI214" s="68"/>
    </row>
    <row r="215" spans="2:61">
      <c r="B215" s="68"/>
      <c r="K215" s="68"/>
      <c r="L215" s="68"/>
      <c r="M215" s="68"/>
      <c r="N215" s="68"/>
      <c r="O215" s="68"/>
      <c r="P215" s="68"/>
      <c r="Q215" s="68"/>
      <c r="R215" s="68"/>
      <c r="S215" s="68"/>
      <c r="T215" s="68"/>
      <c r="U215" s="68"/>
      <c r="V215" s="68"/>
      <c r="W215" s="68"/>
      <c r="X215" s="68"/>
      <c r="Y215" s="68"/>
      <c r="Z215" s="68"/>
      <c r="AA215" s="68"/>
      <c r="AB215" s="68"/>
      <c r="AC215" s="68"/>
      <c r="AD215" s="68"/>
      <c r="AE215" s="68"/>
      <c r="AF215" s="68"/>
      <c r="AG215" s="68"/>
      <c r="AH215" s="68"/>
      <c r="AI215" s="68"/>
      <c r="AJ215" s="68"/>
      <c r="AK215" s="68"/>
      <c r="AL215" s="68"/>
      <c r="AM215" s="68"/>
      <c r="AN215" s="68"/>
      <c r="AO215" s="68"/>
      <c r="AP215" s="68"/>
      <c r="AQ215" s="68"/>
      <c r="AR215" s="68"/>
      <c r="AS215" s="68"/>
      <c r="AT215" s="68"/>
      <c r="AU215" s="68"/>
      <c r="AV215" s="68"/>
      <c r="AW215" s="68"/>
      <c r="AX215" s="68"/>
      <c r="AY215" s="68"/>
      <c r="AZ215" s="68"/>
      <c r="BA215" s="68"/>
      <c r="BB215" s="68"/>
      <c r="BC215" s="68"/>
      <c r="BD215" s="68"/>
      <c r="BE215" s="68"/>
      <c r="BF215" s="68"/>
      <c r="BG215" s="68"/>
      <c r="BH215" s="68"/>
      <c r="BI215" s="68"/>
    </row>
    <row r="216" spans="2:61">
      <c r="B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c r="BI216" s="68"/>
    </row>
    <row r="217" spans="2:61">
      <c r="B217" s="68"/>
      <c r="K217" s="68"/>
      <c r="L217" s="68"/>
      <c r="M217" s="68"/>
      <c r="N217" s="68"/>
      <c r="O217" s="68"/>
      <c r="P217" s="68"/>
      <c r="Q217" s="68"/>
      <c r="R217" s="68"/>
      <c r="S217" s="68"/>
      <c r="T217" s="68"/>
      <c r="U217" s="68"/>
      <c r="V217" s="68"/>
      <c r="W217" s="68"/>
      <c r="X217" s="68"/>
      <c r="Y217" s="68"/>
      <c r="Z217" s="68"/>
      <c r="AA217" s="68"/>
      <c r="AB217" s="68"/>
      <c r="AC217" s="68"/>
      <c r="AD217" s="68"/>
      <c r="AE217" s="68"/>
      <c r="AF217" s="68"/>
      <c r="AG217" s="68"/>
      <c r="AH217" s="68"/>
      <c r="AI217" s="68"/>
      <c r="AJ217" s="68"/>
      <c r="AK217" s="68"/>
      <c r="AL217" s="68"/>
      <c r="AM217" s="68"/>
      <c r="AN217" s="68"/>
      <c r="AO217" s="68"/>
      <c r="AP217" s="68"/>
      <c r="AQ217" s="68"/>
      <c r="AR217" s="68"/>
      <c r="AS217" s="68"/>
      <c r="AT217" s="68"/>
      <c r="AU217" s="68"/>
      <c r="AV217" s="68"/>
      <c r="AW217" s="68"/>
      <c r="AX217" s="68"/>
      <c r="AY217" s="68"/>
      <c r="AZ217" s="68"/>
      <c r="BA217" s="68"/>
      <c r="BB217" s="68"/>
      <c r="BC217" s="68"/>
      <c r="BD217" s="68"/>
      <c r="BE217" s="68"/>
      <c r="BF217" s="68"/>
      <c r="BG217" s="68"/>
      <c r="BH217" s="68"/>
      <c r="BI217" s="68"/>
    </row>
    <row r="218" spans="2:61">
      <c r="B218" s="68"/>
      <c r="K218" s="68"/>
      <c r="L218" s="68"/>
      <c r="M218" s="68"/>
      <c r="N218" s="68"/>
      <c r="O218" s="68"/>
      <c r="P218" s="68"/>
      <c r="Q218" s="68"/>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c r="BI218" s="68"/>
    </row>
    <row r="219" spans="2:61">
      <c r="B219" s="68"/>
      <c r="K219" s="68"/>
      <c r="L219" s="68"/>
      <c r="M219" s="68"/>
      <c r="N219" s="68"/>
      <c r="O219" s="68"/>
      <c r="P219" s="68"/>
      <c r="Q219" s="68"/>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c r="BI219" s="68"/>
    </row>
    <row r="220" spans="2:61">
      <c r="B220" s="68"/>
      <c r="K220" s="68"/>
      <c r="L220" s="68"/>
      <c r="M220" s="68"/>
      <c r="N220" s="68"/>
      <c r="O220" s="68"/>
      <c r="P220" s="68"/>
      <c r="Q220" s="68"/>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68"/>
      <c r="AO220" s="68"/>
      <c r="AP220" s="68"/>
      <c r="AQ220" s="68"/>
      <c r="AR220" s="68"/>
      <c r="AS220" s="68"/>
      <c r="AT220" s="68"/>
      <c r="AU220" s="68"/>
      <c r="AV220" s="68"/>
      <c r="AW220" s="68"/>
      <c r="AX220" s="68"/>
      <c r="AY220" s="68"/>
      <c r="AZ220" s="68"/>
      <c r="BA220" s="68"/>
      <c r="BB220" s="68"/>
      <c r="BC220" s="68"/>
      <c r="BD220" s="68"/>
      <c r="BE220" s="68"/>
      <c r="BF220" s="68"/>
      <c r="BG220" s="68"/>
      <c r="BH220" s="68"/>
      <c r="BI220" s="68"/>
    </row>
    <row r="221" spans="2:61">
      <c r="B221" s="68"/>
      <c r="K221" s="68"/>
      <c r="L221" s="68"/>
      <c r="M221" s="68"/>
      <c r="N221" s="68"/>
      <c r="O221" s="68"/>
      <c r="P221" s="68"/>
      <c r="Q221" s="68"/>
      <c r="R221" s="68"/>
      <c r="S221" s="68"/>
      <c r="T221" s="68"/>
      <c r="U221" s="68"/>
      <c r="V221" s="68"/>
      <c r="W221" s="68"/>
      <c r="X221" s="68"/>
      <c r="Y221" s="68"/>
      <c r="Z221" s="68"/>
      <c r="AA221" s="68"/>
      <c r="AB221" s="68"/>
      <c r="AC221" s="68"/>
      <c r="AD221" s="68"/>
      <c r="AE221" s="68"/>
      <c r="AF221" s="68"/>
      <c r="AG221" s="68"/>
      <c r="AH221" s="68"/>
      <c r="AI221" s="68"/>
      <c r="AJ221" s="68"/>
      <c r="AK221" s="68"/>
      <c r="AL221" s="68"/>
      <c r="AM221" s="68"/>
      <c r="AN221" s="68"/>
      <c r="AO221" s="68"/>
      <c r="AP221" s="68"/>
      <c r="AQ221" s="68"/>
      <c r="AR221" s="68"/>
      <c r="AS221" s="68"/>
      <c r="AT221" s="68"/>
      <c r="AU221" s="68"/>
      <c r="AV221" s="68"/>
      <c r="AW221" s="68"/>
      <c r="AX221" s="68"/>
      <c r="AY221" s="68"/>
      <c r="AZ221" s="68"/>
      <c r="BA221" s="68"/>
      <c r="BB221" s="68"/>
      <c r="BC221" s="68"/>
      <c r="BD221" s="68"/>
      <c r="BE221" s="68"/>
      <c r="BF221" s="68"/>
      <c r="BG221" s="68"/>
      <c r="BH221" s="68"/>
      <c r="BI221" s="68"/>
    </row>
    <row r="222" spans="2:61">
      <c r="B222" s="68"/>
      <c r="K222" s="68"/>
      <c r="L222" s="68"/>
      <c r="M222" s="68"/>
      <c r="N222" s="68"/>
      <c r="O222" s="68"/>
      <c r="P222" s="68"/>
      <c r="Q222" s="68"/>
      <c r="R222" s="68"/>
      <c r="S222" s="68"/>
      <c r="T222" s="68"/>
      <c r="U222" s="68"/>
      <c r="V222" s="68"/>
      <c r="W222" s="68"/>
      <c r="X222" s="68"/>
      <c r="Y222" s="68"/>
      <c r="Z222" s="68"/>
      <c r="AA222" s="68"/>
      <c r="AB222" s="68"/>
      <c r="AC222" s="68"/>
      <c r="AD222" s="68"/>
      <c r="AE222" s="68"/>
      <c r="AF222" s="68"/>
      <c r="AG222" s="68"/>
      <c r="AH222" s="68"/>
      <c r="AI222" s="68"/>
      <c r="AJ222" s="68"/>
      <c r="AK222" s="68"/>
      <c r="AL222" s="68"/>
      <c r="AM222" s="68"/>
      <c r="AN222" s="68"/>
      <c r="AO222" s="68"/>
      <c r="AP222" s="68"/>
      <c r="AQ222" s="68"/>
      <c r="AR222" s="68"/>
      <c r="AS222" s="68"/>
      <c r="AT222" s="68"/>
      <c r="AU222" s="68"/>
      <c r="AV222" s="68"/>
      <c r="AW222" s="68"/>
      <c r="AX222" s="68"/>
      <c r="AY222" s="68"/>
      <c r="AZ222" s="68"/>
      <c r="BA222" s="68"/>
      <c r="BB222" s="68"/>
      <c r="BC222" s="68"/>
      <c r="BD222" s="68"/>
      <c r="BE222" s="68"/>
      <c r="BF222" s="68"/>
      <c r="BG222" s="68"/>
      <c r="BH222" s="68"/>
      <c r="BI222" s="68"/>
    </row>
    <row r="223" spans="2:61">
      <c r="B223" s="68"/>
      <c r="K223" s="68"/>
      <c r="L223" s="68"/>
      <c r="M223" s="68"/>
      <c r="N223" s="68"/>
      <c r="O223" s="68"/>
      <c r="P223" s="68"/>
      <c r="Q223" s="68"/>
      <c r="R223" s="68"/>
      <c r="S223" s="68"/>
      <c r="T223" s="68"/>
      <c r="U223" s="68"/>
      <c r="V223" s="68"/>
      <c r="W223" s="68"/>
      <c r="X223" s="68"/>
      <c r="Y223" s="68"/>
      <c r="Z223" s="68"/>
      <c r="AA223" s="68"/>
      <c r="AB223" s="68"/>
      <c r="AC223" s="68"/>
      <c r="AD223" s="68"/>
      <c r="AE223" s="68"/>
      <c r="AF223" s="68"/>
      <c r="AG223" s="68"/>
      <c r="AH223" s="68"/>
      <c r="AI223" s="68"/>
      <c r="AJ223" s="68"/>
      <c r="AK223" s="68"/>
      <c r="AL223" s="68"/>
      <c r="AM223" s="68"/>
      <c r="AN223" s="68"/>
      <c r="AO223" s="68"/>
      <c r="AP223" s="68"/>
      <c r="AQ223" s="68"/>
      <c r="AR223" s="68"/>
      <c r="AS223" s="68"/>
      <c r="AT223" s="68"/>
      <c r="AU223" s="68"/>
      <c r="AV223" s="68"/>
      <c r="AW223" s="68"/>
      <c r="AX223" s="68"/>
      <c r="AY223" s="68"/>
      <c r="AZ223" s="68"/>
      <c r="BA223" s="68"/>
      <c r="BB223" s="68"/>
      <c r="BC223" s="68"/>
      <c r="BD223" s="68"/>
      <c r="BE223" s="68"/>
      <c r="BF223" s="68"/>
      <c r="BG223" s="68"/>
      <c r="BH223" s="68"/>
      <c r="BI223" s="68"/>
    </row>
    <row r="224" spans="2:61">
      <c r="B224" s="68"/>
      <c r="K224" s="68"/>
      <c r="L224" s="68"/>
      <c r="M224" s="68"/>
      <c r="N224" s="68"/>
      <c r="O224" s="68"/>
      <c r="P224" s="68"/>
      <c r="Q224" s="68"/>
      <c r="R224" s="68"/>
      <c r="S224" s="68"/>
      <c r="T224" s="68"/>
      <c r="U224" s="68"/>
      <c r="V224" s="68"/>
      <c r="W224" s="68"/>
      <c r="X224" s="68"/>
      <c r="Y224" s="68"/>
      <c r="Z224" s="68"/>
      <c r="AA224" s="68"/>
      <c r="AB224" s="68"/>
      <c r="AC224" s="68"/>
      <c r="AD224" s="68"/>
      <c r="AE224" s="68"/>
      <c r="AF224" s="68"/>
      <c r="AG224" s="68"/>
      <c r="AH224" s="68"/>
      <c r="AI224" s="68"/>
      <c r="AJ224" s="68"/>
      <c r="AK224" s="68"/>
      <c r="AL224" s="68"/>
      <c r="AM224" s="68"/>
      <c r="AN224" s="68"/>
      <c r="AO224" s="68"/>
      <c r="AP224" s="68"/>
      <c r="AQ224" s="68"/>
      <c r="AR224" s="68"/>
      <c r="AS224" s="68"/>
      <c r="AT224" s="68"/>
      <c r="AU224" s="68"/>
      <c r="AV224" s="68"/>
      <c r="AW224" s="68"/>
      <c r="AX224" s="68"/>
      <c r="AY224" s="68"/>
      <c r="AZ224" s="68"/>
      <c r="BA224" s="68"/>
      <c r="BB224" s="68"/>
      <c r="BC224" s="68"/>
      <c r="BD224" s="68"/>
      <c r="BE224" s="68"/>
      <c r="BF224" s="68"/>
      <c r="BG224" s="68"/>
      <c r="BH224" s="68"/>
      <c r="BI224" s="68"/>
    </row>
    <row r="225" spans="2:61">
      <c r="B225" s="68"/>
      <c r="K225" s="68"/>
      <c r="L225" s="68"/>
      <c r="M225" s="68"/>
      <c r="N225" s="68"/>
      <c r="O225" s="68"/>
      <c r="P225" s="68"/>
      <c r="Q225" s="68"/>
      <c r="R225" s="68"/>
      <c r="S225" s="68"/>
      <c r="T225" s="68"/>
      <c r="U225" s="68"/>
      <c r="V225" s="68"/>
      <c r="W225" s="68"/>
      <c r="X225" s="68"/>
      <c r="Y225" s="68"/>
      <c r="Z225" s="68"/>
      <c r="AA225" s="68"/>
      <c r="AB225" s="68"/>
      <c r="AC225" s="68"/>
      <c r="AD225" s="68"/>
      <c r="AE225" s="68"/>
      <c r="AF225" s="68"/>
      <c r="AG225" s="68"/>
      <c r="AH225" s="68"/>
      <c r="AI225" s="68"/>
      <c r="AJ225" s="68"/>
      <c r="AK225" s="68"/>
      <c r="AL225" s="68"/>
      <c r="AM225" s="68"/>
      <c r="AN225" s="68"/>
      <c r="AO225" s="68"/>
      <c r="AP225" s="68"/>
      <c r="AQ225" s="68"/>
      <c r="AR225" s="68"/>
      <c r="AS225" s="68"/>
      <c r="AT225" s="68"/>
      <c r="AU225" s="68"/>
      <c r="AV225" s="68"/>
      <c r="AW225" s="68"/>
      <c r="AX225" s="68"/>
      <c r="AY225" s="68"/>
      <c r="AZ225" s="68"/>
      <c r="BA225" s="68"/>
      <c r="BB225" s="68"/>
      <c r="BC225" s="68"/>
      <c r="BD225" s="68"/>
      <c r="BE225" s="68"/>
      <c r="BF225" s="68"/>
      <c r="BG225" s="68"/>
      <c r="BH225" s="68"/>
      <c r="BI225" s="68"/>
    </row>
    <row r="226" spans="2:61">
      <c r="B226" s="68"/>
      <c r="K226" s="68"/>
      <c r="L226" s="68"/>
      <c r="M226" s="68"/>
      <c r="N226" s="68"/>
      <c r="O226" s="68"/>
      <c r="P226" s="68"/>
      <c r="Q226" s="68"/>
      <c r="R226" s="68"/>
      <c r="S226" s="68"/>
      <c r="T226" s="68"/>
      <c r="U226" s="68"/>
      <c r="V226" s="68"/>
      <c r="W226" s="68"/>
      <c r="X226" s="68"/>
      <c r="Y226" s="68"/>
      <c r="Z226" s="68"/>
      <c r="AA226" s="68"/>
      <c r="AB226" s="68"/>
      <c r="AC226" s="68"/>
      <c r="AD226" s="68"/>
      <c r="AE226" s="68"/>
      <c r="AF226" s="68"/>
      <c r="AG226" s="68"/>
      <c r="AH226" s="68"/>
      <c r="AI226" s="68"/>
      <c r="AJ226" s="68"/>
      <c r="AK226" s="68"/>
      <c r="AL226" s="68"/>
      <c r="AM226" s="68"/>
      <c r="AN226" s="68"/>
      <c r="AO226" s="68"/>
      <c r="AP226" s="68"/>
      <c r="AQ226" s="68"/>
      <c r="AR226" s="68"/>
      <c r="AS226" s="68"/>
      <c r="AT226" s="68"/>
      <c r="AU226" s="68"/>
      <c r="AV226" s="68"/>
      <c r="AW226" s="68"/>
      <c r="AX226" s="68"/>
      <c r="AY226" s="68"/>
      <c r="AZ226" s="68"/>
      <c r="BA226" s="68"/>
      <c r="BB226" s="68"/>
      <c r="BC226" s="68"/>
      <c r="BD226" s="68"/>
      <c r="BE226" s="68"/>
      <c r="BF226" s="68"/>
      <c r="BG226" s="68"/>
      <c r="BH226" s="68"/>
      <c r="BI226" s="68"/>
    </row>
    <row r="227" spans="2:61">
      <c r="B227" s="68"/>
      <c r="K227" s="68"/>
      <c r="L227" s="68"/>
      <c r="M227" s="68"/>
      <c r="N227" s="68"/>
      <c r="O227" s="68"/>
      <c r="P227" s="68"/>
      <c r="Q227" s="68"/>
      <c r="R227" s="68"/>
      <c r="S227" s="68"/>
      <c r="T227" s="68"/>
      <c r="U227" s="68"/>
      <c r="V227" s="68"/>
      <c r="W227" s="68"/>
      <c r="X227" s="68"/>
      <c r="Y227" s="68"/>
      <c r="Z227" s="68"/>
      <c r="AA227" s="68"/>
      <c r="AB227" s="68"/>
      <c r="AC227" s="68"/>
      <c r="AD227" s="68"/>
      <c r="AE227" s="68"/>
      <c r="AF227" s="68"/>
      <c r="AG227" s="68"/>
      <c r="AH227" s="68"/>
      <c r="AI227" s="68"/>
      <c r="AJ227" s="68"/>
      <c r="AK227" s="68"/>
      <c r="AL227" s="68"/>
      <c r="AM227" s="68"/>
      <c r="AN227" s="68"/>
      <c r="AO227" s="68"/>
      <c r="AP227" s="68"/>
      <c r="AQ227" s="68"/>
      <c r="AR227" s="68"/>
      <c r="AS227" s="68"/>
      <c r="AT227" s="68"/>
      <c r="AU227" s="68"/>
      <c r="AV227" s="68"/>
      <c r="AW227" s="68"/>
      <c r="AX227" s="68"/>
      <c r="AY227" s="68"/>
      <c r="AZ227" s="68"/>
      <c r="BA227" s="68"/>
      <c r="BB227" s="68"/>
      <c r="BC227" s="68"/>
      <c r="BD227" s="68"/>
      <c r="BE227" s="68"/>
      <c r="BF227" s="68"/>
      <c r="BG227" s="68"/>
      <c r="BH227" s="68"/>
      <c r="BI227" s="68"/>
    </row>
    <row r="228" spans="2:61">
      <c r="B228" s="68"/>
      <c r="K228" s="68"/>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c r="BI228" s="68"/>
    </row>
    <row r="229" spans="2:61">
      <c r="B229" s="68"/>
      <c r="K229" s="68"/>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c r="BI229" s="68"/>
    </row>
    <row r="230" spans="2:61">
      <c r="B230" s="68"/>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c r="BI230" s="68"/>
    </row>
    <row r="231" spans="2:61">
      <c r="B231" s="68"/>
      <c r="K231" s="68"/>
      <c r="L231" s="68"/>
      <c r="M231" s="68"/>
      <c r="N231" s="68"/>
      <c r="O231" s="68"/>
      <c r="P231" s="68"/>
      <c r="Q231" s="68"/>
      <c r="R231" s="68"/>
      <c r="S231" s="68"/>
      <c r="T231" s="68"/>
      <c r="U231" s="68"/>
      <c r="V231" s="68"/>
      <c r="W231" s="68"/>
      <c r="X231" s="68"/>
      <c r="Y231" s="68"/>
      <c r="Z231" s="68"/>
      <c r="AA231" s="68"/>
      <c r="AB231" s="68"/>
      <c r="AC231" s="68"/>
      <c r="AD231" s="68"/>
      <c r="AE231" s="68"/>
      <c r="AF231" s="68"/>
      <c r="AG231" s="68"/>
      <c r="AH231" s="68"/>
      <c r="AI231" s="68"/>
      <c r="AJ231" s="68"/>
      <c r="AK231" s="68"/>
      <c r="AL231" s="68"/>
      <c r="AM231" s="68"/>
      <c r="AN231" s="68"/>
      <c r="AO231" s="68"/>
      <c r="AP231" s="68"/>
      <c r="AQ231" s="68"/>
      <c r="AR231" s="68"/>
      <c r="AS231" s="68"/>
      <c r="AT231" s="68"/>
      <c r="AU231" s="68"/>
      <c r="AV231" s="68"/>
      <c r="AW231" s="68"/>
      <c r="AX231" s="68"/>
      <c r="AY231" s="68"/>
      <c r="AZ231" s="68"/>
      <c r="BA231" s="68"/>
      <c r="BB231" s="68"/>
      <c r="BC231" s="68"/>
      <c r="BD231" s="68"/>
      <c r="BE231" s="68"/>
      <c r="BF231" s="68"/>
      <c r="BG231" s="68"/>
      <c r="BH231" s="68"/>
      <c r="BI231" s="68"/>
    </row>
    <row r="232" spans="2:61">
      <c r="B232" s="68"/>
      <c r="K232" s="68"/>
      <c r="L232" s="68"/>
      <c r="M232" s="68"/>
      <c r="N232" s="68"/>
      <c r="O232" s="68"/>
      <c r="P232" s="68"/>
      <c r="Q232" s="68"/>
      <c r="R232" s="68"/>
      <c r="S232" s="68"/>
      <c r="T232" s="68"/>
      <c r="U232" s="68"/>
      <c r="V232" s="68"/>
      <c r="W232" s="68"/>
      <c r="X232" s="68"/>
      <c r="Y232" s="68"/>
      <c r="Z232" s="68"/>
      <c r="AA232" s="68"/>
      <c r="AB232" s="68"/>
      <c r="AC232" s="68"/>
      <c r="AD232" s="68"/>
      <c r="AE232" s="68"/>
      <c r="AF232" s="68"/>
      <c r="AG232" s="68"/>
      <c r="AH232" s="68"/>
      <c r="AI232" s="68"/>
      <c r="AJ232" s="68"/>
      <c r="AK232" s="68"/>
      <c r="AL232" s="68"/>
      <c r="AM232" s="68"/>
      <c r="AN232" s="68"/>
      <c r="AO232" s="68"/>
      <c r="AP232" s="68"/>
      <c r="AQ232" s="68"/>
      <c r="AR232" s="68"/>
      <c r="AS232" s="68"/>
      <c r="AT232" s="68"/>
      <c r="AU232" s="68"/>
      <c r="AV232" s="68"/>
      <c r="AW232" s="68"/>
      <c r="AX232" s="68"/>
      <c r="AY232" s="68"/>
      <c r="AZ232" s="68"/>
      <c r="BA232" s="68"/>
      <c r="BB232" s="68"/>
      <c r="BC232" s="68"/>
      <c r="BD232" s="68"/>
      <c r="BE232" s="68"/>
      <c r="BF232" s="68"/>
      <c r="BG232" s="68"/>
      <c r="BH232" s="68"/>
      <c r="BI232" s="68"/>
    </row>
    <row r="233" spans="2:61">
      <c r="B233" s="68"/>
      <c r="K233" s="68"/>
      <c r="L233" s="68"/>
      <c r="M233" s="68"/>
      <c r="N233" s="68"/>
      <c r="O233" s="68"/>
      <c r="P233" s="68"/>
      <c r="Q233" s="68"/>
      <c r="R233" s="68"/>
      <c r="S233" s="68"/>
      <c r="T233" s="68"/>
      <c r="U233" s="68"/>
      <c r="V233" s="68"/>
      <c r="W233" s="68"/>
      <c r="X233" s="68"/>
      <c r="Y233" s="68"/>
      <c r="Z233" s="68"/>
      <c r="AA233" s="68"/>
      <c r="AB233" s="68"/>
      <c r="AC233" s="68"/>
      <c r="AD233" s="68"/>
      <c r="AE233" s="68"/>
      <c r="AF233" s="68"/>
      <c r="AG233" s="68"/>
      <c r="AH233" s="68"/>
      <c r="AI233" s="68"/>
      <c r="AJ233" s="68"/>
      <c r="AK233" s="68"/>
      <c r="AL233" s="68"/>
      <c r="AM233" s="68"/>
      <c r="AN233" s="68"/>
      <c r="AO233" s="68"/>
      <c r="AP233" s="68"/>
      <c r="AQ233" s="68"/>
      <c r="AR233" s="68"/>
      <c r="AS233" s="68"/>
      <c r="AT233" s="68"/>
      <c r="AU233" s="68"/>
      <c r="AV233" s="68"/>
      <c r="AW233" s="68"/>
      <c r="AX233" s="68"/>
      <c r="AY233" s="68"/>
      <c r="AZ233" s="68"/>
      <c r="BA233" s="68"/>
      <c r="BB233" s="68"/>
      <c r="BC233" s="68"/>
      <c r="BD233" s="68"/>
      <c r="BE233" s="68"/>
      <c r="BF233" s="68"/>
      <c r="BG233" s="68"/>
      <c r="BH233" s="68"/>
      <c r="BI233" s="68"/>
    </row>
    <row r="234" spans="2:61">
      <c r="B234" s="68"/>
      <c r="K234" s="68"/>
      <c r="L234" s="68"/>
      <c r="M234" s="68"/>
      <c r="N234" s="68"/>
      <c r="O234" s="68"/>
      <c r="P234" s="68"/>
      <c r="Q234" s="68"/>
      <c r="R234" s="68"/>
      <c r="S234" s="68"/>
      <c r="T234" s="68"/>
      <c r="U234" s="68"/>
      <c r="V234" s="68"/>
      <c r="W234" s="68"/>
      <c r="X234" s="68"/>
      <c r="Y234" s="68"/>
      <c r="Z234" s="68"/>
      <c r="AA234" s="68"/>
      <c r="AB234" s="68"/>
      <c r="AC234" s="68"/>
      <c r="AD234" s="68"/>
      <c r="AE234" s="68"/>
      <c r="AF234" s="68"/>
      <c r="AG234" s="68"/>
      <c r="AH234" s="68"/>
      <c r="AI234" s="68"/>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row>
    <row r="235" spans="2:61">
      <c r="B235" s="68"/>
      <c r="K235" s="68"/>
      <c r="L235" s="68"/>
      <c r="M235" s="68"/>
      <c r="N235" s="68"/>
      <c r="O235" s="68"/>
      <c r="P235" s="68"/>
      <c r="Q235" s="68"/>
      <c r="R235" s="68"/>
      <c r="S235" s="68"/>
      <c r="T235" s="68"/>
      <c r="U235" s="68"/>
      <c r="V235" s="68"/>
      <c r="W235" s="68"/>
      <c r="X235" s="68"/>
      <c r="Y235" s="68"/>
      <c r="Z235" s="68"/>
      <c r="AA235" s="68"/>
      <c r="AB235" s="68"/>
      <c r="AC235" s="68"/>
      <c r="AD235" s="68"/>
      <c r="AE235" s="68"/>
      <c r="AF235" s="68"/>
      <c r="AG235" s="68"/>
      <c r="AH235" s="68"/>
      <c r="AI235" s="68"/>
      <c r="AJ235" s="68"/>
      <c r="AK235" s="68"/>
      <c r="AL235" s="68"/>
      <c r="AM235" s="68"/>
      <c r="AN235" s="68"/>
      <c r="AO235" s="68"/>
      <c r="AP235" s="68"/>
      <c r="AQ235" s="68"/>
      <c r="AR235" s="68"/>
      <c r="AS235" s="68"/>
      <c r="AT235" s="68"/>
      <c r="AU235" s="68"/>
      <c r="AV235" s="68"/>
      <c r="AW235" s="68"/>
      <c r="AX235" s="68"/>
      <c r="AY235" s="68"/>
      <c r="AZ235" s="68"/>
      <c r="BA235" s="68"/>
      <c r="BB235" s="68"/>
      <c r="BC235" s="68"/>
      <c r="BD235" s="68"/>
      <c r="BE235" s="68"/>
      <c r="BF235" s="68"/>
      <c r="BG235" s="68"/>
      <c r="BH235" s="68"/>
      <c r="BI235" s="68"/>
    </row>
    <row r="236" spans="2:61">
      <c r="B236" s="68"/>
      <c r="K236" s="68"/>
      <c r="L236" s="68"/>
      <c r="M236" s="68"/>
      <c r="N236" s="68"/>
      <c r="O236" s="68"/>
      <c r="P236" s="68"/>
      <c r="Q236" s="68"/>
      <c r="R236" s="68"/>
      <c r="S236" s="68"/>
      <c r="T236" s="68"/>
      <c r="U236" s="68"/>
      <c r="V236" s="68"/>
      <c r="W236" s="68"/>
      <c r="X236" s="68"/>
      <c r="Y236" s="68"/>
      <c r="Z236" s="68"/>
      <c r="AA236" s="68"/>
      <c r="AB236" s="68"/>
      <c r="AC236" s="68"/>
      <c r="AD236" s="68"/>
      <c r="AE236" s="68"/>
      <c r="AF236" s="68"/>
      <c r="AG236" s="68"/>
      <c r="AH236" s="68"/>
      <c r="AI236" s="68"/>
      <c r="AJ236" s="68"/>
      <c r="AK236" s="68"/>
      <c r="AL236" s="68"/>
      <c r="AM236" s="68"/>
      <c r="AN236" s="68"/>
      <c r="AO236" s="68"/>
      <c r="AP236" s="68"/>
      <c r="AQ236" s="68"/>
      <c r="AR236" s="68"/>
      <c r="AS236" s="68"/>
      <c r="AT236" s="68"/>
      <c r="AU236" s="68"/>
      <c r="AV236" s="68"/>
      <c r="AW236" s="68"/>
      <c r="AX236" s="68"/>
      <c r="AY236" s="68"/>
      <c r="AZ236" s="68"/>
      <c r="BA236" s="68"/>
      <c r="BB236" s="68"/>
      <c r="BC236" s="68"/>
      <c r="BD236" s="68"/>
      <c r="BE236" s="68"/>
      <c r="BF236" s="68"/>
      <c r="BG236" s="68"/>
      <c r="BH236" s="68"/>
      <c r="BI236" s="68"/>
    </row>
    <row r="237" spans="2:61">
      <c r="B237" s="68"/>
      <c r="K237" s="68"/>
      <c r="L237" s="68"/>
      <c r="M237" s="68"/>
      <c r="N237" s="68"/>
      <c r="O237" s="68"/>
      <c r="P237" s="68"/>
      <c r="Q237" s="68"/>
      <c r="R237" s="68"/>
      <c r="S237" s="68"/>
      <c r="T237" s="68"/>
      <c r="U237" s="68"/>
      <c r="V237" s="68"/>
      <c r="W237" s="68"/>
      <c r="X237" s="68"/>
      <c r="Y237" s="68"/>
      <c r="Z237" s="68"/>
      <c r="AA237" s="68"/>
      <c r="AB237" s="68"/>
      <c r="AC237" s="68"/>
      <c r="AD237" s="68"/>
      <c r="AE237" s="68"/>
      <c r="AF237" s="68"/>
      <c r="AG237" s="68"/>
      <c r="AH237" s="68"/>
      <c r="AI237" s="68"/>
      <c r="AJ237" s="68"/>
      <c r="AK237" s="68"/>
      <c r="AL237" s="68"/>
      <c r="AM237" s="68"/>
      <c r="AN237" s="68"/>
      <c r="AO237" s="68"/>
      <c r="AP237" s="68"/>
      <c r="AQ237" s="68"/>
      <c r="AR237" s="68"/>
      <c r="AS237" s="68"/>
      <c r="AT237" s="68"/>
      <c r="AU237" s="68"/>
      <c r="AV237" s="68"/>
      <c r="AW237" s="68"/>
      <c r="AX237" s="68"/>
      <c r="AY237" s="68"/>
      <c r="AZ237" s="68"/>
      <c r="BA237" s="68"/>
      <c r="BB237" s="68"/>
      <c r="BC237" s="68"/>
      <c r="BD237" s="68"/>
      <c r="BE237" s="68"/>
      <c r="BF237" s="68"/>
      <c r="BG237" s="68"/>
      <c r="BH237" s="68"/>
      <c r="BI237" s="68"/>
    </row>
    <row r="238" spans="2:61">
      <c r="B238" s="68"/>
      <c r="K238" s="68"/>
      <c r="L238" s="68"/>
      <c r="M238" s="68"/>
      <c r="N238" s="68"/>
      <c r="O238" s="68"/>
      <c r="P238" s="68"/>
      <c r="Q238" s="68"/>
      <c r="R238" s="68"/>
      <c r="S238" s="68"/>
      <c r="T238" s="68"/>
      <c r="U238" s="68"/>
      <c r="V238" s="68"/>
      <c r="W238" s="68"/>
      <c r="X238" s="68"/>
      <c r="Y238" s="68"/>
      <c r="Z238" s="68"/>
      <c r="AA238" s="68"/>
      <c r="AB238" s="68"/>
      <c r="AC238" s="68"/>
      <c r="AD238" s="68"/>
      <c r="AE238" s="68"/>
      <c r="AF238" s="68"/>
      <c r="AG238" s="68"/>
      <c r="AH238" s="68"/>
      <c r="AI238" s="68"/>
      <c r="AJ238" s="68"/>
      <c r="AK238" s="68"/>
      <c r="AL238" s="68"/>
      <c r="AM238" s="68"/>
      <c r="AN238" s="68"/>
      <c r="AO238" s="68"/>
      <c r="AP238" s="68"/>
      <c r="AQ238" s="68"/>
      <c r="AR238" s="68"/>
      <c r="AS238" s="68"/>
      <c r="AT238" s="68"/>
      <c r="AU238" s="68"/>
      <c r="AV238" s="68"/>
      <c r="AW238" s="68"/>
      <c r="AX238" s="68"/>
      <c r="AY238" s="68"/>
      <c r="AZ238" s="68"/>
      <c r="BA238" s="68"/>
      <c r="BB238" s="68"/>
      <c r="BC238" s="68"/>
      <c r="BD238" s="68"/>
      <c r="BE238" s="68"/>
      <c r="BF238" s="68"/>
      <c r="BG238" s="68"/>
      <c r="BH238" s="68"/>
      <c r="BI238" s="68"/>
    </row>
    <row r="239" spans="2:61">
      <c r="B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68"/>
      <c r="BD239" s="68"/>
      <c r="BE239" s="68"/>
      <c r="BF239" s="68"/>
      <c r="BG239" s="68"/>
      <c r="BH239" s="68"/>
      <c r="BI239" s="68"/>
    </row>
    <row r="240" spans="2:61">
      <c r="B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c r="BI240" s="68"/>
    </row>
    <row r="241" spans="2:61">
      <c r="B241" s="68"/>
      <c r="K241" s="68"/>
      <c r="L241" s="68"/>
      <c r="M241" s="68"/>
      <c r="N241" s="68"/>
      <c r="O241" s="68"/>
      <c r="P241" s="68"/>
      <c r="Q241" s="68"/>
      <c r="R241" s="68"/>
      <c r="S241" s="68"/>
      <c r="T241" s="68"/>
      <c r="U241" s="68"/>
      <c r="V241" s="68"/>
      <c r="W241" s="68"/>
      <c r="X241" s="68"/>
      <c r="Y241" s="68"/>
      <c r="Z241" s="68"/>
      <c r="AA241" s="68"/>
      <c r="AB241" s="68"/>
      <c r="AC241" s="68"/>
      <c r="AD241" s="68"/>
      <c r="AE241" s="68"/>
      <c r="AF241" s="68"/>
      <c r="AG241" s="68"/>
      <c r="AH241" s="68"/>
      <c r="AI241" s="68"/>
      <c r="AJ241" s="68"/>
      <c r="AK241" s="68"/>
      <c r="AL241" s="68"/>
      <c r="AM241" s="68"/>
      <c r="AN241" s="68"/>
      <c r="AO241" s="68"/>
      <c r="AP241" s="68"/>
      <c r="AQ241" s="68"/>
      <c r="AR241" s="68"/>
      <c r="AS241" s="68"/>
      <c r="AT241" s="68"/>
      <c r="AU241" s="68"/>
      <c r="AV241" s="68"/>
      <c r="AW241" s="68"/>
      <c r="AX241" s="68"/>
      <c r="AY241" s="68"/>
      <c r="AZ241" s="68"/>
      <c r="BA241" s="68"/>
      <c r="BB241" s="68"/>
      <c r="BC241" s="68"/>
      <c r="BD241" s="68"/>
      <c r="BE241" s="68"/>
      <c r="BF241" s="68"/>
      <c r="BG241" s="68"/>
      <c r="BH241" s="68"/>
      <c r="BI241" s="68"/>
    </row>
    <row r="242" spans="2:61">
      <c r="B242" s="68"/>
      <c r="K242" s="68"/>
      <c r="L242" s="68"/>
      <c r="M242" s="68"/>
      <c r="N242" s="68"/>
      <c r="O242" s="68"/>
      <c r="P242" s="68"/>
      <c r="Q242" s="68"/>
      <c r="R242" s="68"/>
      <c r="S242" s="68"/>
      <c r="T242" s="68"/>
      <c r="U242" s="68"/>
      <c r="V242" s="68"/>
      <c r="W242" s="68"/>
      <c r="X242" s="68"/>
      <c r="Y242" s="68"/>
      <c r="Z242" s="68"/>
      <c r="AA242" s="68"/>
      <c r="AB242" s="68"/>
      <c r="AC242" s="68"/>
      <c r="AD242" s="68"/>
      <c r="AE242" s="68"/>
      <c r="AF242" s="68"/>
      <c r="AG242" s="68"/>
      <c r="AH242" s="68"/>
      <c r="AI242" s="68"/>
      <c r="AJ242" s="68"/>
      <c r="AK242" s="68"/>
      <c r="AL242" s="68"/>
      <c r="AM242" s="68"/>
      <c r="AN242" s="68"/>
      <c r="AO242" s="68"/>
      <c r="AP242" s="68"/>
      <c r="AQ242" s="68"/>
      <c r="AR242" s="68"/>
      <c r="AS242" s="68"/>
      <c r="AT242" s="68"/>
      <c r="AU242" s="68"/>
      <c r="AV242" s="68"/>
      <c r="AW242" s="68"/>
      <c r="AX242" s="68"/>
      <c r="AY242" s="68"/>
      <c r="AZ242" s="68"/>
      <c r="BA242" s="68"/>
      <c r="BB242" s="68"/>
      <c r="BC242" s="68"/>
      <c r="BD242" s="68"/>
      <c r="BE242" s="68"/>
      <c r="BF242" s="68"/>
      <c r="BG242" s="68"/>
      <c r="BH242" s="68"/>
      <c r="BI242" s="68"/>
    </row>
    <row r="243" spans="2:61">
      <c r="B243" s="68"/>
      <c r="K243" s="68"/>
      <c r="L243" s="68"/>
      <c r="M243" s="68"/>
      <c r="N243" s="68"/>
      <c r="O243" s="68"/>
      <c r="P243" s="68"/>
      <c r="Q243" s="68"/>
      <c r="R243" s="68"/>
      <c r="S243" s="68"/>
      <c r="T243" s="68"/>
      <c r="U243" s="68"/>
      <c r="V243" s="68"/>
      <c r="W243" s="68"/>
      <c r="X243" s="68"/>
      <c r="Y243" s="68"/>
      <c r="Z243" s="68"/>
      <c r="AA243" s="68"/>
      <c r="AB243" s="68"/>
      <c r="AC243" s="68"/>
      <c r="AD243" s="68"/>
      <c r="AE243" s="68"/>
      <c r="AF243" s="68"/>
      <c r="AG243" s="68"/>
      <c r="AH243" s="68"/>
      <c r="AI243" s="68"/>
      <c r="AJ243" s="68"/>
      <c r="AK243" s="68"/>
      <c r="AL243" s="68"/>
      <c r="AM243" s="68"/>
      <c r="AN243" s="68"/>
      <c r="AO243" s="68"/>
      <c r="AP243" s="68"/>
      <c r="AQ243" s="68"/>
      <c r="AR243" s="68"/>
      <c r="AS243" s="68"/>
      <c r="AT243" s="68"/>
      <c r="AU243" s="68"/>
      <c r="AV243" s="68"/>
      <c r="AW243" s="68"/>
      <c r="AX243" s="68"/>
      <c r="AY243" s="68"/>
      <c r="AZ243" s="68"/>
      <c r="BA243" s="68"/>
      <c r="BB243" s="68"/>
      <c r="BC243" s="68"/>
      <c r="BD243" s="68"/>
      <c r="BE243" s="68"/>
      <c r="BF243" s="68"/>
      <c r="BG243" s="68"/>
      <c r="BH243" s="68"/>
      <c r="BI243" s="68"/>
    </row>
    <row r="244" spans="2:61">
      <c r="B244" s="68"/>
      <c r="K244" s="68"/>
      <c r="L244" s="68"/>
      <c r="M244" s="68"/>
      <c r="N244" s="68"/>
      <c r="O244" s="68"/>
      <c r="P244" s="68"/>
      <c r="Q244" s="68"/>
      <c r="R244" s="68"/>
      <c r="S244" s="68"/>
      <c r="T244" s="68"/>
      <c r="U244" s="68"/>
      <c r="V244" s="68"/>
      <c r="W244" s="68"/>
      <c r="X244" s="68"/>
      <c r="Y244" s="68"/>
      <c r="Z244" s="68"/>
      <c r="AA244" s="68"/>
      <c r="AB244" s="68"/>
      <c r="AC244" s="68"/>
      <c r="AD244" s="68"/>
      <c r="AE244" s="68"/>
      <c r="AF244" s="68"/>
      <c r="AG244" s="68"/>
      <c r="AH244" s="68"/>
      <c r="AI244" s="68"/>
      <c r="AJ244" s="68"/>
      <c r="AK244" s="68"/>
      <c r="AL244" s="68"/>
      <c r="AM244" s="68"/>
      <c r="AN244" s="68"/>
      <c r="AO244" s="68"/>
      <c r="AP244" s="68"/>
      <c r="AQ244" s="68"/>
      <c r="AR244" s="68"/>
      <c r="AS244" s="68"/>
      <c r="AT244" s="68"/>
      <c r="AU244" s="68"/>
      <c r="AV244" s="68"/>
      <c r="AW244" s="68"/>
      <c r="AX244" s="68"/>
      <c r="AY244" s="68"/>
      <c r="AZ244" s="68"/>
      <c r="BA244" s="68"/>
      <c r="BB244" s="68"/>
      <c r="BC244" s="68"/>
      <c r="BD244" s="68"/>
      <c r="BE244" s="68"/>
      <c r="BF244" s="68"/>
      <c r="BG244" s="68"/>
      <c r="BH244" s="68"/>
      <c r="BI244" s="68"/>
    </row>
    <row r="245" spans="2:61">
      <c r="B245" s="68"/>
      <c r="K245" s="68"/>
      <c r="L245" s="68"/>
      <c r="M245" s="68"/>
      <c r="N245" s="68"/>
      <c r="O245" s="68"/>
      <c r="P245" s="68"/>
      <c r="Q245" s="68"/>
      <c r="R245" s="68"/>
      <c r="S245" s="68"/>
      <c r="T245" s="68"/>
      <c r="U245" s="68"/>
      <c r="V245" s="68"/>
      <c r="W245" s="68"/>
      <c r="X245" s="68"/>
      <c r="Y245" s="68"/>
      <c r="Z245" s="68"/>
      <c r="AA245" s="68"/>
      <c r="AB245" s="68"/>
      <c r="AC245" s="68"/>
      <c r="AD245" s="68"/>
      <c r="AE245" s="68"/>
      <c r="AF245" s="68"/>
      <c r="AG245" s="68"/>
      <c r="AH245" s="68"/>
      <c r="AI245" s="68"/>
      <c r="AJ245" s="68"/>
      <c r="AK245" s="68"/>
      <c r="AL245" s="68"/>
      <c r="AM245" s="68"/>
      <c r="AN245" s="68"/>
      <c r="AO245" s="68"/>
      <c r="AP245" s="68"/>
      <c r="AQ245" s="68"/>
      <c r="AR245" s="68"/>
      <c r="AS245" s="68"/>
      <c r="AT245" s="68"/>
      <c r="AU245" s="68"/>
      <c r="AV245" s="68"/>
      <c r="AW245" s="68"/>
      <c r="AX245" s="68"/>
      <c r="AY245" s="68"/>
      <c r="AZ245" s="68"/>
      <c r="BA245" s="68"/>
      <c r="BB245" s="68"/>
      <c r="BC245" s="68"/>
      <c r="BD245" s="68"/>
      <c r="BE245" s="68"/>
      <c r="BF245" s="68"/>
      <c r="BG245" s="68"/>
      <c r="BH245" s="68"/>
      <c r="BI245" s="68"/>
    </row>
    <row r="246" spans="2:61">
      <c r="B246" s="68"/>
      <c r="K246" s="68"/>
      <c r="L246" s="68"/>
      <c r="M246" s="68"/>
      <c r="N246" s="68"/>
      <c r="O246" s="68"/>
      <c r="P246" s="68"/>
      <c r="Q246" s="68"/>
      <c r="R246" s="68"/>
      <c r="S246" s="68"/>
      <c r="T246" s="68"/>
      <c r="U246" s="68"/>
      <c r="V246" s="68"/>
      <c r="W246" s="68"/>
      <c r="X246" s="68"/>
      <c r="Y246" s="68"/>
      <c r="Z246" s="68"/>
      <c r="AA246" s="68"/>
      <c r="AB246" s="68"/>
      <c r="AC246" s="68"/>
      <c r="AD246" s="68"/>
      <c r="AE246" s="68"/>
      <c r="AF246" s="68"/>
      <c r="AG246" s="68"/>
      <c r="AH246" s="68"/>
      <c r="AI246" s="68"/>
      <c r="AJ246" s="68"/>
      <c r="AK246" s="68"/>
      <c r="AL246" s="68"/>
      <c r="AM246" s="68"/>
      <c r="AN246" s="68"/>
      <c r="AO246" s="68"/>
      <c r="AP246" s="68"/>
      <c r="AQ246" s="68"/>
      <c r="AR246" s="68"/>
      <c r="AS246" s="68"/>
      <c r="AT246" s="68"/>
      <c r="AU246" s="68"/>
      <c r="AV246" s="68"/>
      <c r="AW246" s="68"/>
      <c r="AX246" s="68"/>
      <c r="AY246" s="68"/>
      <c r="AZ246" s="68"/>
      <c r="BA246" s="68"/>
      <c r="BB246" s="68"/>
      <c r="BC246" s="68"/>
      <c r="BD246" s="68"/>
      <c r="BE246" s="68"/>
      <c r="BF246" s="68"/>
      <c r="BG246" s="68"/>
      <c r="BH246" s="68"/>
      <c r="BI246" s="68"/>
    </row>
    <row r="247" spans="2:61">
      <c r="B247" s="68"/>
      <c r="K247" s="68"/>
      <c r="L247" s="68"/>
      <c r="M247" s="68"/>
      <c r="N247" s="68"/>
      <c r="O247" s="68"/>
      <c r="P247" s="68"/>
      <c r="Q247" s="68"/>
      <c r="R247" s="68"/>
      <c r="S247" s="68"/>
      <c r="T247" s="68"/>
      <c r="U247" s="68"/>
      <c r="V247" s="68"/>
      <c r="W247" s="68"/>
      <c r="X247" s="68"/>
      <c r="Y247" s="68"/>
      <c r="Z247" s="68"/>
      <c r="AA247" s="68"/>
      <c r="AB247" s="68"/>
      <c r="AC247" s="68"/>
      <c r="AD247" s="68"/>
      <c r="AE247" s="68"/>
      <c r="AF247" s="68"/>
      <c r="AG247" s="68"/>
      <c r="AH247" s="68"/>
      <c r="AI247" s="68"/>
      <c r="AJ247" s="68"/>
      <c r="AK247" s="68"/>
      <c r="AL247" s="68"/>
      <c r="AM247" s="68"/>
      <c r="AN247" s="68"/>
      <c r="AO247" s="68"/>
      <c r="AP247" s="68"/>
      <c r="AQ247" s="68"/>
      <c r="AR247" s="68"/>
      <c r="AS247" s="68"/>
      <c r="AT247" s="68"/>
      <c r="AU247" s="68"/>
      <c r="AV247" s="68"/>
      <c r="AW247" s="68"/>
      <c r="AX247" s="68"/>
      <c r="AY247" s="68"/>
      <c r="AZ247" s="68"/>
      <c r="BA247" s="68"/>
      <c r="BB247" s="68"/>
      <c r="BC247" s="68"/>
      <c r="BD247" s="68"/>
      <c r="BE247" s="68"/>
      <c r="BF247" s="68"/>
      <c r="BG247" s="68"/>
      <c r="BH247" s="68"/>
      <c r="BI247" s="68"/>
    </row>
    <row r="248" spans="2:61">
      <c r="B248" s="68"/>
      <c r="K248" s="68"/>
      <c r="L248" s="68"/>
      <c r="M248" s="68"/>
      <c r="N248" s="68"/>
      <c r="O248" s="68"/>
      <c r="P248" s="68"/>
      <c r="Q248" s="68"/>
      <c r="R248" s="68"/>
      <c r="S248" s="68"/>
      <c r="T248" s="68"/>
      <c r="U248" s="68"/>
      <c r="V248" s="68"/>
      <c r="W248" s="68"/>
      <c r="X248" s="68"/>
      <c r="Y248" s="68"/>
      <c r="Z248" s="68"/>
      <c r="AA248" s="68"/>
      <c r="AB248" s="68"/>
      <c r="AC248" s="68"/>
      <c r="AD248" s="68"/>
      <c r="AE248" s="68"/>
      <c r="AF248" s="68"/>
      <c r="AG248" s="68"/>
      <c r="AH248" s="68"/>
      <c r="AI248" s="68"/>
      <c r="AJ248" s="68"/>
      <c r="AK248" s="68"/>
      <c r="AL248" s="68"/>
      <c r="AM248" s="68"/>
      <c r="AN248" s="68"/>
      <c r="AO248" s="68"/>
      <c r="AP248" s="68"/>
      <c r="AQ248" s="68"/>
      <c r="AR248" s="68"/>
      <c r="AS248" s="68"/>
      <c r="AT248" s="68"/>
      <c r="AU248" s="68"/>
      <c r="AV248" s="68"/>
      <c r="AW248" s="68"/>
      <c r="AX248" s="68"/>
      <c r="AY248" s="68"/>
      <c r="AZ248" s="68"/>
      <c r="BA248" s="68"/>
      <c r="BB248" s="68"/>
      <c r="BC248" s="68"/>
      <c r="BD248" s="68"/>
      <c r="BE248" s="68"/>
      <c r="BF248" s="68"/>
      <c r="BG248" s="68"/>
      <c r="BH248" s="68"/>
      <c r="BI248" s="68"/>
    </row>
    <row r="249" spans="2:61">
      <c r="B249" s="68"/>
      <c r="K249" s="68"/>
      <c r="L249" s="68"/>
      <c r="M249" s="68"/>
      <c r="N249" s="68"/>
      <c r="O249" s="68"/>
      <c r="P249" s="68"/>
      <c r="Q249" s="68"/>
      <c r="R249" s="68"/>
      <c r="S249" s="68"/>
      <c r="T249" s="68"/>
      <c r="U249" s="68"/>
      <c r="V249" s="68"/>
      <c r="W249" s="68"/>
      <c r="X249" s="68"/>
      <c r="Y249" s="68"/>
      <c r="Z249" s="68"/>
      <c r="AA249" s="68"/>
      <c r="AB249" s="68"/>
      <c r="AC249" s="68"/>
      <c r="AD249" s="68"/>
      <c r="AE249" s="68"/>
      <c r="AF249" s="68"/>
      <c r="AG249" s="68"/>
      <c r="AH249" s="68"/>
      <c r="AI249" s="68"/>
      <c r="AJ249" s="68"/>
      <c r="AK249" s="68"/>
      <c r="AL249" s="68"/>
      <c r="AM249" s="68"/>
      <c r="AN249" s="68"/>
      <c r="AO249" s="68"/>
      <c r="AP249" s="68"/>
      <c r="AQ249" s="68"/>
      <c r="AR249" s="68"/>
      <c r="AS249" s="68"/>
      <c r="AT249" s="68"/>
      <c r="AU249" s="68"/>
      <c r="AV249" s="68"/>
      <c r="AW249" s="68"/>
      <c r="AX249" s="68"/>
      <c r="AY249" s="68"/>
      <c r="AZ249" s="68"/>
      <c r="BA249" s="68"/>
      <c r="BB249" s="68"/>
      <c r="BC249" s="68"/>
      <c r="BD249" s="68"/>
      <c r="BE249" s="68"/>
      <c r="BF249" s="68"/>
      <c r="BG249" s="68"/>
      <c r="BH249" s="68"/>
      <c r="BI249" s="68"/>
    </row>
    <row r="250" spans="2:61">
      <c r="B250" s="68"/>
      <c r="K250" s="68"/>
      <c r="L250" s="68"/>
      <c r="M250" s="68"/>
      <c r="N250" s="68"/>
      <c r="O250" s="68"/>
      <c r="P250" s="68"/>
      <c r="Q250" s="68"/>
      <c r="R250" s="68"/>
      <c r="S250" s="68"/>
      <c r="T250" s="68"/>
      <c r="U250" s="68"/>
      <c r="V250" s="68"/>
      <c r="W250" s="68"/>
      <c r="X250" s="68"/>
      <c r="Y250" s="68"/>
      <c r="Z250" s="68"/>
      <c r="AA250" s="68"/>
      <c r="AB250" s="68"/>
      <c r="AC250" s="68"/>
      <c r="AD250" s="68"/>
      <c r="AE250" s="68"/>
      <c r="AF250" s="68"/>
      <c r="AG250" s="68"/>
      <c r="AH250" s="68"/>
      <c r="AI250" s="68"/>
      <c r="AJ250" s="68"/>
      <c r="AK250" s="68"/>
      <c r="AL250" s="68"/>
      <c r="AM250" s="68"/>
      <c r="AN250" s="68"/>
      <c r="AO250" s="68"/>
      <c r="AP250" s="68"/>
      <c r="AQ250" s="68"/>
      <c r="AR250" s="68"/>
      <c r="AS250" s="68"/>
      <c r="AT250" s="68"/>
      <c r="AU250" s="68"/>
      <c r="AV250" s="68"/>
      <c r="AW250" s="68"/>
      <c r="AX250" s="68"/>
      <c r="AY250" s="68"/>
      <c r="AZ250" s="68"/>
      <c r="BA250" s="68"/>
      <c r="BB250" s="68"/>
      <c r="BC250" s="68"/>
      <c r="BD250" s="68"/>
      <c r="BE250" s="68"/>
      <c r="BF250" s="68"/>
      <c r="BG250" s="68"/>
      <c r="BH250" s="68"/>
      <c r="BI250" s="68"/>
    </row>
    <row r="251" spans="2:61">
      <c r="B251" s="68"/>
    </row>
    <row r="252" spans="2:61">
      <c r="B252" s="68"/>
    </row>
    <row r="253" spans="2:61">
      <c r="B253" s="68"/>
    </row>
    <row r="254" spans="2:61">
      <c r="B254" s="68"/>
    </row>
  </sheetData>
  <mergeCells count="24">
    <mergeCell ref="A8:B8"/>
    <mergeCell ref="K62:P67"/>
    <mergeCell ref="Q62:V67"/>
    <mergeCell ref="W62:AB67"/>
    <mergeCell ref="AC62:AH67"/>
    <mergeCell ref="AI62:AN67"/>
    <mergeCell ref="AP22:AU31"/>
    <mergeCell ref="F22:J31"/>
    <mergeCell ref="AP12:AU21"/>
    <mergeCell ref="C8:J10"/>
    <mergeCell ref="K8:AN10"/>
    <mergeCell ref="C12:E61"/>
    <mergeCell ref="F12:J21"/>
    <mergeCell ref="F52:J61"/>
    <mergeCell ref="AP42:AU51"/>
    <mergeCell ref="F42:J51"/>
    <mergeCell ref="AP32:AU41"/>
    <mergeCell ref="F32:J41"/>
    <mergeCell ref="C2:J5"/>
    <mergeCell ref="K2:AN5"/>
    <mergeCell ref="AO2:AU2"/>
    <mergeCell ref="AO3:AU3"/>
    <mergeCell ref="AO4:AU4"/>
    <mergeCell ref="AO5:AU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23</vt:i4>
      </vt:variant>
      <vt:variant>
        <vt:lpstr>Rangos con nombre</vt:lpstr>
      </vt:variant>
      <vt:variant>
        <vt:i4>4</vt:i4>
      </vt:variant>
    </vt:vector>
  </HeadingPairs>
  <TitlesOfParts>
    <vt:vector size="27" baseType="lpstr">
      <vt:lpstr>PORTADA </vt:lpstr>
      <vt:lpstr>Mapa final</vt:lpstr>
      <vt:lpstr>Datos</vt:lpstr>
      <vt:lpstr>Formulas</vt:lpstr>
      <vt:lpstr>CRITERIOS R CORRUPCION</vt:lpstr>
      <vt:lpstr>Apayo Visual </vt:lpstr>
      <vt:lpstr>eliminar</vt:lpstr>
      <vt:lpstr>Matriz Calor Inherente</vt:lpstr>
      <vt:lpstr>Matriz Calor Residual</vt:lpstr>
      <vt:lpstr>CAMBIOS REGISTRO</vt:lpstr>
      <vt:lpstr>SGI</vt:lpstr>
      <vt:lpstr>Intructivo</vt:lpstr>
      <vt:lpstr>CONTROL DE CAMBIOS REGISTRO </vt:lpstr>
      <vt:lpstr>Listas</vt:lpstr>
      <vt:lpstr>Hoja3</vt:lpstr>
      <vt:lpstr>Control de Cambios FORMATO </vt:lpstr>
      <vt:lpstr>Tabla probabilidad</vt:lpstr>
      <vt:lpstr>Tabla Impacto</vt:lpstr>
      <vt:lpstr>Tabla Valoración controles</vt:lpstr>
      <vt:lpstr>Hoja4</vt:lpstr>
      <vt:lpstr>Hoja2</vt:lpstr>
      <vt:lpstr>Opciones Tratamiento</vt:lpstr>
      <vt:lpstr>Hoja1</vt:lpstr>
      <vt:lpstr>'CAMBIOS REGISTRO'!Área_de_impresión</vt:lpstr>
      <vt:lpstr>'Control de Cambios FORMATO '!Área_de_impresión</vt:lpstr>
      <vt:lpstr>Criterios_Impacto</vt:lpstr>
      <vt:lpstr>'CAMBIOS REGISTRO'!OLE_LINK2</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MIPG ETITC</cp:lastModifiedBy>
  <cp:revision/>
  <dcterms:created xsi:type="dcterms:W3CDTF">2020-03-24T23:12:47Z</dcterms:created>
  <dcterms:modified xsi:type="dcterms:W3CDTF">2026-09-01T14:56:04Z</dcterms:modified>
  <cp:category/>
  <cp:contentStatus/>
</cp:coreProperties>
</file>