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calidad_itc_edu_co/Documents/1. CALIDAD/RIESGOS/MAPA DE RIESGOS 2026/Matrices de riesgos 2026/Docencia IBTI/"/>
    </mc:Choice>
  </mc:AlternateContent>
  <xr:revisionPtr revIDLastSave="315" documentId="13_ncr:1_{71B294A0-E5E5-4E17-BECB-1A452E28C02A}" xr6:coauthVersionLast="47" xr6:coauthVersionMax="47" xr10:uidLastSave="{01FF4DAA-8533-4267-808A-A01CA5DA1571}"/>
  <bookViews>
    <workbookView xWindow="-120" yWindow="-120" windowWidth="29040" windowHeight="15840" tabRatio="882" firstSheet="2" activeTab="2" xr2:uid="{00000000-000D-0000-FFFF-FFFF00000000}"/>
  </bookViews>
  <sheets>
    <sheet name="PORTADA " sheetId="22" r:id="rId1"/>
    <sheet name="CRITERIOS R CORRUPCION" sheetId="27" r:id="rId2"/>
    <sheet name="Mapa final" sheetId="1" r:id="rId3"/>
    <sheet name="Hoja6" sheetId="36" r:id="rId4"/>
    <sheet name="Hoja5" sheetId="35" r:id="rId5"/>
    <sheet name="Datos" sheetId="32" state="hidden" r:id="rId6"/>
    <sheet name="Formulas" sheetId="28" state="hidden" r:id="rId7"/>
    <sheet name="Apayo Visual " sheetId="31" r:id="rId8"/>
    <sheet name="eliminar" sheetId="30" state="hidden" r:id="rId9"/>
    <sheet name="Matriz Calor Inherente" sheetId="18" r:id="rId10"/>
    <sheet name="Matriz Calor Residual" sheetId="19" r:id="rId11"/>
    <sheet name="CAMBIOS REGISTRO" sheetId="25" state="hidden" r:id="rId12"/>
    <sheet name="SGI" sheetId="24" state="hidden" r:id="rId13"/>
    <sheet name="Intructivo" sheetId="20" r:id="rId14"/>
    <sheet name="CONTROL DE CAMBIOS REGISTRO " sheetId="23" state="hidden" r:id="rId15"/>
    <sheet name="Listas" sheetId="21" state="hidden" r:id="rId16"/>
    <sheet name="Hoja3" sheetId="29" state="hidden" r:id="rId17"/>
    <sheet name="Control de Cambios FORMATO " sheetId="26" r:id="rId18"/>
    <sheet name="Tabla probabilidad" sheetId="12" r:id="rId19"/>
    <sheet name="Tabla Impacto" sheetId="13" r:id="rId20"/>
    <sheet name="Tabla Valoración controles" sheetId="15" r:id="rId21"/>
    <sheet name="Hoja4" sheetId="34" r:id="rId22"/>
    <sheet name="Hoja2" sheetId="33" state="hidden" r:id="rId23"/>
    <sheet name="Opciones Tratamiento" sheetId="16" state="hidden" r:id="rId24"/>
    <sheet name="Hoja1" sheetId="11" state="hidden" r:id="rId25"/>
  </sheets>
  <definedNames>
    <definedName name="A_Obj1" localSheetId="11">OFFSET(#REF!,0,0,COUNTA(#REF!)-1,1)</definedName>
    <definedName name="A_Obj1" localSheetId="17">OFFSET(#REF!,0,0,COUNTA(#REF!)-1,1)</definedName>
    <definedName name="A_Obj1">OFFSET(#REF!,0,0,COUNTA(#REF!)-1,1)</definedName>
    <definedName name="A_Obj2" localSheetId="11">OFFSET(#REF!,0,0,COUNTA(#REF!)-1,1)</definedName>
    <definedName name="A_Obj2" localSheetId="17">OFFSET(#REF!,0,0,COUNTA(#REF!)-1,1)</definedName>
    <definedName name="A_Obj2">OFFSET(#REF!,0,0,COUNTA(#REF!)-1,1)</definedName>
    <definedName name="A_Obj3" localSheetId="11">OFFSET(#REF!,0,0,COUNTA(#REF!)-1,1)</definedName>
    <definedName name="A_Obj3" localSheetId="17">OFFSET(#REF!,0,0,COUNTA(#REF!)-1,1)</definedName>
    <definedName name="A_Obj3">OFFSET(#REF!,0,0,COUNTA(#REF!)-1,1)</definedName>
    <definedName name="A_Obj4" localSheetId="11">OFFSET(#REF!,0,0,COUNTA(#REF!)-1,1)</definedName>
    <definedName name="A_Obj4" localSheetId="17">OFFSET(#REF!,0,0,COUNTA(#REF!)-1,1)</definedName>
    <definedName name="A_Obj4">OFFSET(#REF!,0,0,COUNTA(#REF!)-1,1)</definedName>
    <definedName name="Acc_1" localSheetId="11">#REF!</definedName>
    <definedName name="Acc_1" localSheetId="17">#REF!</definedName>
    <definedName name="Acc_1">#REF!</definedName>
    <definedName name="Acc_2" localSheetId="11">#REF!</definedName>
    <definedName name="Acc_2" localSheetId="17">#REF!</definedName>
    <definedName name="Acc_2">#REF!</definedName>
    <definedName name="Acc_3" localSheetId="11">#REF!</definedName>
    <definedName name="Acc_3" localSheetId="17">#REF!</definedName>
    <definedName name="Acc_3">#REF!</definedName>
    <definedName name="Acc_4" localSheetId="11">#REF!</definedName>
    <definedName name="Acc_4" localSheetId="17">#REF!</definedName>
    <definedName name="Acc_4">#REF!</definedName>
    <definedName name="Acc_5" localSheetId="11">#REF!</definedName>
    <definedName name="Acc_5" localSheetId="17">#REF!</definedName>
    <definedName name="Acc_5">#REF!</definedName>
    <definedName name="Acc_6" localSheetId="11">#REF!</definedName>
    <definedName name="Acc_6" localSheetId="17">#REF!</definedName>
    <definedName name="Acc_6">#REF!</definedName>
    <definedName name="Acc_7" localSheetId="11">#REF!</definedName>
    <definedName name="Acc_7" localSheetId="17">#REF!</definedName>
    <definedName name="Acc_7">#REF!</definedName>
    <definedName name="Acc_8" localSheetId="11">#REF!</definedName>
    <definedName name="Acc_8" localSheetId="17">#REF!</definedName>
    <definedName name="Acc_8">#REF!</definedName>
    <definedName name="Acc_9" localSheetId="11">#REF!</definedName>
    <definedName name="Acc_9" localSheetId="17">#REF!</definedName>
    <definedName name="Acc_9">#REF!</definedName>
    <definedName name="_xlnm.Print_Area" localSheetId="11">'CAMBIOS REGISTRO'!$A$1:$E$23</definedName>
    <definedName name="_xlnm.Print_Area" localSheetId="17">'Control de Cambios FORMATO '!$A$1:$L$27</definedName>
    <definedName name="Causafactor3">#REF!</definedName>
    <definedName name="ControlTipo">#REF!</definedName>
    <definedName name="Criterios_Impacto">Criterios[Criterios_Impacto]</definedName>
    <definedName name="Departamentos" localSheetId="11">#REF!</definedName>
    <definedName name="Departamentos" localSheetId="17">#REF!</definedName>
    <definedName name="Departamentos">#REF!</definedName>
    <definedName name="Fuentes" localSheetId="11">#REF!</definedName>
    <definedName name="Fuentes" localSheetId="17">#REF!</definedName>
    <definedName name="Fuentes">#REF!</definedName>
    <definedName name="Indicadores" localSheetId="11">#REF!</definedName>
    <definedName name="Indicadores" localSheetId="17">#REF!</definedName>
    <definedName name="Indicadores">#REF!</definedName>
    <definedName name="No_aplica" localSheetId="17">#REF!</definedName>
    <definedName name="No_aplica">#REF!</definedName>
    <definedName name="Objetivos" localSheetId="11">OFFSET(#REF!,0,0,COUNTA(#REF!)-1,1)</definedName>
    <definedName name="Objetivos" localSheetId="17">OFFSET(#REF!,0,0,COUNTA(#REF!)-1,1)</definedName>
    <definedName name="Objetivos">OFFSET(#REF!,0,0,COUNTA(#REF!)-1,1)</definedName>
    <definedName name="OLE_LINK2" localSheetId="11">'CAMBIOS REGISTRO'!$A$1</definedName>
    <definedName name="Posibilidad">#REF!</definedName>
    <definedName name="RiesgoClase3">#REF!</definedName>
    <definedName name="SiNo">#REF!</definedName>
  </definedNames>
  <calcPr calcId="191028"/>
  <pivotCaches>
    <pivotCache cacheId="419" r:id="rId2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3" i="1" l="1"/>
  <c r="Y16" i="1"/>
  <c r="Y17" i="1"/>
  <c r="Y18" i="1"/>
  <c r="Y19" i="1"/>
  <c r="Y20" i="1"/>
  <c r="Y21" i="1"/>
  <c r="Y22" i="1"/>
  <c r="Y23" i="1"/>
  <c r="P21" i="1"/>
  <c r="P19" i="1"/>
  <c r="P17" i="1"/>
  <c r="P15" i="1"/>
  <c r="S17" i="1"/>
  <c r="T17" i="1" s="1"/>
  <c r="S19" i="1"/>
  <c r="T19" i="1" s="1"/>
  <c r="S21" i="1"/>
  <c r="T21" i="1" s="1"/>
  <c r="S23" i="1"/>
  <c r="T23" i="1" s="1"/>
  <c r="S27" i="1"/>
  <c r="T27" i="1" s="1"/>
  <c r="S29" i="1"/>
  <c r="T29" i="1" s="1"/>
  <c r="S31" i="1"/>
  <c r="T31" i="1" s="1"/>
  <c r="S15" i="1"/>
  <c r="AB15" i="1"/>
  <c r="AB16" i="1"/>
  <c r="AB17" i="1"/>
  <c r="AB18" i="1"/>
  <c r="AB19" i="1"/>
  <c r="AB20" i="1"/>
  <c r="AB21" i="1"/>
  <c r="AB22" i="1"/>
  <c r="AB23" i="1"/>
  <c r="AB24" i="1"/>
  <c r="AB25" i="1"/>
  <c r="AB26" i="1"/>
  <c r="AB27" i="1"/>
  <c r="AB28" i="1"/>
  <c r="AB29" i="1"/>
  <c r="AB30" i="1"/>
  <c r="AB31" i="1"/>
  <c r="AB32" i="1"/>
  <c r="Y15" i="1"/>
  <c r="Y24" i="1"/>
  <c r="Y25" i="1"/>
  <c r="Y26" i="1"/>
  <c r="Y27" i="1"/>
  <c r="Y28" i="1"/>
  <c r="Y29" i="1"/>
  <c r="Y30" i="1"/>
  <c r="Y31" i="1"/>
  <c r="Y32" i="1"/>
  <c r="Q23" i="1"/>
  <c r="P27" i="1"/>
  <c r="P29" i="1"/>
  <c r="P31" i="1"/>
  <c r="AK19" i="1" l="1"/>
  <c r="AJ19" i="1" s="1"/>
  <c r="AG24" i="1"/>
  <c r="AK31" i="1"/>
  <c r="AJ31" i="1" s="1"/>
  <c r="AK23" i="1"/>
  <c r="AJ23" i="1" s="1"/>
  <c r="AK22" i="1"/>
  <c r="AJ22" i="1" s="1"/>
  <c r="AK29" i="1"/>
  <c r="AJ29" i="1" s="1"/>
  <c r="AG25" i="1"/>
  <c r="AI25" i="1" s="1"/>
  <c r="AK21" i="1"/>
  <c r="AJ21" i="1" s="1"/>
  <c r="AG26" i="1"/>
  <c r="AI26" i="1" s="1"/>
  <c r="AG23" i="1"/>
  <c r="AI23" i="1" s="1"/>
  <c r="Q29" i="1"/>
  <c r="AG30" i="1" s="1"/>
  <c r="U29" i="1"/>
  <c r="Q27" i="1"/>
  <c r="AG28" i="1" s="1"/>
  <c r="AH28" i="1" s="1"/>
  <c r="U21" i="1"/>
  <c r="Q21" i="1"/>
  <c r="AG21" i="1" s="1"/>
  <c r="AI21" i="1" s="1"/>
  <c r="U19" i="1"/>
  <c r="Q19" i="1"/>
  <c r="AG19" i="1" s="1"/>
  <c r="AK30" i="1"/>
  <c r="AJ30" i="1" s="1"/>
  <c r="AK32" i="1"/>
  <c r="AJ32" i="1" s="1"/>
  <c r="U31" i="1"/>
  <c r="Q31" i="1"/>
  <c r="AG32" i="1" s="1"/>
  <c r="AK24" i="1"/>
  <c r="AJ24" i="1" s="1"/>
  <c r="AK20" i="1"/>
  <c r="AJ20" i="1" s="1"/>
  <c r="AK25" i="1"/>
  <c r="AJ25" i="1" s="1"/>
  <c r="U23" i="1"/>
  <c r="AE51" i="19"/>
  <c r="AI24" i="1" l="1"/>
  <c r="AH24" i="1"/>
  <c r="AL24" i="1" s="1"/>
  <c r="AH23" i="1"/>
  <c r="AH26" i="1"/>
  <c r="AK26" i="1"/>
  <c r="AJ26" i="1" s="1"/>
  <c r="AL26" i="1" s="1"/>
  <c r="AG31" i="1"/>
  <c r="AH31" i="1" s="1"/>
  <c r="AL31" i="1" s="1"/>
  <c r="AG20" i="1"/>
  <c r="AI30" i="1"/>
  <c r="AH30" i="1"/>
  <c r="AL30" i="1" s="1"/>
  <c r="AH32" i="1"/>
  <c r="AL32" i="1" s="1"/>
  <c r="AI32" i="1"/>
  <c r="AG29" i="1"/>
  <c r="AG22" i="1"/>
  <c r="AH25" i="1"/>
  <c r="AL25" i="1" s="1"/>
  <c r="AG27" i="1"/>
  <c r="AI27" i="1" s="1"/>
  <c r="AI28" i="1"/>
  <c r="AH19" i="1"/>
  <c r="AL19" i="1" s="1"/>
  <c r="AI19" i="1"/>
  <c r="AH21" i="1"/>
  <c r="U27" i="1"/>
  <c r="AI20" i="1" l="1"/>
  <c r="AH20" i="1"/>
  <c r="Q15" i="1"/>
  <c r="AG15" i="1" s="1"/>
  <c r="U15" i="1"/>
  <c r="AI31" i="1"/>
  <c r="AH27" i="1"/>
  <c r="AG16" i="1"/>
  <c r="AI22" i="1"/>
  <c r="AH22" i="1"/>
  <c r="AL22" i="1" s="1"/>
  <c r="AK27" i="1"/>
  <c r="AJ27" i="1" s="1"/>
  <c r="AL27" i="1" s="1"/>
  <c r="AK28" i="1"/>
  <c r="AJ28" i="1" s="1"/>
  <c r="AL28" i="1" s="1"/>
  <c r="AI29" i="1"/>
  <c r="AH29" i="1"/>
  <c r="AL29" i="1" s="1"/>
  <c r="Q17" i="1"/>
  <c r="AL23"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H15" i="1" l="1"/>
  <c r="AI15" i="1"/>
  <c r="AH16" i="1"/>
  <c r="AI16" i="1"/>
  <c r="AG17" i="1"/>
  <c r="AI17" i="1" s="1"/>
  <c r="AG18" i="1"/>
  <c r="AL21" i="1"/>
  <c r="AI53" i="19"/>
  <c r="AN13" i="18"/>
  <c r="AN29" i="18"/>
  <c r="AN37" i="18"/>
  <c r="AN21" i="18"/>
  <c r="AN45" i="18"/>
  <c r="AI18" i="1" l="1"/>
  <c r="AH18" i="1"/>
  <c r="AH17" i="1"/>
  <c r="F29" i="27"/>
  <c r="E29" i="27"/>
  <c r="G29" i="27" s="1"/>
  <c r="P37"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AL20" i="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8" i="1" l="1"/>
  <c r="AJ18" i="1" s="1"/>
  <c r="AL18" i="1" s="1"/>
  <c r="AK17" i="1"/>
  <c r="AJ17" i="1" s="1"/>
  <c r="M52" i="19" s="1"/>
  <c r="Z43" i="18"/>
  <c r="T15" i="1"/>
  <c r="AK16" i="1" s="1"/>
  <c r="AJ16"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7"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 r="A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7319F458-F751-4993-B913-0ED035E30CF3}">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8ADAA9EE-5890-4480-85AE-C33717331CF8}">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975DE72D-945A-4BAE-A64E-E42069A0D1CB}">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837D0758-B511-4B9B-885F-44B15625A2B0}">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<sst xmlns="http://schemas.openxmlformats.org/spreadsheetml/2006/main" count="798" uniqueCount="469">
  <si>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</si>
  <si>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</si>
  <si>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</si>
  <si>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</si>
  <si>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</si>
  <si>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</si>
  <si>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</si>
  <si>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</si>
  <si>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</si>
  <si>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</si>
  <si>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</si>
  <si>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</si>
  <si>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</si>
  <si>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</si>
  <si>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</si>
  <si>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</si>
  <si>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</si>
  <si>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</si>
  <si>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</si>
  <si>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</si>
  <si>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</si>
  <si>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</si>
  <si>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</si>
  <si>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</si>
  <si>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</si>
  <si>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</si>
  <si>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</si>
  <si>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</si>
  <si>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</si>
  <si>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</si>
  <si>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</si>
  <si>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</si>
  <si>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</si>
  <si>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</si>
  <si>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</si>
  <si>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</si>
  <si>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</si>
  <si>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</si>
  <si>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</si>
  <si>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</si>
  <si>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</si>
  <si>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</si>
  <si>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</si>
  <si>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DIRECCIONAMIENTO INSTITUCIONAL</t>
  </si>
  <si>
    <t>Objetivo:</t>
  </si>
  <si>
    <t>Ofrecer una educación integral con calidad y excelencia, a través de la implementación de estrategias y metodologías de aprendizaje técnico-académicas, que promuevan la construcción del conocimiento y el talento humano.</t>
  </si>
  <si>
    <t>Alcance:</t>
  </si>
  <si>
    <t>Inicia con la planeación institucional y finaliza con la promoción de los estudiantes.</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</si>
  <si>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</si>
  <si>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</si>
  <si>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</si>
  <si>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</si>
  <si>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</si>
  <si>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</si>
  <si>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</si>
  <si>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</si>
  <si>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</si>
  <si>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</si>
  <si>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</si>
  <si>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</si>
  <si>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</si>
  <si>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</si>
  <si>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</si>
  <si>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</si>
  <si>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</si>
  <si>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</si>
  <si>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</si>
  <si>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</si>
  <si>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</si>
  <si>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</si>
  <si>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</si>
  <si>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</si>
  <si>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</si>
  <si>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</si>
  <si>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</si>
  <si>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</si>
  <si>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</si>
  <si>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</si>
  <si>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</si>
  <si>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</si>
  <si>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</si>
  <si>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</si>
  <si>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</si>
  <si>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</si>
  <si>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</si>
  <si>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</si>
  <si>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</si>
  <si>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</si>
  <si>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</si>
  <si>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</si>
  <si>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</si>
  <si>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</si>
  <si>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</si>
  <si>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</si>
  <si>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</si>
  <si>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</si>
  <si>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</si>
  <si>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</si>
  <si>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</si>
  <si>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</si>
  <si>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</si>
  <si>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</si>
  <si>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</si>
  <si>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</si>
  <si>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</si>
  <si>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</si>
  <si>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</si>
  <si>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</si>
  <si>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Reputacional</t>
  </si>
  <si>
    <t>Procesos</t>
  </si>
  <si>
    <t xml:space="preserve">Aspirantes que no realizan el proceso de admisiones </t>
  </si>
  <si>
    <t>Omisión en el cumplimiento de los requisitos de los estudiantes aspirantes</t>
  </si>
  <si>
    <t xml:space="preserve">
Probabilidad de afectación reputacional por admitir aspirantes que no realizaron  el proceso de admisión o no cumplieron con los requisitos establecidos debido a omisión de los mismos para beneficio propio o a favor de terceros</t>
  </si>
  <si>
    <t>Ejecucion y Administracion de procesos</t>
  </si>
  <si>
    <t>Documental</t>
  </si>
  <si>
    <t>Integridad</t>
  </si>
  <si>
    <t>Moderado (Corrupción)</t>
  </si>
  <si>
    <t>El profesional designado por la Dirección de Bachillerato, de acuerdo con el cronograma de admisiones, verifica los resultados de la evaluación de conocimientos reportados por la empresa tercerizada, así como los resultados de la entrevista, y los contrasta con la cantidad de cupos ofertados para el respectivo año lectivo, con el fin de validar que la asignación de los admitidos se encuentre acorde con los cupos disponibles.
En caso de presentarse una desviación, se realiza el análisis del evento identificado y se determina y ejecuta la acción que corresponda, dejando evidencia de la revisión y de la decisión adoptada.</t>
  </si>
  <si>
    <t xml:space="preserve">Cronograma del Proceso de Admisiones.
Reporte de la empresa tercerizada y entrevista
Publicación de admitidos 
</t>
  </si>
  <si>
    <t>Preventivo</t>
  </si>
  <si>
    <t>Manual</t>
  </si>
  <si>
    <t>Documentado</t>
  </si>
  <si>
    <t>Continua</t>
  </si>
  <si>
    <t>Con Registro</t>
  </si>
  <si>
    <t>DIB - PC- 01 PROCEDIMIENTO DE ADMISIONES</t>
  </si>
  <si>
    <t>Reducir (mitigar)</t>
  </si>
  <si>
    <t xml:space="preserve">Revisar de las publicaciones en el portal web </t>
  </si>
  <si>
    <t xml:space="preserve">Profesionales designados por Dirección </t>
  </si>
  <si>
    <t xml:space="preserve">Portal web </t>
  </si>
  <si>
    <t>Gestión</t>
  </si>
  <si>
    <t>Talento humano</t>
  </si>
  <si>
    <t>inoportunidad en respuestas a PQRSD asignadas al Proceso,</t>
  </si>
  <si>
    <t>Falta de seguimiento a los tiempos de respuesta de acuerdo con el tipo de PQRSD.</t>
  </si>
  <si>
    <t>Probabilidad de afectación reputacional por inoportunidad en respuestas a PQRSD asignadas al Proceso ITBI, debido a la falta de seguimiento a los tiempos de respuesta de acuerdo con su tipología</t>
  </si>
  <si>
    <t>NA</t>
  </si>
  <si>
    <t xml:space="preserve">     El riesgo afecta la imagen de la entidad con algunos usuarios de relevancia frente al logro de los objetivos</t>
  </si>
  <si>
    <t>El Director de Bachillerato, semanalmente, revisa las PQRSD asignadas al Proceso ITBI, verificando su tipología, el término establecido para su respuesta y el estado de trámite. De acuerdo con la competencia técnica o funcional, reasigna oportunamente las PQRSD a los profesionales responsables de proyectar la respuesta y realiza seguimiento a su atención dentro de los términos establecidos. Los proyectos de respuesta son remitidos a la Oficina Jurídica para su revisión y visto bueno, cuando corresponda.
En caso de presentarse una desviación, cuando se identifique riesgo de vencimiento de los términos o la Oficina Jurídica devuelva el proyecto de respuesta con observaciones, el Director de Bachillerato realiza el seguimiento correspondiente y coordina las acciones necesarias para subsanar las observaciones y garantizar la respuesta dentro de los términos establecidos.</t>
  </si>
  <si>
    <t>Reporte semanal de PQRSD
PQRSD respondidsa en términos</t>
  </si>
  <si>
    <t>Reporte semanal de Gestión del Servicio al Ciudadano</t>
  </si>
  <si>
    <t xml:space="preserve">Seguimiento previo al reporte semanal </t>
  </si>
  <si>
    <t>El Director de Bachillerato</t>
  </si>
  <si>
    <t>deficiencias en la articulación del Proyecto Ambiental Escolar (PRAE) con el Sistema de Gestión Ambiental de la ETITC</t>
  </si>
  <si>
    <t>El PRAE se gestion como un proyecto independiente y no como un instrumento que contribuya al desempeño ambiental institucional.</t>
  </si>
  <si>
    <t>Probabilidad de afectación reputacional por deficiencias en la articulación del Proyecto Ambiental Escolar (PRAE) con el Sistema de Gestión Ambiental de la ETITC, debido a que el PRAE se gestiona de forma independiente y no como una herramienta que contribuya al desempeño ambiental institucional.</t>
  </si>
  <si>
    <t xml:space="preserve">¿Cómo se articula actualmente el PRAE con el Sistema de Gestión Ambiental?
¿Qué evidencia existe de esa articulación?
¿Quién es responsable de hacer seguimiento a esa articulación?
La Escuela Tecnológica Instituto Técnico Central ETITC planteó su política de operación en gestión ambiental (ETITC, 2021), para informar a la comunidad y participar en decisiones que mejoren la relación entre la sociedad, el ambiente y la formación humana. El Instituto de Bachillerato Técnico Industrial IBTI ha avanzado en actividades que permiten a los estudiantes conocer y participar en el cuidado del medio ambiente, mediante diagnósticos del entorno para ayudar a resolver problemas ambientales (MEN, 1994).
El  Coordinador del PRAE semestralmente monitorea el indicador Comportamientos de la comunidad y realiza campañas y actividades de sensibilización en cumplimiento del PRAE y de acuerdo con la política de gestión ambiental ETITC.
En caso de desviación de control se reprograman las actividades con la colaboración de las Coordinaciones de Crecimiento Humano de IBTI, a través del canal oficial de comunicaciones. 
</t>
  </si>
  <si>
    <t>Documento PRAE. 
Mensajería Gnosoft.
Campañas.</t>
  </si>
  <si>
    <t>Documento PRAE - Ambiente, Academia e Industria</t>
  </si>
  <si>
    <t>Profundizar en el acercamiento de la Comunidad Educativa IBTI a través del Proyecto Ambiental Escolar (PRAE) con el Sistema de Gestión Ambiental ETITC.</t>
  </si>
  <si>
    <t>Coordinador del PRAE
Responsable del Sistema de Gestión Ambiental ETITC</t>
  </si>
  <si>
    <t>D11 - Incumplimiento de las metas formuladas en el Plan de Desarrollo Institucional 2025-2032</t>
  </si>
  <si>
    <t xml:space="preserve"> por aplicación inadecuada de las medidas de prevención y control definidas para el desarrollo seguro de las prácticas académicas y técnicas</t>
  </si>
  <si>
    <t xml:space="preserve"> fallas en los controles para verificar el uso obligatorio de los elementos de protección en talleres y laboratorios</t>
  </si>
  <si>
    <t xml:space="preserve">Probabilidad de afectación reputacional por aplicación inadecuada de las medidas de prevención y control definidas para el desarrollo seguro de las prácticas académicas y técnicas, debido a las fallas en los controles para verificar el uso obligatorio de los elementos de protección en talleres y laboratorios
</t>
  </si>
  <si>
    <t xml:space="preserve">El docente responsable de las prácticas académicas y técnicas, previo y en el ejercicio del quehacer pedagógico, verifica el cumplimiento de las medidas de prevención y control definidas para la actividad, incluyendo el uso adecuado de los elementos de protección personal (EPP) requeridos, de acuerdo con los peligros identificados en la GSI-SST-FO-10 Matriz de identificación de peligros y valoración del riesgo. En caso de evidenciar incumplimientos o condiciones inseguras, adopta las medidas necesarias para controlar la situación antes de continuar con la actividad y realiza el reporte correspondiente al profesional del Sistema de Seguridad y Salud en el Trabajo. a través del Coordinador de Talleres y Laboratorios IBTI. </t>
  </si>
  <si>
    <t>GSI-SST-FO-10 Matriz de identificación de peligros y valoración del riesgo</t>
  </si>
  <si>
    <t>Solicitar acompañamiento y desarrollo de campañas por parte del profesional de SST-ETITC</t>
  </si>
  <si>
    <t>Coordinador de Talleres y Laboratorios IBTI</t>
  </si>
  <si>
    <t>Documentos asociados</t>
  </si>
  <si>
    <t xml:space="preserve"> uso inadecuado de la información personal y académica de los estudiantes de Bachillerato</t>
  </si>
  <si>
    <t>deficiencias en el manejo, custodia y entrega de la información durante el desarrollo de las actividades propias del proceso.</t>
  </si>
  <si>
    <t>Probabilidad de afectación reputacional por uso inadecuado de información sensible y los registros de los procesos académicos y convivenciales de los estudiantes de Bachillerato, debido a deficiencias en el manejo, custodia y entrega de la información durante el desarrollo de las actividades propias del proceso.</t>
  </si>
  <si>
    <t>Confidencialidad</t>
  </si>
  <si>
    <t xml:space="preserve">     El riesgo afecta la imagen de la entidad a nivel nacional, con efecto publicitarios sostenible a nivel país</t>
  </si>
  <si>
    <t>Los miembros del Comité de Coordinación del IBTI, durante las sesiones ordinarias, analizan y gestionan las situaciones que puedan afectar la adecuada administración, protección y custodia de la información sensible y académica de los estudiantes en el desarrollo de las actividades propias del proceso de docencia IBTI. En caso de desviaciones:  la situación es escalada al profesional responsable de la plataforma académica y al profesional de Seguridad Digital de la ETITC para su evaluación, tratamiento y seguimiento correspondiente..</t>
  </si>
  <si>
    <t>Actas de Comité de coordinación</t>
  </si>
  <si>
    <t>Plataformas digitales y Actas de Comité de Coordinación</t>
  </si>
  <si>
    <t>Solicitar acompañamiento y desarrollo de campañas por parte del profesional de seguridad digital, continuidad y servicio y el soporte de la plataforma académica</t>
  </si>
  <si>
    <t>Comité de Coordinación</t>
  </si>
  <si>
    <t>El funcionario vinculado al IBTI, de acuerdo al rol asignado durante el año lectivo hace uso adecuado de la información. Previo inidio del siguiente año escolar, se hace bloqueo de los accesos a la plataforma según el rol del funcionario. En caso de desviación, se escala la situación al profesional a cargo de la plataforma académica y al profesional de seguridad digital ETITC.</t>
  </si>
  <si>
    <t>Requerimientos a plataforma académica y mesa de ayuda (cuando aplique).</t>
  </si>
  <si>
    <t>Plataformas digitales y correo institucional</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</si>
  <si>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</si>
  <si>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</si>
  <si>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</si>
  <si>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</si>
  <si>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</si>
  <si>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</si>
  <si>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</si>
  <si>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</si>
  <si>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</si>
  <si>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</si>
  <si>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</si>
  <si>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</si>
  <si>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</si>
  <si>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</si>
  <si>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</si>
  <si>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</si>
  <si>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</si>
  <si>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</si>
  <si>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</si>
  <si>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</si>
  <si>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</si>
  <si>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</si>
  <si>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</si>
  <si>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</si>
  <si>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</si>
  <si>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</si>
  <si>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</si>
  <si>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</si>
  <si>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</si>
  <si>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</si>
  <si>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</si>
  <si>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</si>
  <si>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</si>
  <si>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</si>
  <si>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</si>
  <si>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</si>
  <si>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</si>
  <si>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</si>
  <si>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Económico</t>
  </si>
  <si>
    <t>Recursos Públicos</t>
  </si>
  <si>
    <t>Evento externo</t>
  </si>
  <si>
    <t>Daños Activos Fisicos</t>
  </si>
  <si>
    <t>Información</t>
  </si>
  <si>
    <t>Automático</t>
  </si>
  <si>
    <t>Registro Sustancial</t>
  </si>
  <si>
    <t>Aceptar</t>
  </si>
  <si>
    <t>Finalizado</t>
  </si>
  <si>
    <t>•	Talento humano</t>
  </si>
  <si>
    <t>Bienes Públicos</t>
  </si>
  <si>
    <t>Financiero</t>
  </si>
  <si>
    <t xml:space="preserve">Software </t>
  </si>
  <si>
    <t>Disponibilidad</t>
  </si>
  <si>
    <t>Detectivo</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</si>
  <si>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</si>
  <si>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</si>
  <si>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</si>
  <si>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</si>
  <si>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</si>
  <si>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</si>
  <si>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</si>
  <si>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</si>
  <si>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</si>
  <si>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</si>
  <si>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</si>
  <si>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</si>
  <si>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Correctivo</t>
  </si>
  <si>
    <t>Sin registro</t>
  </si>
  <si>
    <t>Reducir</t>
  </si>
  <si>
    <t>•	Infraestructura</t>
  </si>
  <si>
    <t>Fraude Externo</t>
  </si>
  <si>
    <t>Servicios</t>
  </si>
  <si>
    <t>NO APLICA</t>
  </si>
  <si>
    <t>•	Evento externo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</si>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</sst>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07">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sz val="11"/>
      <color theme="9"/>
      <name val="Arial"/>
      <family val="2"/>
    </font>
    <font>
      <b/>
      <sz val="11"/>
      <name val="Arial"/>
      <family val="2"/>
    </font>
    <font>
      <u/>
      <sz val="11"/>
      <color theme="10"/>
      <name val="Calibri"/>
      <family val="2"/>
      <scheme val="minor"/>
    </font>
    <font>
      <sz val="11"/>
      <color rgb="FF000000"/>
      <name val="Calibri"/>
      <scheme val="minor"/>
    </font>
    <font>
      <b/>
      <sz val="10"/>
      <color rgb="FF000000"/>
      <name val="Arial"/>
      <family val="2"/>
    </font>
    <font>
      <sz val="12"/>
      <color rgb="FF000000"/>
      <name val="-Apple-System-Body"/>
      <charset val="1"/>
    </font>
    <font>
      <sz val="11"/>
      <color rgb="FF000000"/>
      <name val="Arial"/>
    </font>
    <font>
      <b/>
      <sz val="11"/>
      <color rgb="FFFF0000"/>
      <name val="Arial"/>
      <family val="2"/>
    </font>
    <font>
      <sz val="11"/>
      <color rgb="FFFF0000"/>
      <name val="Arial"/>
      <family val="2"/>
    </font>
    <font>
      <u/>
      <sz val="11"/>
      <color theme="10"/>
      <name val="Arial"/>
      <family val="2"/>
    </font>
    <font>
      <u/>
      <sz val="11"/>
      <color rgb="FFFF0000"/>
      <name val="Arial"/>
      <family val="2"/>
    </font>
    <font>
      <sz val="10"/>
      <color rgb="FF000000"/>
      <name val="Arial"/>
      <family val="2"/>
    </font>
    <font>
      <sz val="10"/>
      <color rgb="FF000000"/>
      <name val="Arial"/>
      <charset val="1"/>
    </font>
    <font>
      <sz val="11"/>
      <color rgb="FF000000"/>
      <name val="Arial"/>
      <charset val="1"/>
    </font>
  </fonts>
  <fills count="2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s>
  <borders count="116">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5" fillId="0" borderId="0" applyNumberFormat="0" applyFill="0" applyBorder="0" applyAlignment="0" applyProtection="0"/>
  </cellStyleXfs>
  <cellXfs count="684">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0" xfId="0" applyFont="1" applyAlignment="1">
      <alignment horizontal="center" vertical="center" wrapText="1"/>
    </xf>
    <xf numFmtId="0" fontId="65" fillId="0" borderId="21" xfId="0" applyFont="1" applyBorder="1" applyAlignment="1" applyProtection="1">
      <alignment horizontal="center" vertical="center" textRotation="90" wrapText="1"/>
      <protection locked="0"/>
    </xf>
    <xf numFmtId="0" fontId="65" fillId="3" borderId="0" xfId="0" applyFont="1" applyFill="1" applyAlignment="1">
      <alignment horizontal="center" vertical="center" wrapText="1"/>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0" fillId="0" borderId="0" xfId="0" applyFont="1" applyAlignment="1">
      <alignment horizontal="center" vertical="center" wrapText="1"/>
    </xf>
    <xf numFmtId="0" fontId="90" fillId="0" borderId="21" xfId="0" applyFont="1" applyBorder="1" applyAlignment="1">
      <alignment horizontal="center" vertical="center" wrapText="1"/>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4" fillId="0" borderId="21" xfId="0" applyFont="1" applyBorder="1" applyAlignment="1" applyProtection="1">
      <alignment horizontal="center" vertical="center" textRotation="90" wrapText="1"/>
      <protection hidden="1"/>
    </xf>
    <xf numFmtId="0" fontId="90" fillId="3" borderId="0" xfId="0" applyFont="1" applyFill="1" applyAlignment="1">
      <alignment horizontal="center" vertical="center" wrapText="1"/>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43" fillId="0" borderId="108" xfId="0" applyFont="1" applyBorder="1" applyAlignment="1" applyProtection="1">
      <alignment horizontal="center" vertical="center" wrapText="1"/>
      <protection locked="0"/>
    </xf>
    <xf numFmtId="0" fontId="90" fillId="25" borderId="21" xfId="0" applyFont="1" applyFill="1" applyBorder="1" applyAlignment="1" applyProtection="1">
      <alignment horizontal="center" vertical="center" wrapText="1"/>
      <protection locked="0"/>
    </xf>
    <xf numFmtId="0" fontId="65" fillId="25" borderId="21" xfId="0" applyFont="1" applyFill="1" applyBorder="1" applyAlignment="1" applyProtection="1">
      <alignment horizontal="center" vertical="center" wrapText="1"/>
      <protection locked="0"/>
    </xf>
    <xf numFmtId="0" fontId="90" fillId="17" borderId="21" xfId="0" applyFont="1" applyFill="1" applyBorder="1" applyAlignment="1">
      <alignment horizontal="center" vertical="center" wrapText="1"/>
    </xf>
    <xf numFmtId="0" fontId="65" fillId="17" borderId="21" xfId="0" applyFont="1" applyFill="1" applyBorder="1" applyAlignment="1" applyProtection="1">
      <alignment horizontal="center" vertical="center" wrapText="1"/>
      <protection locked="0"/>
    </xf>
    <xf numFmtId="14" fontId="90" fillId="27" borderId="21" xfId="0" applyNumberFormat="1" applyFont="1" applyFill="1" applyBorder="1" applyAlignment="1" applyProtection="1">
      <alignment horizontal="center" vertical="center" wrapText="1"/>
      <protection locked="0"/>
    </xf>
    <xf numFmtId="0" fontId="97" fillId="0" borderId="21" xfId="0" applyFont="1" applyBorder="1" applyAlignment="1">
      <alignment horizontal="left" vertical="center"/>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9" fillId="0" borderId="68" xfId="0" applyFont="1" applyBorder="1" applyAlignment="1">
      <alignment horizontal="center" vertical="center" wrapText="1"/>
    </xf>
    <xf numFmtId="0" fontId="98" fillId="0" borderId="0" xfId="0" applyFont="1"/>
    <xf numFmtId="0" fontId="99" fillId="0" borderId="0" xfId="0" applyFont="1" applyAlignment="1">
      <alignment wrapText="1"/>
    </xf>
    <xf numFmtId="14" fontId="101" fillId="27" borderId="21" xfId="0" applyNumberFormat="1" applyFont="1" applyFill="1" applyBorder="1" applyAlignment="1" applyProtection="1">
      <alignment horizontal="center" vertical="center" wrapText="1"/>
      <protection locked="0"/>
    </xf>
    <xf numFmtId="0" fontId="101" fillId="17" borderId="21" xfId="0" applyFont="1" applyFill="1" applyBorder="1" applyAlignment="1">
      <alignment horizontal="center" vertical="center" wrapText="1"/>
    </xf>
    <xf numFmtId="0" fontId="101" fillId="25" borderId="21" xfId="0" applyFont="1" applyFill="1" applyBorder="1" applyAlignment="1" applyProtection="1">
      <alignment horizontal="center" vertical="center" wrapText="1"/>
      <protection locked="0"/>
    </xf>
    <xf numFmtId="0" fontId="101" fillId="3" borderId="0" xfId="0" applyFont="1" applyFill="1" applyAlignment="1">
      <alignment horizontal="center" vertical="center" wrapText="1"/>
    </xf>
    <xf numFmtId="0" fontId="101" fillId="0" borderId="0" xfId="0" applyFont="1" applyAlignment="1">
      <alignment horizontal="center" vertical="center" wrapText="1"/>
    </xf>
    <xf numFmtId="0" fontId="101" fillId="17" borderId="21" xfId="0" applyFont="1" applyFill="1" applyBorder="1" applyAlignment="1" applyProtection="1">
      <alignment horizontal="center" vertical="center" wrapText="1"/>
      <protection locked="0"/>
    </xf>
    <xf numFmtId="0" fontId="85" fillId="24" borderId="104" xfId="0" applyFont="1" applyFill="1" applyBorder="1" applyAlignment="1">
      <alignment horizontal="left" vertical="top" wrapText="1"/>
    </xf>
    <xf numFmtId="14" fontId="102" fillId="17" borderId="21" xfId="5" applyNumberFormat="1" applyFont="1" applyFill="1" applyBorder="1" applyAlignment="1">
      <alignment horizontal="center" vertical="center" wrapText="1"/>
    </xf>
    <xf numFmtId="14" fontId="102" fillId="3" borderId="0" xfId="5" applyNumberFormat="1" applyFont="1" applyFill="1" applyAlignment="1">
      <alignment horizontal="center" vertical="center" wrapText="1"/>
    </xf>
    <xf numFmtId="0" fontId="90" fillId="0" borderId="21" xfId="0" applyFont="1" applyBorder="1" applyAlignment="1">
      <alignment horizontal="center" vertical="center"/>
    </xf>
    <xf numFmtId="0" fontId="102" fillId="17" borderId="21" xfId="5" applyFont="1" applyFill="1" applyBorder="1" applyAlignment="1">
      <alignment horizontal="center" vertical="center" wrapText="1"/>
    </xf>
    <xf numFmtId="0" fontId="102" fillId="3" borderId="0" xfId="5" applyFont="1" applyFill="1" applyAlignment="1">
      <alignment horizontal="center" vertical="center" wrapText="1"/>
    </xf>
    <xf numFmtId="0" fontId="85" fillId="24" borderId="22" xfId="0" applyFont="1" applyFill="1" applyBorder="1" applyAlignment="1">
      <alignment wrapText="1"/>
    </xf>
    <xf numFmtId="0" fontId="43" fillId="0" borderId="21" xfId="0" applyFont="1" applyBorder="1" applyAlignment="1" applyProtection="1">
      <alignment horizontal="left" vertical="center" wrapText="1"/>
      <protection locked="0"/>
    </xf>
    <xf numFmtId="0" fontId="43" fillId="0" borderId="21" xfId="0" applyFont="1" applyBorder="1" applyAlignment="1" applyProtection="1">
      <alignment horizontal="justify" vertical="center" wrapText="1"/>
      <protection locked="0"/>
    </xf>
    <xf numFmtId="0" fontId="103" fillId="17" borderId="21" xfId="5" applyFont="1" applyFill="1" applyBorder="1" applyAlignment="1">
      <alignment horizontal="center" vertical="center" wrapText="1"/>
    </xf>
    <xf numFmtId="0" fontId="103" fillId="3" borderId="0" xfId="5" applyFont="1" applyFill="1" applyAlignment="1">
      <alignment horizontal="center" vertical="center" wrapText="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0" fontId="65" fillId="0" borderId="103" xfId="0" applyFont="1" applyBorder="1" applyAlignment="1">
      <alignment horizontal="left" wrapText="1"/>
    </xf>
    <xf numFmtId="0" fontId="65" fillId="0" borderId="103" xfId="0" applyFont="1" applyBorder="1" applyAlignment="1">
      <alignment horizontal="left"/>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84" fillId="16" borderId="22"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90" fillId="0" borderId="101"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4" fillId="0" borderId="101" xfId="0" applyFont="1" applyBorder="1" applyAlignment="1">
      <alignment horizontal="center" vertical="center" wrapText="1"/>
    </xf>
    <xf numFmtId="0" fontId="94"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22" xfId="0" applyFont="1" applyBorder="1" applyAlignment="1">
      <alignment horizontal="center" vertical="center" wrapText="1"/>
    </xf>
    <xf numFmtId="0" fontId="101" fillId="0" borderId="101" xfId="0" applyFont="1" applyBorder="1" applyAlignment="1">
      <alignment horizontal="center" vertical="center" wrapText="1"/>
    </xf>
    <xf numFmtId="0" fontId="101" fillId="0" borderId="22" xfId="0" applyFont="1" applyBorder="1" applyAlignment="1">
      <alignment horizontal="center" vertical="center" wrapText="1"/>
    </xf>
    <xf numFmtId="0" fontId="94" fillId="0" borderId="101" xfId="0" applyFont="1" applyBorder="1" applyAlignment="1" applyProtection="1">
      <alignment horizontal="center" vertical="center" wrapText="1"/>
      <protection hidden="1"/>
    </xf>
    <xf numFmtId="0" fontId="94" fillId="0" borderId="22" xfId="0" applyFont="1" applyBorder="1" applyAlignment="1" applyProtection="1">
      <alignment horizontal="center" vertical="center" wrapText="1"/>
      <protection hidden="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14" fontId="90" fillId="26" borderId="109"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6" borderId="107" xfId="0" applyFont="1" applyFill="1" applyBorder="1" applyAlignment="1">
      <alignment horizontal="center" vertical="center"/>
    </xf>
    <xf numFmtId="0" fontId="84" fillId="16" borderId="104" xfId="0"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10"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1"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6" borderId="21" xfId="0" applyFont="1" applyFill="1" applyBorder="1" applyAlignment="1">
      <alignment horizontal="center" vertical="center" textRotation="9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9" fontId="90" fillId="0" borderId="101"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0" fontId="101" fillId="0" borderId="101" xfId="0" applyFont="1" applyBorder="1" applyAlignment="1" applyProtection="1">
      <alignment horizontal="center" vertical="center" wrapText="1"/>
      <protection locked="0"/>
    </xf>
    <xf numFmtId="0" fontId="101" fillId="0" borderId="22" xfId="0" applyFont="1" applyBorder="1" applyAlignment="1" applyProtection="1">
      <alignment horizontal="center" vertical="center" wrapText="1"/>
      <protection locked="0"/>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100" fillId="0" borderId="101" xfId="0" applyFont="1" applyBorder="1" applyAlignment="1">
      <alignment horizontal="center" vertical="center" wrapText="1"/>
    </xf>
    <xf numFmtId="0" fontId="100" fillId="0" borderId="22" xfId="0" applyFont="1" applyBorder="1" applyAlignment="1">
      <alignment horizontal="center" vertical="center" wrapText="1"/>
    </xf>
    <xf numFmtId="9" fontId="90" fillId="0" borderId="101"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14" fontId="90" fillId="0" borderId="101" xfId="0" applyNumberFormat="1" applyFont="1" applyBorder="1" applyAlignment="1" applyProtection="1">
      <alignment horizontal="center" vertical="center" wrapText="1"/>
      <protection locked="0"/>
    </xf>
    <xf numFmtId="14" fontId="90" fillId="0" borderId="22" xfId="0" applyNumberFormat="1" applyFont="1" applyBorder="1" applyAlignment="1" applyProtection="1">
      <alignment horizontal="center" vertical="center" wrapText="1"/>
      <protection locked="0"/>
    </xf>
    <xf numFmtId="0" fontId="90" fillId="0" borderId="101"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0" fontId="85" fillId="0" borderId="101" xfId="0" applyFont="1" applyBorder="1" applyAlignment="1" applyProtection="1">
      <alignment horizontal="center" vertical="center" wrapText="1"/>
      <protection locked="0"/>
    </xf>
    <xf numFmtId="0" fontId="65" fillId="0" borderId="101" xfId="0" applyFont="1" applyBorder="1" applyAlignment="1">
      <alignment horizontal="center" vertical="center" wrapText="1"/>
    </xf>
    <xf numFmtId="0" fontId="65" fillId="0" borderId="22" xfId="0" applyFont="1" applyBorder="1" applyAlignment="1">
      <alignment horizontal="center" vertical="center" wrapText="1"/>
    </xf>
    <xf numFmtId="0" fontId="76" fillId="0" borderId="101" xfId="0" applyFont="1" applyBorder="1" applyAlignment="1">
      <alignment horizontal="center" vertical="center" wrapText="1"/>
    </xf>
    <xf numFmtId="0" fontId="76" fillId="0" borderId="22" xfId="0" applyFont="1" applyBorder="1" applyAlignment="1">
      <alignment horizontal="center" vertical="center" wrapText="1"/>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17" borderId="22" xfId="0" applyNumberFormat="1" applyFont="1" applyFill="1" applyBorder="1" applyAlignment="1">
      <alignment horizontal="center" vertical="center" wrapText="1"/>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14" fontId="90" fillId="25" borderId="22" xfId="0" applyNumberFormat="1" applyFont="1" applyFill="1" applyBorder="1" applyAlignment="1" applyProtection="1">
      <alignment horizontal="center" vertical="center" wrapText="1"/>
      <protection locked="0"/>
    </xf>
    <xf numFmtId="14" fontId="90" fillId="27" borderId="101" xfId="0" applyNumberFormat="1" applyFont="1" applyFill="1" applyBorder="1" applyAlignment="1" applyProtection="1">
      <alignment horizontal="center" vertical="center" wrapText="1"/>
      <protection locked="0"/>
    </xf>
    <xf numFmtId="14" fontId="90" fillId="27" borderId="102" xfId="0" applyNumberFormat="1" applyFont="1" applyFill="1" applyBorder="1" applyAlignment="1" applyProtection="1">
      <alignment horizontal="center" vertical="center" wrapText="1"/>
      <protection locked="0"/>
    </xf>
    <xf numFmtId="14" fontId="90" fillId="27" borderId="22" xfId="0" applyNumberFormat="1" applyFont="1" applyFill="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96" fillId="0" borderId="112" xfId="0" applyFont="1" applyBorder="1" applyAlignment="1">
      <alignment horizontal="center" wrapText="1"/>
    </xf>
    <xf numFmtId="0" fontId="96" fillId="0" borderId="113" xfId="0" applyFont="1" applyBorder="1" applyAlignment="1">
      <alignment horizontal="center" wrapText="1"/>
    </xf>
    <xf numFmtId="0" fontId="96" fillId="0" borderId="114" xfId="0" applyFont="1" applyBorder="1" applyAlignment="1">
      <alignment horizont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61"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5" fillId="16" borderId="22" xfId="0" applyFont="1" applyFill="1" applyBorder="1" applyAlignment="1">
      <alignment horizontal="center" vertical="center"/>
    </xf>
    <xf numFmtId="0" fontId="55" fillId="16" borderId="101" xfId="0" applyFont="1" applyFill="1" applyBorder="1" applyAlignment="1">
      <alignment horizontal="center" vertical="center" textRotation="90"/>
    </xf>
    <xf numFmtId="0" fontId="55" fillId="16" borderId="63" xfId="0" applyFont="1" applyFill="1" applyBorder="1" applyAlignment="1">
      <alignment horizontal="center" vertical="center"/>
    </xf>
    <xf numFmtId="0" fontId="55" fillId="16" borderId="66" xfId="0" applyFont="1" applyFill="1" applyBorder="1" applyAlignment="1">
      <alignment horizontal="center" vertical="center"/>
    </xf>
    <xf numFmtId="0" fontId="55" fillId="16" borderId="65" xfId="0" applyFont="1" applyFill="1" applyBorder="1" applyAlignment="1">
      <alignment horizontal="center" vertical="center"/>
    </xf>
    <xf numFmtId="0" fontId="55" fillId="16" borderId="21" xfId="0" applyFont="1" applyFill="1" applyBorder="1" applyAlignment="1">
      <alignment horizontal="center" vertical="center" wrapText="1"/>
    </xf>
    <xf numFmtId="0" fontId="55" fillId="16" borderId="101" xfId="0" applyFont="1" applyFill="1" applyBorder="1" applyAlignment="1">
      <alignment horizontal="center" vertical="center" wrapText="1"/>
    </xf>
    <xf numFmtId="0" fontId="55" fillId="16" borderId="66" xfId="0" applyFont="1" applyFill="1" applyBorder="1" applyAlignment="1">
      <alignment horizontal="center" vertical="center" wrapText="1"/>
    </xf>
    <xf numFmtId="0" fontId="55" fillId="16" borderId="67" xfId="0" applyFont="1" applyFill="1" applyBorder="1" applyAlignment="1">
      <alignment horizontal="center" vertical="center" wrapText="1"/>
    </xf>
    <xf numFmtId="0" fontId="55" fillId="16" borderId="21" xfId="0" applyFont="1" applyFill="1" applyBorder="1" applyAlignment="1">
      <alignment horizontal="center" vertical="center"/>
    </xf>
    <xf numFmtId="0" fontId="55" fillId="16" borderId="21" xfId="0" applyFont="1" applyFill="1" applyBorder="1" applyAlignment="1">
      <alignment horizontal="center" vertical="center" textRotation="90" wrapText="1"/>
    </xf>
    <xf numFmtId="0" fontId="55" fillId="16" borderId="102" xfId="0" applyFont="1" applyFill="1" applyBorder="1" applyAlignment="1">
      <alignment horizontal="center" vertical="center" textRotation="90"/>
    </xf>
    <xf numFmtId="0" fontId="55" fillId="16" borderId="22" xfId="0" applyFont="1" applyFill="1" applyBorder="1" applyAlignment="1">
      <alignment horizontal="center" vertical="center" wrapText="1"/>
    </xf>
    <xf numFmtId="0" fontId="55" fillId="16" borderId="21" xfId="0" applyFont="1" applyFill="1" applyBorder="1" applyAlignment="1">
      <alignment horizontal="center" vertical="center" wrapText="1"/>
    </xf>
    <xf numFmtId="0" fontId="55" fillId="16" borderId="21" xfId="0" applyFont="1" applyFill="1" applyBorder="1" applyAlignment="1">
      <alignment horizontal="center" vertical="center" textRotation="90"/>
    </xf>
    <xf numFmtId="0" fontId="55" fillId="16" borderId="22" xfId="0" applyFont="1" applyFill="1" applyBorder="1" applyAlignment="1">
      <alignment horizontal="center" vertical="center" textRotation="90"/>
    </xf>
    <xf numFmtId="0" fontId="77" fillId="0" borderId="101" xfId="0" applyFont="1" applyBorder="1" applyAlignment="1" applyProtection="1">
      <alignment horizontal="center" vertical="center" wrapText="1"/>
      <protection hidden="1"/>
    </xf>
    <xf numFmtId="9" fontId="85" fillId="0" borderId="101" xfId="0" applyNumberFormat="1" applyFont="1" applyBorder="1" applyAlignment="1" applyProtection="1">
      <alignment horizontal="center" vertical="center" wrapText="1"/>
      <protection hidden="1"/>
    </xf>
    <xf numFmtId="9" fontId="85" fillId="0" borderId="101" xfId="0" applyNumberFormat="1" applyFont="1" applyBorder="1" applyAlignment="1" applyProtection="1">
      <alignment horizontal="center" vertical="center" wrapText="1"/>
      <protection locked="0"/>
    </xf>
    <xf numFmtId="0" fontId="85" fillId="0" borderId="66" xfId="0" applyFont="1" applyBorder="1" applyAlignment="1">
      <alignment horizontal="center" vertical="center" wrapText="1"/>
    </xf>
    <xf numFmtId="0" fontId="85" fillId="0" borderId="67" xfId="0" applyFont="1" applyBorder="1" applyAlignment="1" applyProtection="1">
      <alignment horizontal="center" vertical="center" wrapText="1"/>
      <protection hidden="1"/>
    </xf>
    <xf numFmtId="0" fontId="85" fillId="0" borderId="21" xfId="0" applyFont="1" applyBorder="1" applyAlignment="1" applyProtection="1">
      <alignment horizontal="center" vertical="center" textRotation="90" wrapText="1"/>
      <protection locked="0"/>
    </xf>
    <xf numFmtId="9" fontId="85" fillId="0" borderId="21" xfId="0" applyNumberFormat="1" applyFont="1" applyBorder="1" applyAlignment="1" applyProtection="1">
      <alignment horizontal="center" vertical="center" wrapText="1"/>
      <protection hidden="1"/>
    </xf>
    <xf numFmtId="0" fontId="104" fillId="0" borderId="101" xfId="0" applyFont="1" applyBorder="1" applyAlignment="1" applyProtection="1">
      <alignment horizontal="center" vertical="center" wrapText="1"/>
      <protection locked="0"/>
    </xf>
    <xf numFmtId="164" fontId="85" fillId="0" borderId="21" xfId="1" applyNumberFormat="1" applyFont="1" applyBorder="1" applyAlignment="1">
      <alignment horizontal="center" vertical="center" wrapText="1"/>
    </xf>
    <xf numFmtId="0" fontId="77" fillId="0" borderId="21" xfId="0" applyFont="1" applyBorder="1" applyAlignment="1" applyProtection="1">
      <alignment horizontal="center" vertical="center" textRotation="90" wrapText="1"/>
      <protection hidden="1"/>
    </xf>
    <xf numFmtId="0" fontId="85" fillId="0" borderId="101" xfId="0" applyFont="1" applyBorder="1" applyAlignment="1" applyProtection="1">
      <alignment horizontal="center" vertical="center" textRotation="90" wrapText="1"/>
      <protection locked="0"/>
    </xf>
    <xf numFmtId="0" fontId="85" fillId="0" borderId="21" xfId="0" applyFont="1" applyBorder="1" applyAlignment="1">
      <alignment horizontal="center" vertical="center" wrapText="1"/>
    </xf>
    <xf numFmtId="14" fontId="85" fillId="0" borderId="101" xfId="0" applyNumberFormat="1" applyFont="1" applyBorder="1" applyAlignment="1" applyProtection="1">
      <alignment horizontal="center" vertical="center" wrapText="1"/>
      <protection locked="0"/>
    </xf>
    <xf numFmtId="0" fontId="85" fillId="0" borderId="22" xfId="0" applyFont="1" applyBorder="1" applyAlignment="1" applyProtection="1">
      <alignment horizontal="center" vertical="center" wrapText="1"/>
      <protection locked="0"/>
    </xf>
    <xf numFmtId="0" fontId="77" fillId="0" borderId="22" xfId="0" applyFont="1" applyBorder="1" applyAlignment="1" applyProtection="1">
      <alignment horizontal="center" vertical="center" wrapText="1"/>
      <protection hidden="1"/>
    </xf>
    <xf numFmtId="9" fontId="85" fillId="0" borderId="22" xfId="0" applyNumberFormat="1" applyFont="1" applyBorder="1" applyAlignment="1" applyProtection="1">
      <alignment horizontal="center" vertical="center" wrapText="1"/>
      <protection hidden="1"/>
    </xf>
    <xf numFmtId="9" fontId="85" fillId="0" borderId="22" xfId="0" applyNumberFormat="1" applyFont="1" applyBorder="1" applyAlignment="1" applyProtection="1">
      <alignment horizontal="center" vertical="center" wrapText="1"/>
      <protection locked="0"/>
    </xf>
    <xf numFmtId="0" fontId="85" fillId="0" borderId="21" xfId="0" applyFont="1" applyBorder="1" applyAlignment="1">
      <alignment horizontal="center" vertical="center"/>
    </xf>
    <xf numFmtId="0" fontId="85" fillId="0" borderId="115" xfId="0" applyFont="1" applyBorder="1"/>
    <xf numFmtId="0" fontId="104" fillId="0" borderId="22" xfId="0" applyFont="1" applyBorder="1" applyAlignment="1" applyProtection="1">
      <alignment horizontal="left" vertical="center" wrapText="1"/>
      <protection locked="0"/>
    </xf>
    <xf numFmtId="0" fontId="85" fillId="0" borderId="21" xfId="0" applyFont="1" applyBorder="1" applyAlignment="1" applyProtection="1">
      <alignment horizontal="center" vertical="center" wrapText="1"/>
      <protection hidden="1"/>
    </xf>
    <xf numFmtId="0" fontId="85" fillId="0" borderId="22" xfId="0" applyFont="1" applyBorder="1" applyAlignment="1" applyProtection="1">
      <alignment horizontal="center" vertical="center" textRotation="90" wrapText="1"/>
      <protection locked="0"/>
    </xf>
    <xf numFmtId="14" fontId="85" fillId="0" borderId="22" xfId="0" applyNumberFormat="1" applyFont="1" applyBorder="1" applyAlignment="1" applyProtection="1">
      <alignment horizontal="center" vertical="center" wrapText="1"/>
      <protection locked="0"/>
    </xf>
    <xf numFmtId="0" fontId="104" fillId="0" borderId="21" xfId="0" applyFont="1" applyBorder="1" applyAlignment="1" applyProtection="1">
      <alignment horizontal="left" vertical="center" wrapText="1"/>
      <protection locked="0"/>
    </xf>
    <xf numFmtId="0" fontId="104" fillId="0" borderId="21" xfId="0" applyFont="1" applyBorder="1" applyAlignment="1" applyProtection="1">
      <alignment horizontal="justify" vertical="center" wrapText="1"/>
      <protection locked="0"/>
    </xf>
    <xf numFmtId="0" fontId="105" fillId="0" borderId="0" xfId="0" applyFont="1" applyAlignment="1">
      <alignment horizontal="center" wrapText="1"/>
    </xf>
    <xf numFmtId="0" fontId="85" fillId="0" borderId="101" xfId="0" applyFont="1" applyBorder="1" applyAlignment="1">
      <alignment horizontal="center" vertical="center" wrapText="1"/>
    </xf>
    <xf numFmtId="0" fontId="106" fillId="0" borderId="0" xfId="0" applyFont="1" applyAlignment="1">
      <alignment wrapText="1"/>
    </xf>
    <xf numFmtId="0" fontId="85" fillId="0" borderId="21" xfId="0" applyFont="1" applyBorder="1" applyAlignment="1" applyProtection="1">
      <alignment horizontal="left" vertical="center" wrapText="1"/>
      <protection locked="0"/>
    </xf>
    <xf numFmtId="0" fontId="85" fillId="0" borderId="102" xfId="0" applyFont="1" applyBorder="1" applyAlignment="1">
      <alignment horizontal="center" vertical="center" wrapText="1"/>
    </xf>
    <xf numFmtId="0" fontId="85" fillId="0" borderId="22" xfId="0" applyFont="1" applyBorder="1" applyAlignment="1" applyProtection="1">
      <alignment horizontal="center" vertical="center" wrapText="1"/>
      <protection locked="0"/>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42811" y="1816267"/>
          <a:ext cx="8417093" cy="3995988"/>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0500"/>
          <a:ext cx="676275" cy="7715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419"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28" zoomScale="95" zoomScaleNormal="95" workbookViewId="0">
      <selection activeCell="P13" sqref="P13"/>
    </sheetView>
  </sheetViews>
  <sheetFormatPr defaultColWidth="11.42578125" defaultRowHeight="15"/>
  <cols>
    <col min="1" max="1" width="3.7109375" style="68" customWidth="1"/>
    <col min="2" max="2" width="16.7109375" customWidth="1"/>
    <col min="3" max="3" width="25" customWidth="1"/>
    <col min="4" max="12" width="10.7109375" customWidth="1"/>
    <col min="13" max="13" width="13.28515625" customWidth="1"/>
    <col min="14" max="14" width="15.5703125" customWidth="1"/>
    <col min="15" max="16384" width="11.42578125" style="68"/>
  </cols>
  <sheetData>
    <row r="1" spans="2:14" ht="12.75" customHeight="1" thickBot="1">
      <c r="B1" s="68"/>
      <c r="C1" s="68"/>
      <c r="D1" s="68"/>
      <c r="E1" s="68"/>
      <c r="F1" s="68"/>
      <c r="G1" s="68"/>
      <c r="H1" s="68"/>
      <c r="I1" s="68"/>
      <c r="J1" s="68"/>
      <c r="K1" s="68"/>
      <c r="L1" s="68"/>
      <c r="M1" s="68"/>
      <c r="N1" s="68"/>
    </row>
    <row r="2" spans="2:14" ht="18.75" customHeight="1">
      <c r="B2" s="331" t="s">
        <v>0</v>
      </c>
      <c r="C2" s="332"/>
      <c r="D2" s="322" t="s">
        <v>1</v>
      </c>
      <c r="E2" s="323"/>
      <c r="F2" s="323"/>
      <c r="G2" s="323"/>
      <c r="H2" s="323"/>
      <c r="I2" s="323"/>
      <c r="J2" s="323"/>
      <c r="K2" s="323"/>
      <c r="L2" s="324"/>
      <c r="M2" s="337" t="s">
        <v>2</v>
      </c>
      <c r="N2" s="338"/>
    </row>
    <row r="3" spans="2:14" ht="15.75" customHeight="1">
      <c r="B3" s="333"/>
      <c r="C3" s="334"/>
      <c r="D3" s="325"/>
      <c r="E3" s="326"/>
      <c r="F3" s="326"/>
      <c r="G3" s="326"/>
      <c r="H3" s="326"/>
      <c r="I3" s="326"/>
      <c r="J3" s="326"/>
      <c r="K3" s="326"/>
      <c r="L3" s="327"/>
      <c r="M3" s="339" t="s">
        <v>3</v>
      </c>
      <c r="N3" s="340"/>
    </row>
    <row r="4" spans="2:14" ht="18.75" customHeight="1">
      <c r="B4" s="333"/>
      <c r="C4" s="334"/>
      <c r="D4" s="325"/>
      <c r="E4" s="326"/>
      <c r="F4" s="326"/>
      <c r="G4" s="326"/>
      <c r="H4" s="326"/>
      <c r="I4" s="326"/>
      <c r="J4" s="326"/>
      <c r="K4" s="326"/>
      <c r="L4" s="327"/>
      <c r="M4" s="339" t="s">
        <v>4</v>
      </c>
      <c r="N4" s="340"/>
    </row>
    <row r="5" spans="2:14" ht="29.25" customHeight="1" thickBot="1">
      <c r="B5" s="335"/>
      <c r="C5" s="336"/>
      <c r="D5" s="328"/>
      <c r="E5" s="329"/>
      <c r="F5" s="329"/>
      <c r="G5" s="329"/>
      <c r="H5" s="329"/>
      <c r="I5" s="329"/>
      <c r="J5" s="329"/>
      <c r="K5" s="329"/>
      <c r="L5" s="330"/>
      <c r="M5" s="341" t="s">
        <v>5</v>
      </c>
      <c r="N5" s="342"/>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321" t="s">
        <v>6</v>
      </c>
      <c r="E31" s="321"/>
      <c r="N31" s="130"/>
    </row>
    <row r="32" spans="2:14">
      <c r="B32" s="129"/>
      <c r="D32" s="321"/>
      <c r="E32" s="321"/>
      <c r="N32" s="130"/>
    </row>
    <row r="33" spans="2:14">
      <c r="B33" s="129"/>
      <c r="N33" s="130"/>
    </row>
    <row r="34" spans="2:14">
      <c r="B34" s="129"/>
      <c r="N34" s="130"/>
    </row>
    <row r="35" spans="2:14">
      <c r="B35" s="129"/>
      <c r="N35" s="130"/>
    </row>
    <row r="36" spans="2:14">
      <c r="B36" s="129"/>
      <c r="N36" s="130"/>
    </row>
    <row r="37" spans="2:14">
      <c r="B37" s="129"/>
      <c r="N37" s="130"/>
    </row>
    <row r="38" spans="2:14" ht="15.75"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defaultColWidth="11.42578125" defaultRowHeight="15"/>
  <cols>
    <col min="1" max="1" width="5.28515625" customWidth="1"/>
    <col min="2" max="2" width="8.7109375" customWidth="1"/>
    <col min="3" max="3" width="9" customWidth="1"/>
    <col min="4" max="41" width="5.7109375" customWidth="1"/>
    <col min="43" max="48" width="5.7109375" customWidth="1"/>
  </cols>
  <sheetData>
    <row r="1" spans="1:101" ht="15.75" thickBot="1"/>
    <row r="2" spans="1:101" ht="15" customHeight="1">
      <c r="D2" s="432" t="s">
        <v>303</v>
      </c>
      <c r="E2" s="433"/>
      <c r="F2" s="433"/>
      <c r="G2" s="433"/>
      <c r="H2" s="433"/>
      <c r="I2" s="433"/>
      <c r="J2" s="433"/>
      <c r="K2" s="434"/>
      <c r="L2" s="423" t="s">
        <v>39</v>
      </c>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5"/>
      <c r="AP2" s="364" t="s">
        <v>304</v>
      </c>
      <c r="AQ2" s="420"/>
      <c r="AR2" s="420"/>
      <c r="AS2" s="420"/>
      <c r="AT2" s="420"/>
      <c r="AU2" s="420"/>
      <c r="AV2" s="338"/>
    </row>
    <row r="3" spans="1:101">
      <c r="D3" s="435"/>
      <c r="E3" s="436"/>
      <c r="F3" s="436"/>
      <c r="G3" s="436"/>
      <c r="H3" s="436"/>
      <c r="I3" s="436"/>
      <c r="J3" s="436"/>
      <c r="K3" s="437"/>
      <c r="L3" s="426"/>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8"/>
      <c r="AP3" s="365" t="s">
        <v>3</v>
      </c>
      <c r="AQ3" s="421"/>
      <c r="AR3" s="421"/>
      <c r="AS3" s="421"/>
      <c r="AT3" s="421"/>
      <c r="AU3" s="421"/>
      <c r="AV3" s="340"/>
    </row>
    <row r="4" spans="1:101">
      <c r="D4" s="435"/>
      <c r="E4" s="436"/>
      <c r="F4" s="436"/>
      <c r="G4" s="436"/>
      <c r="H4" s="436"/>
      <c r="I4" s="436"/>
      <c r="J4" s="436"/>
      <c r="K4" s="437"/>
      <c r="L4" s="426"/>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8"/>
      <c r="AP4" s="365" t="s">
        <v>4</v>
      </c>
      <c r="AQ4" s="421" t="s">
        <v>305</v>
      </c>
      <c r="AR4" s="421"/>
      <c r="AS4" s="421"/>
      <c r="AT4" s="421"/>
      <c r="AU4" s="421"/>
      <c r="AV4" s="340"/>
    </row>
    <row r="5" spans="1:101" ht="15.75" thickBot="1">
      <c r="D5" s="438"/>
      <c r="E5" s="439"/>
      <c r="F5" s="439"/>
      <c r="G5" s="439"/>
      <c r="H5" s="439"/>
      <c r="I5" s="439"/>
      <c r="J5" s="439"/>
      <c r="K5" s="440"/>
      <c r="L5" s="429"/>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1"/>
      <c r="AP5" s="366" t="s">
        <v>5</v>
      </c>
      <c r="AQ5" s="422" t="s">
        <v>5</v>
      </c>
      <c r="AR5" s="422"/>
      <c r="AS5" s="422"/>
      <c r="AT5" s="422"/>
      <c r="AU5" s="422"/>
      <c r="AV5" s="342"/>
    </row>
    <row r="7" spans="1:101" ht="18" customHeight="1">
      <c r="C7" s="68"/>
      <c r="D7" s="372" t="s">
        <v>306</v>
      </c>
      <c r="E7" s="372"/>
      <c r="F7" s="372"/>
      <c r="G7" s="372"/>
      <c r="H7" s="372"/>
      <c r="I7" s="372"/>
      <c r="J7" s="372"/>
      <c r="K7" s="372"/>
      <c r="L7" s="479" t="s">
        <v>60</v>
      </c>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c r="AN7" s="479"/>
      <c r="AO7" s="479"/>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245" t="s">
        <v>9</v>
      </c>
      <c r="B8" s="245"/>
      <c r="C8" s="246"/>
      <c r="D8" s="372"/>
      <c r="E8" s="372"/>
      <c r="F8" s="372"/>
      <c r="G8" s="372"/>
      <c r="H8" s="372"/>
      <c r="I8" s="372"/>
      <c r="J8" s="372"/>
      <c r="K8" s="372"/>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79"/>
      <c r="AM8" s="479"/>
      <c r="AN8" s="479"/>
      <c r="AO8" s="479"/>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372"/>
      <c r="E9" s="372"/>
      <c r="F9" s="372"/>
      <c r="G9" s="372"/>
      <c r="H9" s="372"/>
      <c r="I9" s="372"/>
      <c r="J9" s="372"/>
      <c r="K9" s="372"/>
      <c r="L9" s="479"/>
      <c r="M9" s="479"/>
      <c r="N9" s="479"/>
      <c r="O9" s="479"/>
      <c r="P9" s="479"/>
      <c r="Q9" s="479"/>
      <c r="R9" s="479"/>
      <c r="S9" s="479"/>
      <c r="T9" s="479"/>
      <c r="U9" s="479"/>
      <c r="V9" s="479"/>
      <c r="W9" s="479"/>
      <c r="X9" s="479"/>
      <c r="Y9" s="479"/>
      <c r="Z9" s="479"/>
      <c r="AA9" s="479"/>
      <c r="AB9" s="479"/>
      <c r="AC9" s="479"/>
      <c r="AD9" s="479"/>
      <c r="AE9" s="479"/>
      <c r="AF9" s="479"/>
      <c r="AG9" s="479"/>
      <c r="AH9" s="479"/>
      <c r="AI9" s="479"/>
      <c r="AJ9" s="479"/>
      <c r="AK9" s="479"/>
      <c r="AL9" s="479"/>
      <c r="AM9" s="479"/>
      <c r="AN9" s="479"/>
      <c r="AO9" s="479"/>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75"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41" t="s">
        <v>307</v>
      </c>
      <c r="E11" s="441"/>
      <c r="F11" s="442"/>
      <c r="G11" s="409" t="s">
        <v>308</v>
      </c>
      <c r="H11" s="411"/>
      <c r="I11" s="411"/>
      <c r="J11" s="411"/>
      <c r="K11" s="411"/>
      <c r="L11" s="406"/>
      <c r="M11" s="407"/>
      <c r="N11" s="407" t="str">
        <f>IF(AND('Mapa final'!$K$15="Muy Alta",'Mapa final'!$O$15="Leve"),CONCATENATE("R",'Mapa final'!$A$16),"")</f>
        <v/>
      </c>
      <c r="O11" s="407"/>
      <c r="P11" s="407" t="str">
        <f>IF(AND('Mapa final'!$K$17="Muy Alta",'Mapa final'!$O$17="Leve"),CONCATENATE("R",'Mapa final'!$A$17),"")</f>
        <v/>
      </c>
      <c r="Q11" s="408"/>
      <c r="R11" s="406"/>
      <c r="S11" s="407"/>
      <c r="T11" s="407" t="str">
        <f>IF(AND('Mapa final'!$P$15="Muy Alta",'Mapa final'!$S$15="Menor"),CONCATENATE("R",'Mapa final'!$A$16),"")</f>
        <v/>
      </c>
      <c r="U11" s="407"/>
      <c r="V11" s="407" t="str">
        <f>IF(AND('Mapa final'!$P$17="Muy Alta",'Mapa final'!$S$17="Menor"),CONCATENATE("R",'Mapa final'!$A$17),"")</f>
        <v/>
      </c>
      <c r="W11" s="407"/>
      <c r="X11" s="406"/>
      <c r="Y11" s="407"/>
      <c r="Z11" s="407" t="str">
        <f>IF(AND('Mapa final'!P$15="Muy Alta",'Mapa final'!$S$15="Moderado"),CONCATENATE("R",'Mapa final'!$A$16),"")</f>
        <v/>
      </c>
      <c r="AA11" s="407"/>
      <c r="AB11" s="407" t="str">
        <f>IF(AND('Mapa final'!$P$17="Muy Alta",'Mapa final'!$S$17="Moderado"),CONCATENATE("R",'Mapa final'!$A$17),"")</f>
        <v/>
      </c>
      <c r="AC11" s="407"/>
      <c r="AD11" s="406"/>
      <c r="AE11" s="407"/>
      <c r="AF11" s="407" t="str">
        <f>IF(AND('Mapa final'!$P$15="Muy Alta",'Mapa final'!$S$15="Mayor"),CONCATENATE("R",'Mapa final'!$A$16),"")</f>
        <v/>
      </c>
      <c r="AG11" s="407"/>
      <c r="AH11" s="407" t="str">
        <f>IF(AND('Mapa final'!$P$17="Muy Alta",'Mapa final'!$S$17="Mayor"),CONCATENATE("R",'Mapa final'!$A$17),"")</f>
        <v/>
      </c>
      <c r="AI11" s="407"/>
      <c r="AJ11" s="397"/>
      <c r="AK11" s="398"/>
      <c r="AL11" s="398" t="str">
        <f>IF(AND('Mapa final'!$P$15="Muy Alta",'Mapa final'!$S$15="Catastrófico"),CONCATENATE("R",'Mapa final'!$A$16),"")</f>
        <v/>
      </c>
      <c r="AM11" s="398"/>
      <c r="AN11" s="398" t="str">
        <f>IF(AND('Mapa final'!$P$17="Muy Alta",'Mapa final'!$S$17="Catastrófico"),CONCATENATE("R",'Mapa final'!$A$17),"")</f>
        <v/>
      </c>
      <c r="AO11" s="399"/>
      <c r="AQ11" s="443" t="s">
        <v>309</v>
      </c>
      <c r="AR11" s="444"/>
      <c r="AS11" s="444"/>
      <c r="AT11" s="444"/>
      <c r="AU11" s="444"/>
      <c r="AV11" s="445"/>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41"/>
      <c r="E12" s="441"/>
      <c r="F12" s="442"/>
      <c r="G12" s="413"/>
      <c r="H12" s="414"/>
      <c r="I12" s="414"/>
      <c r="J12" s="414"/>
      <c r="K12" s="414"/>
      <c r="L12" s="400"/>
      <c r="M12" s="401"/>
      <c r="N12" s="401"/>
      <c r="O12" s="401"/>
      <c r="P12" s="401"/>
      <c r="Q12" s="402"/>
      <c r="R12" s="400"/>
      <c r="S12" s="401"/>
      <c r="T12" s="401"/>
      <c r="U12" s="401"/>
      <c r="V12" s="401"/>
      <c r="W12" s="401"/>
      <c r="X12" s="400"/>
      <c r="Y12" s="401"/>
      <c r="Z12" s="401"/>
      <c r="AA12" s="401"/>
      <c r="AB12" s="401"/>
      <c r="AC12" s="401"/>
      <c r="AD12" s="400"/>
      <c r="AE12" s="401"/>
      <c r="AF12" s="401"/>
      <c r="AG12" s="401"/>
      <c r="AH12" s="401"/>
      <c r="AI12" s="401"/>
      <c r="AJ12" s="391"/>
      <c r="AK12" s="392"/>
      <c r="AL12" s="392"/>
      <c r="AM12" s="392"/>
      <c r="AN12" s="392"/>
      <c r="AO12" s="393"/>
      <c r="AP12" s="68"/>
      <c r="AQ12" s="446"/>
      <c r="AR12" s="447"/>
      <c r="AS12" s="447"/>
      <c r="AT12" s="447"/>
      <c r="AU12" s="447"/>
      <c r="AV12" s="44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41"/>
      <c r="E13" s="441"/>
      <c r="F13" s="442"/>
      <c r="G13" s="413"/>
      <c r="H13" s="414"/>
      <c r="I13" s="414"/>
      <c r="J13" s="414"/>
      <c r="K13" s="414"/>
      <c r="L13" s="400" t="str">
        <f>IF(AND('Mapa final'!$P$20="Muy Alta",'Mapa final'!$S$20="Leve"),CONCATENATE("R",'Mapa final'!$A$20),"")</f>
        <v/>
      </c>
      <c r="M13" s="401"/>
      <c r="N13" s="401" t="str">
        <f>IF(AND('Mapa final'!$K$21="Muy Alta",'Mapa final'!$O$21="Leve"),CONCATENATE("R",'Mapa final'!$A$21),"")</f>
        <v/>
      </c>
      <c r="O13" s="401"/>
      <c r="P13" s="401" t="str">
        <f>IF(AND('Mapa final'!$K$22="Muy Alta",'Mapa final'!$O$22="Leve"),CONCATENATE("R",'Mapa final'!$A$22),"")</f>
        <v/>
      </c>
      <c r="Q13" s="402"/>
      <c r="R13" s="400" t="str">
        <f>IF(AND('Mapa final'!$P$20="Muy Alta",'Mapa final'!$S$20="Menor"),CONCATENATE("R",'Mapa final'!$A$20),"")</f>
        <v/>
      </c>
      <c r="S13" s="401"/>
      <c r="T13" s="401" t="str">
        <f>IF(AND('Mapa final'!$P$21="Muy Alta",'Mapa final'!$S$21="Menor"),CONCATENATE("R",'Mapa final'!$A$21),"")</f>
        <v/>
      </c>
      <c r="U13" s="401"/>
      <c r="V13" s="401" t="str">
        <f>IF(AND('Mapa final'!$P$22="Muy Alta",'Mapa final'!$S$22="Menor"),CONCATENATE("R",'Mapa final'!$A$22),"")</f>
        <v/>
      </c>
      <c r="W13" s="401"/>
      <c r="X13" s="400" t="str">
        <f>IF(AND('Mapa final'!$P$20="Muy Alta",'Mapa final'!$S$20="Moderado"),CONCATENATE("R",'Mapa final'!$A$20),"")</f>
        <v/>
      </c>
      <c r="Y13" s="401"/>
      <c r="Z13" s="401" t="str">
        <f>IF(AND('Mapa final'!$P$21="Muy Alta",'Mapa final'!$S$21="Moderado"),CONCATENATE("R",'Mapa final'!$A$21),"")</f>
        <v/>
      </c>
      <c r="AA13" s="401"/>
      <c r="AB13" s="401" t="str">
        <f>IF(AND('Mapa final'!$P$22="Muy Alta",'Mapa final'!$S$22="Moderado"),CONCATENATE("R",'Mapa final'!$A$22),"")</f>
        <v/>
      </c>
      <c r="AC13" s="401"/>
      <c r="AD13" s="400" t="str">
        <f>IF(AND('Mapa final'!$P$20="Muy Alta",'Mapa final'!$S$20="Mayor"),CONCATENATE("R",'Mapa final'!$A$20),"")</f>
        <v/>
      </c>
      <c r="AE13" s="401"/>
      <c r="AF13" s="401" t="str">
        <f>IF(AND('Mapa final'!$P$21="Muy Alta",'Mapa final'!$S$21="Mayor"),CONCATENATE("R",'Mapa final'!$A$21),"")</f>
        <v/>
      </c>
      <c r="AG13" s="401"/>
      <c r="AH13" s="401" t="str">
        <f>IF(AND('Mapa final'!$P$22="Muy Alta",'Mapa final'!$S$22="Mayor"),CONCATENATE("R",'Mapa final'!$A$22),"")</f>
        <v/>
      </c>
      <c r="AI13" s="401"/>
      <c r="AJ13" s="391" t="str">
        <f>IF(AND('Mapa final'!$P$20="Muy Alta",'Mapa final'!$S$20="Catastrófico"),CONCATENATE("R",'Mapa final'!$A$20),"")</f>
        <v/>
      </c>
      <c r="AK13" s="392"/>
      <c r="AL13" s="392" t="str">
        <f>IF(AND('Mapa final'!$P$21="Muy Alta",'Mapa final'!$S$21="Catastrófico"),CONCATENATE("R",'Mapa final'!$A$21),"")</f>
        <v/>
      </c>
      <c r="AM13" s="392"/>
      <c r="AN13" s="392" t="str">
        <f>IF(AND('Mapa final'!$P$22="Muy Alta",'Mapa final'!$K$22="Catastrófico"),CONCATENATE("R",'Mapa final'!$A$22),"")</f>
        <v/>
      </c>
      <c r="AO13" s="393"/>
      <c r="AP13" s="68"/>
      <c r="AQ13" s="446"/>
      <c r="AR13" s="447"/>
      <c r="AS13" s="447"/>
      <c r="AT13" s="447"/>
      <c r="AU13" s="447"/>
      <c r="AV13" s="44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41"/>
      <c r="E14" s="441"/>
      <c r="F14" s="442"/>
      <c r="G14" s="413"/>
      <c r="H14" s="414"/>
      <c r="I14" s="414"/>
      <c r="J14" s="414"/>
      <c r="K14" s="414"/>
      <c r="L14" s="400"/>
      <c r="M14" s="401"/>
      <c r="N14" s="401"/>
      <c r="O14" s="401"/>
      <c r="P14" s="401"/>
      <c r="Q14" s="402"/>
      <c r="R14" s="400"/>
      <c r="S14" s="401"/>
      <c r="T14" s="401"/>
      <c r="U14" s="401"/>
      <c r="V14" s="401"/>
      <c r="W14" s="401"/>
      <c r="X14" s="400"/>
      <c r="Y14" s="401"/>
      <c r="Z14" s="401"/>
      <c r="AA14" s="401"/>
      <c r="AB14" s="401"/>
      <c r="AC14" s="401"/>
      <c r="AD14" s="400"/>
      <c r="AE14" s="401"/>
      <c r="AF14" s="401"/>
      <c r="AG14" s="401"/>
      <c r="AH14" s="401"/>
      <c r="AI14" s="401"/>
      <c r="AJ14" s="391"/>
      <c r="AK14" s="392"/>
      <c r="AL14" s="392"/>
      <c r="AM14" s="392"/>
      <c r="AN14" s="392"/>
      <c r="AO14" s="393"/>
      <c r="AP14" s="68"/>
      <c r="AQ14" s="446"/>
      <c r="AR14" s="447"/>
      <c r="AS14" s="447"/>
      <c r="AT14" s="447"/>
      <c r="AU14" s="447"/>
      <c r="AV14" s="44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41"/>
      <c r="E15" s="441"/>
      <c r="F15" s="442"/>
      <c r="G15" s="413"/>
      <c r="H15" s="414"/>
      <c r="I15" s="414"/>
      <c r="J15" s="414"/>
      <c r="K15" s="414"/>
      <c r="L15" s="400" t="str">
        <f>IF(AND('Mapa final'!$P$23="Muy Alta",'Mapa final'!$S$23="Leve"),CONCATENATE("R",'Mapa final'!$A$23),"")</f>
        <v/>
      </c>
      <c r="M15" s="401"/>
      <c r="N15" s="401" t="str">
        <f>IF(AND('Mapa final'!$K$24="Muy Alta",'Mapa final'!$O$25="Leve"),CONCATENATE("R",'Mapa final'!$A$24),"")</f>
        <v/>
      </c>
      <c r="O15" s="401"/>
      <c r="P15" s="401" t="str">
        <f>IF(AND('Mapa final'!$K$33="Muy Alta",'Mapa final'!$O$33="Leve"),CONCATENATE("R",'Mapa final'!$A$33),"")</f>
        <v/>
      </c>
      <c r="Q15" s="402"/>
      <c r="R15" s="400" t="str">
        <f>IF(AND('Mapa final'!$P$23="Muy Alta",'Mapa final'!$S$23="Menor"),CONCATENATE("R",'Mapa final'!$A$23),"")</f>
        <v/>
      </c>
      <c r="S15" s="401"/>
      <c r="T15" s="401" t="str">
        <f>IF(AND('Mapa final'!$LT$24="Muy Alta",'Mapa final'!$S$24="Menor"),CONCATENATE("R",'Mapa final'!$A$24),"")</f>
        <v/>
      </c>
      <c r="U15" s="401"/>
      <c r="V15" s="401" t="str">
        <f>IF(AND('Mapa final'!$P$33="Muy Alta",'Mapa final'!$S$33="Menor"),CONCATENATE("R",'Mapa final'!$A$33),"")</f>
        <v/>
      </c>
      <c r="W15" s="401"/>
      <c r="X15" s="400" t="str">
        <f>IF(AND('Mapa final'!$P$23="Muy Alta",'Mapa final'!$S$23="Moderado"),CONCATENATE("R",'Mapa final'!$A$23),"")</f>
        <v/>
      </c>
      <c r="Y15" s="401"/>
      <c r="Z15" s="401" t="str">
        <f>IF(AND('Mapa final'!$P$24="Muy Alta",'Mapa final'!$S$24="Moderado"),CONCATENATE("R",'Mapa final'!$A$24),"")</f>
        <v/>
      </c>
      <c r="AA15" s="401"/>
      <c r="AB15" s="401" t="str">
        <f>IF(AND('Mapa final'!$P$33="Muy Alta",'Mapa final'!$S$33="Moderado"),CONCATENATE("R",'Mapa final'!$A$33),"")</f>
        <v/>
      </c>
      <c r="AC15" s="401"/>
      <c r="AD15" s="400" t="str">
        <f>IF(AND('Mapa final'!$P$23="Muy Alta",'Mapa final'!$S$23="Mayor"),CONCATENATE("R",'Mapa final'!$A$23),"")</f>
        <v/>
      </c>
      <c r="AE15" s="401"/>
      <c r="AF15" s="401" t="str">
        <f>IF(AND('Mapa final'!$P$24="Muy Alta",'Mapa final'!$S$24="Mayor"),CONCATENATE("R",'Mapa final'!$A$24),"")</f>
        <v/>
      </c>
      <c r="AG15" s="401"/>
      <c r="AH15" s="401" t="str">
        <f>IF(AND('Mapa final'!$P$33="Muy Alta",'Mapa final'!$S$33="Mayor"),CONCATENATE("R",'Mapa final'!$A$33),"")</f>
        <v/>
      </c>
      <c r="AI15" s="401"/>
      <c r="AJ15" s="391" t="str">
        <f>IF(AND('Mapa final'!$P$23="Muy Alta",'Mapa final'!$S$23="Catastrófico"),CONCATENATE("R",'Mapa final'!$A$23),"")</f>
        <v/>
      </c>
      <c r="AK15" s="392"/>
      <c r="AL15" s="392" t="str">
        <f>IF(AND('Mapa final'!$P$24="Muy Alta",'Mapa final'!$S$24="Catastrófico"),CONCATENATE("R",'Mapa final'!$A$24),"")</f>
        <v/>
      </c>
      <c r="AM15" s="392"/>
      <c r="AN15" s="392" t="str">
        <f>IF(AND('Mapa final'!$P$33="Muy Alta",'Mapa final'!$S$33="Catastrófico"),CONCATENATE("R",'Mapa final'!$A$33),"")</f>
        <v/>
      </c>
      <c r="AO15" s="393"/>
      <c r="AP15" s="68"/>
      <c r="AQ15" s="446"/>
      <c r="AR15" s="447"/>
      <c r="AS15" s="447"/>
      <c r="AT15" s="447"/>
      <c r="AU15" s="447"/>
      <c r="AV15" s="44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41"/>
      <c r="E16" s="441"/>
      <c r="F16" s="442"/>
      <c r="G16" s="413"/>
      <c r="H16" s="414"/>
      <c r="I16" s="414"/>
      <c r="J16" s="414"/>
      <c r="K16" s="414"/>
      <c r="L16" s="400"/>
      <c r="M16" s="401"/>
      <c r="N16" s="401"/>
      <c r="O16" s="401"/>
      <c r="P16" s="401"/>
      <c r="Q16" s="402"/>
      <c r="R16" s="400"/>
      <c r="S16" s="401"/>
      <c r="T16" s="401"/>
      <c r="U16" s="401"/>
      <c r="V16" s="401"/>
      <c r="W16" s="401"/>
      <c r="X16" s="400"/>
      <c r="Y16" s="401"/>
      <c r="Z16" s="401"/>
      <c r="AA16" s="401"/>
      <c r="AB16" s="401"/>
      <c r="AC16" s="401"/>
      <c r="AD16" s="400"/>
      <c r="AE16" s="401"/>
      <c r="AF16" s="401"/>
      <c r="AG16" s="401"/>
      <c r="AH16" s="401"/>
      <c r="AI16" s="401"/>
      <c r="AJ16" s="391"/>
      <c r="AK16" s="392"/>
      <c r="AL16" s="392"/>
      <c r="AM16" s="392"/>
      <c r="AN16" s="392"/>
      <c r="AO16" s="393"/>
      <c r="AP16" s="68"/>
      <c r="AQ16" s="446"/>
      <c r="AR16" s="447"/>
      <c r="AS16" s="447"/>
      <c r="AT16" s="447"/>
      <c r="AU16" s="447"/>
      <c r="AV16" s="44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41"/>
      <c r="E17" s="441"/>
      <c r="F17" s="442"/>
      <c r="G17" s="413"/>
      <c r="H17" s="414"/>
      <c r="I17" s="414"/>
      <c r="J17" s="414"/>
      <c r="K17" s="414"/>
      <c r="L17" s="400" t="str">
        <f>IF(AND('Mapa final'!$P$34="Muy Alta",'Mapa final'!$S$34="Leve"),CONCATENATE("R",'Mapa final'!$A$34),"")</f>
        <v/>
      </c>
      <c r="M17" s="401"/>
      <c r="N17" s="401" t="str">
        <f>IF(AND('Mapa final'!$K$35="Muy Alta",'Mapa final'!$O$35="Leve"),CONCATENATE("R",'Mapa final'!$A$35),"")</f>
        <v/>
      </c>
      <c r="O17" s="401"/>
      <c r="P17" s="401" t="str">
        <f>IF(AND('Mapa final'!$K$36="Muy Alta",'Mapa final'!$O$36="Leve"),CONCATENATE("R",'Mapa final'!$A$36),"")</f>
        <v/>
      </c>
      <c r="Q17" s="402"/>
      <c r="R17" s="400" t="str">
        <f>IF(AND('Mapa final'!$P$34="Muy Alta",'Mapa final'!$S$34="Menor"),CONCATENATE("R",'Mapa final'!$A$34),"")</f>
        <v/>
      </c>
      <c r="S17" s="401"/>
      <c r="T17" s="401" t="str">
        <f>IF(AND('Mapa final'!$P$35="Muy Alta",'Mapa final'!$S$35="Menor"),CONCATENATE("R",'Mapa final'!$A$35),"")</f>
        <v/>
      </c>
      <c r="U17" s="401"/>
      <c r="V17" s="401" t="str">
        <f>IF(AND('Mapa final'!$P$36="Muy Alta",'Mapa final'!$S$36="Menor"),CONCATENATE("R",'Mapa final'!$A$36),"")</f>
        <v/>
      </c>
      <c r="W17" s="401"/>
      <c r="X17" s="400" t="str">
        <f>IF(AND('Mapa final'!$P$34="Muy Alta",'Mapa final'!$S$34="Moderado"),CONCATENATE("R",'Mapa final'!$A$34),"")</f>
        <v/>
      </c>
      <c r="Y17" s="401"/>
      <c r="Z17" s="401" t="str">
        <f>IF(AND('Mapa final'!$P$35="Muy Alta",'Mapa final'!$S$35="Moderado"),CONCATENATE("R",'Mapa final'!$A$35),"")</f>
        <v/>
      </c>
      <c r="AA17" s="401"/>
      <c r="AB17" s="401" t="str">
        <f>IF(AND('Mapa final'!$P$36="Muy Alta",'Mapa final'!$S$36="Moderado"),CONCATENATE("R",'Mapa final'!$A$36),"")</f>
        <v/>
      </c>
      <c r="AC17" s="401"/>
      <c r="AD17" s="400" t="str">
        <f>IF(AND('Mapa final'!$P$34="Muy Alta",'Mapa final'!$S$34="Mayor"),CONCATENATE("R",'Mapa final'!$A$34),"")</f>
        <v/>
      </c>
      <c r="AE17" s="401"/>
      <c r="AF17" s="401" t="str">
        <f>IF(AND('Mapa final'!$P$35="Muy Alta",'Mapa final'!$S$35="Mayor"),CONCATENATE("R",'Mapa final'!$A$35),"")</f>
        <v/>
      </c>
      <c r="AG17" s="401"/>
      <c r="AH17" s="401" t="str">
        <f>IF(AND('Mapa final'!$P$36="Muy Alta",'Mapa final'!$S$36="Mayor"),CONCATENATE("R",'Mapa final'!$A$36),"")</f>
        <v/>
      </c>
      <c r="AI17" s="401"/>
      <c r="AJ17" s="391" t="str">
        <f>IF(AND('Mapa final'!$P$34="Muy Alta",'Mapa final'!$S$34="Catastrófico"),CONCATENATE("R",'Mapa final'!$A$34),"")</f>
        <v/>
      </c>
      <c r="AK17" s="392"/>
      <c r="AL17" s="392" t="str">
        <f>IF(AND('Mapa final'!$P$35="Muy Alta",'Mapa final'!$S$35="Catastrófico"),CONCATENATE("R",'Mapa final'!$A$35),"")</f>
        <v/>
      </c>
      <c r="AM17" s="392"/>
      <c r="AN17" s="392" t="str">
        <f>IF(AND('Mapa final'!$P$36="Muy Alta",'Mapa final'!$S$36="Catastrófico"),CONCATENATE("R",'Mapa final'!$A$36),"")</f>
        <v/>
      </c>
      <c r="AO17" s="393"/>
      <c r="AP17" s="68"/>
      <c r="AQ17" s="446"/>
      <c r="AR17" s="447"/>
      <c r="AS17" s="447"/>
      <c r="AT17" s="447"/>
      <c r="AU17" s="447"/>
      <c r="AV17" s="44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41"/>
      <c r="E18" s="441"/>
      <c r="F18" s="442"/>
      <c r="G18" s="416"/>
      <c r="H18" s="417"/>
      <c r="I18" s="417"/>
      <c r="J18" s="417"/>
      <c r="K18" s="417"/>
      <c r="L18" s="403"/>
      <c r="M18" s="404"/>
      <c r="N18" s="404"/>
      <c r="O18" s="404"/>
      <c r="P18" s="404"/>
      <c r="Q18" s="405"/>
      <c r="R18" s="403"/>
      <c r="S18" s="404"/>
      <c r="T18" s="404"/>
      <c r="U18" s="404"/>
      <c r="V18" s="404"/>
      <c r="W18" s="404"/>
      <c r="X18" s="400"/>
      <c r="Y18" s="401"/>
      <c r="Z18" s="401"/>
      <c r="AA18" s="401"/>
      <c r="AB18" s="401"/>
      <c r="AC18" s="401"/>
      <c r="AD18" s="400"/>
      <c r="AE18" s="401"/>
      <c r="AF18" s="401"/>
      <c r="AG18" s="401"/>
      <c r="AH18" s="401"/>
      <c r="AI18" s="401"/>
      <c r="AJ18" s="391"/>
      <c r="AK18" s="392"/>
      <c r="AL18" s="392"/>
      <c r="AM18" s="392"/>
      <c r="AN18" s="392"/>
      <c r="AO18" s="393"/>
      <c r="AP18" s="68"/>
      <c r="AQ18" s="449"/>
      <c r="AR18" s="450"/>
      <c r="AS18" s="450"/>
      <c r="AT18" s="450"/>
      <c r="AU18" s="450"/>
      <c r="AV18" s="451"/>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41"/>
      <c r="E19" s="441"/>
      <c r="F19" s="442"/>
      <c r="G19" s="409" t="s">
        <v>310</v>
      </c>
      <c r="H19" s="411"/>
      <c r="I19" s="411"/>
      <c r="J19" s="411"/>
      <c r="K19" s="411"/>
      <c r="L19" s="388"/>
      <c r="M19" s="389"/>
      <c r="N19" s="389" t="str">
        <f>IF(AND('Mapa final'!$K$15="Alta",'Mapa final'!$O$15="Leve"),CONCATENATE("R",'Mapa final'!$A$16),"")</f>
        <v/>
      </c>
      <c r="O19" s="389"/>
      <c r="P19" s="389" t="str">
        <f>IF(AND('Mapa final'!$K$17="Alta",'Mapa final'!$O$17="Leve"),CONCATENATE("R",'Mapa final'!$A$17),"")</f>
        <v/>
      </c>
      <c r="Q19" s="390"/>
      <c r="R19" s="388"/>
      <c r="S19" s="389"/>
      <c r="T19" s="383" t="str">
        <f>IF(AND('Mapa final'!$P$15="Alta",'Mapa final'!$S$15="Menor"),CONCATENATE("R",'Mapa final'!$A$16),"")</f>
        <v/>
      </c>
      <c r="U19" s="383"/>
      <c r="V19" s="383" t="str">
        <f>IF(AND('Mapa final'!$P$17="Alta",'Mapa final'!$S$17="Menor"),CONCATENATE("R",'Mapa final'!$A$17),"")</f>
        <v/>
      </c>
      <c r="W19" s="383"/>
      <c r="X19" s="406"/>
      <c r="Y19" s="407"/>
      <c r="Z19" s="407" t="str">
        <f>IF(AND('Mapa final'!P$15="Alta",'Mapa final'!$S$15="Moderado"),CONCATENATE("R",'Mapa final'!$A$16),"")</f>
        <v/>
      </c>
      <c r="AA19" s="407"/>
      <c r="AB19" s="407" t="str">
        <f>IF(AND('Mapa final'!$P$17="Alta",'Mapa final'!$S$17="Moderado"),CONCATENATE("R",'Mapa final'!$A$17),"")</f>
        <v/>
      </c>
      <c r="AC19" s="407"/>
      <c r="AD19" s="406"/>
      <c r="AE19" s="407"/>
      <c r="AF19" s="407" t="str">
        <f>IF(AND('Mapa final'!$P$15="Alta",'Mapa final'!$S$15="Mayor"),CONCATENATE("R",'Mapa final'!$A$16),"")</f>
        <v/>
      </c>
      <c r="AG19" s="407"/>
      <c r="AH19" s="407" t="str">
        <f>IF(AND('Mapa final'!$P$17="Alta",'Mapa final'!$S$17="Mayor"),CONCATENATE("R",'Mapa final'!$A$17),"")</f>
        <v/>
      </c>
      <c r="AI19" s="407"/>
      <c r="AJ19" s="397"/>
      <c r="AK19" s="398"/>
      <c r="AL19" s="398" t="str">
        <f>IF(AND('Mapa final'!$P$15="Alta",'Mapa final'!$S$15="Catastrófico"),CONCATENATE("R",'Mapa final'!$A$16),"")</f>
        <v/>
      </c>
      <c r="AM19" s="398"/>
      <c r="AN19" s="398" t="str">
        <f>IF(AND('Mapa final'!$P$17="Alta",'Mapa final'!$S$17="Catastrófico"),CONCATENATE("R",'Mapa final'!$A$17),"")</f>
        <v/>
      </c>
      <c r="AO19" s="399"/>
      <c r="AP19" s="68"/>
      <c r="AQ19" s="452" t="s">
        <v>311</v>
      </c>
      <c r="AR19" s="453"/>
      <c r="AS19" s="453"/>
      <c r="AT19" s="453"/>
      <c r="AU19" s="453"/>
      <c r="AV19" s="454"/>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41"/>
      <c r="E20" s="441"/>
      <c r="F20" s="442"/>
      <c r="G20" s="413"/>
      <c r="H20" s="414"/>
      <c r="I20" s="414"/>
      <c r="J20" s="414"/>
      <c r="K20" s="414"/>
      <c r="L20" s="382"/>
      <c r="M20" s="383"/>
      <c r="N20" s="383"/>
      <c r="O20" s="383"/>
      <c r="P20" s="383"/>
      <c r="Q20" s="384"/>
      <c r="R20" s="382"/>
      <c r="S20" s="383"/>
      <c r="T20" s="383"/>
      <c r="U20" s="383"/>
      <c r="V20" s="383"/>
      <c r="W20" s="383"/>
      <c r="X20" s="400"/>
      <c r="Y20" s="401"/>
      <c r="Z20" s="401"/>
      <c r="AA20" s="401"/>
      <c r="AB20" s="401"/>
      <c r="AC20" s="401"/>
      <c r="AD20" s="400"/>
      <c r="AE20" s="401"/>
      <c r="AF20" s="401"/>
      <c r="AG20" s="401"/>
      <c r="AH20" s="401"/>
      <c r="AI20" s="401"/>
      <c r="AJ20" s="391"/>
      <c r="AK20" s="392"/>
      <c r="AL20" s="392"/>
      <c r="AM20" s="392"/>
      <c r="AN20" s="392"/>
      <c r="AO20" s="393"/>
      <c r="AP20" s="68"/>
      <c r="AQ20" s="455"/>
      <c r="AR20" s="456"/>
      <c r="AS20" s="456"/>
      <c r="AT20" s="456"/>
      <c r="AU20" s="456"/>
      <c r="AV20" s="457"/>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41"/>
      <c r="E21" s="441"/>
      <c r="F21" s="442"/>
      <c r="G21" s="413"/>
      <c r="H21" s="414"/>
      <c r="I21" s="414"/>
      <c r="J21" s="414"/>
      <c r="K21" s="414"/>
      <c r="L21" s="382" t="str">
        <f>IF(AND('Mapa final'!$P$20="Alta",'Mapa final'!$S$20="Leve"),CONCATENATE("R",'Mapa final'!$A$20),"")</f>
        <v/>
      </c>
      <c r="M21" s="383"/>
      <c r="N21" s="383" t="str">
        <f>IF(AND('Mapa final'!$K$21="Alta",'Mapa final'!$O$21="Leve"),CONCATENATE("R",'Mapa final'!$A$21),"")</f>
        <v/>
      </c>
      <c r="O21" s="383"/>
      <c r="P21" s="383" t="str">
        <f>IF(AND('Mapa final'!$K$22="Alta",'Mapa final'!$O$22="Leve"),CONCATENATE("R",'Mapa final'!$A$22),"")</f>
        <v/>
      </c>
      <c r="Q21" s="384"/>
      <c r="R21" s="382" t="str">
        <f>IF(AND('Mapa final'!$P$20="Alta",'Mapa final'!$S$20="Menor"),CONCATENATE("R",'Mapa final'!$A$20),"")</f>
        <v/>
      </c>
      <c r="S21" s="383"/>
      <c r="T21" s="383" t="str">
        <f>IF(AND('Mapa final'!$P$21="Alta",'Mapa final'!$S$21="Menor"),CONCATENATE("R",'Mapa final'!$A$21),"")</f>
        <v/>
      </c>
      <c r="U21" s="383"/>
      <c r="V21" s="383" t="str">
        <f>IF(AND('Mapa final'!$P$22="Alta",'Mapa final'!$S$22="Menor"),CONCATENATE("R",'Mapa final'!$A$22),"")</f>
        <v/>
      </c>
      <c r="W21" s="383"/>
      <c r="X21" s="400" t="str">
        <f>IF(AND('Mapa final'!$P$20="Alta",'Mapa final'!$S$20="Moderado"),CONCATENATE("R",'Mapa final'!$A$20),"")</f>
        <v/>
      </c>
      <c r="Y21" s="401"/>
      <c r="Z21" s="401" t="str">
        <f>IF(AND('Mapa final'!$P$21="Alta",'Mapa final'!$S$21="Moderado"),CONCATENATE("R",'Mapa final'!$A$21),"")</f>
        <v/>
      </c>
      <c r="AA21" s="401"/>
      <c r="AB21" s="401" t="str">
        <f>IF(AND('Mapa final'!$P$22="Alta",'Mapa final'!$S$22="Moderado"),CONCATENATE("R",'Mapa final'!$A$22),"")</f>
        <v/>
      </c>
      <c r="AC21" s="401"/>
      <c r="AD21" s="400" t="str">
        <f>IF(AND('Mapa final'!$P$20="Alta",'Mapa final'!$S$20="Mayor"),CONCATENATE("R",'Mapa final'!$A$20),"")</f>
        <v/>
      </c>
      <c r="AE21" s="401"/>
      <c r="AF21" s="401" t="str">
        <f>IF(AND('Mapa final'!$P$21="Alta",'Mapa final'!$S$21="Mayor"),CONCATENATE("R",'Mapa final'!$A$21),"")</f>
        <v/>
      </c>
      <c r="AG21" s="401"/>
      <c r="AH21" s="401" t="str">
        <f>IF(AND('Mapa final'!$P$22="Alta",'Mapa final'!$S$22="Mayor"),CONCATENATE("R",'Mapa final'!$A$22),"")</f>
        <v/>
      </c>
      <c r="AI21" s="401"/>
      <c r="AJ21" s="391" t="str">
        <f>IF(AND('Mapa final'!$P$20="Alta",'Mapa final'!$S$20="Catastrófico"),CONCATENATE("R",'Mapa final'!$A$20),"")</f>
        <v/>
      </c>
      <c r="AK21" s="392"/>
      <c r="AL21" s="392" t="str">
        <f>IF(AND('Mapa final'!$P$21="Alta",'Mapa final'!$S$21="Catastrófico"),CONCATENATE("R",'Mapa final'!$A$21),"")</f>
        <v/>
      </c>
      <c r="AM21" s="392"/>
      <c r="AN21" s="392" t="str">
        <f>IF(AND('Mapa final'!$P$22="Alta",'Mapa final'!$K$22="Catastrófico"),CONCATENATE("R",'Mapa final'!$A$22),"")</f>
        <v/>
      </c>
      <c r="AO21" s="393"/>
      <c r="AP21" s="68"/>
      <c r="AQ21" s="455"/>
      <c r="AR21" s="456"/>
      <c r="AS21" s="456"/>
      <c r="AT21" s="456"/>
      <c r="AU21" s="456"/>
      <c r="AV21" s="457"/>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41"/>
      <c r="E22" s="441"/>
      <c r="F22" s="442"/>
      <c r="G22" s="413"/>
      <c r="H22" s="414"/>
      <c r="I22" s="414"/>
      <c r="J22" s="414"/>
      <c r="K22" s="414"/>
      <c r="L22" s="382"/>
      <c r="M22" s="383"/>
      <c r="N22" s="383"/>
      <c r="O22" s="383"/>
      <c r="P22" s="383"/>
      <c r="Q22" s="384"/>
      <c r="R22" s="382"/>
      <c r="S22" s="383"/>
      <c r="T22" s="383"/>
      <c r="U22" s="383"/>
      <c r="V22" s="383"/>
      <c r="W22" s="383"/>
      <c r="X22" s="400"/>
      <c r="Y22" s="401"/>
      <c r="Z22" s="401"/>
      <c r="AA22" s="401"/>
      <c r="AB22" s="401"/>
      <c r="AC22" s="401"/>
      <c r="AD22" s="400"/>
      <c r="AE22" s="401"/>
      <c r="AF22" s="401"/>
      <c r="AG22" s="401"/>
      <c r="AH22" s="401"/>
      <c r="AI22" s="401"/>
      <c r="AJ22" s="391"/>
      <c r="AK22" s="392"/>
      <c r="AL22" s="392"/>
      <c r="AM22" s="392"/>
      <c r="AN22" s="392"/>
      <c r="AO22" s="393"/>
      <c r="AP22" s="68"/>
      <c r="AQ22" s="455"/>
      <c r="AR22" s="456"/>
      <c r="AS22" s="456"/>
      <c r="AT22" s="456"/>
      <c r="AU22" s="456"/>
      <c r="AV22" s="457"/>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41"/>
      <c r="E23" s="441"/>
      <c r="F23" s="442"/>
      <c r="G23" s="413"/>
      <c r="H23" s="414"/>
      <c r="I23" s="414"/>
      <c r="J23" s="414"/>
      <c r="K23" s="414"/>
      <c r="L23" s="382" t="str">
        <f>IF(AND('Mapa final'!$P$23="Alta",'Mapa final'!$S$23="Leve"),CONCATENATE("R",'Mapa final'!$A$23),"")</f>
        <v/>
      </c>
      <c r="M23" s="383"/>
      <c r="N23" s="383" t="str">
        <f>IF(AND('Mapa final'!$K$24="Alta",'Mapa final'!$O$25="Leve"),CONCATENATE("R",'Mapa final'!$A$24),"")</f>
        <v/>
      </c>
      <c r="O23" s="383"/>
      <c r="P23" s="383" t="str">
        <f>IF(AND('Mapa final'!$K$33="Alta",'Mapa final'!$O$33="Leve"),CONCATENATE("R",'Mapa final'!$A$33),"")</f>
        <v/>
      </c>
      <c r="Q23" s="384"/>
      <c r="R23" s="382" t="str">
        <f>IF(AND('Mapa final'!$P$23="Alta",'Mapa final'!$S$23="Menor"),CONCATENATE("R",'Mapa final'!$A$23),"")</f>
        <v/>
      </c>
      <c r="S23" s="383"/>
      <c r="T23" s="383" t="str">
        <f>IF(AND('Mapa final'!$LT$24="Alta",'Mapa final'!$S$24="Menor"),CONCATENATE("R",'Mapa final'!$A$24),"")</f>
        <v/>
      </c>
      <c r="U23" s="383"/>
      <c r="V23" s="383" t="str">
        <f>IF(AND('Mapa final'!$P$33="Alta",'Mapa final'!$S$33="Menor"),CONCATENATE("R",'Mapa final'!$A$33),"")</f>
        <v/>
      </c>
      <c r="W23" s="383"/>
      <c r="X23" s="400" t="str">
        <f>IF(AND('Mapa final'!$P$23="Alta",'Mapa final'!$S$23="Moderado"),CONCATENATE("R",'Mapa final'!$A$23),"")</f>
        <v/>
      </c>
      <c r="Y23" s="401"/>
      <c r="Z23" s="401" t="str">
        <f>IF(AND('Mapa final'!$P$24="Alta",'Mapa final'!$S$24="Moderado"),CONCATENATE("R",'Mapa final'!$A$24),"")</f>
        <v/>
      </c>
      <c r="AA23" s="401"/>
      <c r="AB23" s="401" t="str">
        <f>IF(AND('Mapa final'!$P$33="Alta",'Mapa final'!$S$33="Moderado"),CONCATENATE("R",'Mapa final'!$A$33),"")</f>
        <v/>
      </c>
      <c r="AC23" s="401"/>
      <c r="AD23" s="400" t="str">
        <f>IF(AND('Mapa final'!$P$23="Alta",'Mapa final'!$S$23="Mayor"),CONCATENATE("R",'Mapa final'!$A$23),"")</f>
        <v/>
      </c>
      <c r="AE23" s="401"/>
      <c r="AF23" s="401" t="str">
        <f>IF(AND('Mapa final'!$P$24="Alta",'Mapa final'!$S$24="Mayor"),CONCATENATE("R",'Mapa final'!$A$24),"")</f>
        <v/>
      </c>
      <c r="AG23" s="401"/>
      <c r="AH23" s="401" t="str">
        <f>IF(AND('Mapa final'!$P$33="Alta",'Mapa final'!$S$33="Mayor"),CONCATENATE("R",'Mapa final'!$A$33),"")</f>
        <v/>
      </c>
      <c r="AI23" s="401"/>
      <c r="AJ23" s="391" t="str">
        <f>IF(AND('Mapa final'!$P$23="Alta",'Mapa final'!$S$23="Catastrófico"),CONCATENATE("R",'Mapa final'!$A$23),"")</f>
        <v/>
      </c>
      <c r="AK23" s="392"/>
      <c r="AL23" s="392" t="str">
        <f>IF(AND('Mapa final'!$P$24="Alta",'Mapa final'!$S$24="Catastrófico"),CONCATENATE("R",'Mapa final'!$A$24),"")</f>
        <v/>
      </c>
      <c r="AM23" s="392"/>
      <c r="AN23" s="392" t="str">
        <f>IF(AND('Mapa final'!$P$33="Alta",'Mapa final'!$S$33="Catastrófico"),CONCATENATE("R",'Mapa final'!$A$33),"")</f>
        <v/>
      </c>
      <c r="AO23" s="393"/>
      <c r="AP23" s="68"/>
      <c r="AQ23" s="455"/>
      <c r="AR23" s="456"/>
      <c r="AS23" s="456"/>
      <c r="AT23" s="456"/>
      <c r="AU23" s="456"/>
      <c r="AV23" s="457"/>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41"/>
      <c r="E24" s="441"/>
      <c r="F24" s="442"/>
      <c r="G24" s="413"/>
      <c r="H24" s="414"/>
      <c r="I24" s="414"/>
      <c r="J24" s="414"/>
      <c r="K24" s="414"/>
      <c r="L24" s="382"/>
      <c r="M24" s="383"/>
      <c r="N24" s="383"/>
      <c r="O24" s="383"/>
      <c r="P24" s="383"/>
      <c r="Q24" s="384"/>
      <c r="R24" s="382"/>
      <c r="S24" s="383"/>
      <c r="T24" s="383"/>
      <c r="U24" s="383"/>
      <c r="V24" s="383"/>
      <c r="W24" s="383"/>
      <c r="X24" s="400"/>
      <c r="Y24" s="401"/>
      <c r="Z24" s="401"/>
      <c r="AA24" s="401"/>
      <c r="AB24" s="401"/>
      <c r="AC24" s="401"/>
      <c r="AD24" s="400"/>
      <c r="AE24" s="401"/>
      <c r="AF24" s="401"/>
      <c r="AG24" s="401"/>
      <c r="AH24" s="401"/>
      <c r="AI24" s="401"/>
      <c r="AJ24" s="391"/>
      <c r="AK24" s="392"/>
      <c r="AL24" s="392"/>
      <c r="AM24" s="392"/>
      <c r="AN24" s="392"/>
      <c r="AO24" s="393"/>
      <c r="AP24" s="68"/>
      <c r="AQ24" s="455"/>
      <c r="AR24" s="456"/>
      <c r="AS24" s="456"/>
      <c r="AT24" s="456"/>
      <c r="AU24" s="456"/>
      <c r="AV24" s="457"/>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41"/>
      <c r="E25" s="441"/>
      <c r="F25" s="442"/>
      <c r="G25" s="413"/>
      <c r="H25" s="414"/>
      <c r="I25" s="414"/>
      <c r="J25" s="414"/>
      <c r="K25" s="414"/>
      <c r="L25" s="382" t="str">
        <f>IF(AND('Mapa final'!$P$34="Alta",'Mapa final'!$S$34="Leve"),CONCATENATE("R",'Mapa final'!$A$34),"")</f>
        <v/>
      </c>
      <c r="M25" s="383"/>
      <c r="N25" s="383" t="str">
        <f>IF(AND('Mapa final'!$K$35="Alta",'Mapa final'!$O$35="Leve"),CONCATENATE("R",'Mapa final'!$A$35),"")</f>
        <v/>
      </c>
      <c r="O25" s="383"/>
      <c r="P25" s="383" t="str">
        <f>IF(AND('Mapa final'!$K$36="Alta",'Mapa final'!$O$36="Leve"),CONCATENATE("R",'Mapa final'!$A$36),"")</f>
        <v/>
      </c>
      <c r="Q25" s="384"/>
      <c r="R25" s="382" t="str">
        <f>IF(AND('Mapa final'!$P$34="Alta",'Mapa final'!$S$34="Menor"),CONCATENATE("R",'Mapa final'!$A$34),"")</f>
        <v/>
      </c>
      <c r="S25" s="383"/>
      <c r="T25" s="383" t="str">
        <f>IF(AND('Mapa final'!$P$35="Alta",'Mapa final'!$S$35="Menor"),CONCATENATE("R",'Mapa final'!$A$35),"")</f>
        <v/>
      </c>
      <c r="U25" s="383"/>
      <c r="V25" s="383" t="str">
        <f>IF(AND('Mapa final'!$P$36="Alta",'Mapa final'!$S$36="Menor"),CONCATENATE("R",'Mapa final'!$A$36),"")</f>
        <v/>
      </c>
      <c r="W25" s="383"/>
      <c r="X25" s="400" t="str">
        <f>IF(AND('Mapa final'!$P$34="Alta",'Mapa final'!$S$34="Moderado"),CONCATENATE("R",'Mapa final'!$A$34),"")</f>
        <v/>
      </c>
      <c r="Y25" s="401"/>
      <c r="Z25" s="401" t="str">
        <f>IF(AND('Mapa final'!$P$35="Alta",'Mapa final'!$S$35="Moderado"),CONCATENATE("R",'Mapa final'!$A$35),"")</f>
        <v/>
      </c>
      <c r="AA25" s="401"/>
      <c r="AB25" s="401" t="str">
        <f>IF(AND('Mapa final'!$P$36="Alta",'Mapa final'!$S$36="Moderado"),CONCATENATE("R",'Mapa final'!$A$36),"")</f>
        <v/>
      </c>
      <c r="AC25" s="401"/>
      <c r="AD25" s="400" t="str">
        <f>IF(AND('Mapa final'!$P$34="Alta",'Mapa final'!$S$34="Mayor"),CONCATENATE("R",'Mapa final'!$A$34),"")</f>
        <v/>
      </c>
      <c r="AE25" s="401"/>
      <c r="AF25" s="401" t="str">
        <f>IF(AND('Mapa final'!$P$35="Alta",'Mapa final'!$S$35="Mayor"),CONCATENATE("R",'Mapa final'!$A$35),"")</f>
        <v/>
      </c>
      <c r="AG25" s="401"/>
      <c r="AH25" s="401" t="str">
        <f>IF(AND('Mapa final'!$P$36="Alta",'Mapa final'!$S$36="Mayor"),CONCATENATE("R",'Mapa final'!$A$36),"")</f>
        <v/>
      </c>
      <c r="AI25" s="401"/>
      <c r="AJ25" s="391" t="str">
        <f>IF(AND('Mapa final'!$P$34="Alta",'Mapa final'!$S$34="Catastrófico"),CONCATENATE("R",'Mapa final'!$A$34),"")</f>
        <v/>
      </c>
      <c r="AK25" s="392"/>
      <c r="AL25" s="392" t="str">
        <f>IF(AND('Mapa final'!$P$35="Alta",'Mapa final'!$S$35="Catastrófico"),CONCATENATE("R",'Mapa final'!$A$35),"")</f>
        <v/>
      </c>
      <c r="AM25" s="392"/>
      <c r="AN25" s="392" t="str">
        <f>IF(AND('Mapa final'!$P$36="Alta",'Mapa final'!$S$36="Catastrófico"),CONCATENATE("R",'Mapa final'!$A$36),"")</f>
        <v/>
      </c>
      <c r="AO25" s="393"/>
      <c r="AP25" s="68"/>
      <c r="AQ25" s="455"/>
      <c r="AR25" s="456"/>
      <c r="AS25" s="456"/>
      <c r="AT25" s="456"/>
      <c r="AU25" s="456"/>
      <c r="AV25" s="457"/>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41"/>
      <c r="E26" s="441"/>
      <c r="F26" s="442"/>
      <c r="G26" s="416"/>
      <c r="H26" s="417"/>
      <c r="I26" s="417"/>
      <c r="J26" s="417"/>
      <c r="K26" s="417"/>
      <c r="L26" s="385"/>
      <c r="M26" s="386"/>
      <c r="N26" s="386"/>
      <c r="O26" s="386"/>
      <c r="P26" s="386"/>
      <c r="Q26" s="387"/>
      <c r="R26" s="385"/>
      <c r="S26" s="386"/>
      <c r="T26" s="383"/>
      <c r="U26" s="383"/>
      <c r="V26" s="383"/>
      <c r="W26" s="383"/>
      <c r="X26" s="400"/>
      <c r="Y26" s="401"/>
      <c r="Z26" s="401"/>
      <c r="AA26" s="401"/>
      <c r="AB26" s="401"/>
      <c r="AC26" s="401"/>
      <c r="AD26" s="400"/>
      <c r="AE26" s="401"/>
      <c r="AF26" s="401"/>
      <c r="AG26" s="401"/>
      <c r="AH26" s="401"/>
      <c r="AI26" s="401"/>
      <c r="AJ26" s="391"/>
      <c r="AK26" s="392"/>
      <c r="AL26" s="392"/>
      <c r="AM26" s="392"/>
      <c r="AN26" s="392"/>
      <c r="AO26" s="393"/>
      <c r="AP26" s="68"/>
      <c r="AQ26" s="458"/>
      <c r="AR26" s="459"/>
      <c r="AS26" s="459"/>
      <c r="AT26" s="459"/>
      <c r="AU26" s="459"/>
      <c r="AV26" s="460"/>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41"/>
      <c r="E27" s="441"/>
      <c r="F27" s="442"/>
      <c r="G27" s="409" t="s">
        <v>312</v>
      </c>
      <c r="H27" s="411"/>
      <c r="I27" s="411"/>
      <c r="J27" s="411"/>
      <c r="K27" s="411"/>
      <c r="L27" s="388"/>
      <c r="M27" s="389"/>
      <c r="N27" s="389" t="str">
        <f>IF(AND('Mapa final'!$K$15="Media",'Mapa final'!$O$15="Leve"),CONCATENATE("R",'Mapa final'!$A$16),"")</f>
        <v/>
      </c>
      <c r="O27" s="389"/>
      <c r="P27" s="389" t="str">
        <f>IF(AND('Mapa final'!$K$17="Media",'Mapa final'!$O$17="Leve"),CONCATENATE("R",'Mapa final'!$A$17),"")</f>
        <v/>
      </c>
      <c r="Q27" s="390"/>
      <c r="R27" s="388"/>
      <c r="S27" s="389"/>
      <c r="T27" s="389" t="str">
        <f>IF(AND('Mapa final'!$P$15="Media",'Mapa final'!$S$15="Menor"),CONCATENATE("R",'Mapa final'!$A$16),"")</f>
        <v/>
      </c>
      <c r="U27" s="389"/>
      <c r="V27" s="389" t="str">
        <f>IF(AND('Mapa final'!$P$17="Media",'Mapa final'!$S$17="Menor"),CONCATENATE("R",'Mapa final'!$A$17),"")</f>
        <v/>
      </c>
      <c r="W27" s="389"/>
      <c r="X27" s="388"/>
      <c r="Y27" s="389"/>
      <c r="Z27" s="389" t="str">
        <f>IF(AND('Mapa final'!P$15="Media",'Mapa final'!$S$15="Moderado"),CONCATENATE("R",'Mapa final'!$A$16),"")</f>
        <v>R</v>
      </c>
      <c r="AA27" s="389"/>
      <c r="AB27" s="389" t="str">
        <f>IF(AND('Mapa final'!$P$17="Media",'Mapa final'!$S$17="Moderado"),CONCATENATE("R",'Mapa final'!$A$17),"")</f>
        <v>R</v>
      </c>
      <c r="AC27" s="389"/>
      <c r="AD27" s="406"/>
      <c r="AE27" s="407"/>
      <c r="AF27" s="407" t="str">
        <f>IF(AND('Mapa final'!$P$15="Media",'Mapa final'!$S$15="Mayor"),CONCATENATE("R",'Mapa final'!$A$16),"")</f>
        <v/>
      </c>
      <c r="AG27" s="407"/>
      <c r="AH27" s="407" t="str">
        <f>IF(AND('Mapa final'!$P$17="Media",'Mapa final'!$S$17="Mayor"),CONCATENATE("R",'Mapa final'!$A$17),"")</f>
        <v/>
      </c>
      <c r="AI27" s="407"/>
      <c r="AJ27" s="397"/>
      <c r="AK27" s="398"/>
      <c r="AL27" s="398" t="str">
        <f>IF(AND('Mapa final'!$P$15="Media",'Mapa final'!$S$15="Catastrófico"),CONCATENATE("R",'Mapa final'!$A$16),"")</f>
        <v/>
      </c>
      <c r="AM27" s="398"/>
      <c r="AN27" s="398" t="str">
        <f>IF(AND('Mapa final'!$P$17="Media",'Mapa final'!$S$17="Catastrófico"),CONCATENATE("R",'Mapa final'!$A$17),"")</f>
        <v/>
      </c>
      <c r="AO27" s="399"/>
      <c r="AP27" s="68"/>
      <c r="AQ27" s="461" t="s">
        <v>189</v>
      </c>
      <c r="AR27" s="462"/>
      <c r="AS27" s="462"/>
      <c r="AT27" s="462"/>
      <c r="AU27" s="462"/>
      <c r="AV27" s="463"/>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41"/>
      <c r="E28" s="441"/>
      <c r="F28" s="442"/>
      <c r="G28" s="413"/>
      <c r="H28" s="414"/>
      <c r="I28" s="414"/>
      <c r="J28" s="414"/>
      <c r="K28" s="414"/>
      <c r="L28" s="382"/>
      <c r="M28" s="383"/>
      <c r="N28" s="383"/>
      <c r="O28" s="383"/>
      <c r="P28" s="383"/>
      <c r="Q28" s="384"/>
      <c r="R28" s="382"/>
      <c r="S28" s="383"/>
      <c r="T28" s="383"/>
      <c r="U28" s="383"/>
      <c r="V28" s="383"/>
      <c r="W28" s="383"/>
      <c r="X28" s="382"/>
      <c r="Y28" s="383"/>
      <c r="Z28" s="383"/>
      <c r="AA28" s="383"/>
      <c r="AB28" s="383"/>
      <c r="AC28" s="383"/>
      <c r="AD28" s="400"/>
      <c r="AE28" s="401"/>
      <c r="AF28" s="401"/>
      <c r="AG28" s="401"/>
      <c r="AH28" s="401"/>
      <c r="AI28" s="401"/>
      <c r="AJ28" s="391"/>
      <c r="AK28" s="392"/>
      <c r="AL28" s="392"/>
      <c r="AM28" s="392"/>
      <c r="AN28" s="392"/>
      <c r="AO28" s="393"/>
      <c r="AP28" s="68"/>
      <c r="AQ28" s="464"/>
      <c r="AR28" s="465"/>
      <c r="AS28" s="465"/>
      <c r="AT28" s="465"/>
      <c r="AU28" s="465"/>
      <c r="AV28" s="466"/>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41"/>
      <c r="E29" s="441"/>
      <c r="F29" s="442"/>
      <c r="G29" s="413"/>
      <c r="H29" s="414"/>
      <c r="I29" s="414"/>
      <c r="J29" s="414"/>
      <c r="K29" s="414"/>
      <c r="L29" s="382" t="str">
        <f>IF(AND('Mapa final'!$P$20="Media",'Mapa final'!$S$20="Leve"),CONCATENATE("R",'Mapa final'!$A$20),"")</f>
        <v/>
      </c>
      <c r="M29" s="383"/>
      <c r="N29" s="383" t="str">
        <f>IF(AND('Mapa final'!$K$21="Media",'Mapa final'!$O$21="Leve"),CONCATENATE("R",'Mapa final'!$A$21),"")</f>
        <v/>
      </c>
      <c r="O29" s="383"/>
      <c r="P29" s="383" t="str">
        <f>IF(AND('Mapa final'!$K$22="Media",'Mapa final'!$O$22="Leve"),CONCATENATE("R",'Mapa final'!$A$22),"")</f>
        <v/>
      </c>
      <c r="Q29" s="384"/>
      <c r="R29" s="382" t="str">
        <f>IF(AND('Mapa final'!$P$20="Media",'Mapa final'!$S$20="Menor"),CONCATENATE("R",'Mapa final'!$A$20),"")</f>
        <v/>
      </c>
      <c r="S29" s="383"/>
      <c r="T29" s="383" t="str">
        <f>IF(AND('Mapa final'!$P$21="Media",'Mapa final'!$S$21="Menor"),CONCATENATE("R",'Mapa final'!$A$21),"")</f>
        <v/>
      </c>
      <c r="U29" s="383"/>
      <c r="V29" s="383" t="str">
        <f>IF(AND('Mapa final'!$P$22="Media",'Mapa final'!$S$22="Menor"),CONCATENATE("R",'Mapa final'!$A$22),"")</f>
        <v/>
      </c>
      <c r="W29" s="383"/>
      <c r="X29" s="382" t="str">
        <f>IF(AND('Mapa final'!$P$20="Media",'Mapa final'!$S$20="Moderado"),CONCATENATE("R",'Mapa final'!$A$20),"")</f>
        <v/>
      </c>
      <c r="Y29" s="383"/>
      <c r="Z29" s="383" t="str">
        <f>IF(AND('Mapa final'!$P$21="Media",'Mapa final'!$S$21="Moderado"),CONCATENATE("R",'Mapa final'!$A$21),"")</f>
        <v/>
      </c>
      <c r="AA29" s="383"/>
      <c r="AB29" s="383" t="str">
        <f>IF(AND('Mapa final'!$P$22="Media",'Mapa final'!$S$22="Moderado"),CONCATENATE("R",'Mapa final'!$A$22),"")</f>
        <v/>
      </c>
      <c r="AC29" s="383"/>
      <c r="AD29" s="400" t="str">
        <f>IF(AND('Mapa final'!$P$20="Media",'Mapa final'!$S$20="Mayor"),CONCATENATE("R",'Mapa final'!$A$20),"")</f>
        <v/>
      </c>
      <c r="AE29" s="401"/>
      <c r="AF29" s="401" t="str">
        <f>IF(AND('Mapa final'!$P$21="Media",'Mapa final'!$S$21="Mayor"),CONCATENATE("R",'Mapa final'!$A$21),"")</f>
        <v/>
      </c>
      <c r="AG29" s="401"/>
      <c r="AH29" s="401" t="str">
        <f>IF(AND('Mapa final'!$P$22="Media",'Mapa final'!$S$22="Mayor"),CONCATENATE("R",'Mapa final'!$A$22),"")</f>
        <v/>
      </c>
      <c r="AI29" s="401"/>
      <c r="AJ29" s="391" t="str">
        <f>IF(AND('Mapa final'!$P$20="Media",'Mapa final'!$S$20="Catastrófico"),CONCATENATE("R",'Mapa final'!$A$20),"")</f>
        <v/>
      </c>
      <c r="AK29" s="392"/>
      <c r="AL29" s="392" t="str">
        <f>IF(AND('Mapa final'!$P$21="Media",'Mapa final'!$S$21="Catastrófico"),CONCATENATE("R",'Mapa final'!$A$21),"")</f>
        <v/>
      </c>
      <c r="AM29" s="392"/>
      <c r="AN29" s="392" t="str">
        <f>IF(AND('Mapa final'!$P$22="Media",'Mapa final'!$K$22="Catastrófico"),CONCATENATE("R",'Mapa final'!$A$22),"")</f>
        <v/>
      </c>
      <c r="AO29" s="393"/>
      <c r="AP29" s="68"/>
      <c r="AQ29" s="464"/>
      <c r="AR29" s="465"/>
      <c r="AS29" s="465"/>
      <c r="AT29" s="465"/>
      <c r="AU29" s="465"/>
      <c r="AV29" s="466"/>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41"/>
      <c r="E30" s="441"/>
      <c r="F30" s="442"/>
      <c r="G30" s="413"/>
      <c r="H30" s="414"/>
      <c r="I30" s="414"/>
      <c r="J30" s="414"/>
      <c r="K30" s="414"/>
      <c r="L30" s="382"/>
      <c r="M30" s="383"/>
      <c r="N30" s="383"/>
      <c r="O30" s="383"/>
      <c r="P30" s="383"/>
      <c r="Q30" s="384"/>
      <c r="R30" s="382"/>
      <c r="S30" s="383"/>
      <c r="T30" s="383"/>
      <c r="U30" s="383"/>
      <c r="V30" s="383"/>
      <c r="W30" s="383"/>
      <c r="X30" s="382"/>
      <c r="Y30" s="383"/>
      <c r="Z30" s="383"/>
      <c r="AA30" s="383"/>
      <c r="AB30" s="383"/>
      <c r="AC30" s="383"/>
      <c r="AD30" s="400"/>
      <c r="AE30" s="401"/>
      <c r="AF30" s="401"/>
      <c r="AG30" s="401"/>
      <c r="AH30" s="401"/>
      <c r="AI30" s="401"/>
      <c r="AJ30" s="391"/>
      <c r="AK30" s="392"/>
      <c r="AL30" s="392"/>
      <c r="AM30" s="392"/>
      <c r="AN30" s="392"/>
      <c r="AO30" s="393"/>
      <c r="AP30" s="68"/>
      <c r="AQ30" s="464"/>
      <c r="AR30" s="465"/>
      <c r="AS30" s="465"/>
      <c r="AT30" s="465"/>
      <c r="AU30" s="465"/>
      <c r="AV30" s="466"/>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41"/>
      <c r="E31" s="441"/>
      <c r="F31" s="442"/>
      <c r="G31" s="413"/>
      <c r="H31" s="414"/>
      <c r="I31" s="414"/>
      <c r="J31" s="414"/>
      <c r="K31" s="414"/>
      <c r="L31" s="382" t="str">
        <f>IF(AND('Mapa final'!$P$23="Media",'Mapa final'!$S$23="Leve"),CONCATENATE("R",'Mapa final'!$A$23),"")</f>
        <v/>
      </c>
      <c r="M31" s="383"/>
      <c r="N31" s="383" t="str">
        <f>IF(AND('Mapa final'!$K$24="Media",'Mapa final'!$O$25="Leve"),CONCATENATE("R",'Mapa final'!$A$24),"")</f>
        <v/>
      </c>
      <c r="O31" s="383"/>
      <c r="P31" s="383" t="str">
        <f>IF(AND('Mapa final'!$K$33="Media",'Mapa final'!$O$33="Leve"),CONCATENATE("R",'Mapa final'!$A$33),"")</f>
        <v/>
      </c>
      <c r="Q31" s="384"/>
      <c r="R31" s="382" t="str">
        <f>IF(AND('Mapa final'!$P$23="Media",'Mapa final'!$S$23="Menor"),CONCATENATE("R",'Mapa final'!$A$23),"")</f>
        <v/>
      </c>
      <c r="S31" s="383"/>
      <c r="T31" s="383" t="str">
        <f>IF(AND('Mapa final'!$LT$24="Media",'Mapa final'!$S$24="Menor"),CONCATENATE("R",'Mapa final'!$A$24),"")</f>
        <v/>
      </c>
      <c r="U31" s="383"/>
      <c r="V31" s="383" t="str">
        <f>IF(AND('Mapa final'!$P$33="Media",'Mapa final'!$S$33="Menor"),CONCATENATE("R",'Mapa final'!$A$33),"")</f>
        <v/>
      </c>
      <c r="W31" s="383"/>
      <c r="X31" s="382" t="str">
        <f>IF(AND('Mapa final'!$P$23="Media",'Mapa final'!$S$23="Moderado"),CONCATENATE("R",'Mapa final'!$A$23),"")</f>
        <v/>
      </c>
      <c r="Y31" s="383"/>
      <c r="Z31" s="383" t="str">
        <f>IF(AND('Mapa final'!$P$24="Media",'Mapa final'!$S$24="Moderado"),CONCATENATE("R",'Mapa final'!$A$24),"")</f>
        <v/>
      </c>
      <c r="AA31" s="383"/>
      <c r="AB31" s="383" t="str">
        <f>IF(AND('Mapa final'!$P$33="Media",'Mapa final'!$S$33="Moderado"),CONCATENATE("R",'Mapa final'!$A$33),"")</f>
        <v/>
      </c>
      <c r="AC31" s="383"/>
      <c r="AD31" s="400" t="str">
        <f>IF(AND('Mapa final'!$P$23="Media",'Mapa final'!$S$23="Mayor"),CONCATENATE("R",'Mapa final'!$A$23),"")</f>
        <v/>
      </c>
      <c r="AE31" s="401"/>
      <c r="AF31" s="401" t="str">
        <f>IF(AND('Mapa final'!$P$24="Media",'Mapa final'!$S$24="Mayor"),CONCATENATE("R",'Mapa final'!$A$24),"")</f>
        <v/>
      </c>
      <c r="AG31" s="401"/>
      <c r="AH31" s="401" t="str">
        <f>IF(AND('Mapa final'!$P$33="Media",'Mapa final'!$S$33="Mayor"),CONCATENATE("R",'Mapa final'!$A$33),"")</f>
        <v/>
      </c>
      <c r="AI31" s="401"/>
      <c r="AJ31" s="391" t="str">
        <f>IF(AND('Mapa final'!$P$23="Media",'Mapa final'!$S$23="Catastrófico"),CONCATENATE("R",'Mapa final'!$A$23),"")</f>
        <v/>
      </c>
      <c r="AK31" s="392"/>
      <c r="AL31" s="392" t="str">
        <f>IF(AND('Mapa final'!$P$24="Media",'Mapa final'!$S$24="Catastrófico"),CONCATENATE("R",'Mapa final'!$A$24),"")</f>
        <v/>
      </c>
      <c r="AM31" s="392"/>
      <c r="AN31" s="392" t="str">
        <f>IF(AND('Mapa final'!$P$33="Media",'Mapa final'!$S$33="Catastrófico"),CONCATENATE("R",'Mapa final'!$A$33),"")</f>
        <v/>
      </c>
      <c r="AO31" s="393"/>
      <c r="AP31" s="68"/>
      <c r="AQ31" s="464"/>
      <c r="AR31" s="465"/>
      <c r="AS31" s="465"/>
      <c r="AT31" s="465"/>
      <c r="AU31" s="465"/>
      <c r="AV31" s="466"/>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41"/>
      <c r="E32" s="441"/>
      <c r="F32" s="442"/>
      <c r="G32" s="413"/>
      <c r="H32" s="414"/>
      <c r="I32" s="414"/>
      <c r="J32" s="414"/>
      <c r="K32" s="414"/>
      <c r="L32" s="382"/>
      <c r="M32" s="383"/>
      <c r="N32" s="383"/>
      <c r="O32" s="383"/>
      <c r="P32" s="383"/>
      <c r="Q32" s="384"/>
      <c r="R32" s="382"/>
      <c r="S32" s="383"/>
      <c r="T32" s="383"/>
      <c r="U32" s="383"/>
      <c r="V32" s="383"/>
      <c r="W32" s="383"/>
      <c r="X32" s="382"/>
      <c r="Y32" s="383"/>
      <c r="Z32" s="383"/>
      <c r="AA32" s="383"/>
      <c r="AB32" s="383"/>
      <c r="AC32" s="383"/>
      <c r="AD32" s="400"/>
      <c r="AE32" s="401"/>
      <c r="AF32" s="401"/>
      <c r="AG32" s="401"/>
      <c r="AH32" s="401"/>
      <c r="AI32" s="401"/>
      <c r="AJ32" s="391"/>
      <c r="AK32" s="392"/>
      <c r="AL32" s="392"/>
      <c r="AM32" s="392"/>
      <c r="AN32" s="392"/>
      <c r="AO32" s="393"/>
      <c r="AP32" s="68"/>
      <c r="AQ32" s="464"/>
      <c r="AR32" s="465"/>
      <c r="AS32" s="465"/>
      <c r="AT32" s="465"/>
      <c r="AU32" s="465"/>
      <c r="AV32" s="466"/>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41"/>
      <c r="E33" s="441"/>
      <c r="F33" s="442"/>
      <c r="G33" s="413"/>
      <c r="H33" s="414"/>
      <c r="I33" s="414"/>
      <c r="J33" s="414"/>
      <c r="K33" s="414"/>
      <c r="L33" s="382" t="str">
        <f>IF(AND('Mapa final'!$P$34="Mediaa",'Mapa final'!$S$34="Leve"),CONCATENATE("R",'Mapa final'!$A$34),"")</f>
        <v/>
      </c>
      <c r="M33" s="383"/>
      <c r="N33" s="383" t="str">
        <f>IF(AND('Mapa final'!$K$35="Media",'Mapa final'!$O$35="Leve"),CONCATENATE("R",'Mapa final'!$A$35),"")</f>
        <v/>
      </c>
      <c r="O33" s="383"/>
      <c r="P33" s="383" t="str">
        <f>IF(AND('Mapa final'!$K$36="Media",'Mapa final'!$O$36="Leve"),CONCATENATE("R",'Mapa final'!$A$36),"")</f>
        <v/>
      </c>
      <c r="Q33" s="384"/>
      <c r="R33" s="382" t="str">
        <f>IF(AND('Mapa final'!$P$34="Media",'Mapa final'!$S$34="Menor"),CONCATENATE("R",'Mapa final'!$A$34),"")</f>
        <v/>
      </c>
      <c r="S33" s="383"/>
      <c r="T33" s="383" t="str">
        <f>IF(AND('Mapa final'!$P$35="Media",'Mapa final'!$S$35="Menor"),CONCATENATE("R",'Mapa final'!$A$35),"")</f>
        <v/>
      </c>
      <c r="U33" s="383"/>
      <c r="V33" s="383" t="str">
        <f>IF(AND('Mapa final'!$P$36="Media",'Mapa final'!$S$36="Menor"),CONCATENATE("R",'Mapa final'!$A$36),"")</f>
        <v/>
      </c>
      <c r="W33" s="383"/>
      <c r="X33" s="382" t="str">
        <f>IF(AND('Mapa final'!$P$34="Media",'Mapa final'!$S$34="Moderado"),CONCATENATE("R",'Mapa final'!$A$34),"")</f>
        <v/>
      </c>
      <c r="Y33" s="383"/>
      <c r="Z33" s="383" t="str">
        <f>IF(AND('Mapa final'!$P$35="Media",'Mapa final'!$S$35="Moderado"),CONCATENATE("R",'Mapa final'!$A$35),"")</f>
        <v/>
      </c>
      <c r="AA33" s="383"/>
      <c r="AB33" s="383" t="str">
        <f>IF(AND('Mapa final'!$P$36="Media",'Mapa final'!$S$36="Moderado"),CONCATENATE("R",'Mapa final'!$A$36),"")</f>
        <v/>
      </c>
      <c r="AC33" s="383"/>
      <c r="AD33" s="400" t="str">
        <f>IF(AND('Mapa final'!$P$34="Media",'Mapa final'!$S$34="Mayor"),CONCATENATE("R",'Mapa final'!$A$34),"")</f>
        <v/>
      </c>
      <c r="AE33" s="401"/>
      <c r="AF33" s="401" t="str">
        <f>IF(AND('Mapa final'!$P$35="Media",'Mapa final'!$S$35="Mayor"),CONCATENATE("R",'Mapa final'!$A$35),"")</f>
        <v/>
      </c>
      <c r="AG33" s="401"/>
      <c r="AH33" s="401" t="str">
        <f>IF(AND('Mapa final'!$P$36="Media",'Mapa final'!$S$36="Mayor"),CONCATENATE("R",'Mapa final'!$A$36),"")</f>
        <v/>
      </c>
      <c r="AI33" s="401"/>
      <c r="AJ33" s="391" t="str">
        <f>IF(AND('Mapa final'!$P$34="Media",'Mapa final'!$S$34="Catastrófico"),CONCATENATE("R",'Mapa final'!$A$34),"")</f>
        <v/>
      </c>
      <c r="AK33" s="392"/>
      <c r="AL33" s="392" t="str">
        <f>IF(AND('Mapa final'!$P$35="Media",'Mapa final'!$S$35="Catastrófico"),CONCATENATE("R",'Mapa final'!$A$35),"")</f>
        <v/>
      </c>
      <c r="AM33" s="392"/>
      <c r="AN33" s="392" t="str">
        <f>IF(AND('Mapa final'!$P$36="Media",'Mapa final'!$S$36="Catastrófico"),CONCATENATE("R",'Mapa final'!$A$36),"")</f>
        <v/>
      </c>
      <c r="AO33" s="393"/>
      <c r="AP33" s="68"/>
      <c r="AQ33" s="464"/>
      <c r="AR33" s="465"/>
      <c r="AS33" s="465"/>
      <c r="AT33" s="465"/>
      <c r="AU33" s="465"/>
      <c r="AV33" s="466"/>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41"/>
      <c r="E34" s="441"/>
      <c r="F34" s="442"/>
      <c r="G34" s="416"/>
      <c r="H34" s="417"/>
      <c r="I34" s="417"/>
      <c r="J34" s="417"/>
      <c r="K34" s="417"/>
      <c r="L34" s="385"/>
      <c r="M34" s="386"/>
      <c r="N34" s="386"/>
      <c r="O34" s="386"/>
      <c r="P34" s="386"/>
      <c r="Q34" s="387"/>
      <c r="R34" s="385"/>
      <c r="S34" s="386"/>
      <c r="T34" s="386"/>
      <c r="U34" s="386"/>
      <c r="V34" s="386"/>
      <c r="W34" s="386"/>
      <c r="X34" s="385"/>
      <c r="Y34" s="386"/>
      <c r="Z34" s="386"/>
      <c r="AA34" s="386"/>
      <c r="AB34" s="386"/>
      <c r="AC34" s="386"/>
      <c r="AD34" s="403"/>
      <c r="AE34" s="404"/>
      <c r="AF34" s="404"/>
      <c r="AG34" s="404"/>
      <c r="AH34" s="404"/>
      <c r="AI34" s="404"/>
      <c r="AJ34" s="391"/>
      <c r="AK34" s="392"/>
      <c r="AL34" s="392"/>
      <c r="AM34" s="392"/>
      <c r="AN34" s="392"/>
      <c r="AO34" s="393"/>
      <c r="AP34" s="68"/>
      <c r="AQ34" s="467"/>
      <c r="AR34" s="468"/>
      <c r="AS34" s="468"/>
      <c r="AT34" s="468"/>
      <c r="AU34" s="468"/>
      <c r="AV34" s="469"/>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41"/>
      <c r="E35" s="441"/>
      <c r="F35" s="442"/>
      <c r="G35" s="409" t="s">
        <v>313</v>
      </c>
      <c r="H35" s="411"/>
      <c r="I35" s="411"/>
      <c r="J35" s="411"/>
      <c r="K35" s="411"/>
      <c r="L35" s="378"/>
      <c r="M35" s="379"/>
      <c r="N35" s="379" t="str">
        <f>IF(AND('Mapa final'!$K$15="Baja",'Mapa final'!$O$15="Leve"),CONCATENATE("R",'Mapa final'!$A$16),"")</f>
        <v/>
      </c>
      <c r="O35" s="379"/>
      <c r="P35" s="379" t="str">
        <f>IF(AND('Mapa final'!$K$17="Baja",'Mapa final'!$O$17="Leve"),CONCATENATE("R",'Mapa final'!$A$17),"")</f>
        <v/>
      </c>
      <c r="Q35" s="380"/>
      <c r="R35" s="388"/>
      <c r="S35" s="389"/>
      <c r="T35" s="383" t="str">
        <f>IF(AND('Mapa final'!$P$15="Baja",'Mapa final'!$S$15="Menor"),CONCATENATE("R",'Mapa final'!$A$16),"")</f>
        <v/>
      </c>
      <c r="U35" s="383"/>
      <c r="V35" s="383" t="str">
        <f>IF(AND('Mapa final'!$P$17="Baja",'Mapa final'!$S$17="Menor"),CONCATENATE("R",'Mapa final'!$A$17),"")</f>
        <v/>
      </c>
      <c r="W35" s="384"/>
      <c r="X35" s="382"/>
      <c r="Y35" s="383"/>
      <c r="Z35" s="383" t="str">
        <f>IF(AND('Mapa final'!P$15="Baja",'Mapa final'!$S$15="Moderado"),CONCATENATE("R",'Mapa final'!$A$16),"")</f>
        <v/>
      </c>
      <c r="AA35" s="383"/>
      <c r="AB35" s="383" t="str">
        <f>IF(AND('Mapa final'!$P$17="Baja",'Mapa final'!$S$17="Moderado"),CONCATENATE("R",'Mapa final'!$A$17),"")</f>
        <v/>
      </c>
      <c r="AC35" s="384"/>
      <c r="AD35" s="400"/>
      <c r="AE35" s="401"/>
      <c r="AF35" s="401" t="str">
        <f>IF(AND('Mapa final'!$P$15="Baja",'Mapa final'!$S$15="Mayor"),CONCATENATE("R",'Mapa final'!$A$16),"")</f>
        <v/>
      </c>
      <c r="AG35" s="401"/>
      <c r="AH35" s="401" t="str">
        <f>IF(AND('Mapa final'!$P$17="Baja",'Mapa final'!$S$17="Mayor"),CONCATENATE("R",'Mapa final'!$A$17),"")</f>
        <v/>
      </c>
      <c r="AI35" s="401"/>
      <c r="AJ35" s="397"/>
      <c r="AK35" s="398"/>
      <c r="AL35" s="398" t="str">
        <f>IF(AND('Mapa final'!$P$15="Baja",'Mapa final'!$S$15="Catastrófico"),CONCATENATE("R",'Mapa final'!$A$16),"")</f>
        <v/>
      </c>
      <c r="AM35" s="398"/>
      <c r="AN35" s="398" t="str">
        <f>IF(AND('Mapa final'!$P$17="Baja",'Mapa final'!$S$17="Catastrófico"),CONCATENATE("R",'Mapa final'!$A$17),"")</f>
        <v/>
      </c>
      <c r="AO35" s="399"/>
      <c r="AP35" s="68"/>
      <c r="AQ35" s="470" t="s">
        <v>314</v>
      </c>
      <c r="AR35" s="471"/>
      <c r="AS35" s="471"/>
      <c r="AT35" s="471"/>
      <c r="AU35" s="471"/>
      <c r="AV35" s="472"/>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41"/>
      <c r="E36" s="441"/>
      <c r="F36" s="442"/>
      <c r="G36" s="413"/>
      <c r="H36" s="414"/>
      <c r="I36" s="414"/>
      <c r="J36" s="414"/>
      <c r="K36" s="414"/>
      <c r="L36" s="373"/>
      <c r="M36" s="374"/>
      <c r="N36" s="374"/>
      <c r="O36" s="374"/>
      <c r="P36" s="374"/>
      <c r="Q36" s="375"/>
      <c r="R36" s="382"/>
      <c r="S36" s="383"/>
      <c r="T36" s="383"/>
      <c r="U36" s="383"/>
      <c r="V36" s="383"/>
      <c r="W36" s="384"/>
      <c r="X36" s="382"/>
      <c r="Y36" s="383"/>
      <c r="Z36" s="383"/>
      <c r="AA36" s="383"/>
      <c r="AB36" s="383"/>
      <c r="AC36" s="384"/>
      <c r="AD36" s="400"/>
      <c r="AE36" s="401"/>
      <c r="AF36" s="401"/>
      <c r="AG36" s="401"/>
      <c r="AH36" s="401"/>
      <c r="AI36" s="401"/>
      <c r="AJ36" s="391"/>
      <c r="AK36" s="392"/>
      <c r="AL36" s="392"/>
      <c r="AM36" s="392"/>
      <c r="AN36" s="392"/>
      <c r="AO36" s="393"/>
      <c r="AP36" s="68"/>
      <c r="AQ36" s="473"/>
      <c r="AR36" s="474"/>
      <c r="AS36" s="474"/>
      <c r="AT36" s="474"/>
      <c r="AU36" s="474"/>
      <c r="AV36" s="475"/>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41"/>
      <c r="E37" s="441"/>
      <c r="F37" s="442"/>
      <c r="G37" s="413"/>
      <c r="H37" s="414"/>
      <c r="I37" s="414"/>
      <c r="J37" s="414"/>
      <c r="K37" s="414"/>
      <c r="L37" s="373" t="str">
        <f>IF(AND('Mapa final'!$P$20="Baja",'Mapa final'!$S$20="Leve"),CONCATENATE("R",'Mapa final'!$A$20),"")</f>
        <v/>
      </c>
      <c r="M37" s="374"/>
      <c r="N37" s="374" t="str">
        <f>IF(AND('Mapa final'!$K$21="Baja",'Mapa final'!$O$21="Leve"),CONCATENATE("R",'Mapa final'!$A$21),"")</f>
        <v/>
      </c>
      <c r="O37" s="374"/>
      <c r="P37" s="374" t="str">
        <f>IF(AND('Mapa final'!$K$22="Baja",'Mapa final'!$O$22="Leve"),CONCATENATE("R",'Mapa final'!$A$22),"")</f>
        <v/>
      </c>
      <c r="Q37" s="375"/>
      <c r="R37" s="382" t="str">
        <f>IF(AND('Mapa final'!$P$20="Baja",'Mapa final'!$S$20="Menor"),CONCATENATE("R",'Mapa final'!$A$20),"")</f>
        <v/>
      </c>
      <c r="S37" s="383"/>
      <c r="T37" s="383" t="str">
        <f>IF(AND('Mapa final'!$P$21="Baja",'Mapa final'!$S$21="Menor"),CONCATENATE("R",'Mapa final'!$A$21),"")</f>
        <v/>
      </c>
      <c r="U37" s="383"/>
      <c r="V37" s="383" t="str">
        <f>IF(AND('Mapa final'!$P$22="Baja",'Mapa final'!$S$22="Menor"),CONCATENATE("R",'Mapa final'!$A$22),"")</f>
        <v/>
      </c>
      <c r="W37" s="384"/>
      <c r="X37" s="382" t="str">
        <f>IF(AND('Mapa final'!$P$20="Baja",'Mapa final'!$S$20="Moderado"),CONCATENATE("R",'Mapa final'!$D$19),"")</f>
        <v/>
      </c>
      <c r="Y37" s="383"/>
      <c r="Z37" s="383" t="str">
        <f>IF(AND('Mapa final'!$P$21="Baja",'Mapa final'!$S$21="Moderado"),CONCATENATE("R",'Mapa final'!$A$21),"")</f>
        <v>R</v>
      </c>
      <c r="AA37" s="383"/>
      <c r="AB37" s="383" t="str">
        <f>IF(AND('Mapa final'!$P$22="Baja",'Mapa final'!$S$22="Moderado"),CONCATENATE("R",'Mapa final'!$A$22),"")</f>
        <v/>
      </c>
      <c r="AC37" s="384"/>
      <c r="AD37" s="400" t="str">
        <f>IF(AND('Mapa final'!$P$20="Baja",'Mapa final'!$S$20="Mayor"),CONCATENATE("R",'Mapa final'!$A$20),"")</f>
        <v/>
      </c>
      <c r="AE37" s="401"/>
      <c r="AF37" s="401" t="str">
        <f>IF(AND('Mapa final'!$P$21="Baja",'Mapa final'!$S$21="Mayor"),CONCATENATE("R",'Mapa final'!$A$21),"")</f>
        <v/>
      </c>
      <c r="AG37" s="401"/>
      <c r="AH37" s="401" t="str">
        <f>IF(AND('Mapa final'!$P$22="Baja",'Mapa final'!$S$22="Mayor"),CONCATENATE("R",'Mapa final'!$A$22),"")</f>
        <v/>
      </c>
      <c r="AI37" s="401"/>
      <c r="AJ37" s="391" t="str">
        <f>IF(AND('Mapa final'!$P$20="Baja",'Mapa final'!$S$20="Catastrófico"),CONCATENATE("R",'Mapa final'!$A$20),"")</f>
        <v/>
      </c>
      <c r="AK37" s="392"/>
      <c r="AL37" s="392" t="str">
        <f>IF(AND('Mapa final'!$P$21="Baja",'Mapa final'!$S$21="Catastrófico"),CONCATENATE("R",'Mapa final'!$A$21),"")</f>
        <v/>
      </c>
      <c r="AM37" s="392"/>
      <c r="AN37" s="392" t="str">
        <f>IF(AND('Mapa final'!$P$22="Baja",'Mapa final'!$K$22="Catastrófico"),CONCATENATE("R",'Mapa final'!$A$22),"")</f>
        <v/>
      </c>
      <c r="AO37" s="393"/>
      <c r="AP37" s="68"/>
      <c r="AQ37" s="473"/>
      <c r="AR37" s="474"/>
      <c r="AS37" s="474"/>
      <c r="AT37" s="474"/>
      <c r="AU37" s="474"/>
      <c r="AV37" s="475"/>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41"/>
      <c r="E38" s="441"/>
      <c r="F38" s="442"/>
      <c r="G38" s="413"/>
      <c r="H38" s="414"/>
      <c r="I38" s="414"/>
      <c r="J38" s="414"/>
      <c r="K38" s="414"/>
      <c r="L38" s="373"/>
      <c r="M38" s="374"/>
      <c r="N38" s="374"/>
      <c r="O38" s="374"/>
      <c r="P38" s="374"/>
      <c r="Q38" s="375"/>
      <c r="R38" s="382"/>
      <c r="S38" s="383"/>
      <c r="T38" s="383"/>
      <c r="U38" s="383"/>
      <c r="V38" s="383"/>
      <c r="W38" s="384"/>
      <c r="X38" s="382"/>
      <c r="Y38" s="383"/>
      <c r="Z38" s="383"/>
      <c r="AA38" s="383"/>
      <c r="AB38" s="383"/>
      <c r="AC38" s="384"/>
      <c r="AD38" s="400"/>
      <c r="AE38" s="401"/>
      <c r="AF38" s="401"/>
      <c r="AG38" s="401"/>
      <c r="AH38" s="401"/>
      <c r="AI38" s="401"/>
      <c r="AJ38" s="391"/>
      <c r="AK38" s="392"/>
      <c r="AL38" s="392"/>
      <c r="AM38" s="392"/>
      <c r="AN38" s="392"/>
      <c r="AO38" s="393"/>
      <c r="AP38" s="68"/>
      <c r="AQ38" s="473"/>
      <c r="AR38" s="474"/>
      <c r="AS38" s="474"/>
      <c r="AT38" s="474"/>
      <c r="AU38" s="474"/>
      <c r="AV38" s="475"/>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41"/>
      <c r="E39" s="441"/>
      <c r="F39" s="442"/>
      <c r="G39" s="413"/>
      <c r="H39" s="414"/>
      <c r="I39" s="414"/>
      <c r="J39" s="414"/>
      <c r="K39" s="414"/>
      <c r="L39" s="373" t="str">
        <f>IF(AND('Mapa final'!$P$23="Baja",'Mapa final'!$S$23="Leve"),CONCATENATE("R",'Mapa final'!$A$23),"")</f>
        <v/>
      </c>
      <c r="M39" s="374"/>
      <c r="N39" s="374" t="str">
        <f>IF(AND('Mapa final'!$K$24="Baja",'Mapa final'!$O$25="Leve"),CONCATENATE("R",'Mapa final'!$A$24),"")</f>
        <v/>
      </c>
      <c r="O39" s="374"/>
      <c r="P39" s="374" t="str">
        <f>IF(AND('Mapa final'!$K$33="Baja",'Mapa final'!$O$33="Leve"),CONCATENATE("R",'Mapa final'!$A$33),"")</f>
        <v/>
      </c>
      <c r="Q39" s="375"/>
      <c r="R39" s="382" t="str">
        <f>IF(AND('Mapa final'!$P$23="Baja",'Mapa final'!$S$23="Menor"),CONCATENATE("R",'Mapa final'!$A$23),"")</f>
        <v/>
      </c>
      <c r="S39" s="383"/>
      <c r="T39" s="383" t="str">
        <f>IF(AND('Mapa final'!$LT$24="Baja",'Mapa final'!$S$24="Menor"),CONCATENATE("R",'Mapa final'!$A$24),"")</f>
        <v/>
      </c>
      <c r="U39" s="383"/>
      <c r="V39" s="383" t="str">
        <f>IF(AND('Mapa final'!$P$33="Baja",'Mapa final'!$S$33="Menor"),CONCATENATE("R",'Mapa final'!$A$33),"")</f>
        <v/>
      </c>
      <c r="W39" s="384"/>
      <c r="X39" s="382" t="str">
        <f>IF(AND('Mapa final'!$P$23="Baja",'Mapa final'!$S$23="Moderado"),CONCATENATE("R",'Mapa final'!$A$23),"")</f>
        <v/>
      </c>
      <c r="Y39" s="383"/>
      <c r="Z39" s="383" t="str">
        <f>IF(AND('Mapa final'!$P$24="Baja",'Mapa final'!$S$24="Moderado"),CONCATENATE("R",'Mapa final'!$A$24),"")</f>
        <v/>
      </c>
      <c r="AA39" s="383"/>
      <c r="AB39" s="383" t="str">
        <f>IF(AND('Mapa final'!$P$33="Baja",'Mapa final'!$S$33="Moderado"),CONCATENATE("R",'Mapa final'!$A$33),"")</f>
        <v/>
      </c>
      <c r="AC39" s="384"/>
      <c r="AD39" s="400" t="str">
        <f>IF(AND('Mapa final'!$P$23="Baja",'Mapa final'!$S$23="Mayor"),CONCATENATE("R",'Mapa final'!$A$23),"")</f>
        <v/>
      </c>
      <c r="AE39" s="401"/>
      <c r="AF39" s="401" t="str">
        <f>IF(AND('Mapa final'!$P$24="Baja",'Mapa final'!$S$24="Mayor"),CONCATENATE("R",'Mapa final'!$A$24),"")</f>
        <v/>
      </c>
      <c r="AG39" s="401"/>
      <c r="AH39" s="401" t="str">
        <f>IF(AND('Mapa final'!$P$33="Baja",'Mapa final'!$S$33="Mayor"),CONCATENATE("R",'Mapa final'!$A$33),"")</f>
        <v/>
      </c>
      <c r="AI39" s="401"/>
      <c r="AJ39" s="391" t="str">
        <f>IF(AND('Mapa final'!$P$23="Baja",'Mapa final'!$S$23="Catastrófico"),CONCATENATE("R",'Mapa final'!$A$23),"")</f>
        <v>R</v>
      </c>
      <c r="AK39" s="392"/>
      <c r="AL39" s="392" t="str">
        <f>IF(AND('Mapa final'!$P$24="Baja",'Mapa final'!$S$24="Catastrófico"),CONCATENATE("R",'Mapa final'!$A$24),"")</f>
        <v/>
      </c>
      <c r="AM39" s="392"/>
      <c r="AN39" s="392" t="str">
        <f>IF(AND('Mapa final'!$P$33="Baja",'Mapa final'!$S$33="Catastrófico"),CONCATENATE("R",'Mapa final'!$A$33),"")</f>
        <v/>
      </c>
      <c r="AO39" s="393"/>
      <c r="AP39" s="68"/>
      <c r="AQ39" s="473"/>
      <c r="AR39" s="474"/>
      <c r="AS39" s="474"/>
      <c r="AT39" s="474"/>
      <c r="AU39" s="474"/>
      <c r="AV39" s="475"/>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41"/>
      <c r="E40" s="441"/>
      <c r="F40" s="442"/>
      <c r="G40" s="413"/>
      <c r="H40" s="414"/>
      <c r="I40" s="414"/>
      <c r="J40" s="414"/>
      <c r="K40" s="414"/>
      <c r="L40" s="373"/>
      <c r="M40" s="374"/>
      <c r="N40" s="374"/>
      <c r="O40" s="374"/>
      <c r="P40" s="374"/>
      <c r="Q40" s="375"/>
      <c r="R40" s="382"/>
      <c r="S40" s="383"/>
      <c r="T40" s="383"/>
      <c r="U40" s="383"/>
      <c r="V40" s="383"/>
      <c r="W40" s="384"/>
      <c r="X40" s="382"/>
      <c r="Y40" s="383"/>
      <c r="Z40" s="383"/>
      <c r="AA40" s="383"/>
      <c r="AB40" s="383"/>
      <c r="AC40" s="384"/>
      <c r="AD40" s="400"/>
      <c r="AE40" s="401"/>
      <c r="AF40" s="401"/>
      <c r="AG40" s="401"/>
      <c r="AH40" s="401"/>
      <c r="AI40" s="401"/>
      <c r="AJ40" s="391"/>
      <c r="AK40" s="392"/>
      <c r="AL40" s="392"/>
      <c r="AM40" s="392"/>
      <c r="AN40" s="392"/>
      <c r="AO40" s="393"/>
      <c r="AP40" s="68"/>
      <c r="AQ40" s="473"/>
      <c r="AR40" s="474"/>
      <c r="AS40" s="474"/>
      <c r="AT40" s="474"/>
      <c r="AU40" s="474"/>
      <c r="AV40" s="475"/>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41"/>
      <c r="E41" s="441"/>
      <c r="F41" s="442"/>
      <c r="G41" s="413"/>
      <c r="H41" s="414"/>
      <c r="I41" s="414"/>
      <c r="J41" s="414"/>
      <c r="K41" s="414"/>
      <c r="L41" s="373" t="str">
        <f>IF(AND('Mapa final'!$P$34="Baja",'Mapa final'!$S$34="Leve"),CONCATENATE("R",'Mapa final'!$A$34),"")</f>
        <v/>
      </c>
      <c r="M41" s="374"/>
      <c r="N41" s="374" t="str">
        <f>IF(AND('Mapa final'!$K$35="Baja",'Mapa final'!$O$35="Leve"),CONCATENATE("R",'Mapa final'!$A$35),"")</f>
        <v/>
      </c>
      <c r="O41" s="374"/>
      <c r="P41" s="374" t="str">
        <f>IF(AND('Mapa final'!$K$36="Baja",'Mapa final'!$O$36="Leve"),CONCATENATE("R",'Mapa final'!$A$36),"")</f>
        <v/>
      </c>
      <c r="Q41" s="375"/>
      <c r="R41" s="382" t="str">
        <f>IF(AND('Mapa final'!$P$34="Baja",'Mapa final'!$S$34="Menor"),CONCATENATE("R",'Mapa final'!$A$34),"")</f>
        <v/>
      </c>
      <c r="S41" s="383"/>
      <c r="T41" s="383" t="str">
        <f>IF(AND('Mapa final'!$P$35="Baja",'Mapa final'!$S$35="Menor"),CONCATENATE("R",'Mapa final'!$A$35),"")</f>
        <v/>
      </c>
      <c r="U41" s="383"/>
      <c r="V41" s="383" t="str">
        <f>IF(AND('Mapa final'!$P$36="Baja",'Mapa final'!$S$36="Menor"),CONCATENATE("R",'Mapa final'!$A$36),"")</f>
        <v/>
      </c>
      <c r="W41" s="384"/>
      <c r="X41" s="382" t="str">
        <f>IF(AND('Mapa final'!$P$34="Baja",'Mapa final'!$S$34="Moderado"),CONCATENATE("R",'Mapa final'!$A$34),"")</f>
        <v/>
      </c>
      <c r="Y41" s="383"/>
      <c r="Z41" s="383" t="str">
        <f>IF(AND('Mapa final'!$P$35="Baja",'Mapa final'!$S$35="Moderado"),CONCATENATE("R",'Mapa final'!$A$35),"")</f>
        <v/>
      </c>
      <c r="AA41" s="383"/>
      <c r="AB41" s="383" t="str">
        <f>IF(AND('Mapa final'!$P$36="Baja",'Mapa final'!$S$36="Moderado"),CONCATENATE("R",'Mapa final'!$A$36),"")</f>
        <v/>
      </c>
      <c r="AC41" s="384"/>
      <c r="AD41" s="400" t="str">
        <f>IF(AND('Mapa final'!$P$34="Baja",'Mapa final'!$S$34="Mayor"),CONCATENATE("R",'Mapa final'!$A$34),"")</f>
        <v/>
      </c>
      <c r="AE41" s="401"/>
      <c r="AF41" s="401" t="str">
        <f>IF(AND('Mapa final'!$P$35="Baja",'Mapa final'!$S$35="Mayor"),CONCATENATE("R",'Mapa final'!$A$35),"")</f>
        <v/>
      </c>
      <c r="AG41" s="401"/>
      <c r="AH41" s="401" t="str">
        <f>IF(AND('Mapa final'!$P$36="Baja",'Mapa final'!$S$36="Mayor"),CONCATENATE("R",'Mapa final'!$A$36),"")</f>
        <v/>
      </c>
      <c r="AI41" s="401"/>
      <c r="AJ41" s="391" t="str">
        <f>IF(AND('Mapa final'!$P$34="Baja",'Mapa final'!$S$34="Catastrófico"),CONCATENATE("R",'Mapa final'!$A$34),"")</f>
        <v/>
      </c>
      <c r="AK41" s="392"/>
      <c r="AL41" s="392" t="str">
        <f>IF(AND('Mapa final'!$P$35="Baja",'Mapa final'!$S$35="Catastrófico"),CONCATENATE("R",'Mapa final'!$A$35),"")</f>
        <v/>
      </c>
      <c r="AM41" s="392"/>
      <c r="AN41" s="392" t="str">
        <f>IF(AND('Mapa final'!$P$36="Baja",'Mapa final'!$S$36="Catastrófico"),CONCATENATE("R",'Mapa final'!$A$36),"")</f>
        <v/>
      </c>
      <c r="AO41" s="393"/>
      <c r="AP41" s="68"/>
      <c r="AQ41" s="473"/>
      <c r="AR41" s="474"/>
      <c r="AS41" s="474"/>
      <c r="AT41" s="474"/>
      <c r="AU41" s="474"/>
      <c r="AV41" s="475"/>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41"/>
      <c r="E42" s="441"/>
      <c r="F42" s="442"/>
      <c r="G42" s="416"/>
      <c r="H42" s="417"/>
      <c r="I42" s="417"/>
      <c r="J42" s="417"/>
      <c r="K42" s="417"/>
      <c r="L42" s="381"/>
      <c r="M42" s="376"/>
      <c r="N42" s="376"/>
      <c r="O42" s="376"/>
      <c r="P42" s="376"/>
      <c r="Q42" s="377"/>
      <c r="R42" s="385"/>
      <c r="S42" s="386"/>
      <c r="T42" s="386"/>
      <c r="U42" s="386"/>
      <c r="V42" s="386"/>
      <c r="W42" s="387"/>
      <c r="X42" s="385"/>
      <c r="Y42" s="386"/>
      <c r="Z42" s="386"/>
      <c r="AA42" s="386"/>
      <c r="AB42" s="386"/>
      <c r="AC42" s="387"/>
      <c r="AD42" s="403"/>
      <c r="AE42" s="404"/>
      <c r="AF42" s="404"/>
      <c r="AG42" s="404"/>
      <c r="AH42" s="404"/>
      <c r="AI42" s="404"/>
      <c r="AJ42" s="394"/>
      <c r="AK42" s="395"/>
      <c r="AL42" s="395"/>
      <c r="AM42" s="395"/>
      <c r="AN42" s="395"/>
      <c r="AO42" s="396"/>
      <c r="AP42" s="68"/>
      <c r="AQ42" s="476"/>
      <c r="AR42" s="477"/>
      <c r="AS42" s="477"/>
      <c r="AT42" s="477"/>
      <c r="AU42" s="477"/>
      <c r="AV42" s="47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41"/>
      <c r="E43" s="441"/>
      <c r="F43" s="442"/>
      <c r="G43" s="409" t="s">
        <v>315</v>
      </c>
      <c r="H43" s="411"/>
      <c r="I43" s="411"/>
      <c r="J43" s="411"/>
      <c r="K43" s="411"/>
      <c r="L43" s="378"/>
      <c r="M43" s="379"/>
      <c r="N43" s="379" t="str">
        <f>IF(AND('Mapa final'!$K$15="Muy Baja",'Mapa final'!$O$15="Leve"),CONCATENATE("R",'Mapa final'!$A$16),"")</f>
        <v/>
      </c>
      <c r="O43" s="379"/>
      <c r="P43" s="379" t="str">
        <f>IF(AND('Mapa final'!$K$17="Muy Baja",'Mapa final'!$O$17="Leve"),CONCATENATE("R",'Mapa final'!$A$17),"")</f>
        <v/>
      </c>
      <c r="Q43" s="380"/>
      <c r="R43" s="378"/>
      <c r="S43" s="379"/>
      <c r="T43" s="379" t="str">
        <f>IF(AND('Mapa final'!$P$15="Muy Baja",'Mapa final'!$S$15="Menor"),CONCATENATE("R",'Mapa final'!$A$16),"")</f>
        <v/>
      </c>
      <c r="U43" s="379"/>
      <c r="V43" s="379" t="str">
        <f>IF(AND('Mapa final'!$P$17="Muy Baja",'Mapa final'!$S$17="Menor"),CONCATENATE("R",'Mapa final'!$A$17),"")</f>
        <v/>
      </c>
      <c r="W43" s="380"/>
      <c r="X43" s="388"/>
      <c r="Y43" s="389"/>
      <c r="Z43" s="389" t="str">
        <f>IF(AND('Mapa final'!P$15="Muy Baja",'Mapa final'!$S$15="Moderado"),CONCATENATE("R",'Mapa final'!$D$15),"")</f>
        <v/>
      </c>
      <c r="AA43" s="389"/>
      <c r="AB43" s="389" t="str">
        <f>IF(AND('Mapa final'!$P$17="Muy Baja",'Mapa final'!$S$17="Moderado"),CONCATENATE("R",'Mapa final'!$A$17),"")</f>
        <v/>
      </c>
      <c r="AC43" s="390"/>
      <c r="AD43" s="406"/>
      <c r="AE43" s="407"/>
      <c r="AF43" s="407" t="str">
        <f>IF(AND('Mapa final'!$P$15="Muy Baja",'Mapa final'!$S$15="Mayor"),CONCATENATE("R",'Mapa final'!$A$16),"")</f>
        <v/>
      </c>
      <c r="AG43" s="407"/>
      <c r="AH43" s="407" t="str">
        <f>IF(AND('Mapa final'!$P$17="Muy Baja",'Mapa final'!$S$17="Mayor"),CONCATENATE("R",'Mapa final'!$D$17),"")</f>
        <v/>
      </c>
      <c r="AI43" s="408"/>
      <c r="AJ43" s="391"/>
      <c r="AK43" s="392"/>
      <c r="AL43" s="392" t="str">
        <f>IF(AND('Mapa final'!$P$15="Muy Baja",'Mapa final'!$S$15="Catastrófico"),CONCATENATE("R",'Mapa final'!$D$15),"")</f>
        <v/>
      </c>
      <c r="AM43" s="392"/>
      <c r="AN43" s="392" t="str">
        <f>IF(AND('Mapa final'!$P$17="Muy Baja",'Mapa final'!$S$17="Catastrófico"),CONCATENATE("R",'Mapa final'!$A$17),"")</f>
        <v/>
      </c>
      <c r="AO43" s="393"/>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41"/>
      <c r="E44" s="441"/>
      <c r="F44" s="442"/>
      <c r="G44" s="413"/>
      <c r="H44" s="414"/>
      <c r="I44" s="414"/>
      <c r="J44" s="414"/>
      <c r="K44" s="414"/>
      <c r="L44" s="373"/>
      <c r="M44" s="374"/>
      <c r="N44" s="374"/>
      <c r="O44" s="374"/>
      <c r="P44" s="374"/>
      <c r="Q44" s="375"/>
      <c r="R44" s="373"/>
      <c r="S44" s="374"/>
      <c r="T44" s="374"/>
      <c r="U44" s="374"/>
      <c r="V44" s="374"/>
      <c r="W44" s="375"/>
      <c r="X44" s="382"/>
      <c r="Y44" s="383"/>
      <c r="Z44" s="383"/>
      <c r="AA44" s="383"/>
      <c r="AB44" s="383"/>
      <c r="AC44" s="384"/>
      <c r="AD44" s="400"/>
      <c r="AE44" s="401"/>
      <c r="AF44" s="401"/>
      <c r="AG44" s="401"/>
      <c r="AH44" s="401"/>
      <c r="AI44" s="402"/>
      <c r="AJ44" s="391"/>
      <c r="AK44" s="392"/>
      <c r="AL44" s="392"/>
      <c r="AM44" s="392"/>
      <c r="AN44" s="392"/>
      <c r="AO44" s="393"/>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41"/>
      <c r="E45" s="441"/>
      <c r="F45" s="442"/>
      <c r="G45" s="413"/>
      <c r="H45" s="414"/>
      <c r="I45" s="414"/>
      <c r="J45" s="414"/>
      <c r="K45" s="414"/>
      <c r="L45" s="373" t="str">
        <f>IF(AND('Mapa final'!$P$20="Muy Baja",'Mapa final'!$S$20="Leve"),CONCATENATE("R",'Mapa final'!$A$20),"")</f>
        <v/>
      </c>
      <c r="M45" s="374"/>
      <c r="N45" s="374" t="str">
        <f>IF(AND('Mapa final'!$K$21="Muy Baja",'Mapa final'!$O$21="Leve"),CONCATENATE("R",'Mapa final'!$A$21),"")</f>
        <v/>
      </c>
      <c r="O45" s="374"/>
      <c r="P45" s="374" t="str">
        <f>IF(AND('Mapa final'!$K$22="Muy Baja",'Mapa final'!$O$22="Leve"),CONCATENATE("R",'Mapa final'!$A$22),"")</f>
        <v/>
      </c>
      <c r="Q45" s="375"/>
      <c r="R45" s="373" t="str">
        <f>IF(AND('Mapa final'!$P$20="Muy Baja",'Mapa final'!$S$20="Menor"),CONCATENATE("R",'Mapa final'!$A$20),"")</f>
        <v/>
      </c>
      <c r="S45" s="374"/>
      <c r="T45" s="374" t="str">
        <f>IF(AND('Mapa final'!$P$21="Muy Baja",'Mapa final'!$S$21="Menor"),CONCATENATE("R",'Mapa final'!$A$21),"")</f>
        <v/>
      </c>
      <c r="U45" s="374"/>
      <c r="V45" s="374" t="str">
        <f>IF(AND('Mapa final'!$P$22="Muy Baja",'Mapa final'!$S$22="Menor"),CONCATENATE("R",'Mapa final'!$A$22),"")</f>
        <v/>
      </c>
      <c r="W45" s="375"/>
      <c r="X45" s="382" t="str">
        <f>IF(AND('Mapa final'!$P$20="Muy Baja",'Mapa final'!$S$20="Moderado"),CONCATENATE("R",'Mapa final'!$A$20),"")</f>
        <v/>
      </c>
      <c r="Y45" s="383"/>
      <c r="Z45" s="383" t="str">
        <f>IF(AND('Mapa final'!$P$21="Muy Baja",'Mapa final'!$S$21="Moderado"),CONCATENATE("R",'Mapa final'!$A$21),"")</f>
        <v/>
      </c>
      <c r="AA45" s="383"/>
      <c r="AB45" s="383" t="str">
        <f>IF(AND('Mapa final'!$P$22="Muy Baja",'Mapa final'!$S$22="Moderado"),CONCATENATE("R",'Mapa final'!$A$22),"")</f>
        <v/>
      </c>
      <c r="AC45" s="384"/>
      <c r="AD45" s="400" t="str">
        <f>IF(AND('Mapa final'!$P$20="Muy Baja",'Mapa final'!$S$20="Mayor"),CONCATENATE("R",'Mapa final'!$A$20),"")</f>
        <v/>
      </c>
      <c r="AE45" s="401"/>
      <c r="AF45" s="401" t="str">
        <f>IF(AND('Mapa final'!$P$21="Muy Baja",'Mapa final'!$S$21="Mayor"),CONCATENATE("R",'Mapa final'!$A$21),"")</f>
        <v/>
      </c>
      <c r="AG45" s="401"/>
      <c r="AH45" s="401" t="str">
        <f>IF(AND('Mapa final'!$P$22="Muy Baja",'Mapa final'!$S$22="Mayor"),CONCATENATE("R",'Mapa final'!$A$22),"")</f>
        <v/>
      </c>
      <c r="AI45" s="402"/>
      <c r="AJ45" s="391" t="str">
        <f>IF(AND('Mapa final'!$P$20="Muy Baja",'Mapa final'!$S$20="Catastrófico"),CONCATENATE("R",'Mapa final'!$A$20),"")</f>
        <v/>
      </c>
      <c r="AK45" s="392"/>
      <c r="AL45" s="392" t="str">
        <f>IF(AND('Mapa final'!$P$21="Muy Baja",'Mapa final'!$S$21="Catastrófico"),CONCATENATE("R",'Mapa final'!$A$21),"")</f>
        <v/>
      </c>
      <c r="AM45" s="392"/>
      <c r="AN45" s="392" t="str">
        <f>IF(AND('Mapa final'!$P$22="Muy Baja",'Mapa final'!$K$22="Catastrófico"),CONCATENATE("R",'Mapa final'!$A$22),"")</f>
        <v/>
      </c>
      <c r="AO45" s="393"/>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41"/>
      <c r="E46" s="441"/>
      <c r="F46" s="442"/>
      <c r="G46" s="413"/>
      <c r="H46" s="414"/>
      <c r="I46" s="414"/>
      <c r="J46" s="414"/>
      <c r="K46" s="414"/>
      <c r="L46" s="373"/>
      <c r="M46" s="374"/>
      <c r="N46" s="374"/>
      <c r="O46" s="374"/>
      <c r="P46" s="374"/>
      <c r="Q46" s="375"/>
      <c r="R46" s="373"/>
      <c r="S46" s="374"/>
      <c r="T46" s="374"/>
      <c r="U46" s="374"/>
      <c r="V46" s="374"/>
      <c r="W46" s="375"/>
      <c r="X46" s="382"/>
      <c r="Y46" s="383"/>
      <c r="Z46" s="383"/>
      <c r="AA46" s="383"/>
      <c r="AB46" s="383"/>
      <c r="AC46" s="384"/>
      <c r="AD46" s="400"/>
      <c r="AE46" s="401"/>
      <c r="AF46" s="401"/>
      <c r="AG46" s="401"/>
      <c r="AH46" s="401"/>
      <c r="AI46" s="402"/>
      <c r="AJ46" s="391"/>
      <c r="AK46" s="392"/>
      <c r="AL46" s="392"/>
      <c r="AM46" s="392"/>
      <c r="AN46" s="392"/>
      <c r="AO46" s="393"/>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41"/>
      <c r="E47" s="441"/>
      <c r="F47" s="442"/>
      <c r="G47" s="413"/>
      <c r="H47" s="414"/>
      <c r="I47" s="414"/>
      <c r="J47" s="414"/>
      <c r="K47" s="414"/>
      <c r="L47" s="373" t="str">
        <f>IF(AND('Mapa final'!$P$23="Muy Baja",'Mapa final'!$S$23="Leve"),CONCATENATE("R",'Mapa final'!$A$23),"")</f>
        <v/>
      </c>
      <c r="M47" s="374"/>
      <c r="N47" s="374" t="str">
        <f>IF(AND('Mapa final'!$K$24="Muy Baja",'Mapa final'!$O$25="Leve"),CONCATENATE("R",'Mapa final'!$A$24),"")</f>
        <v/>
      </c>
      <c r="O47" s="374"/>
      <c r="P47" s="374" t="str">
        <f>IF(AND('Mapa final'!$K$33="Muy Baja",'Mapa final'!$O$33="Leve"),CONCATENATE("R",'Mapa final'!$A$33),"")</f>
        <v/>
      </c>
      <c r="Q47" s="375"/>
      <c r="R47" s="373" t="str">
        <f>IF(AND('Mapa final'!$P$23="Muy Baja",'Mapa final'!$S$23="Menor"),CONCATENATE("R",'Mapa final'!$A$23),"")</f>
        <v/>
      </c>
      <c r="S47" s="374"/>
      <c r="T47" s="374" t="str">
        <f>IF(AND('Mapa final'!$LT$24="Muy Baja",'Mapa final'!$S$24="Menor"),CONCATENATE("R",'Mapa final'!$A$24),"")</f>
        <v/>
      </c>
      <c r="U47" s="374"/>
      <c r="V47" s="374" t="str">
        <f>IF(AND('Mapa final'!$P$33="Muy Baja",'Mapa final'!$S$33="Menor"),CONCATENATE("R",'Mapa final'!$A$33),"")</f>
        <v/>
      </c>
      <c r="W47" s="375"/>
      <c r="X47" s="382" t="str">
        <f>IF(AND('Mapa final'!$P$23="Muy Baja",'Mapa final'!$S$23="Moderado"),CONCATENATE("R",'Mapa final'!$A$23),"")</f>
        <v/>
      </c>
      <c r="Y47" s="383"/>
      <c r="Z47" s="383" t="str">
        <f>IF(AND('Mapa final'!$P$24="Muy Baja",'Mapa final'!$S$24="Moderado"),CONCATENATE("R",'Mapa final'!$A$24),"")</f>
        <v/>
      </c>
      <c r="AA47" s="383"/>
      <c r="AB47" s="383" t="str">
        <f>IF(AND('Mapa final'!$P$33="Muy Baja",'Mapa final'!$S$33="Moderado"),CONCATENATE("R",'Mapa final'!$A$33),"")</f>
        <v/>
      </c>
      <c r="AC47" s="384"/>
      <c r="AD47" s="400" t="str">
        <f>IF(AND('Mapa final'!$P$23="Muy Baja",'Mapa final'!$S$23="Mayor"),CONCATENATE("R",'Mapa final'!$A$23),"")</f>
        <v/>
      </c>
      <c r="AE47" s="401"/>
      <c r="AF47" s="401" t="str">
        <f>IF(AND('Mapa final'!$P$24="Muy Baja",'Mapa final'!$S$24="Mayor"),CONCATENATE("R",'Mapa final'!$A$24),"")</f>
        <v/>
      </c>
      <c r="AG47" s="401"/>
      <c r="AH47" s="401" t="str">
        <f>IF(AND('Mapa final'!$P$33="Muy Baja",'Mapa final'!$S$33="Mayor"),CONCATENATE("R",'Mapa final'!$A$33),"")</f>
        <v/>
      </c>
      <c r="AI47" s="402"/>
      <c r="AJ47" s="391" t="str">
        <f>IF(AND('Mapa final'!$P$23="Muy Baja",'Mapa final'!$S$23="Catastrófico"),CONCATENATE("R",'Mapa final'!$A$23),"")</f>
        <v/>
      </c>
      <c r="AK47" s="392"/>
      <c r="AL47" s="392" t="str">
        <f>IF(AND('Mapa final'!$P$24="Muy Baja",'Mapa final'!$S$24="Catastrófico"),CONCATENATE("R",'Mapa final'!$A$24),"")</f>
        <v/>
      </c>
      <c r="AM47" s="392"/>
      <c r="AN47" s="392" t="str">
        <f>IF(AND('Mapa final'!$P$33="Muy Baja",'Mapa final'!$S$33="Catastrófico"),CONCATENATE("R",'Mapa final'!$A$33),"")</f>
        <v/>
      </c>
      <c r="AO47" s="393"/>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41"/>
      <c r="E48" s="441"/>
      <c r="F48" s="442"/>
      <c r="G48" s="413"/>
      <c r="H48" s="414"/>
      <c r="I48" s="414"/>
      <c r="J48" s="414"/>
      <c r="K48" s="414"/>
      <c r="L48" s="373"/>
      <c r="M48" s="374"/>
      <c r="N48" s="374"/>
      <c r="O48" s="374"/>
      <c r="P48" s="374"/>
      <c r="Q48" s="375"/>
      <c r="R48" s="373"/>
      <c r="S48" s="374"/>
      <c r="T48" s="374"/>
      <c r="U48" s="374"/>
      <c r="V48" s="374"/>
      <c r="W48" s="375"/>
      <c r="X48" s="382"/>
      <c r="Y48" s="383"/>
      <c r="Z48" s="383"/>
      <c r="AA48" s="383"/>
      <c r="AB48" s="383"/>
      <c r="AC48" s="384"/>
      <c r="AD48" s="400"/>
      <c r="AE48" s="401"/>
      <c r="AF48" s="401"/>
      <c r="AG48" s="401"/>
      <c r="AH48" s="401"/>
      <c r="AI48" s="402"/>
      <c r="AJ48" s="391"/>
      <c r="AK48" s="392"/>
      <c r="AL48" s="392"/>
      <c r="AM48" s="392"/>
      <c r="AN48" s="392"/>
      <c r="AO48" s="393"/>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41"/>
      <c r="E49" s="441"/>
      <c r="F49" s="442"/>
      <c r="G49" s="413"/>
      <c r="H49" s="414"/>
      <c r="I49" s="414"/>
      <c r="J49" s="414"/>
      <c r="K49" s="414"/>
      <c r="L49" s="373" t="str">
        <f>IF(AND('Mapa final'!$P$34="Muy Baja",'Mapa final'!$S$34="Leve"),CONCATENATE("R",'Mapa final'!$A$34),"")</f>
        <v/>
      </c>
      <c r="M49" s="374"/>
      <c r="N49" s="374" t="str">
        <f>IF(AND('Mapa final'!$K$35="Muy Baja",'Mapa final'!$O$35="Leve"),CONCATENATE("R",'Mapa final'!$A$35),"")</f>
        <v/>
      </c>
      <c r="O49" s="374"/>
      <c r="P49" s="374" t="str">
        <f>IF(AND('Mapa final'!$K$36="Muy Baja",'Mapa final'!$O$36="Leve"),CONCATENATE("R",'Mapa final'!$A$36),"")</f>
        <v/>
      </c>
      <c r="Q49" s="375"/>
      <c r="R49" s="374" t="str">
        <f>IF(AND('Mapa final'!$P$34="Muy Baja",'Mapa final'!$S$34="Menor"),CONCATENATE("R",'Mapa final'!$A$34),"")</f>
        <v/>
      </c>
      <c r="S49" s="374"/>
      <c r="T49" s="374" t="str">
        <f>IF(AND('Mapa final'!$P$35="Muy Baja",'Mapa final'!$S$35="Menor"),CONCATENATE("R",'Mapa final'!$A$35),"")</f>
        <v/>
      </c>
      <c r="U49" s="374"/>
      <c r="V49" s="374" t="str">
        <f>IF(AND('Mapa final'!$P$36="Muy Baja",'Mapa final'!$S$36="Menor"),CONCATENATE("R",'Mapa final'!$A$36),"")</f>
        <v/>
      </c>
      <c r="W49" s="375"/>
      <c r="X49" s="382" t="str">
        <f>IF(AND('Mapa final'!$P$34="Muy Baja",'Mapa final'!$S$34="Moderado"),CONCATENATE("R",'Mapa final'!$A$34),"")</f>
        <v/>
      </c>
      <c r="Y49" s="383"/>
      <c r="Z49" s="383" t="str">
        <f>IF(AND('Mapa final'!$P$35="Muy Baja",'Mapa final'!$S$35="Moderado"),CONCATENATE("R",'Mapa final'!$A$35),"")</f>
        <v/>
      </c>
      <c r="AA49" s="383"/>
      <c r="AB49" s="383" t="str">
        <f>IF(AND('Mapa final'!$P$36="Muy Baja",'Mapa final'!$S$36="Moderado"),CONCATENATE("R",'Mapa final'!$A$36),"")</f>
        <v/>
      </c>
      <c r="AC49" s="384"/>
      <c r="AD49" s="400" t="str">
        <f>IF(AND('Mapa final'!$P$34="Muy Baja",'Mapa final'!$S$34="Mayor"),CONCATENATE("R",'Mapa final'!$A$34),"")</f>
        <v/>
      </c>
      <c r="AE49" s="401"/>
      <c r="AF49" s="401" t="str">
        <f>IF(AND('Mapa final'!$P$35="Muy Baja",'Mapa final'!$S$35="Mayor"),CONCATENATE("R",'Mapa final'!$A$35),"")</f>
        <v/>
      </c>
      <c r="AG49" s="401"/>
      <c r="AH49" s="401" t="str">
        <f>IF(AND('Mapa final'!$P$36="Muy Baja",'Mapa final'!$S$36="Mayor"),CONCATENATE("R",'Mapa final'!$A$36),"")</f>
        <v/>
      </c>
      <c r="AI49" s="402"/>
      <c r="AJ49" s="391" t="str">
        <f>IF(AND('Mapa final'!$P$34="Muy Baja",'Mapa final'!$S$34="Catastrófico"),CONCATENATE("R",'Mapa final'!$A$34),"")</f>
        <v/>
      </c>
      <c r="AK49" s="392"/>
      <c r="AL49" s="392" t="str">
        <f>IF(AND('Mapa final'!$P$35="Muy Baja",'Mapa final'!$S$35="Catastrófico"),CONCATENATE("R",'Mapa final'!$A$35),"")</f>
        <v/>
      </c>
      <c r="AM49" s="392"/>
      <c r="AN49" s="392" t="str">
        <f>IF(AND('Mapa final'!$P$36="Muy Baja",'Mapa final'!$S$36="Catastrófico"),CONCATENATE("R",'Mapa final'!$A$36),"")</f>
        <v/>
      </c>
      <c r="AO49" s="393"/>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41"/>
      <c r="E50" s="441"/>
      <c r="F50" s="442"/>
      <c r="G50" s="416"/>
      <c r="H50" s="417"/>
      <c r="I50" s="417"/>
      <c r="J50" s="417"/>
      <c r="K50" s="417"/>
      <c r="L50" s="381"/>
      <c r="M50" s="376"/>
      <c r="N50" s="376"/>
      <c r="O50" s="376"/>
      <c r="P50" s="376"/>
      <c r="Q50" s="377"/>
      <c r="R50" s="376"/>
      <c r="S50" s="376"/>
      <c r="T50" s="376"/>
      <c r="U50" s="376"/>
      <c r="V50" s="376"/>
      <c r="W50" s="377"/>
      <c r="X50" s="385"/>
      <c r="Y50" s="386"/>
      <c r="Z50" s="386"/>
      <c r="AA50" s="386"/>
      <c r="AB50" s="386"/>
      <c r="AC50" s="387"/>
      <c r="AD50" s="403"/>
      <c r="AE50" s="404"/>
      <c r="AF50" s="404"/>
      <c r="AG50" s="404"/>
      <c r="AH50" s="404"/>
      <c r="AI50" s="405"/>
      <c r="AJ50" s="394"/>
      <c r="AK50" s="395"/>
      <c r="AL50" s="395"/>
      <c r="AM50" s="395"/>
      <c r="AN50" s="395"/>
      <c r="AO50" s="396"/>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19" t="s">
        <v>316</v>
      </c>
      <c r="M51" s="414"/>
      <c r="N51" s="414"/>
      <c r="O51" s="414"/>
      <c r="P51" s="414"/>
      <c r="Q51" s="415"/>
      <c r="R51" s="409" t="s">
        <v>317</v>
      </c>
      <c r="S51" s="411"/>
      <c r="T51" s="411"/>
      <c r="U51" s="411"/>
      <c r="V51" s="411"/>
      <c r="W51" s="412"/>
      <c r="X51" s="409" t="s">
        <v>318</v>
      </c>
      <c r="Y51" s="411"/>
      <c r="Z51" s="411"/>
      <c r="AA51" s="411"/>
      <c r="AB51" s="411"/>
      <c r="AC51" s="412"/>
      <c r="AD51" s="409" t="s">
        <v>319</v>
      </c>
      <c r="AE51" s="410"/>
      <c r="AF51" s="411"/>
      <c r="AG51" s="411"/>
      <c r="AH51" s="411"/>
      <c r="AI51" s="412"/>
      <c r="AJ51" s="409" t="s">
        <v>320</v>
      </c>
      <c r="AK51" s="411"/>
      <c r="AL51" s="411"/>
      <c r="AM51" s="411"/>
      <c r="AN51" s="411"/>
      <c r="AO51" s="412"/>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13"/>
      <c r="M52" s="414"/>
      <c r="N52" s="414"/>
      <c r="O52" s="414"/>
      <c r="P52" s="414"/>
      <c r="Q52" s="415"/>
      <c r="R52" s="413"/>
      <c r="S52" s="414"/>
      <c r="T52" s="414"/>
      <c r="U52" s="414"/>
      <c r="V52" s="414"/>
      <c r="W52" s="415"/>
      <c r="X52" s="413"/>
      <c r="Y52" s="414"/>
      <c r="Z52" s="414"/>
      <c r="AA52" s="414"/>
      <c r="AB52" s="414"/>
      <c r="AC52" s="415"/>
      <c r="AD52" s="413"/>
      <c r="AE52" s="414"/>
      <c r="AF52" s="414"/>
      <c r="AG52" s="414"/>
      <c r="AH52" s="414"/>
      <c r="AI52" s="415"/>
      <c r="AJ52" s="413"/>
      <c r="AK52" s="414"/>
      <c r="AL52" s="414"/>
      <c r="AM52" s="414"/>
      <c r="AN52" s="414"/>
      <c r="AO52" s="415"/>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13"/>
      <c r="M53" s="414"/>
      <c r="N53" s="414"/>
      <c r="O53" s="414"/>
      <c r="P53" s="414"/>
      <c r="Q53" s="415"/>
      <c r="R53" s="413"/>
      <c r="S53" s="414"/>
      <c r="T53" s="414"/>
      <c r="U53" s="414"/>
      <c r="V53" s="414"/>
      <c r="W53" s="415"/>
      <c r="X53" s="413"/>
      <c r="Y53" s="414"/>
      <c r="Z53" s="414"/>
      <c r="AA53" s="414"/>
      <c r="AB53" s="414"/>
      <c r="AC53" s="415"/>
      <c r="AD53" s="413"/>
      <c r="AE53" s="414"/>
      <c r="AF53" s="414"/>
      <c r="AG53" s="414"/>
      <c r="AH53" s="414"/>
      <c r="AI53" s="415"/>
      <c r="AJ53" s="413"/>
      <c r="AK53" s="414"/>
      <c r="AL53" s="414"/>
      <c r="AM53" s="414"/>
      <c r="AN53" s="414"/>
      <c r="AO53" s="415"/>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13"/>
      <c r="M54" s="414"/>
      <c r="N54" s="414"/>
      <c r="O54" s="414"/>
      <c r="P54" s="414"/>
      <c r="Q54" s="415"/>
      <c r="R54" s="413"/>
      <c r="S54" s="414"/>
      <c r="T54" s="414"/>
      <c r="U54" s="414"/>
      <c r="V54" s="414"/>
      <c r="W54" s="415"/>
      <c r="X54" s="413"/>
      <c r="Y54" s="414"/>
      <c r="Z54" s="414"/>
      <c r="AA54" s="414"/>
      <c r="AB54" s="414"/>
      <c r="AC54" s="415"/>
      <c r="AD54" s="413"/>
      <c r="AE54" s="414"/>
      <c r="AF54" s="414"/>
      <c r="AG54" s="414"/>
      <c r="AH54" s="414"/>
      <c r="AI54" s="415"/>
      <c r="AJ54" s="413"/>
      <c r="AK54" s="414"/>
      <c r="AL54" s="414"/>
      <c r="AM54" s="414"/>
      <c r="AN54" s="414"/>
      <c r="AO54" s="415"/>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13"/>
      <c r="M55" s="414"/>
      <c r="N55" s="414"/>
      <c r="O55" s="414"/>
      <c r="P55" s="414"/>
      <c r="Q55" s="415"/>
      <c r="R55" s="413"/>
      <c r="S55" s="414"/>
      <c r="T55" s="414"/>
      <c r="U55" s="414"/>
      <c r="V55" s="414"/>
      <c r="W55" s="415"/>
      <c r="X55" s="413"/>
      <c r="Y55" s="414"/>
      <c r="Z55" s="414"/>
      <c r="AA55" s="414"/>
      <c r="AB55" s="414"/>
      <c r="AC55" s="415"/>
      <c r="AD55" s="413"/>
      <c r="AE55" s="414"/>
      <c r="AF55" s="414"/>
      <c r="AG55" s="414"/>
      <c r="AH55" s="414"/>
      <c r="AI55" s="415"/>
      <c r="AJ55" s="413"/>
      <c r="AK55" s="414"/>
      <c r="AL55" s="414"/>
      <c r="AM55" s="414"/>
      <c r="AN55" s="414"/>
      <c r="AO55" s="415"/>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75" thickBot="1">
      <c r="C56" s="68"/>
      <c r="D56" s="68"/>
      <c r="E56" s="68"/>
      <c r="F56" s="68"/>
      <c r="G56" s="68"/>
      <c r="H56" s="68"/>
      <c r="I56" s="68"/>
      <c r="J56" s="68"/>
      <c r="K56" s="68"/>
      <c r="L56" s="416"/>
      <c r="M56" s="417"/>
      <c r="N56" s="417"/>
      <c r="O56" s="417"/>
      <c r="P56" s="417"/>
      <c r="Q56" s="418"/>
      <c r="R56" s="416"/>
      <c r="S56" s="417"/>
      <c r="T56" s="417"/>
      <c r="U56" s="417"/>
      <c r="V56" s="417"/>
      <c r="W56" s="418"/>
      <c r="X56" s="416"/>
      <c r="Y56" s="417"/>
      <c r="Z56" s="417"/>
      <c r="AA56" s="417"/>
      <c r="AB56" s="417"/>
      <c r="AC56" s="418"/>
      <c r="AD56" s="416"/>
      <c r="AE56" s="417"/>
      <c r="AF56" s="417"/>
      <c r="AG56" s="417"/>
      <c r="AH56" s="417"/>
      <c r="AI56" s="418"/>
      <c r="AJ56" s="416"/>
      <c r="AK56" s="417"/>
      <c r="AL56" s="417"/>
      <c r="AM56" s="417"/>
      <c r="AN56" s="417"/>
      <c r="AO56" s="41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321</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defaultColWidth="11.42578125" defaultRowHeight="15"/>
  <cols>
    <col min="3" max="19" width="5.7109375" customWidth="1"/>
    <col min="20" max="20" width="6.7109375" customWidth="1"/>
    <col min="21" max="23" width="5.7109375" customWidth="1"/>
    <col min="24" max="24" width="7.42578125" customWidth="1"/>
    <col min="25" max="25" width="8.42578125" customWidth="1"/>
    <col min="26" max="26" width="12" customWidth="1"/>
    <col min="27" max="27" width="5.7109375" customWidth="1"/>
    <col min="28" max="28" width="10.7109375" customWidth="1"/>
    <col min="29" max="29" width="5.7109375" customWidth="1"/>
    <col min="30" max="30" width="7.42578125" customWidth="1"/>
    <col min="31" max="31" width="8.5703125" customWidth="1"/>
    <col min="32" max="34" width="5.7109375" customWidth="1"/>
    <col min="35" max="35" width="8.42578125" customWidth="1"/>
    <col min="36" max="36" width="9.7109375" customWidth="1"/>
    <col min="37" max="40" width="5.7109375" customWidth="1"/>
    <col min="42" max="47" width="5.7109375" customWidth="1"/>
  </cols>
  <sheetData>
    <row r="1" spans="1:92" ht="15.75" thickBot="1"/>
    <row r="2" spans="1:92">
      <c r="C2" s="432" t="s">
        <v>303</v>
      </c>
      <c r="D2" s="433"/>
      <c r="E2" s="433"/>
      <c r="F2" s="433"/>
      <c r="G2" s="433"/>
      <c r="H2" s="433"/>
      <c r="I2" s="433"/>
      <c r="J2" s="434"/>
      <c r="K2" s="423" t="s">
        <v>1</v>
      </c>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5"/>
      <c r="AO2" s="364" t="s">
        <v>8</v>
      </c>
      <c r="AP2" s="420"/>
      <c r="AQ2" s="420"/>
      <c r="AR2" s="420"/>
      <c r="AS2" s="420"/>
      <c r="AT2" s="420"/>
      <c r="AU2" s="338"/>
    </row>
    <row r="3" spans="1:92">
      <c r="C3" s="435"/>
      <c r="D3" s="436"/>
      <c r="E3" s="436"/>
      <c r="F3" s="436"/>
      <c r="G3" s="436"/>
      <c r="H3" s="436"/>
      <c r="I3" s="436"/>
      <c r="J3" s="437"/>
      <c r="K3" s="426"/>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8"/>
      <c r="AO3" s="365" t="s">
        <v>3</v>
      </c>
      <c r="AP3" s="421"/>
      <c r="AQ3" s="421"/>
      <c r="AR3" s="421"/>
      <c r="AS3" s="421"/>
      <c r="AT3" s="421"/>
      <c r="AU3" s="340"/>
    </row>
    <row r="4" spans="1:92">
      <c r="C4" s="435"/>
      <c r="D4" s="436"/>
      <c r="E4" s="436"/>
      <c r="F4" s="436"/>
      <c r="G4" s="436"/>
      <c r="H4" s="436"/>
      <c r="I4" s="436"/>
      <c r="J4" s="437"/>
      <c r="K4" s="426"/>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8"/>
      <c r="AO4" s="365" t="s">
        <v>4</v>
      </c>
      <c r="AP4" s="421" t="s">
        <v>305</v>
      </c>
      <c r="AQ4" s="421"/>
      <c r="AR4" s="421"/>
      <c r="AS4" s="421"/>
      <c r="AT4" s="421"/>
      <c r="AU4" s="340"/>
    </row>
    <row r="5" spans="1:92" ht="15.75" thickBot="1">
      <c r="C5" s="438"/>
      <c r="D5" s="439"/>
      <c r="E5" s="439"/>
      <c r="F5" s="439"/>
      <c r="G5" s="439"/>
      <c r="H5" s="439"/>
      <c r="I5" s="439"/>
      <c r="J5" s="440"/>
      <c r="K5" s="429"/>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1"/>
      <c r="AO5" s="366" t="s">
        <v>5</v>
      </c>
      <c r="AP5" s="422" t="s">
        <v>5</v>
      </c>
      <c r="AQ5" s="422"/>
      <c r="AR5" s="422"/>
      <c r="AS5" s="422"/>
      <c r="AT5" s="422"/>
      <c r="AU5" s="342"/>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480" t="s">
        <v>9</v>
      </c>
      <c r="B8" s="480"/>
      <c r="C8" s="510" t="s">
        <v>322</v>
      </c>
      <c r="D8" s="511"/>
      <c r="E8" s="511"/>
      <c r="F8" s="511"/>
      <c r="G8" s="511"/>
      <c r="H8" s="511"/>
      <c r="I8" s="511"/>
      <c r="J8" s="511"/>
      <c r="K8" s="512" t="s">
        <v>60</v>
      </c>
      <c r="L8" s="512"/>
      <c r="M8" s="512"/>
      <c r="N8" s="512"/>
      <c r="O8" s="512"/>
      <c r="P8" s="512"/>
      <c r="Q8" s="512"/>
      <c r="R8" s="512"/>
      <c r="S8" s="512"/>
      <c r="T8" s="512"/>
      <c r="U8" s="512"/>
      <c r="V8" s="512"/>
      <c r="W8" s="512"/>
      <c r="X8" s="512"/>
      <c r="Y8" s="512"/>
      <c r="Z8" s="512"/>
      <c r="AA8" s="512"/>
      <c r="AB8" s="512"/>
      <c r="AC8" s="512"/>
      <c r="AD8" s="512"/>
      <c r="AE8" s="512"/>
      <c r="AF8" s="512"/>
      <c r="AG8" s="512"/>
      <c r="AH8" s="512"/>
      <c r="AI8" s="512"/>
      <c r="AJ8" s="512"/>
      <c r="AK8" s="512"/>
      <c r="AL8" s="512"/>
      <c r="AM8" s="512"/>
      <c r="AN8" s="512"/>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11"/>
      <c r="D9" s="511"/>
      <c r="E9" s="511"/>
      <c r="F9" s="511"/>
      <c r="G9" s="511"/>
      <c r="H9" s="511"/>
      <c r="I9" s="511"/>
      <c r="J9" s="511"/>
      <c r="K9" s="512"/>
      <c r="L9" s="512"/>
      <c r="M9" s="512"/>
      <c r="N9" s="512"/>
      <c r="O9" s="512"/>
      <c r="P9" s="512"/>
      <c r="Q9" s="512"/>
      <c r="R9" s="512"/>
      <c r="S9" s="512"/>
      <c r="T9" s="512"/>
      <c r="U9" s="512"/>
      <c r="V9" s="512"/>
      <c r="W9" s="512"/>
      <c r="X9" s="512"/>
      <c r="Y9" s="512"/>
      <c r="Z9" s="512"/>
      <c r="AA9" s="512"/>
      <c r="AB9" s="512"/>
      <c r="AC9" s="512"/>
      <c r="AD9" s="512"/>
      <c r="AE9" s="512"/>
      <c r="AF9" s="512"/>
      <c r="AG9" s="512"/>
      <c r="AH9" s="512"/>
      <c r="AI9" s="512"/>
      <c r="AJ9" s="512"/>
      <c r="AK9" s="512"/>
      <c r="AL9" s="512"/>
      <c r="AM9" s="512"/>
      <c r="AN9" s="512"/>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11"/>
      <c r="D10" s="511"/>
      <c r="E10" s="511"/>
      <c r="F10" s="511"/>
      <c r="G10" s="511"/>
      <c r="H10" s="511"/>
      <c r="I10" s="511"/>
      <c r="J10" s="511"/>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2"/>
      <c r="AJ10" s="512"/>
      <c r="AK10" s="512"/>
      <c r="AL10" s="512"/>
      <c r="AM10" s="512"/>
      <c r="AN10" s="512"/>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75"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41" t="s">
        <v>307</v>
      </c>
      <c r="D12" s="441"/>
      <c r="E12" s="442"/>
      <c r="F12" s="481" t="s">
        <v>308</v>
      </c>
      <c r="G12" s="482"/>
      <c r="H12" s="482"/>
      <c r="I12" s="482"/>
      <c r="J12" s="482"/>
      <c r="K12" s="32"/>
      <c r="L12" s="33" t="str">
        <f>IF(AND('Mapa final'!$AH$16="Muy Alta",'Mapa final'!$AJ$16="Leve"),CONCATENATE("R2C",'Mapa final'!$R$15),"")</f>
        <v/>
      </c>
      <c r="M12" s="33" t="str">
        <f>IF(AND('Mapa final'!$AH$17="Muy Alta",'Mapa final'!$AJ$17="Leve"),CONCATENATE("R2C",'Mapa final'!$R$17),"")</f>
        <v/>
      </c>
      <c r="N12" s="33" t="str">
        <f>IF(AND('Mapa final'!$AH$20="Muy Alta",'Mapa final'!$AJ$20="Leve"),CONCATENATE("R2C",'Mapa final'!$R$20),"")</f>
        <v/>
      </c>
      <c r="O12" s="33" t="str">
        <f>IF(AND('Mapa final'!$AH$21="Muy Alta",'Mapa final'!$AJ$21="Leve"),CONCATENATE("R2C",'Mapa final'!$R$21),"")</f>
        <v/>
      </c>
      <c r="P12" s="34" t="str">
        <f>IF(AND('Mapa final'!$AH$22="Muy Alta",'Mapa final'!$AJ$22="Leve"),CONCATENATE("R2C",'Mapa final'!$R$22),"")</f>
        <v/>
      </c>
      <c r="Q12" s="33"/>
      <c r="R12" s="33" t="str">
        <f>IF(AND('Mapa final'!$AH$16="Muy Alta",'Mapa final'!$AJ$16="Menore"),CONCATENATE("R2C",'Mapa final'!$R$15),"")</f>
        <v/>
      </c>
      <c r="S12" s="33" t="str">
        <f>IF(AND('Mapa final'!$AH$17="Muy Alta",'Mapa final'!$AJ$17="Menor"),CONCATENATE("R2C",'Mapa final'!$R$17),"")</f>
        <v/>
      </c>
      <c r="T12" s="33" t="str">
        <f>IF(AND('Mapa final'!$AH$20="Muy Alta",'Mapa final'!$AJ$20="Menor"),CONCATENATE("R2C",'Mapa final'!$R$20),"")</f>
        <v/>
      </c>
      <c r="U12" s="33" t="str">
        <f>IF(AND('Mapa final'!$AH$21="Muy Alta",'Mapa final'!$AJ$21="Menor"),CONCATENATE("R2C",'Mapa final'!$R$21),"")</f>
        <v/>
      </c>
      <c r="V12" s="34" t="str">
        <f>IF(AND('Mapa final'!$AH$22="Muy Alta",'Mapa final'!$AJ$22="Menor"),CONCATENATE("R2C",'Mapa final'!$R$22),"")</f>
        <v/>
      </c>
      <c r="W12" s="32"/>
      <c r="X12" s="33" t="str">
        <f>IF(AND('Mapa final'!$AH$16="Muy Alta",'Mapa final'!$AJ$16="Moderado"),CONCATENATE("R2C",'Mapa final'!$R$15),"")</f>
        <v/>
      </c>
      <c r="Y12" s="33"/>
      <c r="Z12" s="33" t="str">
        <f>IF(AND('Mapa final'!$AH$20="Muy Alta",'Mapa final'!$AJ$20="Moderado"),CONCATENATE("R2C",'Mapa final'!$R$20),"")</f>
        <v/>
      </c>
      <c r="AA12" s="33" t="str">
        <f>IF(AND('Mapa final'!$AH$21="Muy Alta",'Mapa final'!$AJ$21="Moderado"),CONCATENATE("R2C",'Mapa final'!$R$21),"")</f>
        <v/>
      </c>
      <c r="AB12" s="34" t="str">
        <f>IF(AND('Mapa final'!$AH$22="Muy Alta",'Mapa final'!$AJ$22="Moderado"),CONCATENATE("R2C",'Mapa final'!$R$22),"")</f>
        <v/>
      </c>
      <c r="AC12" s="32"/>
      <c r="AD12" s="33" t="str">
        <f>IF(AND('Mapa final'!$AH$16="Muy Alta",'Mapa final'!$AJ$16="Mayor"),CONCATENATE("R2C",'Mapa final'!$R$15),"")</f>
        <v/>
      </c>
      <c r="AE12" s="33" t="str">
        <f>IF(AND('Mapa final'!$AH$17="Muy Alta",'Mapa final'!$AJ$17="Mayor"),CONCATENATE("R2C",'Mapa final'!$R$17),"")</f>
        <v/>
      </c>
      <c r="AF12" s="33" t="str">
        <f>IF(AND('Mapa final'!$AH$20="Muy Alta",'Mapa final'!$AJ$20="Mayor"),CONCATENATE("R2C",'Mapa final'!$R$20),"")</f>
        <v/>
      </c>
      <c r="AG12" s="33" t="str">
        <f>IF(AND('Mapa final'!$AH$21="Muy Alta",'Mapa final'!$AJ$21="Mayor"),CONCATENATE("R2C",'Mapa final'!$R$21),"")</f>
        <v/>
      </c>
      <c r="AH12" s="34" t="str">
        <f>IF(AND('Mapa final'!$AH$22="Muy Alta",'Mapa final'!$AJ$22="Mayor"),CONCATENATE("R2C",'Mapa final'!$R$22),"")</f>
        <v/>
      </c>
      <c r="AI12" s="35"/>
      <c r="AJ12" s="36" t="str">
        <f>IF(AND('Mapa final'!$AH$16="Muy Alta",'Mapa final'!$AJ$16="Catastrófico"),CONCATENATE("R2C",'Mapa final'!$R$15),"")</f>
        <v/>
      </c>
      <c r="AK12" s="36" t="str">
        <f>IF(AND('Mapa final'!$AH$17="Muy Alta",'Mapa final'!$AJ$17="Catastrófico"),CONCATENATE("R2C",'Mapa final'!$R$17),"")</f>
        <v/>
      </c>
      <c r="AL12" s="36" t="str">
        <f>IF(AND('Mapa final'!$AH$20="Muy Alta",'Mapa final'!$AJ$20="Catastrófico"),CONCATENATE("R2C",'Mapa final'!$R$20),"")</f>
        <v/>
      </c>
      <c r="AM12" s="36" t="str">
        <f>IF(AND('Mapa final'!$AH$21="Muy Alta",'Mapa final'!$AJ$21="Catastrófico"),CONCATENATE("R2C",'Mapa final'!$R$21),"")</f>
        <v/>
      </c>
      <c r="AN12" s="37" t="str">
        <f>IF(AND('Mapa final'!$AH$22="Muy Alta",'Mapa final'!$AJ$22="Catastrófico"),CONCATENATE("R2C",'Mapa final'!$R$22),"")</f>
        <v/>
      </c>
      <c r="AO12" s="68"/>
      <c r="AP12" s="501" t="s">
        <v>309</v>
      </c>
      <c r="AQ12" s="502"/>
      <c r="AR12" s="502"/>
      <c r="AS12" s="502"/>
      <c r="AT12" s="502"/>
      <c r="AU12" s="503"/>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41"/>
      <c r="D13" s="441"/>
      <c r="E13" s="442"/>
      <c r="F13" s="484"/>
      <c r="G13" s="485"/>
      <c r="H13" s="485"/>
      <c r="I13" s="485"/>
      <c r="J13" s="485"/>
      <c r="K13" s="38" t="str">
        <f>IF(AND('Mapa final'!$AH$23="Muy Alta",'Mapa final'!$AJ$23="Leve"),CONCATENATE("R2C",'Mapa final'!$R$23),"")</f>
        <v/>
      </c>
      <c r="L13" s="39" t="str">
        <f>IF(AND('Mapa final'!$AH$24="Muy Alta",'Mapa final'!$AJ$24="Leve"),CONCATENATE("R2C",'Mapa final'!$R$24),"")</f>
        <v/>
      </c>
      <c r="M13" s="39" t="str">
        <f>IF(AND('Mapa final'!$AH$33="Muy Alta",'Mapa final'!$AJ$33="Leve"),CONCATENATE("R2C",'Mapa final'!$R$33),"")</f>
        <v/>
      </c>
      <c r="N13" s="39" t="str">
        <f>IF(AND('Mapa final'!$AH$34="Muy Alta",'Mapa final'!$AJ$34="Leve"),CONCATENATE("R2C",'Mapa final'!$R$34),"")</f>
        <v/>
      </c>
      <c r="O13" s="39" t="str">
        <f>IF(AND('Mapa final'!$AH$35="Muy Alta",'Mapa final'!$AJ$35="Leve"),CONCATENATE("R2C",'Mapa final'!$R$35),"")</f>
        <v/>
      </c>
      <c r="P13" s="40" t="str">
        <f>IF(AND('Mapa final'!$AH$36="Muy Alta",'Mapa final'!$AJ$36="Leve"),CONCATENATE("R2C",'Mapa final'!$R$36),"")</f>
        <v/>
      </c>
      <c r="Q13" s="39" t="str">
        <f>IF(AND('Mapa final'!$AH$23="Muy Alta",'Mapa final'!$AJ$23="Menor"),CONCATENATE("R2C",'Mapa final'!$R$23),"")</f>
        <v/>
      </c>
      <c r="R13" s="39" t="str">
        <f>IF(AND('Mapa final'!$AH$24="Muy Alta",'Mapa final'!$AJ$24="Menor"),CONCATENATE("R2C",'Mapa final'!$R$24),"")</f>
        <v/>
      </c>
      <c r="S13" s="39" t="str">
        <f>IF(AND('Mapa final'!$AH$33="Muy Alta",'Mapa final'!$AJ$33="Menor"),CONCATENATE("R2C",'Mapa final'!$R$33),"")</f>
        <v/>
      </c>
      <c r="T13" s="39" t="str">
        <f>IF(AND('Mapa final'!$AH$34="Muy Alta",'Mapa final'!$AJ$34="Menor"),CONCATENATE("R2C",'Mapa final'!$R$34),"")</f>
        <v/>
      </c>
      <c r="U13" s="39" t="str">
        <f>IF(AND('Mapa final'!$AH$35="Muy Alta",'Mapa final'!$AJ$35="Menor"),CONCATENATE("R2C",'Mapa final'!$R$35),"")</f>
        <v/>
      </c>
      <c r="V13" s="40" t="str">
        <f>IF(AND('Mapa final'!$AH$36="Muy Alta",'Mapa final'!$AJ$36="Menor"),CONCATENATE("R2C",'Mapa final'!$R$36),"")</f>
        <v/>
      </c>
      <c r="W13" s="38" t="str">
        <f>IF(AND('Mapa final'!$AH$23="Muy Alta",'Mapa final'!$AJ$23="Moderado"),CONCATENATE("R2C",'Mapa final'!$R$23),"")</f>
        <v/>
      </c>
      <c r="X13" s="39" t="str">
        <f>IF(AND('Mapa final'!$AH$24="Muy Alta",'Mapa final'!$AJ$24="Moderado"),CONCATENATE("R2C",'Mapa final'!$R$24),"")</f>
        <v/>
      </c>
      <c r="Y13" s="39" t="str">
        <f>IF(AND('Mapa final'!$AH$33="Muy Alta",'Mapa final'!$AJ$33="Moderado"),CONCATENATE("R2C",'Mapa final'!$R$33),"")</f>
        <v/>
      </c>
      <c r="Z13" s="39" t="str">
        <f>IF(AND('Mapa final'!$AH$34="Muy Alta",'Mapa final'!$AJ$34="Moderado"),CONCATENATE("R2C",'Mapa final'!$R$34),"")</f>
        <v/>
      </c>
      <c r="AA13" s="39" t="str">
        <f>IF(AND('Mapa final'!$AH$35="Muy Alta",'Mapa final'!$AJ$35="Moderado"),CONCATENATE("R2C",'Mapa final'!$R$35),"")</f>
        <v/>
      </c>
      <c r="AB13" s="40" t="str">
        <f>IF(AND('Mapa final'!$AH$36="Muy Alta",'Mapa final'!$AJ$36="Moderado"),CONCATENATE("R2C",'Mapa final'!$R$36),"")</f>
        <v/>
      </c>
      <c r="AC13" s="38" t="str">
        <f>IF(AND('Mapa final'!$AH$23="Muy Alta",'Mapa final'!$AJ$23="Mayor"),CONCATENATE("R2C",'Mapa final'!$R$23),"")</f>
        <v/>
      </c>
      <c r="AD13" s="39" t="str">
        <f>IF(AND('Mapa final'!$AH$24="Muy Alta",'Mapa final'!$AJ$24="Mayor"),CONCATENATE("R2C",'Mapa final'!$R$24),"")</f>
        <v/>
      </c>
      <c r="AE13" s="39" t="str">
        <f>IF(AND('Mapa final'!$AH$33="Muy Alta",'Mapa final'!$AJ$33="Mayor"),CONCATENATE("R2C",'Mapa final'!$R$33),"")</f>
        <v/>
      </c>
      <c r="AF13" s="39" t="str">
        <f>IF(AND('Mapa final'!$AH$34="Muy Alta",'Mapa final'!$AJ$34="Mayor"),CONCATENATE("R2C",'Mapa final'!$R$34),"")</f>
        <v/>
      </c>
      <c r="AG13" s="39" t="str">
        <f>IF(AND('Mapa final'!$AH$35="Muy Alta",'Mapa final'!$AJ$35="Mayor"),CONCATENATE("R2C",'Mapa final'!$R$35),"")</f>
        <v/>
      </c>
      <c r="AH13" s="40" t="str">
        <f>IF(AND('Mapa final'!$AH$36="Muy Alta",'Mapa final'!$AJ$36="Mayor"),CONCATENATE("R2C",'Mapa final'!$R$36),"")</f>
        <v/>
      </c>
      <c r="AI13" s="41" t="str">
        <f>IF(AND('Mapa final'!$AH$23="Muy Alta",'Mapa final'!$AJ$23="Catastrófico"),CONCATENATE("R2C",'Mapa final'!$R$23),"")</f>
        <v/>
      </c>
      <c r="AJ13" s="42" t="str">
        <f>IF(AND('Mapa final'!$AH$24="Muy Alta",'Mapa final'!$AJ$24="Catastrófico"),CONCATENATE("R2C",'Mapa final'!$R$24),"")</f>
        <v/>
      </c>
      <c r="AK13" s="42" t="str">
        <f>IF(AND('Mapa final'!$AH$33="Muy Alta",'Mapa final'!$AJ$33="Catastrófico"),CONCATENATE("R2C",'Mapa final'!$R$33),"")</f>
        <v/>
      </c>
      <c r="AL13" s="42" t="str">
        <f>IF(AND('Mapa final'!$AH$34="Muy Alta",'Mapa final'!$AJ$34="Catastrófico"),CONCATENATE("R2C",'Mapa final'!$R$34),"")</f>
        <v/>
      </c>
      <c r="AM13" s="42" t="str">
        <f>IF(AND('Mapa final'!$AH$35="Muy Alta",'Mapa final'!$AJ$35="Catastrófico"),CONCATENATE("R2C",'Mapa final'!$R$35),"")</f>
        <v/>
      </c>
      <c r="AN13" s="43" t="str">
        <f>IF(AND('Mapa final'!$AH$36="Muy Alta",'Mapa final'!$AJ$36="Catastrófico"),CONCATENATE("R2C",'Mapa final'!$R$36),"")</f>
        <v/>
      </c>
      <c r="AO13" s="68"/>
      <c r="AP13" s="504"/>
      <c r="AQ13" s="505"/>
      <c r="AR13" s="505"/>
      <c r="AS13" s="505"/>
      <c r="AT13" s="505"/>
      <c r="AU13" s="506"/>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41"/>
      <c r="D14" s="441"/>
      <c r="E14" s="442"/>
      <c r="F14" s="484"/>
      <c r="G14" s="485"/>
      <c r="H14" s="485"/>
      <c r="I14" s="485"/>
      <c r="J14" s="485"/>
      <c r="K14" s="38" t="str">
        <f>IF(AND('Mapa final'!$AH$37="Muy Alta",'Mapa final'!$AJ$37="Leve"),CONCATENATE("R2C",'Mapa final'!$R$37),"")</f>
        <v/>
      </c>
      <c r="L14" s="39" t="str">
        <f>IF(AND('Mapa final'!$AH$38="Muy Alta",'Mapa final'!$AJ$38="Leve"),CONCATENATE("R2C",'Mapa final'!$R$38),"")</f>
        <v/>
      </c>
      <c r="M14" s="39" t="str">
        <f>IF(AND('Mapa final'!$AH$39="Muy Alta",'Mapa final'!$AJ$39="Leve"),CONCATENATE("R2C",'Mapa final'!$R$39),"")</f>
        <v/>
      </c>
      <c r="N14" s="39" t="str">
        <f>IF(AND('Mapa final'!$AH$40="Muy Alta",'Mapa final'!$AJ$40="Leve"),CONCATENATE("R2C",'Mapa final'!$R$40),"")</f>
        <v/>
      </c>
      <c r="O14" s="39" t="str">
        <f>IF(AND('Mapa final'!$AH$41="Muy Alta",'Mapa final'!$AJ$41="Leve"),CONCATENATE("R2C",'Mapa final'!$R$41),"")</f>
        <v/>
      </c>
      <c r="P14" s="40" t="str">
        <f>IF(AND('Mapa final'!$AH$42="Muy Alta",'Mapa final'!$AJ$42="Leve"),CONCATENATE("R2C",'Mapa final'!$R$42),"")</f>
        <v/>
      </c>
      <c r="Q14" s="39" t="str">
        <f>IF(AND('Mapa final'!$AH$37="Muy Alta",'Mapa final'!$AJ$37="Menor"),CONCATENATE("R2C",'Mapa final'!$R$37),"")</f>
        <v/>
      </c>
      <c r="R14" s="39" t="str">
        <f>IF(AND('Mapa final'!$AH$38="Muy Alta",'Mapa final'!$AJ$38="Menor"),CONCATENATE("R2C",'Mapa final'!$R$38),"")</f>
        <v/>
      </c>
      <c r="S14" s="39" t="str">
        <f>IF(AND('Mapa final'!$AH$39="Muy Alta",'Mapa final'!$AJ$39="Menor"),CONCATENATE("R2C",'Mapa final'!$R$39),"")</f>
        <v/>
      </c>
      <c r="T14" s="39" t="str">
        <f>IF(AND('Mapa final'!$AH$40="Muy Alta",'Mapa final'!$AJ$40="Menor"),CONCATENATE("R2C",'Mapa final'!$R$40),"")</f>
        <v/>
      </c>
      <c r="U14" s="39" t="str">
        <f>IF(AND('Mapa final'!$AH$41="Muy Alta",'Mapa final'!$AJ$41="Menor"),CONCATENATE("R2C",'Mapa final'!$R$41),"")</f>
        <v/>
      </c>
      <c r="V14" s="40" t="str">
        <f>IF(AND('Mapa final'!$AH$42="Muy Alta",'Mapa final'!$AJ$42="Menor"),CONCATENATE("R2C",'Mapa final'!$R$42),"")</f>
        <v/>
      </c>
      <c r="W14" s="38" t="str">
        <f>IF(AND('Mapa final'!$AH$37="Muy Alta",'Mapa final'!$AJ$37="Moderado"),CONCATENATE("R2C",'Mapa final'!$R$37),"")</f>
        <v/>
      </c>
      <c r="X14" s="39" t="str">
        <f>IF(AND('Mapa final'!$AH$38="Muy Alta",'Mapa final'!$AJ$38="Moderado"),CONCATENATE("R2C",'Mapa final'!$R$38),"")</f>
        <v/>
      </c>
      <c r="Y14" s="39" t="str">
        <f>IF(AND('Mapa final'!$AH$39="Muy Alta",'Mapa final'!$AJ$39="Moderado"),CONCATENATE("R2C",'Mapa final'!$R$39),"")</f>
        <v/>
      </c>
      <c r="Z14" s="39" t="str">
        <f>IF(AND('Mapa final'!$AH$40="Muy Alta",'Mapa final'!$AJ$40="Moderado"),CONCATENATE("R2C",'Mapa final'!$R$40),"")</f>
        <v/>
      </c>
      <c r="AA14" s="39" t="str">
        <f>IF(AND('Mapa final'!$AH$41="Muy Alta",'Mapa final'!$AJ$41="Moderado"),CONCATENATE("R2C",'Mapa final'!$R$41),"")</f>
        <v/>
      </c>
      <c r="AB14" s="40" t="str">
        <f>IF(AND('Mapa final'!$AH$42="Muy Alta",'Mapa final'!$AJ$42="Moderado"),CONCATENATE("R2C",'Mapa final'!$R$42),"")</f>
        <v/>
      </c>
      <c r="AC14" s="38" t="str">
        <f>IF(AND('Mapa final'!$AH$37="Muy Alta",'Mapa final'!$AJ$37="Mayor"),CONCATENATE("R2C",'Mapa final'!$R$37),"")</f>
        <v/>
      </c>
      <c r="AD14" s="39" t="str">
        <f>IF(AND('Mapa final'!$AH$38="Muy Alta",'Mapa final'!$AJ$38="Mayor"),CONCATENATE("R2C",'Mapa final'!$R$38),"")</f>
        <v/>
      </c>
      <c r="AE14" s="39" t="str">
        <f>IF(AND('Mapa final'!$AH$39="Muy Alta",'Mapa final'!$AJ$39="Mayor"),CONCATENATE("R2C",'Mapa final'!$R$39),"")</f>
        <v/>
      </c>
      <c r="AF14" s="39" t="str">
        <f>IF(AND('Mapa final'!$AH$40="Muy Alta",'Mapa final'!$AJ$40="Mayor"),CONCATENATE("R2C",'Mapa final'!$R$40),"")</f>
        <v/>
      </c>
      <c r="AG14" s="39" t="str">
        <f>IF(AND('Mapa final'!$AH$41="Muy Alta",'Mapa final'!$AJ$41="Mayor"),CONCATENATE("R2C",'Mapa final'!$R$41),"")</f>
        <v/>
      </c>
      <c r="AH14" s="40" t="str">
        <f>IF(AND('Mapa final'!$AH$42="Muy Alta",'Mapa final'!$AJ$42="Mayor"),CONCATENATE("R2C",'Mapa final'!$R$42),"")</f>
        <v/>
      </c>
      <c r="AI14" s="41" t="str">
        <f>IF(AND('Mapa final'!$AH$37="Muy Alta",'Mapa final'!$AJ$37="Catastrófico"),CONCATENATE("R2C",'Mapa final'!$R$37),"")</f>
        <v/>
      </c>
      <c r="AJ14" s="42" t="str">
        <f>IF(AND('Mapa final'!$AH$38="Muy Alta",'Mapa final'!$AJ$38="Catastrófico"),CONCATENATE("R2C",'Mapa final'!$R$38),"")</f>
        <v/>
      </c>
      <c r="AK14" s="42" t="str">
        <f>IF(AND('Mapa final'!$AH$39="Muy Alta",'Mapa final'!$AJ$39="Catastrófico"),CONCATENATE("R2C",'Mapa final'!$R$39),"")</f>
        <v/>
      </c>
      <c r="AL14" s="42" t="str">
        <f>IF(AND('Mapa final'!$AH$40="Muy Alta",'Mapa final'!$AJ$40="Catastrófico"),CONCATENATE("R2C",'Mapa final'!$R$40),"")</f>
        <v/>
      </c>
      <c r="AM14" s="42" t="str">
        <f>IF(AND('Mapa final'!$AH$41="Muy Alta",'Mapa final'!$AJ$41="Catastrófico"),CONCATENATE("R2C",'Mapa final'!$R$41),"")</f>
        <v/>
      </c>
      <c r="AN14" s="43" t="str">
        <f>IF(AND('Mapa final'!$AH$42="Muy Alta",'Mapa final'!$AJ$42="Catastrófico"),CONCATENATE("R2C",'Mapa final'!$R$42),"")</f>
        <v/>
      </c>
      <c r="AO14" s="68"/>
      <c r="AP14" s="504"/>
      <c r="AQ14" s="505"/>
      <c r="AR14" s="505"/>
      <c r="AS14" s="505"/>
      <c r="AT14" s="505"/>
      <c r="AU14" s="506"/>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41"/>
      <c r="D15" s="441"/>
      <c r="E15" s="442"/>
      <c r="F15" s="484"/>
      <c r="G15" s="485"/>
      <c r="H15" s="485"/>
      <c r="I15" s="485"/>
      <c r="J15" s="485"/>
      <c r="K15" s="38" t="str">
        <f>IF(AND('Mapa final'!$AH$43="Muy Alta",'Mapa final'!$AJ$43="Leve"),CONCATENATE("R2C",'Mapa final'!$R$43),"")</f>
        <v/>
      </c>
      <c r="L15" s="39" t="str">
        <f>IF(AND('Mapa final'!$AH$44="Muy Alta",'Mapa final'!$AJ$44="Leve"),CONCATENATE("R2C",'Mapa final'!$R$44),"")</f>
        <v/>
      </c>
      <c r="M15" s="39" t="str">
        <f>IF(AND('Mapa final'!$AH$45="Muy Alta",'Mapa final'!$AJ$45="Leve"),CONCATENATE("R2C",'Mapa final'!$R$45),"")</f>
        <v/>
      </c>
      <c r="N15" s="39" t="str">
        <f>IF(AND('Mapa final'!$AH$46="Muy Alta",'Mapa final'!$AJ$46="Leve"),CONCATENATE("R2C",'Mapa final'!$R$46),"")</f>
        <v/>
      </c>
      <c r="O15" s="39" t="str">
        <f>IF(AND('Mapa final'!$AH$47="Muy Alta",'Mapa final'!$AJ$47="Leve"),CONCATENATE("R2C",'Mapa final'!$R$47),"")</f>
        <v/>
      </c>
      <c r="P15" s="40" t="str">
        <f>IF(AND('Mapa final'!$AH$48="Muy Alta",'Mapa final'!$AJ$48="Leve"),CONCATENATE("R2C",'Mapa final'!$R$48),"")</f>
        <v/>
      </c>
      <c r="Q15" s="39" t="str">
        <f>IF(AND('Mapa final'!$AH$43="Muy Alta",'Mapa final'!$AJ$43="Menor"),CONCATENATE("R2C",'Mapa final'!$R$43),"")</f>
        <v/>
      </c>
      <c r="R15" s="39" t="str">
        <f>IF(AND('Mapa final'!$AH$44="Muy Alta",'Mapa final'!$AJ$44="Menor"),CONCATENATE("R2C",'Mapa final'!$R$44),"")</f>
        <v/>
      </c>
      <c r="S15" s="39" t="str">
        <f>IF(AND('Mapa final'!$AH$45="Muy Alta",'Mapa final'!$AJ$45="Menor"),CONCATENATE("R2C",'Mapa final'!$R$45),"")</f>
        <v/>
      </c>
      <c r="T15" s="39" t="str">
        <f>IF(AND('Mapa final'!$AH$46="Muy Alta",'Mapa final'!$AJ$46="Menor"),CONCATENATE("R2C",'Mapa final'!$R$46),"")</f>
        <v/>
      </c>
      <c r="U15" s="39" t="str">
        <f>IF(AND('Mapa final'!$AH$47="Muy Alta",'Mapa final'!$AJ$47="LMenor"),CONCATENATE("R2C",'Mapa final'!$R$47),"")</f>
        <v/>
      </c>
      <c r="V15" s="40" t="str">
        <f>IF(AND('Mapa final'!$AH$48="Muy Alta",'Mapa final'!$AJ$48="Menor"),CONCATENATE("R2C",'Mapa final'!$R$48),"")</f>
        <v/>
      </c>
      <c r="W15" s="38" t="str">
        <f>IF(AND('Mapa final'!$AH$43="Muy Alta",'Mapa final'!$AJ$43="Moderado"),CONCATENATE("R2C",'Mapa final'!$R$43),"")</f>
        <v/>
      </c>
      <c r="X15" s="39" t="str">
        <f>IF(AND('Mapa final'!$AH$44="Muy Alta",'Mapa final'!$AJ$44="Moderado"),CONCATENATE("R2C",'Mapa final'!$R$44),"")</f>
        <v/>
      </c>
      <c r="Y15" s="39" t="str">
        <f>IF(AND('Mapa final'!$AH$45="Muy Alta",'Mapa final'!$AJ$45="Moderado"),CONCATENATE("R2C",'Mapa final'!$R$45),"")</f>
        <v/>
      </c>
      <c r="Z15" s="39" t="str">
        <f>IF(AND('Mapa final'!$AH$46="Muy Alta",'Mapa final'!$AJ$46="Moderado"),CONCATENATE("R2C",'Mapa final'!$R$46),"")</f>
        <v/>
      </c>
      <c r="AA15" s="39" t="str">
        <f>IF(AND('Mapa final'!$AH$47="Muy Alta",'Mapa final'!$AJ$47="Moderado"),CONCATENATE("R2C",'Mapa final'!$R$47),"")</f>
        <v/>
      </c>
      <c r="AB15" s="40" t="str">
        <f>IF(AND('Mapa final'!$AH$48="Muy Alta",'Mapa final'!$AJ$48="Moderado"),CONCATENATE("R2C",'Mapa final'!$R$48),"")</f>
        <v/>
      </c>
      <c r="AC15" s="38" t="str">
        <f>IF(AND('Mapa final'!$AH$43="Muy Alta",'Mapa final'!$AJ$43="Mayor"),CONCATENATE("R2C",'Mapa final'!$R$43),"")</f>
        <v/>
      </c>
      <c r="AD15" s="39" t="str">
        <f>IF(AND('Mapa final'!$AH$44="Muy Alta",'Mapa final'!$AJ$44="Mayor"),CONCATENATE("R2C",'Mapa final'!$R$44),"")</f>
        <v/>
      </c>
      <c r="AE15" s="39" t="str">
        <f>IF(AND('Mapa final'!$AH$45="Muy Alta",'Mapa final'!$AJ$45="Mayor"),CONCATENATE("R2C",'Mapa final'!$R$45),"")</f>
        <v/>
      </c>
      <c r="AF15" s="39" t="str">
        <f>IF(AND('Mapa final'!$AH$46="Muy Alta",'Mapa final'!$AJ$46="Mayor"),CONCATENATE("R2C",'Mapa final'!$R$46),"")</f>
        <v/>
      </c>
      <c r="AG15" s="39" t="str">
        <f>IF(AND('Mapa final'!$AH$47="Muy Alta",'Mapa final'!$AJ$47="Mayor"),CONCATENATE("R2C",'Mapa final'!$R$47),"")</f>
        <v/>
      </c>
      <c r="AH15" s="40" t="str">
        <f>IF(AND('Mapa final'!$AH$48="Muy Alta",'Mapa final'!$AJ$48="Mayor"),CONCATENATE("R2C",'Mapa final'!$R$48),"")</f>
        <v/>
      </c>
      <c r="AI15" s="41" t="str">
        <f>IF(AND('Mapa final'!$AH$43="Muy Alta",'Mapa final'!$AJ$43="Catastrófico"),CONCATENATE("R2C",'Mapa final'!$R$43),"")</f>
        <v/>
      </c>
      <c r="AJ15" s="42" t="str">
        <f>IF(AND('Mapa final'!$AH$44="Muy Alta",'Mapa final'!$AJ$44="Catastrófico"),CONCATENATE("R2C",'Mapa final'!$R$44),"")</f>
        <v/>
      </c>
      <c r="AK15" s="42" t="str">
        <f>IF(AND('Mapa final'!$AH$45="Muy Alta",'Mapa final'!$AJ$45="Catastrófico"),CONCATENATE("R2C",'Mapa final'!$R$45),"")</f>
        <v/>
      </c>
      <c r="AL15" s="42" t="str">
        <f>IF(AND('Mapa final'!$AH$46="Muy Alta",'Mapa final'!$AJ$46="Catastrófico"),CONCATENATE("R2C",'Mapa final'!$R$46),"")</f>
        <v/>
      </c>
      <c r="AM15" s="42" t="str">
        <f>IF(AND('Mapa final'!$AH$47="Muy Alta",'Mapa final'!$AJ$47="LCatastrófico"),CONCATENATE("R2C",'Mapa final'!$R$47),"")</f>
        <v/>
      </c>
      <c r="AN15" s="43" t="str">
        <f>IF(AND('Mapa final'!$AH$48="Muy Alta",'Mapa final'!$AJ$48="Catastrófico"),CONCATENATE("R2C",'Mapa final'!$R$48),"")</f>
        <v/>
      </c>
      <c r="AO15" s="68"/>
      <c r="AP15" s="504"/>
      <c r="AQ15" s="505"/>
      <c r="AR15" s="505"/>
      <c r="AS15" s="505"/>
      <c r="AT15" s="505"/>
      <c r="AU15" s="506"/>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41"/>
      <c r="D16" s="441"/>
      <c r="E16" s="442"/>
      <c r="F16" s="484"/>
      <c r="G16" s="485"/>
      <c r="H16" s="485"/>
      <c r="I16" s="485"/>
      <c r="J16" s="485"/>
      <c r="K16" s="38" t="str">
        <f>IF(AND('Mapa final'!$AH$49="Muy Alta",'Mapa final'!$AJ$49="Leve"),CONCATENATE("R2C",'Mapa final'!$R$49),"")</f>
        <v/>
      </c>
      <c r="L16" s="39" t="str">
        <f>IF(AND('Mapa final'!$AH$50="Muy Alta",'Mapa final'!$AJ$50="Leve"),CONCATENATE("R2C",'Mapa final'!$R$50),"")</f>
        <v/>
      </c>
      <c r="M16" s="39" t="str">
        <f>IF(AND('Mapa final'!$AH$51="Muy Alta",'Mapa final'!$AJ$51="Leve"),CONCATENATE("R2C",'Mapa final'!$R$51),"")</f>
        <v/>
      </c>
      <c r="N16" s="39" t="str">
        <f>IF(AND('Mapa final'!$AH$52="Muy Alta",'Mapa final'!$AJ$52="Leve"),CONCATENATE("R2C",'Mapa final'!$R$52),"")</f>
        <v/>
      </c>
      <c r="O16" s="39" t="str">
        <f>IF(AND('Mapa final'!$AH$53="Muy Alta",'Mapa final'!$AJ$53="Leve"),CONCATENATE("R2C",'Mapa final'!$R$53),"")</f>
        <v/>
      </c>
      <c r="P16" s="40" t="str">
        <f>IF(AND('Mapa final'!$AH$54="Muy Alta",'Mapa final'!$AJ$54="Leve"),CONCATENATE("R2C",'Mapa final'!$R$54),"")</f>
        <v/>
      </c>
      <c r="Q16" s="39" t="str">
        <f>IF(AND('Mapa final'!$AH$49="Muy Alta",'Mapa final'!$AJ$49="Menor"),CONCATENATE("R2C",'Mapa final'!$R$49),"")</f>
        <v/>
      </c>
      <c r="R16" s="39" t="str">
        <f>IF(AND('Mapa final'!$AH$50="Muy Alta",'Mapa final'!$AJ$50="Menor"),CONCATENATE("R2C",'Mapa final'!$R$50),"")</f>
        <v/>
      </c>
      <c r="S16" s="39" t="str">
        <f>IF(AND('Mapa final'!$AH$51="Muy Alta",'Mapa final'!$AJ$51="Menor"),CONCATENATE("R2C",'Mapa final'!$R$51),"")</f>
        <v/>
      </c>
      <c r="T16" s="39" t="str">
        <f>IF(AND('Mapa final'!$AH$52="Muy Alta",'Mapa final'!$AJ$52="Menor"),CONCATENATE("R2C",'Mapa final'!$R$52),"")</f>
        <v/>
      </c>
      <c r="U16" s="39" t="str">
        <f>IF(AND('Mapa final'!$AH$53="Muy Alta",'Mapa final'!$AJ$53="Menor"),CONCATENATE("R2C",'Mapa final'!$R$53),"")</f>
        <v/>
      </c>
      <c r="V16" s="40" t="str">
        <f>IF(AND('Mapa final'!$AH$54="Muy Alta",'Mapa final'!$AJ$54="Menor"),CONCATENATE("R2C",'Mapa final'!$R$54),"")</f>
        <v/>
      </c>
      <c r="W16" s="38" t="str">
        <f>IF(AND('Mapa final'!$AH$49="Muy Alta",'Mapa final'!$AJ$49="Moderado"),CONCATENATE("R2C",'Mapa final'!$R$49),"")</f>
        <v/>
      </c>
      <c r="X16" s="39" t="str">
        <f>IF(AND('Mapa final'!$AH$50="Muy Alta",'Mapa final'!$AJ$50="Moderado"),CONCATENATE("R2C",'Mapa final'!$R$50),"")</f>
        <v/>
      </c>
      <c r="Y16" s="39" t="str">
        <f>IF(AND('Mapa final'!$AH$51="Muy Alta",'Mapa final'!$AJ$51="Moderado"),CONCATENATE("R2C",'Mapa final'!$R$51),"")</f>
        <v/>
      </c>
      <c r="Z16" s="39" t="str">
        <f>IF(AND('Mapa final'!$AH$52="Muy Alta",'Mapa final'!$AJ$52="Moderado"),CONCATENATE("R2C",'Mapa final'!$R$52),"")</f>
        <v/>
      </c>
      <c r="AA16" s="39" t="str">
        <f>IF(AND('Mapa final'!$AH$53="Muy Alta",'Mapa final'!$AJ$53="Moderado"),CONCATENATE("R2C",'Mapa final'!$R$53),"")</f>
        <v/>
      </c>
      <c r="AB16" s="40" t="str">
        <f>IF(AND('Mapa final'!$AH$54="Muy Alta",'Mapa final'!$AJ$54="Moderado"),CONCATENATE("R2C",'Mapa final'!$R$54),"")</f>
        <v/>
      </c>
      <c r="AC16" s="38" t="str">
        <f>IF(AND('Mapa final'!$AH$49="Muy Alta",'Mapa final'!$AJ$49="Mayor"),CONCATENATE("R2C",'Mapa final'!$R$49),"")</f>
        <v/>
      </c>
      <c r="AD16" s="39" t="str">
        <f>IF(AND('Mapa final'!$AH$50="Muy Alta",'Mapa final'!$AJ$50="Mayor"),CONCATENATE("R2C",'Mapa final'!$R$50),"")</f>
        <v/>
      </c>
      <c r="AE16" s="39" t="str">
        <f>IF(AND('Mapa final'!$AH$51="Muy Alta",'Mapa final'!$AJ$51="Mayor"),CONCATENATE("R2C",'Mapa final'!$R$51),"")</f>
        <v/>
      </c>
      <c r="AF16" s="39" t="str">
        <f>IF(AND('Mapa final'!$AH$52="Muy Alta",'Mapa final'!$AJ$52="Mayor"),CONCATENATE("R2C",'Mapa final'!$R$52),"")</f>
        <v/>
      </c>
      <c r="AG16" s="39" t="str">
        <f>IF(AND('Mapa final'!$AH$53="Muy Alta",'Mapa final'!$AJ$53="Mayor"),CONCATENATE("R2C",'Mapa final'!$R$53),"")</f>
        <v/>
      </c>
      <c r="AH16" s="40" t="str">
        <f>IF(AND('Mapa final'!$AH$54="Muy Alta",'Mapa final'!$AJ$54="Mayor"),CONCATENATE("R2C",'Mapa final'!$R$54),"")</f>
        <v/>
      </c>
      <c r="AI16" s="41" t="str">
        <f>IF(AND('Mapa final'!$AH$49="Muy Alta",'Mapa final'!$AJ$49="Catastrófico"),CONCATENATE("R2C",'Mapa final'!$R$49),"")</f>
        <v/>
      </c>
      <c r="AJ16" s="42" t="str">
        <f>IF(AND('Mapa final'!$AH$50="Muy Alta",'Mapa final'!$AJ$50="Catastrófico"),CONCATENATE("R2C",'Mapa final'!$R$50),"")</f>
        <v/>
      </c>
      <c r="AK16" s="42" t="str">
        <f>IF(AND('Mapa final'!$AH$51="Muy Alta",'Mapa final'!$AJ$51="Catastrófico"),CONCATENATE("R2C",'Mapa final'!$R$51),"")</f>
        <v/>
      </c>
      <c r="AL16" s="42" t="str">
        <f>IF(AND('Mapa final'!$AH$52="Muy Alta",'Mapa final'!$AJ$52="Catastrófico"),CONCATENATE("R2C",'Mapa final'!$R$52),"")</f>
        <v/>
      </c>
      <c r="AM16" s="42" t="str">
        <f>IF(AND('Mapa final'!$AH$53="Muy Alta",'Mapa final'!$AJ$53="Catastrófico"),CONCATENATE("R2C",'Mapa final'!$R$53),"")</f>
        <v/>
      </c>
      <c r="AN16" s="43" t="str">
        <f>IF(AND('Mapa final'!$AH$54="Muy Alta",'Mapa final'!$AJ$54="Catastrófico"),CONCATENATE("R2C",'Mapa final'!$R$54),"")</f>
        <v/>
      </c>
      <c r="AO16" s="68"/>
      <c r="AP16" s="504"/>
      <c r="AQ16" s="505"/>
      <c r="AR16" s="505"/>
      <c r="AS16" s="505"/>
      <c r="AT16" s="505"/>
      <c r="AU16" s="506"/>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41"/>
      <c r="D17" s="441"/>
      <c r="E17" s="442"/>
      <c r="F17" s="484"/>
      <c r="G17" s="485"/>
      <c r="H17" s="485"/>
      <c r="I17" s="485"/>
      <c r="J17" s="485"/>
      <c r="K17" s="38" t="str">
        <f>IF(AND('Mapa final'!$AH$55="Muy Alta",'Mapa final'!$AJ$55="Leve"),CONCATENATE("R2C",'Mapa final'!$R$55),"")</f>
        <v/>
      </c>
      <c r="L17" s="39" t="str">
        <f>IF(AND('Mapa final'!$AH$56="Muy Alta",'Mapa final'!$AJ$56="Leve"),CONCATENATE("R2C",'Mapa final'!$R$56),"")</f>
        <v/>
      </c>
      <c r="M17" s="39" t="str">
        <f>IF(AND('Mapa final'!$AH$57="Muy Alta",'Mapa final'!$AJ$57="Leve"),CONCATENATE("R2C",'Mapa final'!$R$57),"")</f>
        <v/>
      </c>
      <c r="N17" s="39" t="str">
        <f>IF(AND('Mapa final'!$AH$58="Muy Alta",'Mapa final'!$AJ$58="Leve"),CONCATENATE("R2C",'Mapa final'!$R$58),"")</f>
        <v/>
      </c>
      <c r="O17" s="39" t="str">
        <f>IF(AND('Mapa final'!$AH$59="Muy Alta",'Mapa final'!$AJ$59="Leve"),CONCATENATE("R2C",'Mapa final'!$R$59),"")</f>
        <v/>
      </c>
      <c r="P17" s="40" t="str">
        <f>IF(AND('Mapa final'!$AH$70="Muy Alta",'Mapa final'!$AJ$60="Leve"),CONCATENATE("R2C",'Mapa final'!$R$60),"")</f>
        <v/>
      </c>
      <c r="Q17" s="39" t="str">
        <f>IF(AND('Mapa final'!$AH$55="Muy Alta",'Mapa final'!$AJ$55="Menor"),CONCATENATE("R2C",'Mapa final'!$R$55),"")</f>
        <v/>
      </c>
      <c r="R17" s="39" t="str">
        <f>IF(AND('Mapa final'!$AH$56="Muy Alta",'Mapa final'!$AJ$56="Menor"),CONCATENATE("R2C",'Mapa final'!$R$56),"")</f>
        <v/>
      </c>
      <c r="S17" s="39" t="str">
        <f>IF(AND('Mapa final'!$AH$57="Muy Alta",'Mapa final'!$AJ$57="Menor"),CONCATENATE("R2C",'Mapa final'!$R$57),"")</f>
        <v/>
      </c>
      <c r="T17" s="39" t="str">
        <f>IF(AND('Mapa final'!$AH$58="Muy Alta",'Mapa final'!$AJ$58="Menor"),CONCATENATE("R2C",'Mapa final'!$R$58),"")</f>
        <v/>
      </c>
      <c r="U17" s="39" t="str">
        <f>IF(AND('Mapa final'!$AH$59="Muy Alta",'Mapa final'!$AJ$59="Menor"),CONCATENATE("R2C",'Mapa final'!$R$59),"")</f>
        <v/>
      </c>
      <c r="V17" s="40" t="str">
        <f>IF(AND('Mapa final'!$AH$70="Muy Alta",'Mapa final'!$AJ$60="Menor"),CONCATENATE("R2C",'Mapa final'!$R$60),"")</f>
        <v/>
      </c>
      <c r="W17" s="38" t="str">
        <f>IF(AND('Mapa final'!$AH$55="Muy Alta",'Mapa final'!$AJ$55="Moderado"),CONCATENATE("R2C",'Mapa final'!$R$55),"")</f>
        <v/>
      </c>
      <c r="X17" s="39" t="str">
        <f>IF(AND('Mapa final'!$AH$56="Muy Alta",'Mapa final'!$AJ$56="Moderado"),CONCATENATE("R2C",'Mapa final'!$R$56),"")</f>
        <v/>
      </c>
      <c r="Y17" s="39" t="str">
        <f>IF(AND('Mapa final'!$AH$57="Muy Alta",'Mapa final'!$AJ$57="Moderado"),CONCATENATE("R2C",'Mapa final'!$R$57),"")</f>
        <v/>
      </c>
      <c r="Z17" s="39" t="str">
        <f>IF(AND('Mapa final'!$AH$58="Muy Alta",'Mapa final'!$AJ$58="Moderado"),CONCATENATE("R2C",'Mapa final'!$R$58),"")</f>
        <v/>
      </c>
      <c r="AA17" s="39" t="str">
        <f>IF(AND('Mapa final'!$AH$59="Muy Alta",'Mapa final'!$AJ$59="Moderado"),CONCATENATE("R2C",'Mapa final'!$R$59),"")</f>
        <v/>
      </c>
      <c r="AB17" s="40" t="str">
        <f>IF(AND('Mapa final'!$AH$70="Muy Alta",'Mapa final'!$AJ$60="Moderado"),CONCATENATE("R2C",'Mapa final'!$R$60),"")</f>
        <v/>
      </c>
      <c r="AC17" s="38" t="str">
        <f>IF(AND('Mapa final'!$AH$55="Muy Alta",'Mapa final'!$AJ$55="Mayor"),CONCATENATE("R2C",'Mapa final'!$R$55),"")</f>
        <v/>
      </c>
      <c r="AD17" s="39" t="str">
        <f>IF(AND('Mapa final'!$AH$56="Muy Alta",'Mapa final'!$AJ$56="Mayor"),CONCATENATE("R2C",'Mapa final'!$R$56),"")</f>
        <v/>
      </c>
      <c r="AE17" s="39" t="str">
        <f>IF(AND('Mapa final'!$AH$57="Muy Alta",'Mapa final'!$AJ$57="Mayor"),CONCATENATE("R2C",'Mapa final'!$R$57),"")</f>
        <v/>
      </c>
      <c r="AF17" s="39" t="str">
        <f>IF(AND('Mapa final'!$AH$58="Muy Alta",'Mapa final'!$AJ$58="Mayor"),CONCATENATE("R2C",'Mapa final'!$R$58),"")</f>
        <v/>
      </c>
      <c r="AG17" s="39" t="str">
        <f>IF(AND('Mapa final'!$AH$59="Muy Alta",'Mapa final'!$AJ$59="Mayor"),CONCATENATE("R2C",'Mapa final'!$R$59),"")</f>
        <v/>
      </c>
      <c r="AH17" s="40" t="str">
        <f>IF(AND('Mapa final'!$AH$70="Muy Alta",'Mapa final'!$AJ$60="Mayor"),CONCATENATE("R2C",'Mapa final'!$R$60),"")</f>
        <v/>
      </c>
      <c r="AI17" s="41" t="str">
        <f>IF(AND('Mapa final'!$AH$55="Muy Alta",'Mapa final'!$AJ$55="Catastrófico"),CONCATENATE("R2C",'Mapa final'!$R$55),"")</f>
        <v/>
      </c>
      <c r="AJ17" s="42" t="str">
        <f>IF(AND('Mapa final'!$AH$56="Muy Alta",'Mapa final'!$AJ$56="Catastrófico"),CONCATENATE("R2C",'Mapa final'!$R$56),"")</f>
        <v/>
      </c>
      <c r="AK17" s="42" t="str">
        <f>IF(AND('Mapa final'!$AH$57="Muy Alta",'Mapa final'!$AJ$57="Catastrófico"),CONCATENATE("R2C",'Mapa final'!$R$57),"")</f>
        <v/>
      </c>
      <c r="AL17" s="42" t="str">
        <f>IF(AND('Mapa final'!$AH$58="Muy Alta",'Mapa final'!$AJ$58="Catastrófico"),CONCATENATE("R2C",'Mapa final'!$R$58),"")</f>
        <v/>
      </c>
      <c r="AM17" s="42" t="str">
        <f>IF(AND('Mapa final'!$AH$59="Muy Alta",'Mapa final'!$AJ$59="Catastrófico"),CONCATENATE("R2C",'Mapa final'!$R$59),"")</f>
        <v/>
      </c>
      <c r="AN17" s="43" t="str">
        <f>IF(AND('Mapa final'!$AH$70="Muy Alta",'Mapa final'!$AJ$60="Catastrófico"),CONCATENATE("R2C",'Mapa final'!$R$60),"")</f>
        <v/>
      </c>
      <c r="AO17" s="68"/>
      <c r="AP17" s="504"/>
      <c r="AQ17" s="505"/>
      <c r="AR17" s="505"/>
      <c r="AS17" s="505"/>
      <c r="AT17" s="505"/>
      <c r="AU17" s="506"/>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41"/>
      <c r="D18" s="441"/>
      <c r="E18" s="442"/>
      <c r="F18" s="484"/>
      <c r="G18" s="485"/>
      <c r="H18" s="485"/>
      <c r="I18" s="485"/>
      <c r="J18" s="485"/>
      <c r="K18" s="38" t="str">
        <f>IF(AND('Mapa final'!$AH$61="Muy Alta",'Mapa final'!$AJ$61="Leve"),CONCATENATE("R2C",'Mapa final'!$R$61),"")</f>
        <v/>
      </c>
      <c r="L18" s="39" t="str">
        <f>IF(AND('Mapa final'!$AH$62="Muy Alta",'Mapa final'!$AJ$62="Leve"),CONCATENATE("R2C",'Mapa final'!$R$62),"")</f>
        <v/>
      </c>
      <c r="M18" s="39" t="str">
        <f>IF(AND('Mapa final'!$AH$63="Muy Alta",'Mapa final'!$AJ$63="Leve"),CONCATENATE("R2C",'Mapa final'!$R$63),"")</f>
        <v/>
      </c>
      <c r="N18" s="39" t="str">
        <f>IF(AND('Mapa final'!$AH$64="Muy Alta",'Mapa final'!$AJ$64="Leve"),CONCATENATE("R2C",'Mapa final'!$R$64),"")</f>
        <v/>
      </c>
      <c r="O18" s="39" t="str">
        <f>IF(AND('Mapa final'!$AH$65="Muy Alta",'Mapa final'!$AJ$65="Leve"),CONCATENATE("R2C",'Mapa final'!$R$65),"")</f>
        <v/>
      </c>
      <c r="P18" s="40" t="str">
        <f>IF(AND('Mapa final'!$AH$66="Muy Alta",'Mapa final'!$AJ$66="Leve"),CONCATENATE("R2C",'Mapa final'!$R$66),"")</f>
        <v/>
      </c>
      <c r="Q18" s="39" t="str">
        <f>IF(AND('Mapa final'!$AH$61="Muy Alta",'Mapa final'!$AJ$61="Menor"),CONCATENATE("R2C",'Mapa final'!$R$61),"")</f>
        <v/>
      </c>
      <c r="R18" s="39" t="str">
        <f>IF(AND('Mapa final'!$AH$62="Muy Alta",'Mapa final'!$AJ$62="Menor"),CONCATENATE("R2C",'Mapa final'!$R$62),"")</f>
        <v/>
      </c>
      <c r="S18" s="39" t="str">
        <f>IF(AND('Mapa final'!$AH$63="Muy Alta",'Mapa final'!$AJ$63="Menor"),CONCATENATE("R2C",'Mapa final'!$R$63),"")</f>
        <v/>
      </c>
      <c r="T18" s="39" t="str">
        <f>IF(AND('Mapa final'!$AH$64="Muy Alta",'Mapa final'!$AJ$64="Menor"),CONCATENATE("R2C",'Mapa final'!$R$64),"")</f>
        <v/>
      </c>
      <c r="U18" s="39" t="str">
        <f>IF(AND('Mapa final'!$AH$65="Muy Alta",'Mapa final'!$AJ$65="Menor"),CONCATENATE("R2C",'Mapa final'!$R$65),"")</f>
        <v/>
      </c>
      <c r="V18" s="40" t="str">
        <f>IF(AND('Mapa final'!$AH$66="Muy Alta",'Mapa final'!$AJ$66="Menor"),CONCATENATE("R2C",'Mapa final'!$R$66),"")</f>
        <v/>
      </c>
      <c r="W18" s="38" t="str">
        <f>IF(AND('Mapa final'!$AH$61="Muy Alta",'Mapa final'!$AJ$61="Moderado"),CONCATENATE("R2C",'Mapa final'!$R$61),"")</f>
        <v/>
      </c>
      <c r="X18" s="39" t="str">
        <f>IF(AND('Mapa final'!$AH$62="Muy Alta",'Mapa final'!$AJ$62="Moderado"),CONCATENATE("R2C",'Mapa final'!$R$62),"")</f>
        <v/>
      </c>
      <c r="Y18" s="39" t="str">
        <f>IF(AND('Mapa final'!$AH$63="Muy Alta",'Mapa final'!$AJ$63="Moderado"),CONCATENATE("R2C",'Mapa final'!$R$63),"")</f>
        <v/>
      </c>
      <c r="Z18" s="39" t="str">
        <f>IF(AND('Mapa final'!$AH$64="Muy Alta",'Mapa final'!$AJ$64="Moderado"),CONCATENATE("R2C",'Mapa final'!$R$64),"")</f>
        <v/>
      </c>
      <c r="AA18" s="39" t="str">
        <f>IF(AND('Mapa final'!$AH$65="Muy Alta",'Mapa final'!$AJ$65="Moderado"),CONCATENATE("R2C",'Mapa final'!$R$65),"")</f>
        <v/>
      </c>
      <c r="AB18" s="40" t="str">
        <f>IF(AND('Mapa final'!$AH$66="Muy Alta",'Mapa final'!$AJ$66="Moderado"),CONCATENATE("R2C",'Mapa final'!$R$66),"")</f>
        <v/>
      </c>
      <c r="AC18" s="38" t="str">
        <f>IF(AND('Mapa final'!$AH$61="Muy Alta",'Mapa final'!$AJ$61="Mayor"),CONCATENATE("R2C",'Mapa final'!$R$61),"")</f>
        <v/>
      </c>
      <c r="AD18" s="39" t="str">
        <f>IF(AND('Mapa final'!$AH$62="Muy Alta",'Mapa final'!$AJ$62="Mayor"),CONCATENATE("R2C",'Mapa final'!$R$62),"")</f>
        <v/>
      </c>
      <c r="AE18" s="39" t="str">
        <f>IF(AND('Mapa final'!$AH$63="Muy Alta",'Mapa final'!$AJ$63="Mayor"),CONCATENATE("R2C",'Mapa final'!$R$63),"")</f>
        <v/>
      </c>
      <c r="AF18" s="39" t="str">
        <f>IF(AND('Mapa final'!$AH$64="Muy Alta",'Mapa final'!$AJ$64="Mayor"),CONCATENATE("R2C",'Mapa final'!$R$64),"")</f>
        <v/>
      </c>
      <c r="AG18" s="39" t="str">
        <f>IF(AND('Mapa final'!$AH$65="Muy Alta",'Mapa final'!$AJ$65="Mayor"),CONCATENATE("R2C",'Mapa final'!$R$65),"")</f>
        <v/>
      </c>
      <c r="AH18" s="40" t="str">
        <f>IF(AND('Mapa final'!$AH$66="Muy Alta",'Mapa final'!$AJ$66="Mayor"),CONCATENATE("R2C",'Mapa final'!$R$66),"")</f>
        <v/>
      </c>
      <c r="AI18" s="41" t="str">
        <f>IF(AND('Mapa final'!$AH$61="Muy Alta",'Mapa final'!$AJ$61="Catastrófico"),CONCATENATE("R2C",'Mapa final'!$R$61),"")</f>
        <v/>
      </c>
      <c r="AJ18" s="42" t="str">
        <f>IF(AND('Mapa final'!$AH$62="Muy Alta",'Mapa final'!$AJ$62="Catastrófico"),CONCATENATE("R2C",'Mapa final'!$R$62),"")</f>
        <v/>
      </c>
      <c r="AK18" s="42" t="str">
        <f>IF(AND('Mapa final'!$AH$63="Muy Alta",'Mapa final'!$AJ$63="Catastrófico"),CONCATENATE("R2C",'Mapa final'!$R$63),"")</f>
        <v/>
      </c>
      <c r="AL18" s="42" t="str">
        <f>IF(AND('Mapa final'!$AH$64="Muy Alta",'Mapa final'!$AJ$64="Catastrófico"),CONCATENATE("R2C",'Mapa final'!$R$64),"")</f>
        <v/>
      </c>
      <c r="AM18" s="42" t="str">
        <f>IF(AND('Mapa final'!$AH$65="Muy Alta",'Mapa final'!$AJ$65="Catastrófico"),CONCATENATE("R2C",'Mapa final'!$R$65),"")</f>
        <v/>
      </c>
      <c r="AN18" s="43" t="str">
        <f>IF(AND('Mapa final'!$AH$66="Muy Alta",'Mapa final'!$AJ$66="Catastrófico"),CONCATENATE("R2C",'Mapa final'!$R$66),"")</f>
        <v/>
      </c>
      <c r="AO18" s="68"/>
      <c r="AP18" s="504"/>
      <c r="AQ18" s="505"/>
      <c r="AR18" s="505"/>
      <c r="AS18" s="505"/>
      <c r="AT18" s="505"/>
      <c r="AU18" s="506"/>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41"/>
      <c r="D19" s="441"/>
      <c r="E19" s="442"/>
      <c r="F19" s="484"/>
      <c r="G19" s="485"/>
      <c r="H19" s="485"/>
      <c r="I19" s="485"/>
      <c r="J19" s="485"/>
      <c r="K19" s="38" t="str">
        <f>IF(AND('Mapa final'!$AH$67="Muy Alta",'Mapa final'!$AJ$67="Leve"),CONCATENATE("R2C",'Mapa final'!$R$67),"")</f>
        <v/>
      </c>
      <c r="L19" s="39" t="str">
        <f>IF(AND('Mapa final'!$AH$68="Muy Alta",'Mapa final'!$AJ$68="Leve"),CONCATENATE("R2C",'Mapa final'!$R$68),"")</f>
        <v/>
      </c>
      <c r="M19" s="39" t="str">
        <f>IF(AND('Mapa final'!$AH$69="Muy Alta",'Mapa final'!$AJ$69="Leve"),CONCATENATE("R2C",'Mapa final'!$R$69),"")</f>
        <v/>
      </c>
      <c r="N19" s="39" t="str">
        <f>IF(AND('Mapa final'!$AH$70="Muy Alta",'Mapa final'!$AJ$70="Leve"),CONCATENATE("R2C",'Mapa final'!$R$70),"")</f>
        <v/>
      </c>
      <c r="O19" s="39" t="str">
        <f>IF(AND('Mapa final'!$AH$71="Muy Alta",'Mapa final'!$AJ$71="Leve"),CONCATENATE("R2C",'Mapa final'!$R$71),"")</f>
        <v/>
      </c>
      <c r="P19" s="40" t="str">
        <f>IF(AND('Mapa final'!$AH$72="Muy Alta",'Mapa final'!$AJ$72="Leve"),CONCATENATE("R2C",'Mapa final'!$R$72),"")</f>
        <v/>
      </c>
      <c r="Q19" s="39" t="str">
        <f>IF(AND('Mapa final'!$AH$67="Muy Alta",'Mapa final'!$AJ$67="Menor"),CONCATENATE("R2C",'Mapa final'!$R$67),"")</f>
        <v/>
      </c>
      <c r="R19" s="39" t="str">
        <f>IF(AND('Mapa final'!$AH$68="Muy Alta",'Mapa final'!$AJ$68="Menor"),CONCATENATE("R2C",'Mapa final'!$R$68),"")</f>
        <v/>
      </c>
      <c r="S19" s="39" t="str">
        <f>IF(AND('Mapa final'!$AH$69="Muy Alta",'Mapa final'!$AJ$69="Menor"),CONCATENATE("R2C",'Mapa final'!$R$69),"")</f>
        <v/>
      </c>
      <c r="T19" s="39" t="str">
        <f>IF(AND('Mapa final'!$AH$70="Muy Alta",'Mapa final'!$AJ$70="Menor"),CONCATENATE("R2C",'Mapa final'!$R$70),"")</f>
        <v/>
      </c>
      <c r="U19" s="39" t="str">
        <f>IF(AND('Mapa final'!$AH$71="Muy Alta",'Mapa final'!$AJ$71="Menor"),CONCATENATE("R2C",'Mapa final'!$R$71),"")</f>
        <v/>
      </c>
      <c r="V19" s="40" t="str">
        <f>IF(AND('Mapa final'!$AH$72="Muy Alta",'Mapa final'!$AJ$72="Menor"),CONCATENATE("R2C",'Mapa final'!$R$72),"")</f>
        <v/>
      </c>
      <c r="W19" s="38" t="str">
        <f>IF(AND('Mapa final'!$AH$67="Muy Alta",'Mapa final'!$AJ$67="Moderado"),CONCATENATE("R2C",'Mapa final'!$R$67),"")</f>
        <v/>
      </c>
      <c r="X19" s="39" t="str">
        <f>IF(AND('Mapa final'!$AH$68="Muy Alta",'Mapa final'!$AJ$68="Moderado"),CONCATENATE("R2C",'Mapa final'!$R$68),"")</f>
        <v/>
      </c>
      <c r="Y19" s="39" t="str">
        <f>IF(AND('Mapa final'!$AH$69="Muy Alta",'Mapa final'!$AJ$69="Moderado"),CONCATENATE("R2C",'Mapa final'!$R$69),"")</f>
        <v/>
      </c>
      <c r="Z19" s="39" t="str">
        <f>IF(AND('Mapa final'!$AH$70="Muy Alta",'Mapa final'!$AJ$70="Moderado"),CONCATENATE("R2C",'Mapa final'!$R$70),"")</f>
        <v/>
      </c>
      <c r="AA19" s="39" t="str">
        <f>IF(AND('Mapa final'!$AH$71="Muy Alta",'Mapa final'!$AJ$71="Moderado"),CONCATENATE("R2C",'Mapa final'!$R$71),"")</f>
        <v/>
      </c>
      <c r="AB19" s="40" t="str">
        <f>IF(AND('Mapa final'!$AH$72="Muy Alta",'Mapa final'!$AJ$72="Moderado"),CONCATENATE("R2C",'Mapa final'!$R$72),"")</f>
        <v/>
      </c>
      <c r="AC19" s="38" t="str">
        <f>IF(AND('Mapa final'!$AH$67="Muy Alta",'Mapa final'!$AJ$67="Mayor"),CONCATENATE("R2C",'Mapa final'!$R$67),"")</f>
        <v/>
      </c>
      <c r="AD19" s="39" t="str">
        <f>IF(AND('Mapa final'!$AH$68="Muy Alta",'Mapa final'!$AJ$68="Mayor"),CONCATENATE("R2C",'Mapa final'!$R$68),"")</f>
        <v/>
      </c>
      <c r="AE19" s="39" t="str">
        <f>IF(AND('Mapa final'!$AH$69="Muy Alta",'Mapa final'!$AJ$69="Mayor"),CONCATENATE("R2C",'Mapa final'!$R$69),"")</f>
        <v/>
      </c>
      <c r="AF19" s="39" t="str">
        <f>IF(AND('Mapa final'!$AH$70="Muy Alta",'Mapa final'!$AJ$70="Mayor"),CONCATENATE("R2C",'Mapa final'!$R$70),"")</f>
        <v/>
      </c>
      <c r="AG19" s="39" t="str">
        <f>IF(AND('Mapa final'!$AH$71="Muy Alta",'Mapa final'!$AJ$71="Mayor"),CONCATENATE("R2C",'Mapa final'!$R$71),"")</f>
        <v/>
      </c>
      <c r="AH19" s="40" t="str">
        <f>IF(AND('Mapa final'!$AH$72="Muy Alta",'Mapa final'!$AJ$72="Mayor"),CONCATENATE("R2C",'Mapa final'!$R$72),"")</f>
        <v/>
      </c>
      <c r="AI19" s="41" t="str">
        <f>IF(AND('Mapa final'!$AH$67="Muy Alta",'Mapa final'!$AJ$67="Catastrófico"),CONCATENATE("R2C",'Mapa final'!$R$67),"")</f>
        <v/>
      </c>
      <c r="AJ19" s="42" t="str">
        <f>IF(AND('Mapa final'!$AH$68="Muy Alta",'Mapa final'!$AJ$68="Catastrófico"),CONCATENATE("R2C",'Mapa final'!$R$68),"")</f>
        <v/>
      </c>
      <c r="AK19" s="42" t="str">
        <f>IF(AND('Mapa final'!$AH$69="Muy Alta",'Mapa final'!$AJ$69="Catastrófico"),CONCATENATE("R2C",'Mapa final'!$R$69),"")</f>
        <v/>
      </c>
      <c r="AL19" s="42" t="str">
        <f>IF(AND('Mapa final'!$AH$70="Muy Alta",'Mapa final'!$AJ$70="Catastrófico"),CONCATENATE("R2C",'Mapa final'!$R$70),"")</f>
        <v/>
      </c>
      <c r="AM19" s="42" t="str">
        <f>IF(AND('Mapa final'!$AH$71="Muy Alta",'Mapa final'!$AJ$71="Catastrófico"),CONCATENATE("R2C",'Mapa final'!$R$71),"")</f>
        <v/>
      </c>
      <c r="AN19" s="43" t="str">
        <f>IF(AND('Mapa final'!$AH$72="Muy Alta",'Mapa final'!$AJ$72="Catastrófico"),CONCATENATE("R2C",'Mapa final'!$R$72),"")</f>
        <v/>
      </c>
      <c r="AO19" s="68"/>
      <c r="AP19" s="504"/>
      <c r="AQ19" s="505"/>
      <c r="AR19" s="505"/>
      <c r="AS19" s="505"/>
      <c r="AT19" s="505"/>
      <c r="AU19" s="506"/>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41"/>
      <c r="D20" s="441"/>
      <c r="E20" s="442"/>
      <c r="F20" s="484"/>
      <c r="G20" s="485"/>
      <c r="H20" s="485"/>
      <c r="I20" s="485"/>
      <c r="J20" s="485"/>
      <c r="K20" s="38" t="str">
        <f>IF(AND('Mapa final'!$AH$73="Muy Alta",'Mapa final'!$AJ$73="Leve"),CONCATENATE("R2C",'Mapa final'!$R$73),"")</f>
        <v/>
      </c>
      <c r="L20" s="39" t="str">
        <f>IF(AND('Mapa final'!$AH$74="Muy Alta",'Mapa final'!$AJ$74="Leve"),CONCATENATE("R2C",'Mapa final'!$R$74),"")</f>
        <v/>
      </c>
      <c r="M20" s="39" t="str">
        <f>IF(AND('Mapa final'!$AH$75="Muy Alta",'Mapa final'!$AJ$75="Leve"),CONCATENATE("R2C",'Mapa final'!$R$75),"")</f>
        <v/>
      </c>
      <c r="N20" s="39" t="str">
        <f>IF(AND('Mapa final'!$AH$76="Muy Alta",'Mapa final'!$AJ$76="Leve"),CONCATENATE("R2C",'Mapa final'!$R$76),"")</f>
        <v/>
      </c>
      <c r="O20" s="39" t="str">
        <f>IF(AND('Mapa final'!$AH$77="Muy Alta",'Mapa final'!$AJ$77="Leve"),CONCATENATE("R2C",'Mapa final'!$R$77),"")</f>
        <v/>
      </c>
      <c r="P20" s="40" t="str">
        <f>IF(AND('Mapa final'!$AH$78="Muy Alta",'Mapa final'!$AJ$78="Leve"),CONCATENATE("R2C",'Mapa final'!$R$78),"")</f>
        <v/>
      </c>
      <c r="Q20" s="39" t="str">
        <f>IF(AND('Mapa final'!$AH$73="Muy Alta",'Mapa final'!$AJ$73="Menor"),CONCATENATE("R2C",'Mapa final'!$R$73),"")</f>
        <v/>
      </c>
      <c r="R20" s="39" t="str">
        <f>IF(AND('Mapa final'!$AH$74="Muy Alta",'Mapa final'!$AJ$74="Menor"),CONCATENATE("R2C",'Mapa final'!$R$74),"")</f>
        <v/>
      </c>
      <c r="S20" s="39" t="str">
        <f>IF(AND('Mapa final'!$AH$75="Muy Alta",'Mapa final'!$AJ$75="Menor"),CONCATENATE("R2C",'Mapa final'!$R$75),"")</f>
        <v/>
      </c>
      <c r="T20" s="39" t="str">
        <f>IF(AND('Mapa final'!$AH$76="Muy Alta",'Mapa final'!$AJ$76="Menor"),CONCATENATE("R2C",'Mapa final'!$R$76),"")</f>
        <v/>
      </c>
      <c r="U20" s="39" t="str">
        <f>IF(AND('Mapa final'!$AH$77="Muy Alta",'Mapa final'!$AJ$77="Menor"),CONCATENATE("R2C",'Mapa final'!$R$77),"")</f>
        <v/>
      </c>
      <c r="V20" s="40" t="str">
        <f>IF(AND('Mapa final'!$AH$78="Muy Alta",'Mapa final'!$AJ$78="Menor"),CONCATENATE("R2C",'Mapa final'!$R$78),"")</f>
        <v/>
      </c>
      <c r="W20" s="38" t="str">
        <f>IF(AND('Mapa final'!$AH$73="Muy Alta",'Mapa final'!$AJ$73="Moderado"),CONCATENATE("R2C",'Mapa final'!$R$73),"")</f>
        <v/>
      </c>
      <c r="X20" s="39" t="str">
        <f>IF(AND('Mapa final'!$AH$74="Muy Alta",'Mapa final'!$AJ$74="Moderado"),CONCATENATE("R2C",'Mapa final'!$R$74),"")</f>
        <v/>
      </c>
      <c r="Y20" s="39" t="str">
        <f>IF(AND('Mapa final'!$AH$75="Muy Alta",'Mapa final'!$AJ$75="Moderado"),CONCATENATE("R2C",'Mapa final'!$R$75),"")</f>
        <v/>
      </c>
      <c r="Z20" s="39" t="str">
        <f>IF(AND('Mapa final'!$AH$76="Muy Alta",'Mapa final'!$AJ$76="Moderado"),CONCATENATE("R2C",'Mapa final'!$R$76),"")</f>
        <v/>
      </c>
      <c r="AA20" s="39" t="str">
        <f>IF(AND('Mapa final'!$AH$77="Muy Alta",'Mapa final'!$AJ$77="Moderado"),CONCATENATE("R2C",'Mapa final'!$R$77),"")</f>
        <v/>
      </c>
      <c r="AB20" s="40" t="str">
        <f>IF(AND('Mapa final'!$AH$78="Muy Alta",'Mapa final'!$AJ$78="Moderado"),CONCATENATE("R2C",'Mapa final'!$R$78),"")</f>
        <v/>
      </c>
      <c r="AC20" s="38" t="str">
        <f>IF(AND('Mapa final'!$AH$73="Muy Alta",'Mapa final'!$AJ$73="Mayor"),CONCATENATE("R2C",'Mapa final'!$R$73),"")</f>
        <v/>
      </c>
      <c r="AD20" s="39" t="str">
        <f>IF(AND('Mapa final'!$AH$74="Muy Alta",'Mapa final'!$AJ$74="Mayor"),CONCATENATE("R2C",'Mapa final'!$R$74),"")</f>
        <v/>
      </c>
      <c r="AE20" s="39" t="str">
        <f>IF(AND('Mapa final'!$AH$75="Muy Alta",'Mapa final'!$AJ$75="Mayor"),CONCATENATE("R2C",'Mapa final'!$R$75),"")</f>
        <v/>
      </c>
      <c r="AF20" s="39" t="str">
        <f>IF(AND('Mapa final'!$AH$76="Muy Alta",'Mapa final'!$AJ$76="Mayor"),CONCATENATE("R2C",'Mapa final'!$R$76),"")</f>
        <v/>
      </c>
      <c r="AG20" s="39" t="str">
        <f>IF(AND('Mapa final'!$AH$77="Muy Alta",'Mapa final'!$AJ$77="Mayor"),CONCATENATE("R2C",'Mapa final'!$R$77),"")</f>
        <v/>
      </c>
      <c r="AH20" s="40" t="str">
        <f>IF(AND('Mapa final'!$AH$78="Muy Alta",'Mapa final'!$AJ$78="Mayor"),CONCATENATE("R2C",'Mapa final'!$R$78),"")</f>
        <v/>
      </c>
      <c r="AI20" s="41" t="str">
        <f>IF(AND('Mapa final'!$AH$73="Muy Alta",'Mapa final'!$AJ$73="Catastrófico"),CONCATENATE("R2C",'Mapa final'!$R$73),"")</f>
        <v/>
      </c>
      <c r="AJ20" s="42" t="str">
        <f>IF(AND('Mapa final'!$AH$74="Muy Alta",'Mapa final'!$AJ$74="Catastrófico"),CONCATENATE("R2C",'Mapa final'!$R$74),"")</f>
        <v/>
      </c>
      <c r="AK20" s="42" t="str">
        <f>IF(AND('Mapa final'!$AH$75="Muy Alta",'Mapa final'!$AJ$75="Catastrófico"),CONCATENATE("R2C",'Mapa final'!$R$75),"")</f>
        <v/>
      </c>
      <c r="AL20" s="42" t="str">
        <f>IF(AND('Mapa final'!$AH$76="Muy Alta",'Mapa final'!$AJ$76="Catastrófico"),CONCATENATE("R2C",'Mapa final'!$R$76),"")</f>
        <v/>
      </c>
      <c r="AM20" s="42" t="str">
        <f>IF(AND('Mapa final'!$AH$77="Muy Alta",'Mapa final'!$AJ$77="Catastrófico"),CONCATENATE("R2C",'Mapa final'!$R$77),"")</f>
        <v/>
      </c>
      <c r="AN20" s="43" t="str">
        <f>IF(AND('Mapa final'!$AH$78="Muy Alta",'Mapa final'!$AJ$78="Catastrófico"),CONCATENATE("R2C",'Mapa final'!$R$78),"")</f>
        <v/>
      </c>
      <c r="AO20" s="68"/>
      <c r="AP20" s="504"/>
      <c r="AQ20" s="505"/>
      <c r="AR20" s="505"/>
      <c r="AS20" s="505"/>
      <c r="AT20" s="505"/>
      <c r="AU20" s="506"/>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41"/>
      <c r="D21" s="441"/>
      <c r="E21" s="442"/>
      <c r="F21" s="487"/>
      <c r="G21" s="488"/>
      <c r="H21" s="488"/>
      <c r="I21" s="488"/>
      <c r="J21" s="488"/>
      <c r="K21" s="44" t="str">
        <f>IF(AND('Mapa final'!$AH$79="Muy Alta",'Mapa final'!$AJ$79="Leve"),CONCATENATE("R2C",'Mapa final'!$R$79),"")</f>
        <v/>
      </c>
      <c r="L21" s="45" t="str">
        <f>IF(AND('Mapa final'!$AH$80="Muy Alta",'Mapa final'!$AJ$80="Leve"),CONCATENATE("R2C",'Mapa final'!$R$80),"")</f>
        <v/>
      </c>
      <c r="M21" s="45" t="str">
        <f>IF(AND('Mapa final'!$AH$81="Muy Alta",'Mapa final'!$AJ$81="Leve"),CONCATENATE("R2C",'Mapa final'!$R$81),"")</f>
        <v/>
      </c>
      <c r="N21" s="45" t="str">
        <f>IF(AND('Mapa final'!$AH$82="Muy Alta",'Mapa final'!$AJ$82="Leve"),CONCATENATE("R2C",'Mapa final'!$R$82),"")</f>
        <v/>
      </c>
      <c r="O21" s="45" t="str">
        <f>IF(AND('Mapa final'!$AH$84="Muy Alta",'Mapa final'!$AJ$84="Leve"),CONCATENATE("R2C",'Mapa final'!$R$84),"")</f>
        <v/>
      </c>
      <c r="P21" s="46" t="str">
        <f>IF(AND('Mapa final'!$AH$85="Muy Alta",'Mapa final'!$AJ$85="Leve"),CONCATENATE("R2C",'Mapa final'!$R$85),"")</f>
        <v/>
      </c>
      <c r="Q21" s="39" t="str">
        <f>IF(AND('Mapa final'!$AH$79="Muy Alta",'Mapa final'!$AJ$79="Menor"),CONCATENATE("R2C",'Mapa final'!$R$79),"")</f>
        <v/>
      </c>
      <c r="R21" s="39" t="str">
        <f>IF(AND('Mapa final'!$AH$80="Muy Alta",'Mapa final'!$AJ$80="Menor"),CONCATENATE("R2C",'Mapa final'!$R$80),"")</f>
        <v/>
      </c>
      <c r="S21" s="39" t="str">
        <f>IF(AND('Mapa final'!$AH$81="Muy Alta",'Mapa final'!$AJ$81="Menor"),CONCATENATE("R2C",'Mapa final'!$R$81),"")</f>
        <v/>
      </c>
      <c r="T21" s="39" t="str">
        <f>IF(AND('Mapa final'!$AH$82="Muy Alta",'Mapa final'!$AJ$82="Menor"),CONCATENATE("R2C",'Mapa final'!$R$82),"")</f>
        <v/>
      </c>
      <c r="U21" s="39" t="str">
        <f>IF(AND('Mapa final'!$AH$84="Muy Alta",'Mapa final'!$AJ$84="Menor"),CONCATENATE("R2C",'Mapa final'!$R$84),"")</f>
        <v/>
      </c>
      <c r="V21" s="40" t="str">
        <f>IF(AND('Mapa final'!$AH$85="Muy Alta",'Mapa final'!$AJ$85="Menor"),CONCATENATE("R2C",'Mapa final'!$R$85),"")</f>
        <v/>
      </c>
      <c r="W21" s="44" t="str">
        <f>IF(AND('Mapa final'!$AH$79="Muy Alta",'Mapa final'!$AJ$79="Moderado"),CONCATENATE("R2C",'Mapa final'!$R$79),"")</f>
        <v/>
      </c>
      <c r="X21" s="45" t="str">
        <f>IF(AND('Mapa final'!$AH$80="Muy Alta",'Mapa final'!$AJ$80="Moderado"),CONCATENATE("R2C",'Mapa final'!$R$80),"")</f>
        <v/>
      </c>
      <c r="Y21" s="45" t="str">
        <f>IF(AND('Mapa final'!$AH$81="Muy Alta",'Mapa final'!$AJ$81="Moderado"),CONCATENATE("R2C",'Mapa final'!$R$81),"")</f>
        <v/>
      </c>
      <c r="Z21" s="45" t="str">
        <f>IF(AND('Mapa final'!$AH$82="Muy Alta",'Mapa final'!$AJ$82="Moderado"),CONCATENATE("R2C",'Mapa final'!$R$82),"")</f>
        <v/>
      </c>
      <c r="AA21" s="45" t="str">
        <f>IF(AND('Mapa final'!$AH$84="Muy Alta",'Mapa final'!$AJ$84="Moderado"),CONCATENATE("R2C",'Mapa final'!$R$84),"")</f>
        <v/>
      </c>
      <c r="AB21" s="46" t="str">
        <f>IF(AND('Mapa final'!$AH$85="Muy Alta",'Mapa final'!$AJ$85="Moderado"),CONCATENATE("R2C",'Mapa final'!$R$85),"")</f>
        <v/>
      </c>
      <c r="AC21" s="38" t="str">
        <f>IF(AND('Mapa final'!$AH$79="Muy Alta",'Mapa final'!$AJ$79="Mayor"),CONCATENATE("R2C",'Mapa final'!$R$79),"")</f>
        <v/>
      </c>
      <c r="AD21" s="39" t="str">
        <f>IF(AND('Mapa final'!$AH$80="Muy Alta",'Mapa final'!$AJ$80="Mayor"),CONCATENATE("R2C",'Mapa final'!$R$80),"")</f>
        <v/>
      </c>
      <c r="AE21" s="39" t="str">
        <f>IF(AND('Mapa final'!$AH$81="Muy Alta",'Mapa final'!$AJ$81="Mayor"),CONCATENATE("R2C",'Mapa final'!$R$81),"")</f>
        <v/>
      </c>
      <c r="AF21" s="39" t="str">
        <f>IF(AND('Mapa final'!$AH$82="Muy Alta",'Mapa final'!$AJ$82="Mayor"),CONCATENATE("R2C",'Mapa final'!$R$82),"")</f>
        <v/>
      </c>
      <c r="AG21" s="39" t="str">
        <f>IF(AND('Mapa final'!$AH$84="Muy Alta",'Mapa final'!$AJ$84="Mayor"),CONCATENATE("R2C",'Mapa final'!$R$84),"")</f>
        <v/>
      </c>
      <c r="AH21" s="40" t="str">
        <f>IF(AND('Mapa final'!$AH$85="Muy Alta",'Mapa final'!$AJ$85="Mayor"),CONCATENATE("R2C",'Mapa final'!$R$85),"")</f>
        <v/>
      </c>
      <c r="AI21" s="47" t="str">
        <f>IF(AND('Mapa final'!$AH$79="Muy Alta",'Mapa final'!$AJ$79="Catastrófico"),CONCATENATE("R2C",'Mapa final'!$R$79),"")</f>
        <v/>
      </c>
      <c r="AJ21" s="48" t="str">
        <f>IF(AND('Mapa final'!$AH$80="Muy Alta",'Mapa final'!$AJ$80="Catastrófico"),CONCATENATE("R2C",'Mapa final'!$R$80),"")</f>
        <v/>
      </c>
      <c r="AK21" s="48" t="str">
        <f>IF(AND('Mapa final'!$AH$81="Muy Alta",'Mapa final'!$AJ$81="Catastrófico"),CONCATENATE("R2C",'Mapa final'!$R$81),"")</f>
        <v/>
      </c>
      <c r="AL21" s="48" t="str">
        <f>IF(AND('Mapa final'!$AH$82="Muy Alta",'Mapa final'!$AJ$82="Catastrófico"),CONCATENATE("R2C",'Mapa final'!$R$82),"")</f>
        <v/>
      </c>
      <c r="AM21" s="48" t="str">
        <f>IF(AND('Mapa final'!$AH$84="Muy Alta",'Mapa final'!$AJ$84="Catastrófico"),CONCATENATE("R2C",'Mapa final'!$R$84),"")</f>
        <v/>
      </c>
      <c r="AN21" s="49" t="str">
        <f>IF(AND('Mapa final'!$AH$85="Muy Alta",'Mapa final'!$AJ$85="Catastrófico"),CONCATENATE("R2C",'Mapa final'!$R$85),"")</f>
        <v/>
      </c>
      <c r="AO21" s="68"/>
      <c r="AP21" s="507"/>
      <c r="AQ21" s="508"/>
      <c r="AR21" s="508"/>
      <c r="AS21" s="508"/>
      <c r="AT21" s="508"/>
      <c r="AU21" s="509"/>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41"/>
      <c r="D22" s="441"/>
      <c r="E22" s="442"/>
      <c r="F22" s="481" t="s">
        <v>310</v>
      </c>
      <c r="G22" s="482"/>
      <c r="H22" s="482"/>
      <c r="I22" s="482"/>
      <c r="J22" s="482"/>
      <c r="K22" s="53"/>
      <c r="L22" s="54" t="str">
        <f>IF(AND('Mapa final'!$AH$16="Alta",'Mapa final'!$AJ$16="Leve"),CONCATENATE("R2C",'Mapa final'!$R$15),"")</f>
        <v/>
      </c>
      <c r="M22" s="54" t="str">
        <f>IF(AND('Mapa final'!$AH$17="Alta",'Mapa final'!$AJ$17="Leve"),CONCATENATE("R2C",'Mapa final'!$R$17),"")</f>
        <v/>
      </c>
      <c r="N22" s="54" t="str">
        <f>IF(AND('Mapa final'!$AH$20="Alta",'Mapa final'!$AJ$20="Leve"),CONCATENATE("R2C",'Mapa final'!$R$20),"")</f>
        <v/>
      </c>
      <c r="O22" s="54" t="str">
        <f>IF(AND('Mapa final'!$AH$21="Alta",'Mapa final'!$AJ$21="Leve"),CONCATENATE("R2C",'Mapa final'!$R$21),"")</f>
        <v/>
      </c>
      <c r="P22" s="55" t="str">
        <f>IF(AND('Mapa final'!$AH$22="Alta",'Mapa final'!$AJ$22="Leve"),CONCATENATE("R2C",'Mapa final'!$R$22),"")</f>
        <v/>
      </c>
      <c r="Q22" s="50"/>
      <c r="R22" s="51" t="str">
        <f>IF(AND('Mapa final'!$AH$16="Alta",'Mapa final'!$AJ$16="Menore"),CONCATENATE("R2C",'Mapa final'!$R$15),"")</f>
        <v/>
      </c>
      <c r="S22" s="51" t="str">
        <f>IF(AND('Mapa final'!$AH$17="Alta",'Mapa final'!$AJ$17="Menor"),CONCATENATE("R2C",'Mapa final'!$R$17),"")</f>
        <v/>
      </c>
      <c r="T22" s="51" t="str">
        <f>IF(AND('Mapa final'!$AH$20="Alta",'Mapa final'!$AJ$20="Menor"),CONCATENATE("R2C",'Mapa final'!$R$20),"")</f>
        <v/>
      </c>
      <c r="U22" s="51" t="str">
        <f>IF(AND('Mapa final'!$AH$21="Alta",'Mapa final'!$AJ$21="Menor"),CONCATENATE("R2C",'Mapa final'!$R$21),"")</f>
        <v/>
      </c>
      <c r="V22" s="52" t="str">
        <f>IF(AND('Mapa final'!$AH$22="Alta",'Mapa final'!$AJ$22="Menor"),CONCATENATE("R2C",'Mapa final'!$R$22),"")</f>
        <v/>
      </c>
      <c r="W22" s="32"/>
      <c r="X22" s="33" t="str">
        <f>IF(AND('Mapa final'!$AH$16="Alta",'Mapa final'!$AJ$16="Moderado"),CONCATENATE("R2C",'Mapa final'!$R$15),"")</f>
        <v/>
      </c>
      <c r="Y22" s="33"/>
      <c r="Z22" s="33" t="str">
        <f>IF(AND('Mapa final'!$AH$20="Alta",'Mapa final'!$AJ$20="Moderado"),CONCATENATE("R2C",'Mapa final'!$R$20),"")</f>
        <v/>
      </c>
      <c r="AA22" s="33" t="str">
        <f>IF(AND('Mapa final'!$AH$21="Alta",'Mapa final'!$AJ$21="Moderado"),CONCATENATE("R2C",'Mapa final'!$R$21),"")</f>
        <v/>
      </c>
      <c r="AB22" s="34" t="str">
        <f>IF(AND('Mapa final'!$AH$22="Alta",'Mapa final'!$AJ$22="Moderado"),CONCATENATE("R2C",'Mapa final'!$R$22),"")</f>
        <v/>
      </c>
      <c r="AC22" s="32"/>
      <c r="AD22" s="33" t="str">
        <f>IF(AND('Mapa final'!$AH$16="Alta",'Mapa final'!$AJ$16="Mayor"),CONCATENATE("R2C",'Mapa final'!$R$15),"")</f>
        <v/>
      </c>
      <c r="AE22" s="33" t="str">
        <f>IF(AND('Mapa final'!$AH$17="Alta",'Mapa final'!$AJ$17="Mayor"),CONCATENATE("R2C",'Mapa final'!$R$17),"")</f>
        <v/>
      </c>
      <c r="AF22" s="33" t="str">
        <f>IF(AND('Mapa final'!$AH$20="Alta",'Mapa final'!$AJ$20="Mayor"),CONCATENATE("R2C",'Mapa final'!$R$20),"")</f>
        <v/>
      </c>
      <c r="AG22" s="33" t="str">
        <f>IF(AND('Mapa final'!$AH$21="Alta",'Mapa final'!$AJ$21="Mayor"),CONCATENATE("R2C",'Mapa final'!$R$21),"")</f>
        <v/>
      </c>
      <c r="AH22" s="34" t="str">
        <f>IF(AND('Mapa final'!$AH$22="Alta",'Mapa final'!$AJ$22="Mayor"),CONCATENATE("R2C",'Mapa final'!$R$22),"")</f>
        <v/>
      </c>
      <c r="AI22" s="35"/>
      <c r="AJ22" s="36" t="str">
        <f>IF(AND('Mapa final'!$AH$16="Alta",'Mapa final'!$AJ$16="Catastrófico"),CONCATENATE("R2C",'Mapa final'!$R$15),"")</f>
        <v/>
      </c>
      <c r="AK22" s="36" t="str">
        <f>IF(AND('Mapa final'!$AH$17="Alta",'Mapa final'!$AJ$17="Catastrófico"),CONCATENATE("R2C",'Mapa final'!$R$17),"")</f>
        <v/>
      </c>
      <c r="AL22" s="36" t="str">
        <f>IF(AND('Mapa final'!$AH$20="Alta",'Mapa final'!$AJ$20="Catastrófico"),CONCATENATE("R2C",'Mapa final'!$R$20),"")</f>
        <v/>
      </c>
      <c r="AM22" s="36" t="str">
        <f>IF(AND('Mapa final'!$AH$21="Alta",'Mapa final'!$AJ$21="Catastrófico"),CONCATENATE("R2C",'Mapa final'!$R$21),"")</f>
        <v/>
      </c>
      <c r="AN22" s="37" t="str">
        <f>IF(AND('Mapa final'!$AH$22="Alta",'Mapa final'!$AJ$22="Catastrófico"),CONCATENATE("R2C",'Mapa final'!$R$22),"")</f>
        <v/>
      </c>
      <c r="AO22" s="68"/>
      <c r="AP22" s="491" t="s">
        <v>311</v>
      </c>
      <c r="AQ22" s="492"/>
      <c r="AR22" s="492"/>
      <c r="AS22" s="492"/>
      <c r="AT22" s="492"/>
      <c r="AU22" s="493"/>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41"/>
      <c r="D23" s="441"/>
      <c r="E23" s="442"/>
      <c r="F23" s="500"/>
      <c r="G23" s="485"/>
      <c r="H23" s="485"/>
      <c r="I23" s="485"/>
      <c r="J23" s="485"/>
      <c r="K23" s="53" t="str">
        <f>IF(AND('Mapa final'!$AH$23="Alta",'Mapa final'!$AJ$23="Leve"),CONCATENATE("R2C",'Mapa final'!$R$23),"")</f>
        <v/>
      </c>
      <c r="L23" s="54" t="str">
        <f>IF(AND('Mapa final'!$AH$24="Alta",'Mapa final'!$AJ$24="Leve"),CONCATENATE("R2C",'Mapa final'!$R$24),"")</f>
        <v/>
      </c>
      <c r="M23" s="54" t="str">
        <f>IF(AND('Mapa final'!$AH$33="Alta",'Mapa final'!$AJ$33="Leve"),CONCATENATE("R2C",'Mapa final'!$R$33),"")</f>
        <v/>
      </c>
      <c r="N23" s="54" t="str">
        <f>IF(AND('Mapa final'!$AH$34="Alta",'Mapa final'!$AJ$34="Leve"),CONCATENATE("R2C",'Mapa final'!$R$34),"")</f>
        <v/>
      </c>
      <c r="O23" s="54" t="str">
        <f>IF(AND('Mapa final'!$AH$35="Alta",'Mapa final'!$AJ$35="Leve"),CONCATENATE("R2C",'Mapa final'!$R$35),"")</f>
        <v/>
      </c>
      <c r="P23" s="55" t="str">
        <f>IF(AND('Mapa final'!$AH$36="Alta",'Mapa final'!$AJ$36="Leve"),CONCATENATE("R2C",'Mapa final'!$R$36),"")</f>
        <v/>
      </c>
      <c r="Q23" s="53" t="str">
        <f>IF(AND('Mapa final'!$AH$23="Alta",'Mapa final'!$AJ$23="Menor"),CONCATENATE("R2C",'Mapa final'!$R$23),"")</f>
        <v/>
      </c>
      <c r="R23" s="54" t="str">
        <f>IF(AND('Mapa final'!$AH$24="Alta",'Mapa final'!$AJ$24="Menor"),CONCATENATE("R2C",'Mapa final'!$R$24),"")</f>
        <v/>
      </c>
      <c r="S23" s="54" t="str">
        <f>IF(AND('Mapa final'!$AH$33="Alta",'Mapa final'!$AJ$33="Menor"),CONCATENATE("R2C",'Mapa final'!$R$33),"")</f>
        <v/>
      </c>
      <c r="T23" s="54" t="str">
        <f>IF(AND('Mapa final'!$AH$34="Alta",'Mapa final'!$AJ$34="Menor"),CONCATENATE("R2C",'Mapa final'!$R$34),"")</f>
        <v/>
      </c>
      <c r="U23" s="54" t="str">
        <f>IF(AND('Mapa final'!$AH$35="Alta",'Mapa final'!$AJ$35="Menor"),CONCATENATE("R2C",'Mapa final'!$R$35),"")</f>
        <v/>
      </c>
      <c r="V23" s="55" t="str">
        <f>IF(AND('Mapa final'!$AH$36="Alta",'Mapa final'!$AJ$36="Menor"),CONCATENATE("R2C",'Mapa final'!$R$36),"")</f>
        <v/>
      </c>
      <c r="W23" s="38" t="str">
        <f>IF(AND('Mapa final'!$AH$23="Alta",'Mapa final'!$AJ$23="Moderado"),CONCATENATE("R2C",'Mapa final'!$R$23),"")</f>
        <v/>
      </c>
      <c r="X23" s="39" t="str">
        <f>IF(AND('Mapa final'!$AH$24="Alta",'Mapa final'!$AJ$24="Moderado"),CONCATENATE("R2C",'Mapa final'!$R$24),"")</f>
        <v/>
      </c>
      <c r="Y23" s="39" t="str">
        <f>IF(AND('Mapa final'!$AH$33="Alta",'Mapa final'!$AJ$33="Moderado"),CONCATENATE("R2C",'Mapa final'!$R$33),"")</f>
        <v/>
      </c>
      <c r="Z23" s="39" t="str">
        <f>IF(AND('Mapa final'!$AH$34="Alta",'Mapa final'!$AJ$34="Moderado"),CONCATENATE("R2C",'Mapa final'!$R$34),"")</f>
        <v/>
      </c>
      <c r="AA23" s="39" t="str">
        <f>IF(AND('Mapa final'!$AH$35="Alta",'Mapa final'!$AJ$35="Moderado"),CONCATENATE("R2C",'Mapa final'!$R$35),"")</f>
        <v/>
      </c>
      <c r="AB23" s="40" t="str">
        <f>IF(AND('Mapa final'!$AH$36="Alta",'Mapa final'!$AJ$36="Moderado"),CONCATENATE("R2C",'Mapa final'!$R$36),"")</f>
        <v/>
      </c>
      <c r="AC23" s="38" t="str">
        <f>IF(AND('Mapa final'!$AH$23="Alta",'Mapa final'!$AJ$23="Mayor"),CONCATENATE("R2C",'Mapa final'!$R$23),"")</f>
        <v/>
      </c>
      <c r="AD23" s="39" t="str">
        <f>IF(AND('Mapa final'!$AH$24="Alta",'Mapa final'!$AJ$24="Mayor"),CONCATENATE("R2C",'Mapa final'!$R$24),"")</f>
        <v/>
      </c>
      <c r="AE23" s="39" t="str">
        <f>IF(AND('Mapa final'!$AH$33="Alta",'Mapa final'!$AJ$33="Mayor"),CONCATENATE("R2C",'Mapa final'!$R$33),"")</f>
        <v/>
      </c>
      <c r="AF23" s="39" t="str">
        <f>IF(AND('Mapa final'!$AH$34="Alta",'Mapa final'!$AJ$34="Mayor"),CONCATENATE("R2C",'Mapa final'!$R$34),"")</f>
        <v/>
      </c>
      <c r="AG23" s="39" t="str">
        <f>IF(AND('Mapa final'!$AH$35="Alta",'Mapa final'!$AJ$35="Mayor"),CONCATENATE("R2C",'Mapa final'!$R$35),"")</f>
        <v/>
      </c>
      <c r="AH23" s="40" t="str">
        <f>IF(AND('Mapa final'!$AH$36="Alta",'Mapa final'!$AJ$36="Mayor"),CONCATENATE("R2C",'Mapa final'!$R$36),"")</f>
        <v/>
      </c>
      <c r="AI23" s="41" t="str">
        <f>IF(AND('Mapa final'!$AH$23="Alta",'Mapa final'!$AJ$23="Catastrófico"),CONCATENATE("R2C",'Mapa final'!$R$23),"")</f>
        <v/>
      </c>
      <c r="AJ23" s="42" t="str">
        <f>IF(AND('Mapa final'!$AH$24="Alta",'Mapa final'!$AJ$24="Catastrófico"),CONCATENATE("R2C",'Mapa final'!$R$24),"")</f>
        <v/>
      </c>
      <c r="AK23" s="42" t="str">
        <f>IF(AND('Mapa final'!$AH$33="Alta",'Mapa final'!$AJ$33="Catastrófico"),CONCATENATE("R2C",'Mapa final'!$R$33),"")</f>
        <v/>
      </c>
      <c r="AL23" s="42" t="str">
        <f>IF(AND('Mapa final'!$AH$34="Alta",'Mapa final'!$AJ$34="Catastrófico"),CONCATENATE("R2C",'Mapa final'!$R$34),"")</f>
        <v/>
      </c>
      <c r="AM23" s="42" t="str">
        <f>IF(AND('Mapa final'!$AH$35="Alta",'Mapa final'!$AJ$35="Catastrófico"),CONCATENATE("R2C",'Mapa final'!$R$35),"")</f>
        <v/>
      </c>
      <c r="AN23" s="43" t="str">
        <f>IF(AND('Mapa final'!$AH$36="Alta",'Mapa final'!$AJ$36="Catastrófico"),CONCATENATE("R2C",'Mapa final'!$R$36),"")</f>
        <v/>
      </c>
      <c r="AO23" s="68"/>
      <c r="AP23" s="494"/>
      <c r="AQ23" s="495"/>
      <c r="AR23" s="495"/>
      <c r="AS23" s="495"/>
      <c r="AT23" s="495"/>
      <c r="AU23" s="496"/>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41"/>
      <c r="D24" s="441"/>
      <c r="E24" s="442"/>
      <c r="F24" s="484"/>
      <c r="G24" s="485"/>
      <c r="H24" s="485"/>
      <c r="I24" s="485"/>
      <c r="J24" s="485"/>
      <c r="K24" s="53" t="str">
        <f>IF(AND('Mapa final'!$AH$37="Alta",'Mapa final'!$AJ$37="Leve"),CONCATENATE("R2C",'Mapa final'!$R$37),"")</f>
        <v/>
      </c>
      <c r="L24" s="54" t="str">
        <f>IF(AND('Mapa final'!$AH$38="Alta",'Mapa final'!$AJ$38="Leve"),CONCATENATE("R2C",'Mapa final'!$R$38),"")</f>
        <v/>
      </c>
      <c r="M24" s="54" t="str">
        <f>IF(AND('Mapa final'!$AH$39="Alta",'Mapa final'!$AJ$39="Leve"),CONCATENATE("R2C",'Mapa final'!$R$39),"")</f>
        <v/>
      </c>
      <c r="N24" s="54" t="str">
        <f>IF(AND('Mapa final'!$AH$40="Alta",'Mapa final'!$AJ$40="Leve"),CONCATENATE("R2C",'Mapa final'!$R$40),"")</f>
        <v/>
      </c>
      <c r="O24" s="54" t="str">
        <f>IF(AND('Mapa final'!$AH$41="Alta",'Mapa final'!$AJ$41="Leve"),CONCATENATE("R2C",'Mapa final'!$R$41),"")</f>
        <v/>
      </c>
      <c r="P24" s="55" t="str">
        <f>IF(AND('Mapa final'!$AH$42="Alta",'Mapa final'!$AJ$42="Leve"),CONCATENATE("R2C",'Mapa final'!$R$42),"")</f>
        <v/>
      </c>
      <c r="Q24" s="53" t="str">
        <f>IF(AND('Mapa final'!$AH$37="Alta",'Mapa final'!$AJ$37="Menor"),CONCATENATE("R2C",'Mapa final'!$R$37),"")</f>
        <v/>
      </c>
      <c r="R24" s="54" t="str">
        <f>IF(AND('Mapa final'!$AH$38="Alta",'Mapa final'!$AJ$38="Menor"),CONCATENATE("R2C",'Mapa final'!$R$38),"")</f>
        <v/>
      </c>
      <c r="S24" s="54" t="str">
        <f>IF(AND('Mapa final'!$AH$39="Alta",'Mapa final'!$AJ$39="Menor"),CONCATENATE("R2C",'Mapa final'!$R$39),"")</f>
        <v/>
      </c>
      <c r="T24" s="54" t="str">
        <f>IF(AND('Mapa final'!$AH$40="Alta",'Mapa final'!$AJ$40="Menor"),CONCATENATE("R2C",'Mapa final'!$R$40),"")</f>
        <v/>
      </c>
      <c r="U24" s="54" t="str">
        <f>IF(AND('Mapa final'!$AH$41="Alta",'Mapa final'!$AJ$41="Menor"),CONCATENATE("R2C",'Mapa final'!$R$41),"")</f>
        <v/>
      </c>
      <c r="V24" s="55" t="str">
        <f>IF(AND('Mapa final'!$AH$42="Alta",'Mapa final'!$AJ$42="Menor"),CONCATENATE("R2C",'Mapa final'!$R$42),"")</f>
        <v/>
      </c>
      <c r="W24" s="38" t="str">
        <f>IF(AND('Mapa final'!$AH$37="Alta",'Mapa final'!$AJ$37="Moderado"),CONCATENATE("R2C",'Mapa final'!$R$37),"")</f>
        <v/>
      </c>
      <c r="X24" s="39" t="str">
        <f>IF(AND('Mapa final'!$AH$38="Alta",'Mapa final'!$AJ$38="Moderado"),CONCATENATE("R2C",'Mapa final'!$R$38),"")</f>
        <v/>
      </c>
      <c r="Y24" s="39" t="str">
        <f>IF(AND('Mapa final'!$AH$39="Alta",'Mapa final'!$AJ$39="Moderado"),CONCATENATE("R2C",'Mapa final'!$R$39),"")</f>
        <v/>
      </c>
      <c r="Z24" s="39" t="str">
        <f>IF(AND('Mapa final'!$AH$40="Alta",'Mapa final'!$AJ$40="Moderado"),CONCATENATE("R2C",'Mapa final'!$R$40),"")</f>
        <v/>
      </c>
      <c r="AA24" s="39" t="str">
        <f>IF(AND('Mapa final'!$AH$41="Alta",'Mapa final'!$AJ$41="Moderado"),CONCATENATE("R2C",'Mapa final'!$R$41),"")</f>
        <v/>
      </c>
      <c r="AB24" s="40" t="str">
        <f>IF(AND('Mapa final'!$AH$42="Alta",'Mapa final'!$AJ$42="Moderado"),CONCATENATE("R2C",'Mapa final'!$R$42),"")</f>
        <v/>
      </c>
      <c r="AC24" s="38" t="str">
        <f>IF(AND('Mapa final'!$AH$37="Alta",'Mapa final'!$AJ$37="Mayor"),CONCATENATE("R2C",'Mapa final'!$R$37),"")</f>
        <v/>
      </c>
      <c r="AD24" s="39" t="str">
        <f>IF(AND('Mapa final'!$AH$38="Alta",'Mapa final'!$AJ$38="Mayor"),CONCATENATE("R2C",'Mapa final'!$R$38),"")</f>
        <v/>
      </c>
      <c r="AE24" s="39" t="str">
        <f>IF(AND('Mapa final'!$AH$39="Alta",'Mapa final'!$AJ$39="Mayor"),CONCATENATE("R2C",'Mapa final'!$R$39),"")</f>
        <v/>
      </c>
      <c r="AF24" s="39" t="str">
        <f>IF(AND('Mapa final'!$AH$40="Alta",'Mapa final'!$AJ$40="Mayor"),CONCATENATE("R2C",'Mapa final'!$R$40),"")</f>
        <v/>
      </c>
      <c r="AG24" s="39" t="str">
        <f>IF(AND('Mapa final'!$AH$41="Alta",'Mapa final'!$AJ$41="Mayor"),CONCATENATE("R2C",'Mapa final'!$R$41),"")</f>
        <v/>
      </c>
      <c r="AH24" s="40" t="str">
        <f>IF(AND('Mapa final'!$AH$42="Alta",'Mapa final'!$AJ$42="Mayor"),CONCATENATE("R2C",'Mapa final'!$R$42),"")</f>
        <v/>
      </c>
      <c r="AI24" s="41" t="str">
        <f>IF(AND('Mapa final'!$AH$37="Alta",'Mapa final'!$AJ$37="Catastrófico"),CONCATENATE("R2C",'Mapa final'!$R$37),"")</f>
        <v/>
      </c>
      <c r="AJ24" s="42" t="str">
        <f>IF(AND('Mapa final'!$AH$38="Alta",'Mapa final'!$AJ$38="Catastrófico"),CONCATENATE("R2C",'Mapa final'!$R$38),"")</f>
        <v/>
      </c>
      <c r="AK24" s="42" t="str">
        <f>IF(AND('Mapa final'!$AH$39="Alta",'Mapa final'!$AJ$39="Catastrófico"),CONCATENATE("R2C",'Mapa final'!$R$39),"")</f>
        <v/>
      </c>
      <c r="AL24" s="42" t="str">
        <f>IF(AND('Mapa final'!$AH$40="Alta",'Mapa final'!$AJ$40="Catastrófico"),CONCATENATE("R2C",'Mapa final'!$R$40),"")</f>
        <v/>
      </c>
      <c r="AM24" s="42" t="str">
        <f>IF(AND('Mapa final'!$AH$41="Alta",'Mapa final'!$AJ$41="Catastrófico"),CONCATENATE("R2C",'Mapa final'!$R$41),"")</f>
        <v/>
      </c>
      <c r="AN24" s="43" t="str">
        <f>IF(AND('Mapa final'!$AH$42="Alta",'Mapa final'!$AJ$42="Catastrófico"),CONCATENATE("R2C",'Mapa final'!$R$42),"")</f>
        <v/>
      </c>
      <c r="AO24" s="68"/>
      <c r="AP24" s="494"/>
      <c r="AQ24" s="495"/>
      <c r="AR24" s="495"/>
      <c r="AS24" s="495"/>
      <c r="AT24" s="495"/>
      <c r="AU24" s="496"/>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41"/>
      <c r="D25" s="441"/>
      <c r="E25" s="442"/>
      <c r="F25" s="484"/>
      <c r="G25" s="485"/>
      <c r="H25" s="485"/>
      <c r="I25" s="485"/>
      <c r="J25" s="485"/>
      <c r="K25" s="53" t="str">
        <f>IF(AND('Mapa final'!$AH$43="Alta",'Mapa final'!$AJ$43="Leve"),CONCATENATE("R2C",'Mapa final'!$R$43),"")</f>
        <v/>
      </c>
      <c r="L25" s="54" t="str">
        <f>IF(AND('Mapa final'!$AH$44="Alta",'Mapa final'!$AJ$44="Leve"),CONCATENATE("R2C",'Mapa final'!$R$44),"")</f>
        <v/>
      </c>
      <c r="M25" s="54" t="str">
        <f>IF(AND('Mapa final'!$AH$45="Alta",'Mapa final'!$AJ$45="Leve"),CONCATENATE("R2C",'Mapa final'!$R$45),"")</f>
        <v/>
      </c>
      <c r="N25" s="54" t="str">
        <f>IF(AND('Mapa final'!$AH$46="Alta",'Mapa final'!$AJ$46="Leve"),CONCATENATE("R2C",'Mapa final'!$R$46),"")</f>
        <v/>
      </c>
      <c r="O25" s="54" t="str">
        <f>IF(AND('Mapa final'!$AH$47="Alta",'Mapa final'!$AJ$47="Leve"),CONCATENATE("R2C",'Mapa final'!$R$47),"")</f>
        <v/>
      </c>
      <c r="P25" s="55" t="str">
        <f>IF(AND('Mapa final'!$AH$48="Alta",'Mapa final'!$AJ$48="Leve"),CONCATENATE("R2C",'Mapa final'!$R$48),"")</f>
        <v/>
      </c>
      <c r="Q25" s="53" t="str">
        <f>IF(AND('Mapa final'!$AH$43="Alta",'Mapa final'!$AJ$43="Menor"),CONCATENATE("R2C",'Mapa final'!$R$43),"")</f>
        <v/>
      </c>
      <c r="R25" s="54" t="str">
        <f>IF(AND('Mapa final'!$AH$44="Alta",'Mapa final'!$AJ$44="Menor"),CONCATENATE("R2C",'Mapa final'!$R$44),"")</f>
        <v/>
      </c>
      <c r="S25" s="54" t="str">
        <f>IF(AND('Mapa final'!$AH$45="Alta",'Mapa final'!$AJ$45="Menor"),CONCATENATE("R2C",'Mapa final'!$R$45),"")</f>
        <v/>
      </c>
      <c r="T25" s="54" t="str">
        <f>IF(AND('Mapa final'!$AH$46="Alta",'Mapa final'!$AJ$46="Menor"),CONCATENATE("R2C",'Mapa final'!$R$46),"")</f>
        <v/>
      </c>
      <c r="U25" s="54" t="str">
        <f>IF(AND('Mapa final'!$AH$47="Alta",'Mapa final'!$AJ$47="LMenor"),CONCATENATE("R2C",'Mapa final'!$R$47),"")</f>
        <v/>
      </c>
      <c r="V25" s="55" t="str">
        <f>IF(AND('Mapa final'!$AH$48="Alta",'Mapa final'!$AJ$48="Menor"),CONCATENATE("R2C",'Mapa final'!$R$48),"")</f>
        <v/>
      </c>
      <c r="W25" s="38" t="str">
        <f>IF(AND('Mapa final'!$AH$43="Alta",'Mapa final'!$AJ$43="Moderado"),CONCATENATE("R2C",'Mapa final'!$R$43),"")</f>
        <v/>
      </c>
      <c r="X25" s="39" t="str">
        <f>IF(AND('Mapa final'!$AH$44="Alta",'Mapa final'!$AJ$44="Moderado"),CONCATENATE("R2C",'Mapa final'!$R$44),"")</f>
        <v/>
      </c>
      <c r="Y25" s="39" t="str">
        <f>IF(AND('Mapa final'!$AH$45="Alta",'Mapa final'!$AJ$45="Moderado"),CONCATENATE("R2C",'Mapa final'!$R$45),"")</f>
        <v/>
      </c>
      <c r="Z25" s="39" t="str">
        <f>IF(AND('Mapa final'!$AH$46="Alta",'Mapa final'!$AJ$46="Moderado"),CONCATENATE("R2C",'Mapa final'!$R$46),"")</f>
        <v/>
      </c>
      <c r="AA25" s="39" t="str">
        <f>IF(AND('Mapa final'!$AH$47="Alta",'Mapa final'!$AJ$47="Moderado"),CONCATENATE("R2C",'Mapa final'!$R$47),"")</f>
        <v/>
      </c>
      <c r="AB25" s="40" t="str">
        <f>IF(AND('Mapa final'!$AH$48="Alta",'Mapa final'!$AJ$48="Moderado"),CONCATENATE("R2C",'Mapa final'!$R$48),"")</f>
        <v/>
      </c>
      <c r="AC25" s="38" t="str">
        <f>IF(AND('Mapa final'!$AH$43="Alta",'Mapa final'!$AJ$43="Mayor"),CONCATENATE("R2C",'Mapa final'!$R$43),"")</f>
        <v/>
      </c>
      <c r="AD25" s="39" t="str">
        <f>IF(AND('Mapa final'!$AH$44="Alta",'Mapa final'!$AJ$44="Mayor"),CONCATENATE("R2C",'Mapa final'!$R$44),"")</f>
        <v/>
      </c>
      <c r="AE25" s="39" t="str">
        <f>IF(AND('Mapa final'!$AH$45="Alta",'Mapa final'!$AJ$45="Mayor"),CONCATENATE("R2C",'Mapa final'!$R$45),"")</f>
        <v/>
      </c>
      <c r="AF25" s="39" t="str">
        <f>IF(AND('Mapa final'!$AH$46="Alta",'Mapa final'!$AJ$46="Mayor"),CONCATENATE("R2C",'Mapa final'!$R$46),"")</f>
        <v/>
      </c>
      <c r="AG25" s="39" t="str">
        <f>IF(AND('Mapa final'!$AH$47="Alta",'Mapa final'!$AJ$47="Mayor"),CONCATENATE("R2C",'Mapa final'!$R$47),"")</f>
        <v/>
      </c>
      <c r="AH25" s="40" t="str">
        <f>IF(AND('Mapa final'!$AH$48="Alta",'Mapa final'!$AJ$48="Mayor"),CONCATENATE("R2C",'Mapa final'!$R$48),"")</f>
        <v/>
      </c>
      <c r="AI25" s="41" t="str">
        <f>IF(AND('Mapa final'!$AH$43="Alta",'Mapa final'!$AJ$43="Catastrófico"),CONCATENATE("R2C",'Mapa final'!$R$43),"")</f>
        <v/>
      </c>
      <c r="AJ25" s="42" t="str">
        <f>IF(AND('Mapa final'!$AH$44="Alta",'Mapa final'!$AJ$44="Catastrófico"),CONCATENATE("R2C",'Mapa final'!$R$44),"")</f>
        <v/>
      </c>
      <c r="AK25" s="42" t="str">
        <f>IF(AND('Mapa final'!$AH$45="Alta",'Mapa final'!$AJ$45="Catastrófico"),CONCATENATE("R2C",'Mapa final'!$R$45),"")</f>
        <v/>
      </c>
      <c r="AL25" s="42" t="str">
        <f>IF(AND('Mapa final'!$AH$46="Alta",'Mapa final'!$AJ$46="Catastrófico"),CONCATENATE("R2C",'Mapa final'!$R$46),"")</f>
        <v/>
      </c>
      <c r="AM25" s="42" t="str">
        <f>IF(AND('Mapa final'!$AH$47="Alta",'Mapa final'!$AJ$47="LCatastrófico"),CONCATENATE("R2C",'Mapa final'!$R$47),"")</f>
        <v/>
      </c>
      <c r="AN25" s="43" t="str">
        <f>IF(AND('Mapa final'!$AH$48="Alta",'Mapa final'!$AJ$48="Catastrófico"),CONCATENATE("R2C",'Mapa final'!$R$48),"")</f>
        <v/>
      </c>
      <c r="AO25" s="68"/>
      <c r="AP25" s="494"/>
      <c r="AQ25" s="495"/>
      <c r="AR25" s="495"/>
      <c r="AS25" s="495"/>
      <c r="AT25" s="495"/>
      <c r="AU25" s="496"/>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41"/>
      <c r="D26" s="441"/>
      <c r="E26" s="442"/>
      <c r="F26" s="484"/>
      <c r="G26" s="485"/>
      <c r="H26" s="485"/>
      <c r="I26" s="485"/>
      <c r="J26" s="485"/>
      <c r="K26" s="53" t="str">
        <f>IF(AND('Mapa final'!$AH$49="Alta",'Mapa final'!$AJ$49="Leve"),CONCATENATE("R2C",'Mapa final'!$R$49),"")</f>
        <v/>
      </c>
      <c r="L26" s="54" t="str">
        <f>IF(AND('Mapa final'!$AH$50="Alta",'Mapa final'!$AJ$50="Leve"),CONCATENATE("R2C",'Mapa final'!$R$50),"")</f>
        <v/>
      </c>
      <c r="M26" s="54" t="str">
        <f>IF(AND('Mapa final'!$AH$51="Alta",'Mapa final'!$AJ$51="Leve"),CONCATENATE("R2C",'Mapa final'!$R$51),"")</f>
        <v/>
      </c>
      <c r="N26" s="54" t="str">
        <f>IF(AND('Mapa final'!$AH$52="Alta",'Mapa final'!$AJ$52="Leve"),CONCATENATE("R2C",'Mapa final'!$R$52),"")</f>
        <v/>
      </c>
      <c r="O26" s="54" t="str">
        <f>IF(AND('Mapa final'!$AH$53="Alta",'Mapa final'!$AJ$53="Leve"),CONCATENATE("R2C",'Mapa final'!$R$53),"")</f>
        <v/>
      </c>
      <c r="P26" s="55" t="str">
        <f>IF(AND('Mapa final'!$AH$54="Alta",'Mapa final'!$AJ$54="Leve"),CONCATENATE("R2C",'Mapa final'!$R$54),"")</f>
        <v/>
      </c>
      <c r="Q26" s="53" t="str">
        <f>IF(AND('Mapa final'!$AH$49="Alta",'Mapa final'!$AJ$49="Menor"),CONCATENATE("R2C",'Mapa final'!$R$49),"")</f>
        <v/>
      </c>
      <c r="R26" s="54" t="str">
        <f>IF(AND('Mapa final'!$AH$50="Alta",'Mapa final'!$AJ$50="Menor"),CONCATENATE("R2C",'Mapa final'!$R$50),"")</f>
        <v/>
      </c>
      <c r="S26" s="54" t="str">
        <f>IF(AND('Mapa final'!$AH$51="Alta",'Mapa final'!$AJ$51="Menor"),CONCATENATE("R2C",'Mapa final'!$R$51),"")</f>
        <v/>
      </c>
      <c r="T26" s="54" t="str">
        <f>IF(AND('Mapa final'!$AH$52="Alta",'Mapa final'!$AJ$52="Menor"),CONCATENATE("R2C",'Mapa final'!$R$52),"")</f>
        <v/>
      </c>
      <c r="U26" s="54" t="str">
        <f>IF(AND('Mapa final'!$AH$53="Alta",'Mapa final'!$AJ$53="Menor"),CONCATENATE("R2C",'Mapa final'!$R$53),"")</f>
        <v/>
      </c>
      <c r="V26" s="55" t="str">
        <f>IF(AND('Mapa final'!$AH$54="Alta",'Mapa final'!$AJ$54="Menor"),CONCATENATE("R2C",'Mapa final'!$R$54),"")</f>
        <v/>
      </c>
      <c r="W26" s="38" t="str">
        <f>IF(AND('Mapa final'!$AH$49="Alta",'Mapa final'!$AJ$49="Moderado"),CONCATENATE("R2C",'Mapa final'!$R$49),"")</f>
        <v/>
      </c>
      <c r="X26" s="39" t="str">
        <f>IF(AND('Mapa final'!$AH$50="Alta",'Mapa final'!$AJ$50="Moderado"),CONCATENATE("R2C",'Mapa final'!$R$50),"")</f>
        <v/>
      </c>
      <c r="Y26" s="39" t="str">
        <f>IF(AND('Mapa final'!$AH$51="Alta",'Mapa final'!$AJ$51="Moderado"),CONCATENATE("R2C",'Mapa final'!$R$51),"")</f>
        <v/>
      </c>
      <c r="Z26" s="39" t="str">
        <f>IF(AND('Mapa final'!$AH$52="Alta",'Mapa final'!$AJ$52="Moderado"),CONCATENATE("R2C",'Mapa final'!$R$52),"")</f>
        <v/>
      </c>
      <c r="AA26" s="39" t="str">
        <f>IF(AND('Mapa final'!$AH$53="Alta",'Mapa final'!$AJ$53="Moderado"),CONCATENATE("R2C",'Mapa final'!$R$53),"")</f>
        <v/>
      </c>
      <c r="AB26" s="40" t="str">
        <f>IF(AND('Mapa final'!$AH$54="Alta",'Mapa final'!$AJ$54="Moderado"),CONCATENATE("R2C",'Mapa final'!$R$54),"")</f>
        <v/>
      </c>
      <c r="AC26" s="38" t="str">
        <f>IF(AND('Mapa final'!$AH$49="Alta",'Mapa final'!$AJ$49="Mayor"),CONCATENATE("R2C",'Mapa final'!$R$49),"")</f>
        <v/>
      </c>
      <c r="AD26" s="39" t="str">
        <f>IF(AND('Mapa final'!$AH$50="Alta",'Mapa final'!$AJ$50="Mayor"),CONCATENATE("R2C",'Mapa final'!$R$50),"")</f>
        <v/>
      </c>
      <c r="AE26" s="39" t="str">
        <f>IF(AND('Mapa final'!$AH$51="Alta",'Mapa final'!$AJ$51="Mayor"),CONCATENATE("R2C",'Mapa final'!$R$51),"")</f>
        <v/>
      </c>
      <c r="AF26" s="39" t="str">
        <f>IF(AND('Mapa final'!$AH$52="Alta",'Mapa final'!$AJ$52="Mayor"),CONCATENATE("R2C",'Mapa final'!$R$52),"")</f>
        <v/>
      </c>
      <c r="AG26" s="39" t="str">
        <f>IF(AND('Mapa final'!$AH$53="Alta",'Mapa final'!$AJ$53="Mayor"),CONCATENATE("R2C",'Mapa final'!$R$53),"")</f>
        <v/>
      </c>
      <c r="AH26" s="40" t="str">
        <f>IF(AND('Mapa final'!$AH$54="Alta",'Mapa final'!$AJ$54="Mayor"),CONCATENATE("R2C",'Mapa final'!$R$54),"")</f>
        <v/>
      </c>
      <c r="AI26" s="41" t="str">
        <f>IF(AND('Mapa final'!$AH$49="Alta",'Mapa final'!$AJ$49="Catastrófico"),CONCATENATE("R2C",'Mapa final'!$R$49),"")</f>
        <v/>
      </c>
      <c r="AJ26" s="42" t="str">
        <f>IF(AND('Mapa final'!$AH$50="Alta",'Mapa final'!$AJ$50="Catastrófico"),CONCATENATE("R2C",'Mapa final'!$R$50),"")</f>
        <v/>
      </c>
      <c r="AK26" s="42" t="str">
        <f>IF(AND('Mapa final'!$AH$51="Alta",'Mapa final'!$AJ$51="Catastrófico"),CONCATENATE("R2C",'Mapa final'!$R$51),"")</f>
        <v/>
      </c>
      <c r="AL26" s="42" t="str">
        <f>IF(AND('Mapa final'!$AH$52="Alta",'Mapa final'!$AJ$52="Catastrófico"),CONCATENATE("R2C",'Mapa final'!$R$52),"")</f>
        <v/>
      </c>
      <c r="AM26" s="42" t="str">
        <f>IF(AND('Mapa final'!$AH$53="Alta",'Mapa final'!$AJ$53="Catastrófico"),CONCATENATE("R2C",'Mapa final'!$R$53),"")</f>
        <v/>
      </c>
      <c r="AN26" s="43" t="str">
        <f>IF(AND('Mapa final'!$AH$54="Alta",'Mapa final'!$AJ$54="Catastrófico"),CONCATENATE("R2C",'Mapa final'!$R$54),"")</f>
        <v/>
      </c>
      <c r="AO26" s="68"/>
      <c r="AP26" s="494"/>
      <c r="AQ26" s="495"/>
      <c r="AR26" s="495"/>
      <c r="AS26" s="495"/>
      <c r="AT26" s="495"/>
      <c r="AU26" s="496"/>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41"/>
      <c r="D27" s="441"/>
      <c r="E27" s="442"/>
      <c r="F27" s="484"/>
      <c r="G27" s="485"/>
      <c r="H27" s="485"/>
      <c r="I27" s="485"/>
      <c r="J27" s="485"/>
      <c r="K27" s="53" t="str">
        <f>IF(AND('Mapa final'!$AH$55="Alta",'Mapa final'!$AJ$55="Leve"),CONCATENATE("R2C",'Mapa final'!$R$55),"")</f>
        <v/>
      </c>
      <c r="L27" s="54" t="str">
        <f>IF(AND('Mapa final'!$AH$56="Alta",'Mapa final'!$AJ$56="Leve"),CONCATENATE("R2C",'Mapa final'!$R$56),"")</f>
        <v/>
      </c>
      <c r="M27" s="54" t="str">
        <f>IF(AND('Mapa final'!$AH$57="Alta",'Mapa final'!$AJ$57="Leve"),CONCATENATE("R2C",'Mapa final'!$R$57),"")</f>
        <v/>
      </c>
      <c r="N27" s="54" t="str">
        <f>IF(AND('Mapa final'!$AH$58="Alta",'Mapa final'!$AJ$58="Leve"),CONCATENATE("R2C",'Mapa final'!$R$58),"")</f>
        <v/>
      </c>
      <c r="O27" s="54" t="str">
        <f>IF(AND('Mapa final'!$AH$59="Alta",'Mapa final'!$AJ$59="Leve"),CONCATENATE("R2C",'Mapa final'!$R$59),"")</f>
        <v/>
      </c>
      <c r="P27" s="55" t="str">
        <f>IF(AND('Mapa final'!$AH$70="Alta",'Mapa final'!$AJ$60="Leve"),CONCATENATE("R2C",'Mapa final'!$R$60),"")</f>
        <v/>
      </c>
      <c r="Q27" s="53" t="str">
        <f>IF(AND('Mapa final'!$AH$55="Alta",'Mapa final'!$AJ$55="Menor"),CONCATENATE("R2C",'Mapa final'!$R$55),"")</f>
        <v/>
      </c>
      <c r="R27" s="54" t="str">
        <f>IF(AND('Mapa final'!$AH$56="Alta",'Mapa final'!$AJ$56="Menor"),CONCATENATE("R2C",'Mapa final'!$R$56),"")</f>
        <v/>
      </c>
      <c r="S27" s="54" t="str">
        <f>IF(AND('Mapa final'!$AH$57="Alta",'Mapa final'!$AJ$57="Menor"),CONCATENATE("R2C",'Mapa final'!$R$57),"")</f>
        <v/>
      </c>
      <c r="T27" s="54" t="str">
        <f>IF(AND('Mapa final'!$AH$58="Alta",'Mapa final'!$AJ$58="Menor"),CONCATENATE("R2C",'Mapa final'!$R$58),"")</f>
        <v/>
      </c>
      <c r="U27" s="54" t="str">
        <f>IF(AND('Mapa final'!$AH$59="Alta",'Mapa final'!$AJ$59="Menor"),CONCATENATE("R2C",'Mapa final'!$R$59),"")</f>
        <v/>
      </c>
      <c r="V27" s="55" t="str">
        <f>IF(AND('Mapa final'!$AH$70="Alta",'Mapa final'!$AJ$60="Menor"),CONCATENATE("R2C",'Mapa final'!$R$60),"")</f>
        <v/>
      </c>
      <c r="W27" s="38" t="str">
        <f>IF(AND('Mapa final'!$AH$55="Alta",'Mapa final'!$AJ$55="Moderado"),CONCATENATE("R2C",'Mapa final'!$R$55),"")</f>
        <v/>
      </c>
      <c r="X27" s="39" t="str">
        <f>IF(AND('Mapa final'!$AH$56="Alta",'Mapa final'!$AJ$56="Moderado"),CONCATENATE("R2C",'Mapa final'!$R$56),"")</f>
        <v/>
      </c>
      <c r="Y27" s="39" t="str">
        <f>IF(AND('Mapa final'!$AH$57="Alta",'Mapa final'!$AJ$57="Moderado"),CONCATENATE("R2C",'Mapa final'!$R$57),"")</f>
        <v/>
      </c>
      <c r="Z27" s="39" t="str">
        <f>IF(AND('Mapa final'!$AH$58="Alta",'Mapa final'!$AJ$58="Moderado"),CONCATENATE("R2C",'Mapa final'!$R$58),"")</f>
        <v/>
      </c>
      <c r="AA27" s="39" t="str">
        <f>IF(AND('Mapa final'!$AH$59="Alta",'Mapa final'!$AJ$59="Moderado"),CONCATENATE("R2C",'Mapa final'!$R$59),"")</f>
        <v/>
      </c>
      <c r="AB27" s="40" t="str">
        <f>IF(AND('Mapa final'!$AH$70="Alta",'Mapa final'!$AJ$60="Moderado"),CONCATENATE("R2C",'Mapa final'!$R$60),"")</f>
        <v/>
      </c>
      <c r="AC27" s="38" t="str">
        <f>IF(AND('Mapa final'!$AH$55="Alta",'Mapa final'!$AJ$55="Mayor"),CONCATENATE("R2C",'Mapa final'!$R$55),"")</f>
        <v/>
      </c>
      <c r="AD27" s="39" t="str">
        <f>IF(AND('Mapa final'!$AH$56="Alta",'Mapa final'!$AJ$56="Mayor"),CONCATENATE("R2C",'Mapa final'!$R$56),"")</f>
        <v/>
      </c>
      <c r="AE27" s="39" t="str">
        <f>IF(AND('Mapa final'!$AH$57="Alta",'Mapa final'!$AJ$57="Mayor"),CONCATENATE("R2C",'Mapa final'!$R$57),"")</f>
        <v/>
      </c>
      <c r="AF27" s="39" t="str">
        <f>IF(AND('Mapa final'!$AH$58="Alta",'Mapa final'!$AJ$58="Mayor"),CONCATENATE("R2C",'Mapa final'!$R$58),"")</f>
        <v/>
      </c>
      <c r="AG27" s="39" t="str">
        <f>IF(AND('Mapa final'!$AH$59="Alta",'Mapa final'!$AJ$59="Mayor"),CONCATENATE("R2C",'Mapa final'!$R$59),"")</f>
        <v/>
      </c>
      <c r="AH27" s="40" t="str">
        <f>IF(AND('Mapa final'!$AH$70="Alta",'Mapa final'!$AJ$60="Mayor"),CONCATENATE("R2C",'Mapa final'!$R$60),"")</f>
        <v/>
      </c>
      <c r="AI27" s="41" t="str">
        <f>IF(AND('Mapa final'!$AH$55="Alta",'Mapa final'!$AJ$55="Catastrófico"),CONCATENATE("R2C",'Mapa final'!$R$55),"")</f>
        <v/>
      </c>
      <c r="AJ27" s="42" t="str">
        <f>IF(AND('Mapa final'!$AH$56="Alta",'Mapa final'!$AJ$56="Catastrófico"),CONCATENATE("R2C",'Mapa final'!$R$56),"")</f>
        <v/>
      </c>
      <c r="AK27" s="42" t="str">
        <f>IF(AND('Mapa final'!$AH$57="Alta",'Mapa final'!$AJ$57="Catastrófico"),CONCATENATE("R2C",'Mapa final'!$R$57),"")</f>
        <v/>
      </c>
      <c r="AL27" s="42" t="str">
        <f>IF(AND('Mapa final'!$AH$58="Alta",'Mapa final'!$AJ$58="Catastrófico"),CONCATENATE("R2C",'Mapa final'!$R$58),"")</f>
        <v/>
      </c>
      <c r="AM27" s="42" t="str">
        <f>IF(AND('Mapa final'!$AH$59="Alta",'Mapa final'!$AJ$59="Catastrófico"),CONCATENATE("R2C",'Mapa final'!$R$59),"")</f>
        <v/>
      </c>
      <c r="AN27" s="43" t="str">
        <f>IF(AND('Mapa final'!$AH$70="Alta",'Mapa final'!$AJ$60="Catastrófico"),CONCATENATE("R2C",'Mapa final'!$R$60),"")</f>
        <v/>
      </c>
      <c r="AO27" s="68"/>
      <c r="AP27" s="494"/>
      <c r="AQ27" s="495"/>
      <c r="AR27" s="495"/>
      <c r="AS27" s="495"/>
      <c r="AT27" s="495"/>
      <c r="AU27" s="496"/>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41"/>
      <c r="D28" s="441"/>
      <c r="E28" s="442"/>
      <c r="F28" s="484"/>
      <c r="G28" s="485"/>
      <c r="H28" s="485"/>
      <c r="I28" s="485"/>
      <c r="J28" s="485"/>
      <c r="K28" s="53" t="str">
        <f>IF(AND('Mapa final'!$AH$61="Alta",'Mapa final'!$AJ$61="Leve"),CONCATENATE("R2C",'Mapa final'!$R$61),"")</f>
        <v/>
      </c>
      <c r="L28" s="54" t="str">
        <f>IF(AND('Mapa final'!$AH$62="Alta",'Mapa final'!$AJ$62="Leve"),CONCATENATE("R2C",'Mapa final'!$R$62),"")</f>
        <v/>
      </c>
      <c r="M28" s="54" t="str">
        <f>IF(AND('Mapa final'!$AH$63="Alta",'Mapa final'!$AJ$63="Leve"),CONCATENATE("R2C",'Mapa final'!$R$63),"")</f>
        <v/>
      </c>
      <c r="N28" s="54" t="str">
        <f>IF(AND('Mapa final'!$AH$64="Alta",'Mapa final'!$AJ$64="Leve"),CONCATENATE("R2C",'Mapa final'!$R$64),"")</f>
        <v/>
      </c>
      <c r="O28" s="54" t="str">
        <f>IF(AND('Mapa final'!$AH$65="Alta",'Mapa final'!$AJ$65="Leve"),CONCATENATE("R2C",'Mapa final'!$R$65),"")</f>
        <v/>
      </c>
      <c r="P28" s="55" t="str">
        <f>IF(AND('Mapa final'!$AH$66="Alta",'Mapa final'!$AJ$66="Leve"),CONCATENATE("R2C",'Mapa final'!$R$66),"")</f>
        <v/>
      </c>
      <c r="Q28" s="53" t="str">
        <f>IF(AND('Mapa final'!$AH$61="Alta",'Mapa final'!$AJ$61="Menor"),CONCATENATE("R2C",'Mapa final'!$R$61),"")</f>
        <v/>
      </c>
      <c r="R28" s="54" t="str">
        <f>IF(AND('Mapa final'!$AH$62="Alta",'Mapa final'!$AJ$62="Menor"),CONCATENATE("R2C",'Mapa final'!$R$62),"")</f>
        <v/>
      </c>
      <c r="S28" s="54" t="str">
        <f>IF(AND('Mapa final'!$AH$63="Alta",'Mapa final'!$AJ$63="Menor"),CONCATENATE("R2C",'Mapa final'!$R$63),"")</f>
        <v/>
      </c>
      <c r="T28" s="54" t="str">
        <f>IF(AND('Mapa final'!$AH$64="Alta",'Mapa final'!$AJ$64="Menor"),CONCATENATE("R2C",'Mapa final'!$R$64),"")</f>
        <v/>
      </c>
      <c r="U28" s="54" t="str">
        <f>IF(AND('Mapa final'!$AH$65="Alta",'Mapa final'!$AJ$65="Menor"),CONCATENATE("R2C",'Mapa final'!$R$65),"")</f>
        <v/>
      </c>
      <c r="V28" s="55" t="str">
        <f>IF(AND('Mapa final'!$AH$66="Alta",'Mapa final'!$AJ$66="Menor"),CONCATENATE("R2C",'Mapa final'!$R$66),"")</f>
        <v/>
      </c>
      <c r="W28" s="38" t="str">
        <f>IF(AND('Mapa final'!$AH$61="Alta",'Mapa final'!$AJ$61="Moderado"),CONCATENATE("R2C",'Mapa final'!$R$61),"")</f>
        <v/>
      </c>
      <c r="X28" s="39" t="str">
        <f>IF(AND('Mapa final'!$AH$62="Alta",'Mapa final'!$AJ$62="Moderado"),CONCATENATE("R2C",'Mapa final'!$R$62),"")</f>
        <v/>
      </c>
      <c r="Y28" s="39" t="str">
        <f>IF(AND('Mapa final'!$AH$63="Alta",'Mapa final'!$AJ$63="Moderado"),CONCATENATE("R2C",'Mapa final'!$R$63),"")</f>
        <v/>
      </c>
      <c r="Z28" s="39" t="str">
        <f>IF(AND('Mapa final'!$AH$64="Alta",'Mapa final'!$AJ$64="Moderado"),CONCATENATE("R2C",'Mapa final'!$R$64),"")</f>
        <v/>
      </c>
      <c r="AA28" s="39" t="str">
        <f>IF(AND('Mapa final'!$AH$65="Alta",'Mapa final'!$AJ$65="Moderado"),CONCATENATE("R2C",'Mapa final'!$R$65),"")</f>
        <v/>
      </c>
      <c r="AB28" s="40" t="str">
        <f>IF(AND('Mapa final'!$AH$66="Alta",'Mapa final'!$AJ$66="Moderado"),CONCATENATE("R2C",'Mapa final'!$R$66),"")</f>
        <v/>
      </c>
      <c r="AC28" s="38" t="str">
        <f>IF(AND('Mapa final'!$AH$61="Alta",'Mapa final'!$AJ$61="Mayor"),CONCATENATE("R2C",'Mapa final'!$R$61),"")</f>
        <v/>
      </c>
      <c r="AD28" s="39" t="str">
        <f>IF(AND('Mapa final'!$AH$62="Alta",'Mapa final'!$AJ$62="Mayor"),CONCATENATE("R2C",'Mapa final'!$R$62),"")</f>
        <v/>
      </c>
      <c r="AE28" s="39" t="str">
        <f>IF(AND('Mapa final'!$AH$63="Alta",'Mapa final'!$AJ$63="Mayor"),CONCATENATE("R2C",'Mapa final'!$R$63),"")</f>
        <v/>
      </c>
      <c r="AF28" s="39" t="str">
        <f>IF(AND('Mapa final'!$AH$64="Alta",'Mapa final'!$AJ$64="Mayor"),CONCATENATE("R2C",'Mapa final'!$R$64),"")</f>
        <v/>
      </c>
      <c r="AG28" s="39" t="str">
        <f>IF(AND('Mapa final'!$AH$65="Alta",'Mapa final'!$AJ$65="Mayor"),CONCATENATE("R2C",'Mapa final'!$R$65),"")</f>
        <v/>
      </c>
      <c r="AH28" s="40" t="str">
        <f>IF(AND('Mapa final'!$AH$66="Alta",'Mapa final'!$AJ$66="Mayor"),CONCATENATE("R2C",'Mapa final'!$R$66),"")</f>
        <v/>
      </c>
      <c r="AI28" s="41" t="str">
        <f>IF(AND('Mapa final'!$AH$61="Alta",'Mapa final'!$AJ$61="Catastrófico"),CONCATENATE("R2C",'Mapa final'!$R$61),"")</f>
        <v/>
      </c>
      <c r="AJ28" s="42" t="str">
        <f>IF(AND('Mapa final'!$AH$62="Alta",'Mapa final'!$AJ$62="Catastrófico"),CONCATENATE("R2C",'Mapa final'!$R$62),"")</f>
        <v/>
      </c>
      <c r="AK28" s="42" t="str">
        <f>IF(AND('Mapa final'!$AH$63="Alta",'Mapa final'!$AJ$63="Catastrófico"),CONCATENATE("R2C",'Mapa final'!$R$63),"")</f>
        <v/>
      </c>
      <c r="AL28" s="42" t="str">
        <f>IF(AND('Mapa final'!$AH$64="Alta",'Mapa final'!$AJ$64="Catastrófico"),CONCATENATE("R2C",'Mapa final'!$R$64),"")</f>
        <v/>
      </c>
      <c r="AM28" s="42" t="str">
        <f>IF(AND('Mapa final'!$AH$65="Alta",'Mapa final'!$AJ$65="Catastrófico"),CONCATENATE("R2C",'Mapa final'!$R$65),"")</f>
        <v/>
      </c>
      <c r="AN28" s="43" t="str">
        <f>IF(AND('Mapa final'!$AH$66="Alta",'Mapa final'!$AJ$66="Catastrófico"),CONCATENATE("R2C",'Mapa final'!$R$66),"")</f>
        <v/>
      </c>
      <c r="AO28" s="68"/>
      <c r="AP28" s="494"/>
      <c r="AQ28" s="495"/>
      <c r="AR28" s="495"/>
      <c r="AS28" s="495"/>
      <c r="AT28" s="495"/>
      <c r="AU28" s="496"/>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41"/>
      <c r="D29" s="441"/>
      <c r="E29" s="442"/>
      <c r="F29" s="484"/>
      <c r="G29" s="485"/>
      <c r="H29" s="485"/>
      <c r="I29" s="485"/>
      <c r="J29" s="485"/>
      <c r="K29" s="53" t="str">
        <f>IF(AND('Mapa final'!$AH$67="Alta",'Mapa final'!$AJ$67="Leve"),CONCATENATE("R2C",'Mapa final'!$R$67),"")</f>
        <v/>
      </c>
      <c r="L29" s="54" t="str">
        <f>IF(AND('Mapa final'!$AH$68="Alta",'Mapa final'!$AJ$68="Leve"),CONCATENATE("R2C",'Mapa final'!$R$68),"")</f>
        <v/>
      </c>
      <c r="M29" s="54" t="str">
        <f>IF(AND('Mapa final'!$AH$69="Alta",'Mapa final'!$AJ$69="Leve"),CONCATENATE("R2C",'Mapa final'!$R$69),"")</f>
        <v/>
      </c>
      <c r="N29" s="54" t="str">
        <f>IF(AND('Mapa final'!$AH$70="Alta",'Mapa final'!$AJ$70="Leve"),CONCATENATE("R2C",'Mapa final'!$R$70),"")</f>
        <v/>
      </c>
      <c r="O29" s="54" t="str">
        <f>IF(AND('Mapa final'!$AH$71="Alta",'Mapa final'!$AJ$71="Leve"),CONCATENATE("R2C",'Mapa final'!$R$71),"")</f>
        <v/>
      </c>
      <c r="P29" s="55" t="str">
        <f>IF(AND('Mapa final'!$AH$72="Alta",'Mapa final'!$AJ$72="Leve"),CONCATENATE("R2C",'Mapa final'!$R$72),"")</f>
        <v/>
      </c>
      <c r="Q29" s="53" t="str">
        <f>IF(AND('Mapa final'!$AH$67="Alta",'Mapa final'!$AJ$67="Menor"),CONCATENATE("R2C",'Mapa final'!$R$67),"")</f>
        <v/>
      </c>
      <c r="R29" s="54" t="str">
        <f>IF(AND('Mapa final'!$AH$68="Alta",'Mapa final'!$AJ$68="Menor"),CONCATENATE("R2C",'Mapa final'!$R$68),"")</f>
        <v/>
      </c>
      <c r="S29" s="54" t="str">
        <f>IF(AND('Mapa final'!$AH$69="Alta",'Mapa final'!$AJ$69="Menor"),CONCATENATE("R2C",'Mapa final'!$R$69),"")</f>
        <v/>
      </c>
      <c r="T29" s="54" t="str">
        <f>IF(AND('Mapa final'!$AH$70="Alta",'Mapa final'!$AJ$70="Menor"),CONCATENATE("R2C",'Mapa final'!$R$70),"")</f>
        <v/>
      </c>
      <c r="U29" s="54" t="str">
        <f>IF(AND('Mapa final'!$AH$71="Alta",'Mapa final'!$AJ$71="Menor"),CONCATENATE("R2C",'Mapa final'!$R$71),"")</f>
        <v/>
      </c>
      <c r="V29" s="55" t="str">
        <f>IF(AND('Mapa final'!$AH$72="Alta",'Mapa final'!$AJ$72="Menor"),CONCATENATE("R2C",'Mapa final'!$R$72),"")</f>
        <v/>
      </c>
      <c r="W29" s="38" t="str">
        <f>IF(AND('Mapa final'!$AH$67="Alta",'Mapa final'!$AJ$67="Moderado"),CONCATENATE("R2C",'Mapa final'!$R$67),"")</f>
        <v/>
      </c>
      <c r="X29" s="39" t="str">
        <f>IF(AND('Mapa final'!$AH$68="Alta",'Mapa final'!$AJ$68="Moderado"),CONCATENATE("R2C",'Mapa final'!$R$68),"")</f>
        <v/>
      </c>
      <c r="Y29" s="39" t="str">
        <f>IF(AND('Mapa final'!$AH$69="Alta",'Mapa final'!$AJ$69="Moderado"),CONCATENATE("R2C",'Mapa final'!$R$69),"")</f>
        <v/>
      </c>
      <c r="Z29" s="39" t="str">
        <f>IF(AND('Mapa final'!$AH$70="Alta",'Mapa final'!$AJ$70="Moderado"),CONCATENATE("R2C",'Mapa final'!$R$70),"")</f>
        <v/>
      </c>
      <c r="AA29" s="39" t="str">
        <f>IF(AND('Mapa final'!$AH$71="Alta",'Mapa final'!$AJ$71="Moderado"),CONCATENATE("R2C",'Mapa final'!$R$71),"")</f>
        <v/>
      </c>
      <c r="AB29" s="40" t="str">
        <f>IF(AND('Mapa final'!$AH$72="Alta",'Mapa final'!$AJ$72="Moderado"),CONCATENATE("R2C",'Mapa final'!$R$72),"")</f>
        <v/>
      </c>
      <c r="AC29" s="38" t="str">
        <f>IF(AND('Mapa final'!$AH$67="Alta",'Mapa final'!$AJ$67="Mayor"),CONCATENATE("R2C",'Mapa final'!$R$67),"")</f>
        <v/>
      </c>
      <c r="AD29" s="39" t="str">
        <f>IF(AND('Mapa final'!$AH$68="Alta",'Mapa final'!$AJ$68="Mayor"),CONCATENATE("R2C",'Mapa final'!$R$68),"")</f>
        <v/>
      </c>
      <c r="AE29" s="39" t="str">
        <f>IF(AND('Mapa final'!$AH$69="Alta",'Mapa final'!$AJ$69="Mayor"),CONCATENATE("R2C",'Mapa final'!$R$69),"")</f>
        <v/>
      </c>
      <c r="AF29" s="39" t="str">
        <f>IF(AND('Mapa final'!$AH$70="Alta",'Mapa final'!$AJ$70="Mayor"),CONCATENATE("R2C",'Mapa final'!$R$70),"")</f>
        <v/>
      </c>
      <c r="AG29" s="39" t="str">
        <f>IF(AND('Mapa final'!$AH$71="Alta",'Mapa final'!$AJ$71="Mayor"),CONCATENATE("R2C",'Mapa final'!$R$71),"")</f>
        <v/>
      </c>
      <c r="AH29" s="40" t="str">
        <f>IF(AND('Mapa final'!$AH$72="Alta",'Mapa final'!$AJ$72="Mayor"),CONCATENATE("R2C",'Mapa final'!$R$72),"")</f>
        <v/>
      </c>
      <c r="AI29" s="41" t="str">
        <f>IF(AND('Mapa final'!$AH$67="Alta",'Mapa final'!$AJ$67="Catastrófico"),CONCATENATE("R2C",'Mapa final'!$R$67),"")</f>
        <v/>
      </c>
      <c r="AJ29" s="42" t="str">
        <f>IF(AND('Mapa final'!$AH$68="Alta",'Mapa final'!$AJ$68="Catastrófico"),CONCATENATE("R2C",'Mapa final'!$R$68),"")</f>
        <v/>
      </c>
      <c r="AK29" s="42" t="str">
        <f>IF(AND('Mapa final'!$AH$69="Alta",'Mapa final'!$AJ$69="Catastrófico"),CONCATENATE("R2C",'Mapa final'!$R$69),"")</f>
        <v/>
      </c>
      <c r="AL29" s="42" t="str">
        <f>IF(AND('Mapa final'!$AH$70="Alta",'Mapa final'!$AJ$70="Catastrófico"),CONCATENATE("R2C",'Mapa final'!$R$70),"")</f>
        <v/>
      </c>
      <c r="AM29" s="42" t="str">
        <f>IF(AND('Mapa final'!$AH$71="Alta",'Mapa final'!$AJ$71="Catastrófico"),CONCATENATE("R2C",'Mapa final'!$R$71),"")</f>
        <v/>
      </c>
      <c r="AN29" s="43" t="str">
        <f>IF(AND('Mapa final'!$AH$72="Alta",'Mapa final'!$AJ$72="Catastrófico"),CONCATENATE("R2C",'Mapa final'!$R$72),"")</f>
        <v/>
      </c>
      <c r="AO29" s="68"/>
      <c r="AP29" s="494"/>
      <c r="AQ29" s="495"/>
      <c r="AR29" s="495"/>
      <c r="AS29" s="495"/>
      <c r="AT29" s="495"/>
      <c r="AU29" s="496"/>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41"/>
      <c r="D30" s="441"/>
      <c r="E30" s="442"/>
      <c r="F30" s="484"/>
      <c r="G30" s="485"/>
      <c r="H30" s="485"/>
      <c r="I30" s="485"/>
      <c r="J30" s="485"/>
      <c r="K30" s="53" t="str">
        <f>IF(AND('Mapa final'!$AH$73="Alta",'Mapa final'!$AJ$73="Leve"),CONCATENATE("R2C",'Mapa final'!$R$73),"")</f>
        <v/>
      </c>
      <c r="L30" s="54" t="str">
        <f>IF(AND('Mapa final'!$AH$74="Alta",'Mapa final'!$AJ$74="Leve"),CONCATENATE("R2C",'Mapa final'!$R$74),"")</f>
        <v/>
      </c>
      <c r="M30" s="54" t="str">
        <f>IF(AND('Mapa final'!$AH$75="Alta",'Mapa final'!$AJ$75="Leve"),CONCATENATE("R2C",'Mapa final'!$R$75),"")</f>
        <v/>
      </c>
      <c r="N30" s="54" t="str">
        <f>IF(AND('Mapa final'!$AH$76="Alta",'Mapa final'!$AJ$76="Leve"),CONCATENATE("R2C",'Mapa final'!$R$76),"")</f>
        <v/>
      </c>
      <c r="O30" s="54" t="str">
        <f>IF(AND('Mapa final'!$AH$77="Alta",'Mapa final'!$AJ$77="Leve"),CONCATENATE("R2C",'Mapa final'!$R$77),"")</f>
        <v/>
      </c>
      <c r="P30" s="55" t="str">
        <f>IF(AND('Mapa final'!$AH$78="Alta",'Mapa final'!$AJ$78="Leve"),CONCATENATE("R2C",'Mapa final'!$R$78),"")</f>
        <v/>
      </c>
      <c r="Q30" s="53" t="str">
        <f>IF(AND('Mapa final'!$AH$73="Alta",'Mapa final'!$AJ$73="Menor"),CONCATENATE("R2C",'Mapa final'!$R$73),"")</f>
        <v/>
      </c>
      <c r="R30" s="54" t="str">
        <f>IF(AND('Mapa final'!$AH$74="Alta",'Mapa final'!$AJ$74="Menor"),CONCATENATE("R2C",'Mapa final'!$R$74),"")</f>
        <v/>
      </c>
      <c r="S30" s="54" t="str">
        <f>IF(AND('Mapa final'!$AH$75="Alta",'Mapa final'!$AJ$75="Menor"),CONCATENATE("R2C",'Mapa final'!$R$75),"")</f>
        <v/>
      </c>
      <c r="T30" s="54" t="str">
        <f>IF(AND('Mapa final'!$AH$76="Alta",'Mapa final'!$AJ$76="Menor"),CONCATENATE("R2C",'Mapa final'!$R$76),"")</f>
        <v/>
      </c>
      <c r="U30" s="54" t="str">
        <f>IF(AND('Mapa final'!$AH$77="Alta",'Mapa final'!$AJ$77="Menor"),CONCATENATE("R2C",'Mapa final'!$R$77),"")</f>
        <v/>
      </c>
      <c r="V30" s="55" t="str">
        <f>IF(AND('Mapa final'!$AH$78="Alta",'Mapa final'!$AJ$78="Menor"),CONCATENATE("R2C",'Mapa final'!$R$78),"")</f>
        <v/>
      </c>
      <c r="W30" s="38" t="str">
        <f>IF(AND('Mapa final'!$AH$73="Alta",'Mapa final'!$AJ$73="Moderado"),CONCATENATE("R2C",'Mapa final'!$R$73),"")</f>
        <v/>
      </c>
      <c r="X30" s="39" t="str">
        <f>IF(AND('Mapa final'!$AH$74="Alta",'Mapa final'!$AJ$74="Moderado"),CONCATENATE("R2C",'Mapa final'!$R$74),"")</f>
        <v/>
      </c>
      <c r="Y30" s="39" t="str">
        <f>IF(AND('Mapa final'!$AH$75="Alta",'Mapa final'!$AJ$75="Moderado"),CONCATENATE("R2C",'Mapa final'!$R$75),"")</f>
        <v/>
      </c>
      <c r="Z30" s="39" t="str">
        <f>IF(AND('Mapa final'!$AH$76="Alta",'Mapa final'!$AJ$76="Moderado"),CONCATENATE("R2C",'Mapa final'!$R$76),"")</f>
        <v/>
      </c>
      <c r="AA30" s="39" t="str">
        <f>IF(AND('Mapa final'!$AH$77="Alta",'Mapa final'!$AJ$77="Moderado"),CONCATENATE("R2C",'Mapa final'!$R$77),"")</f>
        <v/>
      </c>
      <c r="AB30" s="40" t="str">
        <f>IF(AND('Mapa final'!$AH$78="Alta",'Mapa final'!$AJ$78="Moderado"),CONCATENATE("R2C",'Mapa final'!$R$78),"")</f>
        <v/>
      </c>
      <c r="AC30" s="38" t="str">
        <f>IF(AND('Mapa final'!$AH$73="Alta",'Mapa final'!$AJ$73="Mayor"),CONCATENATE("R2C",'Mapa final'!$R$73),"")</f>
        <v/>
      </c>
      <c r="AD30" s="39" t="str">
        <f>IF(AND('Mapa final'!$AH$74="Alta",'Mapa final'!$AJ$74="Mayor"),CONCATENATE("R2C",'Mapa final'!$R$74),"")</f>
        <v/>
      </c>
      <c r="AE30" s="39" t="str">
        <f>IF(AND('Mapa final'!$AH$75="Alta",'Mapa final'!$AJ$75="Mayor"),CONCATENATE("R2C",'Mapa final'!$R$75),"")</f>
        <v/>
      </c>
      <c r="AF30" s="39" t="str">
        <f>IF(AND('Mapa final'!$AH$76="Alta",'Mapa final'!$AJ$76="Mayor"),CONCATENATE("R2C",'Mapa final'!$R$76),"")</f>
        <v/>
      </c>
      <c r="AG30" s="39" t="str">
        <f>IF(AND('Mapa final'!$AH$77="Alta",'Mapa final'!$AJ$77="Mayor"),CONCATENATE("R2C",'Mapa final'!$R$77),"")</f>
        <v/>
      </c>
      <c r="AH30" s="40" t="str">
        <f>IF(AND('Mapa final'!$AH$78="Alta",'Mapa final'!$AJ$78="Mayor"),CONCATENATE("R2C",'Mapa final'!$R$78),"")</f>
        <v/>
      </c>
      <c r="AI30" s="41" t="str">
        <f>IF(AND('Mapa final'!$AH$73="Alta",'Mapa final'!$AJ$73="Catastrófico"),CONCATENATE("R2C",'Mapa final'!$R$73),"")</f>
        <v/>
      </c>
      <c r="AJ30" s="42" t="str">
        <f>IF(AND('Mapa final'!$AH$74="Alta",'Mapa final'!$AJ$74="Catastrófico"),CONCATENATE("R2C",'Mapa final'!$R$74),"")</f>
        <v/>
      </c>
      <c r="AK30" s="42" t="str">
        <f>IF(AND('Mapa final'!$AH$75="Alta",'Mapa final'!$AJ$75="Catastrófico"),CONCATENATE("R2C",'Mapa final'!$R$75),"")</f>
        <v/>
      </c>
      <c r="AL30" s="42" t="str">
        <f>IF(AND('Mapa final'!$AH$76="Alta",'Mapa final'!$AJ$76="Catastrófico"),CONCATENATE("R2C",'Mapa final'!$R$76),"")</f>
        <v/>
      </c>
      <c r="AM30" s="42" t="str">
        <f>IF(AND('Mapa final'!$AH$77="Alta",'Mapa final'!$AJ$77="Catastrófico"),CONCATENATE("R2C",'Mapa final'!$R$77),"")</f>
        <v/>
      </c>
      <c r="AN30" s="43" t="str">
        <f>IF(AND('Mapa final'!$AH$78="Alta",'Mapa final'!$AJ$78="Catastrófico"),CONCATENATE("R2C",'Mapa final'!$R$78),"")</f>
        <v/>
      </c>
      <c r="AO30" s="68"/>
      <c r="AP30" s="494"/>
      <c r="AQ30" s="495"/>
      <c r="AR30" s="495"/>
      <c r="AS30" s="495"/>
      <c r="AT30" s="495"/>
      <c r="AU30" s="496"/>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41"/>
      <c r="D31" s="441"/>
      <c r="E31" s="442"/>
      <c r="F31" s="487"/>
      <c r="G31" s="488"/>
      <c r="H31" s="488"/>
      <c r="I31" s="488"/>
      <c r="J31" s="488"/>
      <c r="K31" s="56" t="str">
        <f>IF(AND('Mapa final'!$AH$79="Alta",'Mapa final'!$AJ$79="Leve"),CONCATENATE("R2C",'Mapa final'!$R$79),"")</f>
        <v/>
      </c>
      <c r="L31" s="57" t="str">
        <f>IF(AND('Mapa final'!$AH$80="Alta",'Mapa final'!$AJ$80="Leve"),CONCATENATE("R2C",'Mapa final'!$R$80),"")</f>
        <v/>
      </c>
      <c r="M31" s="57" t="str">
        <f>IF(AND('Mapa final'!$AH$81="Alta",'Mapa final'!$AJ$81="Leve"),CONCATENATE("R2C",'Mapa final'!$R$81),"")</f>
        <v/>
      </c>
      <c r="N31" s="57" t="str">
        <f>IF(AND('Mapa final'!$AH$82="Alta",'Mapa final'!$AJ$82="Leve"),CONCATENATE("R2C",'Mapa final'!$R$82),"")</f>
        <v/>
      </c>
      <c r="O31" s="57" t="str">
        <f>IF(AND('Mapa final'!$AH$84="Alta",'Mapa final'!$AJ$84="Leve"),CONCATENATE("R2C",'Mapa final'!$R$84),"")</f>
        <v/>
      </c>
      <c r="P31" s="58" t="str">
        <f>IF(AND('Mapa final'!$AH$85="Alta",'Mapa final'!$AJ$85="Leve"),CONCATENATE("R2C",'Mapa final'!$R$85),"")</f>
        <v/>
      </c>
      <c r="Q31" s="56" t="str">
        <f>IF(AND('Mapa final'!$AH$79="Alta",'Mapa final'!$AJ$79="Menor"),CONCATENATE("R2C",'Mapa final'!$R$79),"")</f>
        <v/>
      </c>
      <c r="R31" s="57" t="str">
        <f>IF(AND('Mapa final'!$AH$80="Alta",'Mapa final'!$AJ$80="Menor"),CONCATENATE("R2C",'Mapa final'!$R$80),"")</f>
        <v/>
      </c>
      <c r="S31" s="57" t="str">
        <f>IF(AND('Mapa final'!$AH$81="Alta",'Mapa final'!$AJ$81="Menor"),CONCATENATE("R2C",'Mapa final'!$R$81),"")</f>
        <v/>
      </c>
      <c r="T31" s="57" t="str">
        <f>IF(AND('Mapa final'!$AH$82="Alta",'Mapa final'!$AJ$82="Menor"),CONCATENATE("R2C",'Mapa final'!$R$82),"")</f>
        <v/>
      </c>
      <c r="U31" s="57" t="str">
        <f>IF(AND('Mapa final'!$AH$84="Alta",'Mapa final'!$AJ$84="Menor"),CONCATENATE("R2C",'Mapa final'!$R$84),"")</f>
        <v/>
      </c>
      <c r="V31" s="58" t="str">
        <f>IF(AND('Mapa final'!$AH$85="Alta",'Mapa final'!$AJ$85="Menor"),CONCATENATE("R2C",'Mapa final'!$R$85),"")</f>
        <v/>
      </c>
      <c r="W31" s="44" t="str">
        <f>IF(AND('Mapa final'!$AH$79="Alta",'Mapa final'!$AJ$79="Moderado"),CONCATENATE("R2C",'Mapa final'!$R$79),"")</f>
        <v/>
      </c>
      <c r="X31" s="45" t="str">
        <f>IF(AND('Mapa final'!$AH$80="Alta",'Mapa final'!$AJ$80="Moderado"),CONCATENATE("R2C",'Mapa final'!$R$80),"")</f>
        <v/>
      </c>
      <c r="Y31" s="45" t="str">
        <f>IF(AND('Mapa final'!$AH$81="Alta",'Mapa final'!$AJ$81="Moderado"),CONCATENATE("R2C",'Mapa final'!$R$81),"")</f>
        <v/>
      </c>
      <c r="Z31" s="45" t="str">
        <f>IF(AND('Mapa final'!$AH$82="Alta",'Mapa final'!$AJ$82="Moderado"),CONCATENATE("R2C",'Mapa final'!$R$82),"")</f>
        <v/>
      </c>
      <c r="AA31" s="45" t="str">
        <f>IF(AND('Mapa final'!$AH$84="Alta",'Mapa final'!$AJ$84="Moderado"),CONCATENATE("R2C",'Mapa final'!$R$84),"")</f>
        <v/>
      </c>
      <c r="AB31" s="46" t="str">
        <f>IF(AND('Mapa final'!$AH$85="Alta",'Mapa final'!$AJ$85="Moderado"),CONCATENATE("R2C",'Mapa final'!$R$85),"")</f>
        <v/>
      </c>
      <c r="AC31" s="44" t="str">
        <f>IF(AND('Mapa final'!$AH$79="Alta",'Mapa final'!$AJ$79="Mayor"),CONCATENATE("R2C",'Mapa final'!$R$79),"")</f>
        <v/>
      </c>
      <c r="AD31" s="45" t="str">
        <f>IF(AND('Mapa final'!$AH$80="Alta",'Mapa final'!$AJ$80="Mayor"),CONCATENATE("R2C",'Mapa final'!$R$80),"")</f>
        <v/>
      </c>
      <c r="AE31" s="45" t="str">
        <f>IF(AND('Mapa final'!$AH$81="Alta",'Mapa final'!$AJ$81="Mayor"),CONCATENATE("R2C",'Mapa final'!$R$81),"")</f>
        <v/>
      </c>
      <c r="AF31" s="45" t="str">
        <f>IF(AND('Mapa final'!$AH$82="Alta",'Mapa final'!$AJ$82="Mayor"),CONCATENATE("R2C",'Mapa final'!$R$82),"")</f>
        <v/>
      </c>
      <c r="AG31" s="45" t="str">
        <f>IF(AND('Mapa final'!$AH$84="Alta",'Mapa final'!$AJ$84="Mayor"),CONCATENATE("R2C",'Mapa final'!$R$84),"")</f>
        <v/>
      </c>
      <c r="AH31" s="46" t="str">
        <f>IF(AND('Mapa final'!$AH$85="Alta",'Mapa final'!$AJ$85="Mayor"),CONCATENATE("R2C",'Mapa final'!$R$85),"")</f>
        <v/>
      </c>
      <c r="AI31" s="47" t="str">
        <f>IF(AND('Mapa final'!$AH$79="Alta",'Mapa final'!$AJ$79="Catastrófico"),CONCATENATE("R2C",'Mapa final'!$R$79),"")</f>
        <v/>
      </c>
      <c r="AJ31" s="48" t="str">
        <f>IF(AND('Mapa final'!$AH$80="Alta",'Mapa final'!$AJ$80="Catastrófico"),CONCATENATE("R2C",'Mapa final'!$R$80),"")</f>
        <v/>
      </c>
      <c r="AK31" s="48" t="str">
        <f>IF(AND('Mapa final'!$AH$81="Alta",'Mapa final'!$AJ$81="Catastrófico"),CONCATENATE("R2C",'Mapa final'!$R$81),"")</f>
        <v/>
      </c>
      <c r="AL31" s="48" t="str">
        <f>IF(AND('Mapa final'!$AH$82="Alta",'Mapa final'!$AJ$82="Catastrófico"),CONCATENATE("R2C",'Mapa final'!$R$82),"")</f>
        <v/>
      </c>
      <c r="AM31" s="48" t="str">
        <f>IF(AND('Mapa final'!$AH$84="Alta",'Mapa final'!$AJ$84="Catastrófico"),CONCATENATE("R2C",'Mapa final'!$R$84),"")</f>
        <v/>
      </c>
      <c r="AN31" s="49" t="str">
        <f>IF(AND('Mapa final'!$AH$85="Muy Alta",'Mapa final'!$AJ$85="Catastrófico"),CONCATENATE("R2C",'Mapa final'!$R$85),"")</f>
        <v/>
      </c>
      <c r="AO31" s="68"/>
      <c r="AP31" s="497"/>
      <c r="AQ31" s="498"/>
      <c r="AR31" s="498"/>
      <c r="AS31" s="498"/>
      <c r="AT31" s="498"/>
      <c r="AU31" s="499"/>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41"/>
      <c r="D32" s="441"/>
      <c r="E32" s="442"/>
      <c r="F32" s="481" t="s">
        <v>312</v>
      </c>
      <c r="G32" s="482"/>
      <c r="H32" s="482"/>
      <c r="I32" s="482"/>
      <c r="J32" s="483"/>
      <c r="K32" s="50"/>
      <c r="L32" s="51" t="str">
        <f>IF(AND('Mapa final'!$AH$16="Media",'Mapa final'!$AJ$16="Leve"),CONCATENATE("R2C",'Mapa final'!$R$15),"")</f>
        <v/>
      </c>
      <c r="M32" s="51" t="str">
        <f>IF(AND('Mapa final'!$AH$17="Media",'Mapa final'!$AJ$17="Leve"),CONCATENATE("R2C",'Mapa final'!$R$17),"")</f>
        <v/>
      </c>
      <c r="N32" s="51" t="str">
        <f>IF(AND('Mapa final'!$AH$20="Media",'Mapa final'!$AJ$20="Leve"),CONCATENATE("R2C",'Mapa final'!$R$20),"")</f>
        <v/>
      </c>
      <c r="O32" s="51" t="str">
        <f>IF(AND('Mapa final'!$AH$21="Media",'Mapa final'!$AJ$21="Leve"),CONCATENATE("R2C",'Mapa final'!$R$21),"")</f>
        <v/>
      </c>
      <c r="P32" s="52" t="str">
        <f>IF(AND('Mapa final'!$AH$22="Media",'Mapa final'!$AJ$22="Leve"),CONCATENATE("R2C",'Mapa final'!$R$22),"")</f>
        <v/>
      </c>
      <c r="Q32" s="50"/>
      <c r="R32" s="51" t="str">
        <f>IF(AND('Mapa final'!$AH$16="Media",'Mapa final'!$AJ$16="Menore"),CONCATENATE("R2C",'Mapa final'!$R$15),"")</f>
        <v/>
      </c>
      <c r="S32" s="51" t="str">
        <f>IF(AND('Mapa final'!$AH$17="Media",'Mapa final'!$AJ$17="Menor"),CONCATENATE("R2C",'Mapa final'!$R$17),"")</f>
        <v/>
      </c>
      <c r="T32" s="51" t="str">
        <f>IF(AND('Mapa final'!$AH$20="Media",'Mapa final'!$AJ$20="Menor"),CONCATENATE("R2C",'Mapa final'!$R$20),"")</f>
        <v/>
      </c>
      <c r="U32" s="51" t="str">
        <f>IF(AND('Mapa final'!$AH$21="Media",'Mapa final'!$AJ$21="Menor"),CONCATENATE("R2C",'Mapa final'!$R$21),"")</f>
        <v/>
      </c>
      <c r="V32" s="52" t="str">
        <f>IF(AND('Mapa final'!$AH$22="Media",'Mapa final'!$AJ$22="Menor"),CONCATENATE("R2C",'Mapa final'!$R$22),"")</f>
        <v/>
      </c>
      <c r="W32" s="50"/>
      <c r="X32" s="51" t="str">
        <f>IF(AND('Mapa final'!$AH$16="Media",'Mapa final'!$AJ$16="Moderado"),CONCATENATE("R2C",'Mapa final'!$R$15),"")</f>
        <v/>
      </c>
      <c r="Y32" s="51"/>
      <c r="Z32" s="51" t="str">
        <f>IF(AND('Mapa final'!$AH$20="Media",'Mapa final'!$AJ$20="Moderado"),CONCATENATE("R2C",'Mapa final'!$R$20),"")</f>
        <v/>
      </c>
      <c r="AA32" s="51" t="str">
        <f>IF(AND('Mapa final'!$AH$21="Media",'Mapa final'!$AJ$21="Moderado"),CONCATENATE("R2C",'Mapa final'!$R$21),"")</f>
        <v/>
      </c>
      <c r="AB32" s="52" t="str">
        <f>IF(AND('Mapa final'!$AH$22="Media",'Mapa final'!$AJ$22="Moderado"),CONCATENATE("R2C",'Mapa final'!$R$22),"")</f>
        <v/>
      </c>
      <c r="AC32" s="32"/>
      <c r="AD32" s="33" t="str">
        <f>IF(AND('Mapa final'!$AH$16="Media",'Mapa final'!$AJ$16="Mayor"),CONCATENATE("R2C",'Mapa final'!$R$15),"")</f>
        <v/>
      </c>
      <c r="AE32" s="33" t="str">
        <f>IF(AND('Mapa final'!$AH$17="Media",'Mapa final'!$AJ$17="Mayor"),CONCATENATE("R2C",'Mapa final'!$R$17),"")</f>
        <v/>
      </c>
      <c r="AF32" s="33" t="str">
        <f>IF(AND('Mapa final'!$AH$20="Media",'Mapa final'!$AJ$20="Mayor"),CONCATENATE("R2C",'Mapa final'!$R$20),"")</f>
        <v/>
      </c>
      <c r="AG32" s="33" t="str">
        <f>IF(AND('Mapa final'!$AH$21="Media",'Mapa final'!$AJ$21="Mayor"),CONCATENATE("R2C",'Mapa final'!$R$21),"")</f>
        <v/>
      </c>
      <c r="AH32" s="34" t="str">
        <f>IF(AND('Mapa final'!$AH$22="Media",'Mapa final'!$AJ$22="Mayor"),CONCATENATE("R2C",'Mapa final'!$R$22),"")</f>
        <v/>
      </c>
      <c r="AI32" s="35"/>
      <c r="AJ32" s="36" t="str">
        <f>IF(AND('Mapa final'!$AH$16="Media",'Mapa final'!$AJ$16="Catastrófico"),CONCATENATE("R2C",'Mapa final'!$R$15),"")</f>
        <v/>
      </c>
      <c r="AK32" s="36" t="str">
        <f>IF(AND('Mapa final'!$AH$17="Media",'Mapa final'!$AJ$17="Catastrófico"),CONCATENATE("R2C",'Mapa final'!$R$17),"")</f>
        <v/>
      </c>
      <c r="AL32" s="36" t="str">
        <f>IF(AND('Mapa final'!$AH$20="Media",'Mapa final'!$AJ$20="Catastrófico"),CONCATENATE("R2C",'Mapa final'!$R$20),"")</f>
        <v/>
      </c>
      <c r="AM32" s="36" t="str">
        <f>IF(AND('Mapa final'!$AH$21="Media",'Mapa final'!$AJ$21="Catastrófico"),CONCATENATE("R2C",'Mapa final'!$R$21),"")</f>
        <v/>
      </c>
      <c r="AN32" s="37" t="str">
        <f>IF(AND('Mapa final'!$AH$22="Media",'Mapa final'!$AJ$22="Catastrófico"),CONCATENATE("R2C",'Mapa final'!$R$22),"")</f>
        <v/>
      </c>
      <c r="AO32" s="68"/>
      <c r="AP32" s="522" t="s">
        <v>189</v>
      </c>
      <c r="AQ32" s="523"/>
      <c r="AR32" s="523"/>
      <c r="AS32" s="523"/>
      <c r="AT32" s="523"/>
      <c r="AU32" s="524"/>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41"/>
      <c r="D33" s="441"/>
      <c r="E33" s="442"/>
      <c r="F33" s="500"/>
      <c r="G33" s="485"/>
      <c r="H33" s="485"/>
      <c r="I33" s="485"/>
      <c r="J33" s="486"/>
      <c r="K33" s="53" t="str">
        <f>IF(AND('Mapa final'!$AH$23="Media",'Mapa final'!$AJ$23="Leve"),CONCATENATE("R2C",'Mapa final'!$R$23),"")</f>
        <v/>
      </c>
      <c r="L33" s="54" t="str">
        <f>IF(AND('Mapa final'!$AH$24="Media",'Mapa final'!$AJ$24="Leve"),CONCATENATE("R2C",'Mapa final'!$R$24),"")</f>
        <v/>
      </c>
      <c r="M33" s="54" t="str">
        <f>IF(AND('Mapa final'!$AH$33="Media",'Mapa final'!$AJ$33="Leve"),CONCATENATE("R2C",'Mapa final'!$R$33),"")</f>
        <v/>
      </c>
      <c r="N33" s="54" t="str">
        <f>IF(AND('Mapa final'!$AH$34="Media",'Mapa final'!$AJ$34="Leve"),CONCATENATE("R2C",'Mapa final'!$R$34),"")</f>
        <v/>
      </c>
      <c r="O33" s="54" t="str">
        <f>IF(AND('Mapa final'!$AH$35="Media",'Mapa final'!$AJ$35="Leve"),CONCATENATE("R2C",'Mapa final'!$R$35),"")</f>
        <v/>
      </c>
      <c r="P33" s="55" t="str">
        <f>IF(AND('Mapa final'!$AH$36="Media",'Mapa final'!$AJ$36="Leve"),CONCATENATE("R2C",'Mapa final'!$R$36),"")</f>
        <v/>
      </c>
      <c r="Q33" s="53" t="str">
        <f>IF(AND('Mapa final'!$AH$23="Media",'Mapa final'!$AJ$23="Menor"),CONCATENATE("R2C",'Mapa final'!$R$23),"")</f>
        <v/>
      </c>
      <c r="R33" s="54" t="str">
        <f>IF(AND('Mapa final'!$AH$24="Media",'Mapa final'!$AJ$24="Menor"),CONCATENATE("R2C",'Mapa final'!$R$24),"")</f>
        <v/>
      </c>
      <c r="S33" s="54" t="str">
        <f>IF(AND('Mapa final'!$AH$33="Media",'Mapa final'!$AJ$33="Menor"),CONCATENATE("R2C",'Mapa final'!$R$33),"")</f>
        <v/>
      </c>
      <c r="T33" s="54" t="str">
        <f>IF(AND('Mapa final'!$AH$34="Media",'Mapa final'!$AJ$34="Menor"),CONCATENATE("R2C",'Mapa final'!$R$34),"")</f>
        <v/>
      </c>
      <c r="U33" s="54" t="str">
        <f>IF(AND('Mapa final'!$AH$35="Media",'Mapa final'!$AJ$35="Menor"),CONCATENATE("R2C",'Mapa final'!$R$35),"")</f>
        <v/>
      </c>
      <c r="V33" s="55" t="str">
        <f>IF(AND('Mapa final'!$AH$36="Media",'Mapa final'!$AJ$36="Menor"),CONCATENATE("R2C",'Mapa final'!$R$36),"")</f>
        <v/>
      </c>
      <c r="W33" s="53" t="str">
        <f>IF(AND('Mapa final'!$AH$23="Media",'Mapa final'!$AJ$23="Moderado"),CONCATENATE("R2C",'Mapa final'!$R$23),"")</f>
        <v/>
      </c>
      <c r="X33" s="54" t="str">
        <f>IF(AND('Mapa final'!$AH$24="Media",'Mapa final'!$AJ$24="Moderado"),CONCATENATE("R2C",'Mapa final'!$R$24),"")</f>
        <v/>
      </c>
      <c r="Y33" s="54" t="str">
        <f>IF(AND('Mapa final'!$AH$33="Media",'Mapa final'!$AJ$33="Moderado"),CONCATENATE("R2C",'Mapa final'!$R$33),"")</f>
        <v/>
      </c>
      <c r="Z33" s="54" t="str">
        <f>IF(AND('Mapa final'!$AH$34="Media",'Mapa final'!$AJ$34="Moderado"),CONCATENATE("R2C",'Mapa final'!$R$34),"")</f>
        <v/>
      </c>
      <c r="AA33" s="54" t="str">
        <f>IF(AND('Mapa final'!$AH$35="Media",'Mapa final'!$AJ$35="Moderado"),CONCATENATE("R2C",'Mapa final'!$R$35),"")</f>
        <v/>
      </c>
      <c r="AB33" s="55" t="str">
        <f>IF(AND('Mapa final'!$AH$36="Media",'Mapa final'!$AJ$36="Moderado"),CONCATENATE("R2C",'Mapa final'!$R$36),"")</f>
        <v/>
      </c>
      <c r="AC33" s="38" t="str">
        <f>IF(AND('Mapa final'!$AH$23="Media",'Mapa final'!$AJ$23="Mayor"),CONCATENATE("R2C",'Mapa final'!$R$23),"")</f>
        <v/>
      </c>
      <c r="AD33" s="39" t="str">
        <f>IF(AND('Mapa final'!$AH$24="Muy Alta",'Mapa final'!$AJ$24="Mayor"),CONCATENATE("R2C",'Mapa final'!$R$24),"")</f>
        <v/>
      </c>
      <c r="AE33" s="39" t="str">
        <f>IF(AND('Mapa final'!$AH$33="Media",'Mapa final'!$AJ$33="Mayor"),CONCATENATE("R2C",'Mapa final'!$R$33),"")</f>
        <v/>
      </c>
      <c r="AF33" s="39" t="str">
        <f>IF(AND('Mapa final'!$AH$34="Media",'Mapa final'!$AJ$34="Mayor"),CONCATENATE("R2C",'Mapa final'!$R$34),"")</f>
        <v/>
      </c>
      <c r="AG33" s="39" t="str">
        <f>IF(AND('Mapa final'!$AH$35="Media",'Mapa final'!$AJ$35="Mayor"),CONCATENATE("R2C",'Mapa final'!$R$35),"")</f>
        <v/>
      </c>
      <c r="AH33" s="40" t="str">
        <f>IF(AND('Mapa final'!$AH$36="Media",'Mapa final'!$AJ$36="Mayor"),CONCATENATE("R2C",'Mapa final'!$R$36),"")</f>
        <v/>
      </c>
      <c r="AI33" s="41" t="str">
        <f>IF(AND('Mapa final'!$AH$23="Media",'Mapa final'!$AJ$23="Catastrófico"),CONCATENATE("R2C",'Mapa final'!$R$23),"")</f>
        <v/>
      </c>
      <c r="AJ33" s="42" t="str">
        <f>IF(AND('Mapa final'!$AH$24="Media",'Mapa final'!$AJ$24="Catastrófico"),CONCATENATE("R2C",'Mapa final'!$R$24),"")</f>
        <v/>
      </c>
      <c r="AK33" s="42" t="str">
        <f>IF(AND('Mapa final'!$AH$33="Media",'Mapa final'!$AJ$33="Catastrófico"),CONCATENATE("R2C",'Mapa final'!$R$33),"")</f>
        <v/>
      </c>
      <c r="AL33" s="42" t="str">
        <f>IF(AND('Mapa final'!$AH$34="Media",'Mapa final'!$AJ$34="Catastrófico"),CONCATENATE("R2C",'Mapa final'!$R$34),"")</f>
        <v/>
      </c>
      <c r="AM33" s="42" t="str">
        <f>IF(AND('Mapa final'!$AH$35="Media",'Mapa final'!$AJ$35="Catastrófico"),CONCATENATE("R2C",'Mapa final'!$R$35),"")</f>
        <v/>
      </c>
      <c r="AN33" s="43" t="str">
        <f>IF(AND('Mapa final'!$AH$36="Media",'Mapa final'!$AJ$36="Catastrófico"),CONCATENATE("R2C",'Mapa final'!$R$36),"")</f>
        <v/>
      </c>
      <c r="AO33" s="68"/>
      <c r="AP33" s="525"/>
      <c r="AQ33" s="526"/>
      <c r="AR33" s="526"/>
      <c r="AS33" s="526"/>
      <c r="AT33" s="526"/>
      <c r="AU33" s="527"/>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41"/>
      <c r="D34" s="441"/>
      <c r="E34" s="442"/>
      <c r="F34" s="484"/>
      <c r="G34" s="485"/>
      <c r="H34" s="485"/>
      <c r="I34" s="485"/>
      <c r="J34" s="486"/>
      <c r="K34" s="53" t="str">
        <f>IF(AND('Mapa final'!$AH$37="Media",'Mapa final'!$AJ$37="Leve"),CONCATENATE("R2C",'Mapa final'!$R$37),"")</f>
        <v/>
      </c>
      <c r="L34" s="54" t="str">
        <f>IF(AND('Mapa final'!$AH$38="Media",'Mapa final'!$AJ$38="Leve"),CONCATENATE("R2C",'Mapa final'!$R$38),"")</f>
        <v/>
      </c>
      <c r="M34" s="54" t="str">
        <f>IF(AND('Mapa final'!$AH$39="Media",'Mapa final'!$AJ$39="Leve"),CONCATENATE("R2C",'Mapa final'!$R$39),"")</f>
        <v/>
      </c>
      <c r="N34" s="54" t="str">
        <f>IF(AND('Mapa final'!$AH$40="Media",'Mapa final'!$AJ$40="Leve"),CONCATENATE("R2C",'Mapa final'!$R$40),"")</f>
        <v/>
      </c>
      <c r="O34" s="54" t="str">
        <f>IF(AND('Mapa final'!$AH$41="Media",'Mapa final'!$AJ$41="Leve"),CONCATENATE("R2C",'Mapa final'!$R$41),"")</f>
        <v/>
      </c>
      <c r="P34" s="55" t="str">
        <f>IF(AND('Mapa final'!$AH$42="Media",'Mapa final'!$AJ$42="Leve"),CONCATENATE("R2C",'Mapa final'!$R$42),"")</f>
        <v/>
      </c>
      <c r="Q34" s="53" t="str">
        <f>IF(AND('Mapa final'!$AH$37="Media",'Mapa final'!$AJ$37="Menor"),CONCATENATE("R2C",'Mapa final'!$R$37),"")</f>
        <v/>
      </c>
      <c r="R34" s="54" t="str">
        <f>IF(AND('Mapa final'!$AH$38="Media",'Mapa final'!$AJ$38="Menor"),CONCATENATE("R2C",'Mapa final'!$R$38),"")</f>
        <v/>
      </c>
      <c r="S34" s="54" t="str">
        <f>IF(AND('Mapa final'!$AH$39="Media",'Mapa final'!$AJ$39="Menor"),CONCATENATE("R2C",'Mapa final'!$R$39),"")</f>
        <v/>
      </c>
      <c r="T34" s="54" t="str">
        <f>IF(AND('Mapa final'!$AH$40="Media",'Mapa final'!$AJ$40="Menor"),CONCATENATE("R2C",'Mapa final'!$R$40),"")</f>
        <v/>
      </c>
      <c r="U34" s="54" t="str">
        <f>IF(AND('Mapa final'!$AH$41="Media",'Mapa final'!$AJ$41="Menor"),CONCATENATE("R2C",'Mapa final'!$R$41),"")</f>
        <v/>
      </c>
      <c r="V34" s="55" t="str">
        <f>IF(AND('Mapa final'!$AH$42="Media",'Mapa final'!$AJ$42="Menor"),CONCATENATE("R2C",'Mapa final'!$R$42),"")</f>
        <v/>
      </c>
      <c r="W34" s="53" t="str">
        <f>IF(AND('Mapa final'!$AH$37="Media",'Mapa final'!$AJ$37="Moderado"),CONCATENATE("R2C",'Mapa final'!$R$37),"")</f>
        <v/>
      </c>
      <c r="X34" s="54" t="str">
        <f>IF(AND('Mapa final'!$AH$38="Media",'Mapa final'!$AJ$38="Moderado"),CONCATENATE("R2C",'Mapa final'!$R$38),"")</f>
        <v/>
      </c>
      <c r="Y34" s="54" t="str">
        <f>IF(AND('Mapa final'!$AH$39="Media",'Mapa final'!$AJ$39="Moderado"),CONCATENATE("R2C",'Mapa final'!$R$39),"")</f>
        <v/>
      </c>
      <c r="Z34" s="54" t="str">
        <f>IF(AND('Mapa final'!$AH$40="Media",'Mapa final'!$AJ$40="Moderado"),CONCATENATE("R2C",'Mapa final'!$R$40),"")</f>
        <v/>
      </c>
      <c r="AA34" s="54" t="str">
        <f>IF(AND('Mapa final'!$AH$41="Media",'Mapa final'!$AJ$41="Moderado"),CONCATENATE("R2C",'Mapa final'!$R$41),"")</f>
        <v/>
      </c>
      <c r="AB34" s="55" t="str">
        <f>IF(AND('Mapa final'!$AH$42="Media",'Mapa final'!$AJ$42="Moderado"),CONCATENATE("R2C",'Mapa final'!$R$42),"")</f>
        <v/>
      </c>
      <c r="AC34" s="38" t="str">
        <f>IF(AND('Mapa final'!$AH$37="Media",'Mapa final'!$AJ$37="Mayor"),CONCATENATE("R2C",'Mapa final'!$R$37),"")</f>
        <v/>
      </c>
      <c r="AD34" s="39" t="str">
        <f>IF(AND('Mapa final'!$AH$38="Media",'Mapa final'!$AJ$38="Mayor"),CONCATENATE("R2C",'Mapa final'!$R$38),"")</f>
        <v/>
      </c>
      <c r="AE34" s="39" t="str">
        <f>IF(AND('Mapa final'!$AH$39="Media",'Mapa final'!$AJ$39="Mayor"),CONCATENATE("R2C",'Mapa final'!$R$39),"")</f>
        <v/>
      </c>
      <c r="AF34" s="39" t="str">
        <f>IF(AND('Mapa final'!$AH$40="Media",'Mapa final'!$AJ$40="Mayor"),CONCATENATE("R2C",'Mapa final'!$R$40),"")</f>
        <v/>
      </c>
      <c r="AG34" s="39" t="str">
        <f>IF(AND('Mapa final'!$AH$41="Media",'Mapa final'!$AJ$41="Mayor"),CONCATENATE("R2C",'Mapa final'!$R$41),"")</f>
        <v/>
      </c>
      <c r="AH34" s="40" t="str">
        <f>IF(AND('Mapa final'!$AH$42="Media",'Mapa final'!$AJ$42="Mayor"),CONCATENATE("R2C",'Mapa final'!$R$42),"")</f>
        <v/>
      </c>
      <c r="AI34" s="41" t="str">
        <f>IF(AND('Mapa final'!$AH$37="Media",'Mapa final'!$AJ$37="Catastrófico"),CONCATENATE("R2C",'Mapa final'!$R$37),"")</f>
        <v/>
      </c>
      <c r="AJ34" s="42" t="str">
        <f>IF(AND('Mapa final'!$AH$38="Media",'Mapa final'!$AJ$38="Catastrófico"),CONCATENATE("R2C",'Mapa final'!$R$38),"")</f>
        <v/>
      </c>
      <c r="AK34" s="42" t="str">
        <f>IF(AND('Mapa final'!$AH$39="Media",'Mapa final'!$AJ$39="Catastrófico"),CONCATENATE("R2C",'Mapa final'!$R$39),"")</f>
        <v/>
      </c>
      <c r="AL34" s="42" t="str">
        <f>IF(AND('Mapa final'!$AH$40="Media",'Mapa final'!$AJ$40="Catastrófico"),CONCATENATE("R2C",'Mapa final'!$R$40),"")</f>
        <v/>
      </c>
      <c r="AM34" s="42" t="str">
        <f>IF(AND('Mapa final'!$AH$41="Media",'Mapa final'!$AJ$41="Catastrófico"),CONCATENATE("R2C",'Mapa final'!$R$41),"")</f>
        <v/>
      </c>
      <c r="AN34" s="43" t="str">
        <f>IF(AND('Mapa final'!$AH$42="Media",'Mapa final'!$AJ$42="Catastrófico"),CONCATENATE("R2C",'Mapa final'!$R$42),"")</f>
        <v/>
      </c>
      <c r="AO34" s="68"/>
      <c r="AP34" s="525"/>
      <c r="AQ34" s="526"/>
      <c r="AR34" s="526"/>
      <c r="AS34" s="526"/>
      <c r="AT34" s="526"/>
      <c r="AU34" s="527"/>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41"/>
      <c r="D35" s="441"/>
      <c r="E35" s="442"/>
      <c r="F35" s="484"/>
      <c r="G35" s="485"/>
      <c r="H35" s="485"/>
      <c r="I35" s="485"/>
      <c r="J35" s="486"/>
      <c r="K35" s="53" t="str">
        <f>IF(AND('Mapa final'!$AH$43="Media",'Mapa final'!$AJ$43="Leve"),CONCATENATE("R2C",'Mapa final'!$R$43),"")</f>
        <v/>
      </c>
      <c r="L35" s="54" t="str">
        <f>IF(AND('Mapa final'!$AH$44="Media",'Mapa final'!$AJ$44="Leve"),CONCATENATE("R2C",'Mapa final'!$R$44),"")</f>
        <v/>
      </c>
      <c r="M35" s="54" t="str">
        <f>IF(AND('Mapa final'!$AH$45="Media",'Mapa final'!$AJ$45="Leve"),CONCATENATE("R2C",'Mapa final'!$R$45),"")</f>
        <v/>
      </c>
      <c r="N35" s="54" t="str">
        <f>IF(AND('Mapa final'!$AH$46="Media",'Mapa final'!$AJ$46="Leve"),CONCATENATE("R2C",'Mapa final'!$R$46),"")</f>
        <v/>
      </c>
      <c r="O35" s="54" t="str">
        <f>IF(AND('Mapa final'!$AH$47="Media",'Mapa final'!$AJ$47="Leve"),CONCATENATE("R2C",'Mapa final'!$R$47),"")</f>
        <v/>
      </c>
      <c r="P35" s="55" t="str">
        <f>IF(AND('Mapa final'!$AH$48="Media",'Mapa final'!$AJ$48="Leve"),CONCATENATE("R2C",'Mapa final'!$R$48),"")</f>
        <v/>
      </c>
      <c r="Q35" s="53" t="str">
        <f>IF(AND('Mapa final'!$AH$43="Media",'Mapa final'!$AJ$43="Menor"),CONCATENATE("R2C",'Mapa final'!$R$43),"")</f>
        <v/>
      </c>
      <c r="R35" s="54" t="str">
        <f>IF(AND('Mapa final'!$AH$44="Media",'Mapa final'!$AJ$44="Menor"),CONCATENATE("R2C",'Mapa final'!$R$44),"")</f>
        <v/>
      </c>
      <c r="S35" s="54" t="str">
        <f>IF(AND('Mapa final'!$AH$45="Media",'Mapa final'!$AJ$45="Menor"),CONCATENATE("R2C",'Mapa final'!$R$45),"")</f>
        <v/>
      </c>
      <c r="T35" s="54" t="str">
        <f>IF(AND('Mapa final'!$AH$46="Media",'Mapa final'!$AJ$46="Menor"),CONCATENATE("R2C",'Mapa final'!$R$46),"")</f>
        <v/>
      </c>
      <c r="U35" s="54" t="str">
        <f>IF(AND('Mapa final'!$AH$47="Media",'Mapa final'!$AJ$47="LMenor"),CONCATENATE("R2C",'Mapa final'!$R$47),"")</f>
        <v/>
      </c>
      <c r="V35" s="55" t="str">
        <f>IF(AND('Mapa final'!$AH$48="Media",'Mapa final'!$AJ$48="Menor"),CONCATENATE("R2C",'Mapa final'!$R$48),"")</f>
        <v/>
      </c>
      <c r="W35" s="53" t="str">
        <f>IF(AND('Mapa final'!$AH$43="Media",'Mapa final'!$AJ$43="Moderado"),CONCATENATE("R2C",'Mapa final'!$R$43),"")</f>
        <v/>
      </c>
      <c r="X35" s="54" t="str">
        <f>IF(AND('Mapa final'!$AH$44="Media",'Mapa final'!$AJ$44="Moderado"),CONCATENATE("R2C",'Mapa final'!$R$44),"")</f>
        <v/>
      </c>
      <c r="Y35" s="54" t="str">
        <f>IF(AND('Mapa final'!$AH$45="Media",'Mapa final'!$AJ$45="Moderado"),CONCATENATE("R2C",'Mapa final'!$R$45),"")</f>
        <v/>
      </c>
      <c r="Z35" s="54" t="str">
        <f>IF(AND('Mapa final'!$AH$46="Media",'Mapa final'!$AJ$46="Moderado"),CONCATENATE("R2C",'Mapa final'!$R$46),"")</f>
        <v/>
      </c>
      <c r="AA35" s="54" t="str">
        <f>IF(AND('Mapa final'!$AH$47="Media",'Mapa final'!$AJ$47="Moderado"),CONCATENATE("R2C",'Mapa final'!$R$47),"")</f>
        <v/>
      </c>
      <c r="AB35" s="55" t="str">
        <f>IF(AND('Mapa final'!$AH$48="Media",'Mapa final'!$AJ$48="Moderado"),CONCATENATE("R2C",'Mapa final'!$R$48),"")</f>
        <v/>
      </c>
      <c r="AC35" s="38" t="str">
        <f>IF(AND('Mapa final'!$AH$43="Media",'Mapa final'!$AJ$43="Mayor"),CONCATENATE("R2C",'Mapa final'!$R$43),"")</f>
        <v/>
      </c>
      <c r="AD35" s="39" t="str">
        <f>IF(AND('Mapa final'!$AH$44="Media",'Mapa final'!$AJ$44="Mayor"),CONCATENATE("R2C",'Mapa final'!$R$44),"")</f>
        <v/>
      </c>
      <c r="AE35" s="39" t="str">
        <f>IF(AND('Mapa final'!$AH$45="Media",'Mapa final'!$AJ$45="Mayor"),CONCATENATE("R2C",'Mapa final'!$R$45),"")</f>
        <v/>
      </c>
      <c r="AF35" s="39" t="str">
        <f>IF(AND('Mapa final'!$AH$46="Media",'Mapa final'!$AJ$46="Mayor"),CONCATENATE("R2C",'Mapa final'!$R$46),"")</f>
        <v/>
      </c>
      <c r="AG35" s="39" t="str">
        <f>IF(AND('Mapa final'!$AH$47="Media",'Mapa final'!$AJ$47="Mayor"),CONCATENATE("R2C",'Mapa final'!$R$47),"")</f>
        <v/>
      </c>
      <c r="AH35" s="40" t="str">
        <f>IF(AND('Mapa final'!$AH$48="Media",'Mapa final'!$AJ$48="Mayor"),CONCATENATE("R2C",'Mapa final'!$R$48),"")</f>
        <v/>
      </c>
      <c r="AI35" s="41" t="str">
        <f>IF(AND('Mapa final'!$AH$43="Media",'Mapa final'!$AJ$43="Catastrófico"),CONCATENATE("R2C",'Mapa final'!$R$43),"")</f>
        <v/>
      </c>
      <c r="AJ35" s="42" t="str">
        <f>IF(AND('Mapa final'!$AH$44="Media",'Mapa final'!$AJ$44="Catastrófico"),CONCATENATE("R2C",'Mapa final'!$R$44),"")</f>
        <v/>
      </c>
      <c r="AK35" s="42" t="str">
        <f>IF(AND('Mapa final'!$AH$45="Media",'Mapa final'!$AJ$45="Catastrófico"),CONCATENATE("R2C",'Mapa final'!$R$45),"")</f>
        <v/>
      </c>
      <c r="AL35" s="42" t="str">
        <f>IF(AND('Mapa final'!$AH$46="Media",'Mapa final'!$AJ$46="Catastrófico"),CONCATENATE("R2C",'Mapa final'!$R$46),"")</f>
        <v/>
      </c>
      <c r="AM35" s="42" t="str">
        <f>IF(AND('Mapa final'!$AH$47="Media",'Mapa final'!$AJ$47="LCatastrófico"),CONCATENATE("R2C",'Mapa final'!$R$47),"")</f>
        <v/>
      </c>
      <c r="AN35" s="43" t="str">
        <f>IF(AND('Mapa final'!$AH$48="Media",'Mapa final'!$AJ$48="Catastrófico"),CONCATENATE("R2C",'Mapa final'!$R$48),"")</f>
        <v/>
      </c>
      <c r="AO35" s="68"/>
      <c r="AP35" s="525"/>
      <c r="AQ35" s="526"/>
      <c r="AR35" s="526"/>
      <c r="AS35" s="526"/>
      <c r="AT35" s="526"/>
      <c r="AU35" s="527"/>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41"/>
      <c r="D36" s="441"/>
      <c r="E36" s="442"/>
      <c r="F36" s="484"/>
      <c r="G36" s="485"/>
      <c r="H36" s="485"/>
      <c r="I36" s="485"/>
      <c r="J36" s="486"/>
      <c r="K36" s="53" t="str">
        <f>IF(AND('Mapa final'!$AH$49="Media",'Mapa final'!$AJ$49="Leve"),CONCATENATE("R2C",'Mapa final'!$R$49),"")</f>
        <v/>
      </c>
      <c r="L36" s="54" t="str">
        <f>IF(AND('Mapa final'!$AH$50="Media",'Mapa final'!$AJ$50="Leve"),CONCATENATE("R2C",'Mapa final'!$R$50),"")</f>
        <v/>
      </c>
      <c r="M36" s="54" t="str">
        <f>IF(AND('Mapa final'!$AH$51="Media",'Mapa final'!$AJ$51="Leve"),CONCATENATE("R2C",'Mapa final'!$R$51),"")</f>
        <v/>
      </c>
      <c r="N36" s="54" t="str">
        <f>IF(AND('Mapa final'!$AH$52="Media",'Mapa final'!$AJ$52="Leve"),CONCATENATE("R2C",'Mapa final'!$R$52),"")</f>
        <v/>
      </c>
      <c r="O36" s="54" t="str">
        <f>IF(AND('Mapa final'!$AH$53="Media",'Mapa final'!$AJ$53="Leve"),CONCATENATE("R2C",'Mapa final'!$R$53),"")</f>
        <v/>
      </c>
      <c r="P36" s="55" t="str">
        <f>IF(AND('Mapa final'!$AH$54="Media",'Mapa final'!$AJ$54="Leve"),CONCATENATE("R2C",'Mapa final'!$R$54),"")</f>
        <v/>
      </c>
      <c r="Q36" s="53" t="str">
        <f>IF(AND('Mapa final'!$AH$49="Media",'Mapa final'!$AJ$49="Menor"),CONCATENATE("R2C",'Mapa final'!$R$49),"")</f>
        <v/>
      </c>
      <c r="R36" s="54" t="str">
        <f>IF(AND('Mapa final'!$AH$50="Media",'Mapa final'!$AJ$50="Menor"),CONCATENATE("R2C",'Mapa final'!$R$50),"")</f>
        <v/>
      </c>
      <c r="S36" s="54" t="str">
        <f>IF(AND('Mapa final'!$AH$51="Media",'Mapa final'!$AJ$51="Menor"),CONCATENATE("R2C",'Mapa final'!$R$51),"")</f>
        <v/>
      </c>
      <c r="T36" s="54" t="str">
        <f>IF(AND('Mapa final'!$AH$52="Media",'Mapa final'!$AJ$52="Menor"),CONCATENATE("R2C",'Mapa final'!$R$52),"")</f>
        <v/>
      </c>
      <c r="U36" s="54" t="str">
        <f>IF(AND('Mapa final'!$AH$53="Media",'Mapa final'!$AJ$53="Menor"),CONCATENATE("R2C",'Mapa final'!$R$53),"")</f>
        <v/>
      </c>
      <c r="V36" s="55" t="str">
        <f>IF(AND('Mapa final'!$AH$54="Media",'Mapa final'!$AJ$54="Menor"),CONCATENATE("R2C",'Mapa final'!$R$54),"")</f>
        <v/>
      </c>
      <c r="W36" s="53" t="str">
        <f>IF(AND('Mapa final'!$AH$49="Media",'Mapa final'!$AJ$49="Moderado"),CONCATENATE("R2C",'Mapa final'!$R$49),"")</f>
        <v/>
      </c>
      <c r="X36" s="54" t="str">
        <f>IF(AND('Mapa final'!$AH$50="Media",'Mapa final'!$AJ$50="Moderado"),CONCATENATE("R2C",'Mapa final'!$R$50),"")</f>
        <v/>
      </c>
      <c r="Y36" s="54" t="str">
        <f>IF(AND('Mapa final'!$AH$51="Media",'Mapa final'!$AJ$51="Moderado"),CONCATENATE("R2C",'Mapa final'!$R$51),"")</f>
        <v/>
      </c>
      <c r="Z36" s="54" t="str">
        <f>IF(AND('Mapa final'!$AH$52="Media",'Mapa final'!$AJ$52="Moderado"),CONCATENATE("R2C",'Mapa final'!$R$52),"")</f>
        <v/>
      </c>
      <c r="AA36" s="54" t="str">
        <f>IF(AND('Mapa final'!$AH$53="Media",'Mapa final'!$AJ$53="Moderado"),CONCATENATE("R2C",'Mapa final'!$R$53),"")</f>
        <v/>
      </c>
      <c r="AB36" s="55" t="str">
        <f>IF(AND('Mapa final'!$AH$54="Media",'Mapa final'!$AJ$54="Moderado"),CONCATENATE("R2C",'Mapa final'!$R$54),"")</f>
        <v/>
      </c>
      <c r="AC36" s="38" t="str">
        <f>IF(AND('Mapa final'!$AH$49="Media",'Mapa final'!$AJ$49="Mayor"),CONCATENATE("R2C",'Mapa final'!$R$49),"")</f>
        <v/>
      </c>
      <c r="AD36" s="39" t="str">
        <f>IF(AND('Mapa final'!$AH$50="Media",'Mapa final'!$AJ$50="Mayor"),CONCATENATE("R2C",'Mapa final'!$R$50),"")</f>
        <v/>
      </c>
      <c r="AE36" s="39" t="str">
        <f>IF(AND('Mapa final'!$AH$51="Media",'Mapa final'!$AJ$51="Mayor"),CONCATENATE("R2C",'Mapa final'!$R$51),"")</f>
        <v/>
      </c>
      <c r="AF36" s="39" t="str">
        <f>IF(AND('Mapa final'!$AH$52="Media",'Mapa final'!$AJ$52="Mayor"),CONCATENATE("R2C",'Mapa final'!$R$52),"")</f>
        <v/>
      </c>
      <c r="AG36" s="39" t="str">
        <f>IF(AND('Mapa final'!$AH$53="Media",'Mapa final'!$AJ$53="Mayor"),CONCATENATE("R2C",'Mapa final'!$R$53),"")</f>
        <v/>
      </c>
      <c r="AH36" s="40" t="str">
        <f>IF(AND('Mapa final'!$AH$54="Media",'Mapa final'!$AJ$54="Mayor"),CONCATENATE("R2C",'Mapa final'!$R$54),"")</f>
        <v/>
      </c>
      <c r="AI36" s="41" t="str">
        <f>IF(AND('Mapa final'!$AH$49="Media",'Mapa final'!$AJ$49="Catastrófico"),CONCATENATE("R2C",'Mapa final'!$R$49),"")</f>
        <v/>
      </c>
      <c r="AJ36" s="42" t="str">
        <f>IF(AND('Mapa final'!$AH$50="Media",'Mapa final'!$AJ$50="Catastrófico"),CONCATENATE("R2C",'Mapa final'!$R$50),"")</f>
        <v/>
      </c>
      <c r="AK36" s="42" t="str">
        <f>IF(AND('Mapa final'!$AH$51="Media",'Mapa final'!$AJ$51="Catastrófico"),CONCATENATE("R2C",'Mapa final'!$R$51),"")</f>
        <v/>
      </c>
      <c r="AL36" s="42" t="str">
        <f>IF(AND('Mapa final'!$AH$52="Media",'Mapa final'!$AJ$52="Catastrófico"),CONCATENATE("R2C",'Mapa final'!$R$52),"")</f>
        <v/>
      </c>
      <c r="AM36" s="42" t="str">
        <f>IF(AND('Mapa final'!$AH$53="Media",'Mapa final'!$AJ$53="Catastrófico"),CONCATENATE("R2C",'Mapa final'!$R$53),"")</f>
        <v/>
      </c>
      <c r="AN36" s="43" t="str">
        <f>IF(AND('Mapa final'!$AH$54="Media",'Mapa final'!$AJ$54="Catastrófico"),CONCATENATE("R2C",'Mapa final'!$R$54),"")</f>
        <v/>
      </c>
      <c r="AO36" s="68"/>
      <c r="AP36" s="525"/>
      <c r="AQ36" s="526"/>
      <c r="AR36" s="526"/>
      <c r="AS36" s="526"/>
      <c r="AT36" s="526"/>
      <c r="AU36" s="527"/>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41"/>
      <c r="D37" s="441"/>
      <c r="E37" s="442"/>
      <c r="F37" s="484"/>
      <c r="G37" s="485"/>
      <c r="H37" s="485"/>
      <c r="I37" s="485"/>
      <c r="J37" s="486"/>
      <c r="K37" s="53" t="str">
        <f>IF(AND('Mapa final'!$AH$55="Media",'Mapa final'!$AJ$55="Leve"),CONCATENATE("R2C",'Mapa final'!$R$55),"")</f>
        <v/>
      </c>
      <c r="L37" s="54" t="str">
        <f>IF(AND('Mapa final'!$AH$56="Media",'Mapa final'!$AJ$56="Leve"),CONCATENATE("R2C",'Mapa final'!$R$56),"")</f>
        <v/>
      </c>
      <c r="M37" s="54" t="str">
        <f>IF(AND('Mapa final'!$AH$57="Media",'Mapa final'!$AJ$57="Leve"),CONCATENATE("R2C",'Mapa final'!$R$57),"")</f>
        <v/>
      </c>
      <c r="N37" s="54" t="str">
        <f>IF(AND('Mapa final'!$AH$58="Media",'Mapa final'!$AJ$58="Leve"),CONCATENATE("R2C",'Mapa final'!$R$58),"")</f>
        <v/>
      </c>
      <c r="O37" s="54" t="str">
        <f>IF(AND('Mapa final'!$AH$59="Media",'Mapa final'!$AJ$59="Leve"),CONCATENATE("R2C",'Mapa final'!$R$59),"")</f>
        <v/>
      </c>
      <c r="P37" s="55" t="str">
        <f>IF(AND('Mapa final'!$AH$70="Media",'Mapa final'!$AJ$60="Leve"),CONCATENATE("R2C",'Mapa final'!$R$60),"")</f>
        <v/>
      </c>
      <c r="Q37" s="53" t="str">
        <f>IF(AND('Mapa final'!$AH$55="Media",'Mapa final'!$AJ$55="Menor"),CONCATENATE("R2C",'Mapa final'!$R$55),"")</f>
        <v/>
      </c>
      <c r="R37" s="54" t="str">
        <f>IF(AND('Mapa final'!$AH$56="Media",'Mapa final'!$AJ$56="Menor"),CONCATENATE("R2C",'Mapa final'!$R$56),"")</f>
        <v/>
      </c>
      <c r="S37" s="54" t="str">
        <f>IF(AND('Mapa final'!$AH$57="Media",'Mapa final'!$AJ$57="Menor"),CONCATENATE("R2C",'Mapa final'!$R$57),"")</f>
        <v/>
      </c>
      <c r="T37" s="54" t="str">
        <f>IF(AND('Mapa final'!$AH$58="Media",'Mapa final'!$AJ$58="Menor"),CONCATENATE("R2C",'Mapa final'!$R$58),"")</f>
        <v/>
      </c>
      <c r="U37" s="54" t="str">
        <f>IF(AND('Mapa final'!$AH$59="Media",'Mapa final'!$AJ$59="Menor"),CONCATENATE("R2C",'Mapa final'!$R$59),"")</f>
        <v/>
      </c>
      <c r="V37" s="55" t="str">
        <f>IF(AND('Mapa final'!$AH$70="Media",'Mapa final'!$AJ$60="Menor"),CONCATENATE("R2C",'Mapa final'!$R$60),"")</f>
        <v/>
      </c>
      <c r="W37" s="53" t="str">
        <f>IF(AND('Mapa final'!$AH$55="Media",'Mapa final'!$AJ$55="Moderado"),CONCATENATE("R2C",'Mapa final'!$R$55),"")</f>
        <v/>
      </c>
      <c r="X37" s="54" t="str">
        <f>IF(AND('Mapa final'!$AH$56="Media",'Mapa final'!$AJ$56="Moderado"),CONCATENATE("R2C",'Mapa final'!$R$56),"")</f>
        <v/>
      </c>
      <c r="Y37" s="54" t="str">
        <f>IF(AND('Mapa final'!$AH$57="Media",'Mapa final'!$AJ$57="Moderado"),CONCATENATE("R2C",'Mapa final'!$R$57),"")</f>
        <v/>
      </c>
      <c r="Z37" s="54" t="str">
        <f>IF(AND('Mapa final'!$AH$58="Media",'Mapa final'!$AJ$58="Moderado"),CONCATENATE("R2C",'Mapa final'!$R$58),"")</f>
        <v/>
      </c>
      <c r="AA37" s="54" t="str">
        <f>IF(AND('Mapa final'!$AH$59="Media",'Mapa final'!$AJ$59="Moderado"),CONCATENATE("R2C",'Mapa final'!$R$59),"")</f>
        <v/>
      </c>
      <c r="AB37" s="55" t="str">
        <f>IF(AND('Mapa final'!$AH$70="Media",'Mapa final'!$AJ$60="Moderado"),CONCATENATE("R2C",'Mapa final'!$R$60),"")</f>
        <v/>
      </c>
      <c r="AC37" s="38" t="str">
        <f>IF(AND('Mapa final'!$AH$55="Media",'Mapa final'!$AJ$55="Mayor"),CONCATENATE("R2C",'Mapa final'!$R$55),"")</f>
        <v/>
      </c>
      <c r="AD37" s="39" t="str">
        <f>IF(AND('Mapa final'!$AH$56="Media",'Mapa final'!$AJ$56="Mayor"),CONCATENATE("R2C",'Mapa final'!$R$56),"")</f>
        <v/>
      </c>
      <c r="AE37" s="39" t="str">
        <f>IF(AND('Mapa final'!$AH$57="Media",'Mapa final'!$AJ$57="Mayor"),CONCATENATE("R2C",'Mapa final'!$R$57),"")</f>
        <v/>
      </c>
      <c r="AF37" s="39" t="str">
        <f>IF(AND('Mapa final'!$AH$58="Media",'Mapa final'!$AJ$58="Mayor"),CONCATENATE("R2C",'Mapa final'!$R$58),"")</f>
        <v/>
      </c>
      <c r="AG37" s="39" t="str">
        <f>IF(AND('Mapa final'!$AH$59="Media",'Mapa final'!$AJ$59="Mayor"),CONCATENATE("R2C",'Mapa final'!$R$59),"")</f>
        <v/>
      </c>
      <c r="AH37" s="40" t="str">
        <f>IF(AND('Mapa final'!$AH$70="Media",'Mapa final'!$AJ$60="Mayor"),CONCATENATE("R2C",'Mapa final'!$R$60),"")</f>
        <v/>
      </c>
      <c r="AI37" s="41" t="str">
        <f>IF(AND('Mapa final'!$AH$55="Media",'Mapa final'!$AJ$55="Catastrófico"),CONCATENATE("R2C",'Mapa final'!$R$55),"")</f>
        <v/>
      </c>
      <c r="AJ37" s="42" t="str">
        <f>IF(AND('Mapa final'!$AH$56="Media",'Mapa final'!$AJ$56="Catastrófico"),CONCATENATE("R2C",'Mapa final'!$R$56),"")</f>
        <v/>
      </c>
      <c r="AK37" s="42" t="str">
        <f>IF(AND('Mapa final'!$AH$57="Media",'Mapa final'!$AJ$57="Catastrófico"),CONCATENATE("R2C",'Mapa final'!$R$57),"")</f>
        <v/>
      </c>
      <c r="AL37" s="42" t="str">
        <f>IF(AND('Mapa final'!$AH$58="Media",'Mapa final'!$AJ$58="Catastrófico"),CONCATENATE("R2C",'Mapa final'!$R$58),"")</f>
        <v/>
      </c>
      <c r="AM37" s="42" t="str">
        <f>IF(AND('Mapa final'!$AH$59="Media",'Mapa final'!$AJ$59="Catastrófico"),CONCATENATE("R2C",'Mapa final'!$R$59),"")</f>
        <v/>
      </c>
      <c r="AN37" s="43" t="str">
        <f>IF(AND('Mapa final'!$AH$70="Media",'Mapa final'!$AJ$60="Catastrófico"),CONCATENATE("R2C",'Mapa final'!$R$60),"")</f>
        <v/>
      </c>
      <c r="AO37" s="68"/>
      <c r="AP37" s="525"/>
      <c r="AQ37" s="526"/>
      <c r="AR37" s="526"/>
      <c r="AS37" s="526"/>
      <c r="AT37" s="526"/>
      <c r="AU37" s="527"/>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41"/>
      <c r="D38" s="441"/>
      <c r="E38" s="442"/>
      <c r="F38" s="484"/>
      <c r="G38" s="485"/>
      <c r="H38" s="485"/>
      <c r="I38" s="485"/>
      <c r="J38" s="486"/>
      <c r="K38" s="53" t="str">
        <f>IF(AND('Mapa final'!$AH$61="Media",'Mapa final'!$AJ$61="Leve"),CONCATENATE("R2C",'Mapa final'!$R$61),"")</f>
        <v/>
      </c>
      <c r="L38" s="54" t="str">
        <f>IF(AND('Mapa final'!$AH$62="Media",'Mapa final'!$AJ$62="Leve"),CONCATENATE("R2C",'Mapa final'!$R$62),"")</f>
        <v/>
      </c>
      <c r="M38" s="54" t="str">
        <f>IF(AND('Mapa final'!$AH$63="Media",'Mapa final'!$AJ$63="Leve"),CONCATENATE("R2C",'Mapa final'!$R$63),"")</f>
        <v/>
      </c>
      <c r="N38" s="54" t="str">
        <f>IF(AND('Mapa final'!$AH$64="Media",'Mapa final'!$AJ$64="Leve"),CONCATENATE("R2C",'Mapa final'!$R$64),"")</f>
        <v/>
      </c>
      <c r="O38" s="54" t="str">
        <f>IF(AND('Mapa final'!$AH$65="Media",'Mapa final'!$AJ$65="Leve"),CONCATENATE("R2C",'Mapa final'!$R$65),"")</f>
        <v/>
      </c>
      <c r="P38" s="55" t="str">
        <f>IF(AND('Mapa final'!$AH$66="Media",'Mapa final'!$AJ$66="Leve"),CONCATENATE("R2C",'Mapa final'!$R$66),"")</f>
        <v/>
      </c>
      <c r="Q38" s="53" t="str">
        <f>IF(AND('Mapa final'!$AH$61="Media",'Mapa final'!$AJ$61="Menor"),CONCATENATE("R2C",'Mapa final'!$R$61),"")</f>
        <v/>
      </c>
      <c r="R38" s="54" t="str">
        <f>IF(AND('Mapa final'!$AH$62="Media",'Mapa final'!$AJ$62="Menor"),CONCATENATE("R2C",'Mapa final'!$R$62),"")</f>
        <v/>
      </c>
      <c r="S38" s="54" t="str">
        <f>IF(AND('Mapa final'!$AH$63="Media",'Mapa final'!$AJ$63="Menor"),CONCATENATE("R2C",'Mapa final'!$R$63),"")</f>
        <v/>
      </c>
      <c r="T38" s="54" t="str">
        <f>IF(AND('Mapa final'!$AH$64="Media",'Mapa final'!$AJ$64="Menor"),CONCATENATE("R2C",'Mapa final'!$R$64),"")</f>
        <v/>
      </c>
      <c r="U38" s="54" t="str">
        <f>IF(AND('Mapa final'!$AH$65="Media",'Mapa final'!$AJ$65="Menor"),CONCATENATE("R2C",'Mapa final'!$R$65),"")</f>
        <v/>
      </c>
      <c r="V38" s="55" t="str">
        <f>IF(AND('Mapa final'!$AH$66="Media",'Mapa final'!$AJ$66="Menor"),CONCATENATE("R2C",'Mapa final'!$R$66),"")</f>
        <v/>
      </c>
      <c r="W38" s="53" t="str">
        <f>IF(AND('Mapa final'!$AH$61="Media",'Mapa final'!$AJ$61="Moderado"),CONCATENATE("R2C",'Mapa final'!$R$61),"")</f>
        <v/>
      </c>
      <c r="X38" s="54" t="str">
        <f>IF(AND('Mapa final'!$AH$62="Media",'Mapa final'!$AJ$62="Moderado"),CONCATENATE("R2C",'Mapa final'!$R$62),"")</f>
        <v/>
      </c>
      <c r="Y38" s="54" t="str">
        <f>IF(AND('Mapa final'!$AH$63="Media",'Mapa final'!$AJ$63="Moderado"),CONCATENATE("R2C",'Mapa final'!$R$63),"")</f>
        <v/>
      </c>
      <c r="Z38" s="54" t="str">
        <f>IF(AND('Mapa final'!$AH$64="Media",'Mapa final'!$AJ$64="Moderado"),CONCATENATE("R2C",'Mapa final'!$R$64),"")</f>
        <v/>
      </c>
      <c r="AA38" s="54" t="str">
        <f>IF(AND('Mapa final'!$AH$65="Media",'Mapa final'!$AJ$65="Moderado"),CONCATENATE("R2C",'Mapa final'!$R$65),"")</f>
        <v/>
      </c>
      <c r="AB38" s="55" t="str">
        <f>IF(AND('Mapa final'!$AH$66="Media",'Mapa final'!$AJ$66="Moderado"),CONCATENATE("R2C",'Mapa final'!$R$66),"")</f>
        <v/>
      </c>
      <c r="AC38" s="38" t="str">
        <f>IF(AND('Mapa final'!$AH$61="Media",'Mapa final'!$AJ$61="Mayor"),CONCATENATE("R2C",'Mapa final'!$R$61),"")</f>
        <v/>
      </c>
      <c r="AD38" s="39" t="str">
        <f>IF(AND('Mapa final'!$AH$62="Media",'Mapa final'!$AJ$62="Mayor"),CONCATENATE("R2C",'Mapa final'!$R$62),"")</f>
        <v/>
      </c>
      <c r="AE38" s="39" t="str">
        <f>IF(AND('Mapa final'!$AH$63="Media",'Mapa final'!$AJ$63="Mayor"),CONCATENATE("R2C",'Mapa final'!$R$63),"")</f>
        <v/>
      </c>
      <c r="AF38" s="39" t="str">
        <f>IF(AND('Mapa final'!$AH$64="Media",'Mapa final'!$AJ$64="Mayor"),CONCATENATE("R2C",'Mapa final'!$R$64),"")</f>
        <v/>
      </c>
      <c r="AG38" s="39" t="str">
        <f>IF(AND('Mapa final'!$AH$65="Media",'Mapa final'!$AJ$65="Mayor"),CONCATENATE("R2C",'Mapa final'!$R$65),"")</f>
        <v/>
      </c>
      <c r="AH38" s="40" t="str">
        <f>IF(AND('Mapa final'!$AH$66="Media",'Mapa final'!$AJ$66="Mayor"),CONCATENATE("R2C",'Mapa final'!$R$66),"")</f>
        <v/>
      </c>
      <c r="AI38" s="41" t="str">
        <f>IF(AND('Mapa final'!$AH$61="Media",'Mapa final'!$AJ$61="Catastrófico"),CONCATENATE("R2C",'Mapa final'!$R$61),"")</f>
        <v/>
      </c>
      <c r="AJ38" s="42" t="str">
        <f>IF(AND('Mapa final'!$AH$62="Media",'Mapa final'!$AJ$62="Catastrófico"),CONCATENATE("R2C",'Mapa final'!$R$62),"")</f>
        <v/>
      </c>
      <c r="AK38" s="42" t="str">
        <f>IF(AND('Mapa final'!$AH$63="Media",'Mapa final'!$AJ$63="Catastrófico"),CONCATENATE("R2C",'Mapa final'!$R$63),"")</f>
        <v/>
      </c>
      <c r="AL38" s="42" t="str">
        <f>IF(AND('Mapa final'!$AH$64="Media",'Mapa final'!$AJ$64="Catastrófico"),CONCATENATE("R2C",'Mapa final'!$R$64),"")</f>
        <v/>
      </c>
      <c r="AM38" s="42" t="str">
        <f>IF(AND('Mapa final'!$AH$65="Media",'Mapa final'!$AJ$65="Catastrófico"),CONCATENATE("R2C",'Mapa final'!$R$65),"")</f>
        <v/>
      </c>
      <c r="AN38" s="43" t="str">
        <f>IF(AND('Mapa final'!$AH$66="Media",'Mapa final'!$AJ$66="Catastrófico"),CONCATENATE("R2C",'Mapa final'!$R$66),"")</f>
        <v/>
      </c>
      <c r="AO38" s="68"/>
      <c r="AP38" s="525"/>
      <c r="AQ38" s="526"/>
      <c r="AR38" s="526"/>
      <c r="AS38" s="526"/>
      <c r="AT38" s="526"/>
      <c r="AU38" s="527"/>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41"/>
      <c r="D39" s="441"/>
      <c r="E39" s="442"/>
      <c r="F39" s="484"/>
      <c r="G39" s="485"/>
      <c r="H39" s="485"/>
      <c r="I39" s="485"/>
      <c r="J39" s="486"/>
      <c r="K39" s="53" t="str">
        <f>IF(AND('Mapa final'!$AH$67="Media",'Mapa final'!$AJ$67="Leve"),CONCATENATE("R2C",'Mapa final'!$R$67),"")</f>
        <v/>
      </c>
      <c r="L39" s="54" t="str">
        <f>IF(AND('Mapa final'!$AH$68="Media",'Mapa final'!$AJ$68="Leve"),CONCATENATE("R2C",'Mapa final'!$R$68),"")</f>
        <v/>
      </c>
      <c r="M39" s="54" t="str">
        <f>IF(AND('Mapa final'!$AH$69="Media",'Mapa final'!$AJ$69="Leve"),CONCATENATE("R2C",'Mapa final'!$R$69),"")</f>
        <v/>
      </c>
      <c r="N39" s="54" t="str">
        <f>IF(AND('Mapa final'!$AH$70="Media",'Mapa final'!$AJ$70="Leve"),CONCATENATE("R2C",'Mapa final'!$R$70),"")</f>
        <v/>
      </c>
      <c r="O39" s="54" t="str">
        <f>IF(AND('Mapa final'!$AH$71="Media",'Mapa final'!$AJ$71="Leve"),CONCATENATE("R2C",'Mapa final'!$R$71),"")</f>
        <v/>
      </c>
      <c r="P39" s="55" t="str">
        <f>IF(AND('Mapa final'!$AH$72="Media",'Mapa final'!$AJ$72="Leve"),CONCATENATE("R2C",'Mapa final'!$R$72),"")</f>
        <v/>
      </c>
      <c r="Q39" s="53" t="str">
        <f>IF(AND('Mapa final'!$AH$67="Media",'Mapa final'!$AJ$67="Menor"),CONCATENATE("R2C",'Mapa final'!$R$67),"")</f>
        <v/>
      </c>
      <c r="R39" s="54" t="str">
        <f>IF(AND('Mapa final'!$AH$68="Media",'Mapa final'!$AJ$68="Menor"),CONCATENATE("R2C",'Mapa final'!$R$68),"")</f>
        <v/>
      </c>
      <c r="S39" s="54" t="str">
        <f>IF(AND('Mapa final'!$AH$69="Media",'Mapa final'!$AJ$69="Menor"),CONCATENATE("R2C",'Mapa final'!$R$69),"")</f>
        <v/>
      </c>
      <c r="T39" s="54" t="str">
        <f>IF(AND('Mapa final'!$AH$70="Media",'Mapa final'!$AJ$70="Menor"),CONCATENATE("R2C",'Mapa final'!$R$70),"")</f>
        <v/>
      </c>
      <c r="U39" s="54" t="str">
        <f>IF(AND('Mapa final'!$AH$71="Media",'Mapa final'!$AJ$71="Menor"),CONCATENATE("R2C",'Mapa final'!$R$71),"")</f>
        <v/>
      </c>
      <c r="V39" s="55" t="str">
        <f>IF(AND('Mapa final'!$AH$72="Media",'Mapa final'!$AJ$72="Menor"),CONCATENATE("R2C",'Mapa final'!$R$72),"")</f>
        <v/>
      </c>
      <c r="W39" s="53" t="str">
        <f>IF(AND('Mapa final'!$AH$67="Media",'Mapa final'!$AJ$67="Moderado"),CONCATENATE("R2C",'Mapa final'!$R$67),"")</f>
        <v/>
      </c>
      <c r="X39" s="54" t="str">
        <f>IF(AND('Mapa final'!$AH$68="Media",'Mapa final'!$AJ$68="Moderado"),CONCATENATE("R2C",'Mapa final'!$R$68),"")</f>
        <v/>
      </c>
      <c r="Y39" s="54" t="str">
        <f>IF(AND('Mapa final'!$AH$69="Media",'Mapa final'!$AJ$69="Moderado"),CONCATENATE("R2C",'Mapa final'!$R$69),"")</f>
        <v/>
      </c>
      <c r="Z39" s="54" t="str">
        <f>IF(AND('Mapa final'!$AH$70="Media",'Mapa final'!$AJ$70="Moderado"),CONCATENATE("R2C",'Mapa final'!$R$70),"")</f>
        <v/>
      </c>
      <c r="AA39" s="54" t="str">
        <f>IF(AND('Mapa final'!$AH$71="Media",'Mapa final'!$AJ$71="Moderado"),CONCATENATE("R2C",'Mapa final'!$R$71),"")</f>
        <v/>
      </c>
      <c r="AB39" s="55" t="str">
        <f>IF(AND('Mapa final'!$AH$72="Media",'Mapa final'!$AJ$72="Moderado"),CONCATENATE("R2C",'Mapa final'!$R$72),"")</f>
        <v/>
      </c>
      <c r="AC39" s="38" t="str">
        <f>IF(AND('Mapa final'!$AH$67="Media",'Mapa final'!$AJ$67="Mayor"),CONCATENATE("R2C",'Mapa final'!$R$67),"")</f>
        <v/>
      </c>
      <c r="AD39" s="39" t="str">
        <f>IF(AND('Mapa final'!$AH$68="Media",'Mapa final'!$AJ$68="Mayor"),CONCATENATE("R2C",'Mapa final'!$R$68),"")</f>
        <v/>
      </c>
      <c r="AE39" s="39" t="str">
        <f>IF(AND('Mapa final'!$AH$69="Media",'Mapa final'!$AJ$69="Mayor"),CONCATENATE("R2C",'Mapa final'!$R$69),"")</f>
        <v/>
      </c>
      <c r="AF39" s="39" t="str">
        <f>IF(AND('Mapa final'!$AH$70="Media",'Mapa final'!$AJ$70="Mayor"),CONCATENATE("R2C",'Mapa final'!$R$70),"")</f>
        <v/>
      </c>
      <c r="AG39" s="39" t="str">
        <f>IF(AND('Mapa final'!$AH$71="Media",'Mapa final'!$AJ$71="Mayor"),CONCATENATE("R2C",'Mapa final'!$R$71),"")</f>
        <v/>
      </c>
      <c r="AH39" s="40" t="str">
        <f>IF(AND('Mapa final'!$AH$72="Media",'Mapa final'!$AJ$72="Mayor"),CONCATENATE("R2C",'Mapa final'!$R$72),"")</f>
        <v/>
      </c>
      <c r="AI39" s="41" t="str">
        <f>IF(AND('Mapa final'!$AH$67="Media",'Mapa final'!$AJ$67="Catastrófico"),CONCATENATE("R2C",'Mapa final'!$R$67),"")</f>
        <v/>
      </c>
      <c r="AJ39" s="42" t="str">
        <f>IF(AND('Mapa final'!$AH$68="Media",'Mapa final'!$AJ$68="Catastrófico"),CONCATENATE("R2C",'Mapa final'!$R$68),"")</f>
        <v/>
      </c>
      <c r="AK39" s="42" t="str">
        <f>IF(AND('Mapa final'!$AH$69="Media",'Mapa final'!$AJ$69="Catastrófico"),CONCATENATE("R2C",'Mapa final'!$R$69),"")</f>
        <v/>
      </c>
      <c r="AL39" s="42" t="str">
        <f>IF(AND('Mapa final'!$AH$70="Media",'Mapa final'!$AJ$70="Catastrófico"),CONCATENATE("R2C",'Mapa final'!$R$70),"")</f>
        <v/>
      </c>
      <c r="AM39" s="42" t="str">
        <f>IF(AND('Mapa final'!$AH$71="Media",'Mapa final'!$AJ$71="Catastrófico"),CONCATENATE("R2C",'Mapa final'!$R$71),"")</f>
        <v/>
      </c>
      <c r="AN39" s="43" t="str">
        <f>IF(AND('Mapa final'!$AH$72="Media",'Mapa final'!$AJ$72="Catastrófico"),CONCATENATE("R2C",'Mapa final'!$R$72),"")</f>
        <v/>
      </c>
      <c r="AO39" s="68"/>
      <c r="AP39" s="525"/>
      <c r="AQ39" s="526"/>
      <c r="AR39" s="526"/>
      <c r="AS39" s="526"/>
      <c r="AT39" s="526"/>
      <c r="AU39" s="527"/>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41"/>
      <c r="D40" s="441"/>
      <c r="E40" s="442"/>
      <c r="F40" s="484"/>
      <c r="G40" s="485"/>
      <c r="H40" s="485"/>
      <c r="I40" s="485"/>
      <c r="J40" s="486"/>
      <c r="K40" s="53" t="str">
        <f>IF(AND('Mapa final'!$AH$73="Media",'Mapa final'!$AJ$73="Leve"),CONCATENATE("R2C",'Mapa final'!$R$73),"")</f>
        <v/>
      </c>
      <c r="L40" s="54" t="str">
        <f>IF(AND('Mapa final'!$AH$74="Media",'Mapa final'!$AJ$74="Leve"),CONCATENATE("R2C",'Mapa final'!$R$74),"")</f>
        <v/>
      </c>
      <c r="M40" s="54" t="str">
        <f>IF(AND('Mapa final'!$AH$75="Media",'Mapa final'!$AJ$75="Leve"),CONCATENATE("R2C",'Mapa final'!$R$75),"")</f>
        <v/>
      </c>
      <c r="N40" s="54" t="str">
        <f>IF(AND('Mapa final'!$AH$76="Media",'Mapa final'!$AJ$76="Leve"),CONCATENATE("R2C",'Mapa final'!$R$76),"")</f>
        <v/>
      </c>
      <c r="O40" s="54" t="str">
        <f>IF(AND('Mapa final'!$AH$77="Media",'Mapa final'!$AJ$77="Leve"),CONCATENATE("R2C",'Mapa final'!$R$77),"")</f>
        <v/>
      </c>
      <c r="P40" s="55" t="str">
        <f>IF(AND('Mapa final'!$AH$78="Media",'Mapa final'!$AJ$78="Leve"),CONCATENATE("R2C",'Mapa final'!$R$78),"")</f>
        <v/>
      </c>
      <c r="Q40" s="53" t="str">
        <f>IF(AND('Mapa final'!$AH$73="Media",'Mapa final'!$AJ$73="Menor"),CONCATENATE("R2C",'Mapa final'!$R$73),"")</f>
        <v/>
      </c>
      <c r="R40" s="54" t="str">
        <f>IF(AND('Mapa final'!$AH$74="Media",'Mapa final'!$AJ$74="Menor"),CONCATENATE("R2C",'Mapa final'!$R$74),"")</f>
        <v/>
      </c>
      <c r="S40" s="54" t="str">
        <f>IF(AND('Mapa final'!$AH$75="Media",'Mapa final'!$AJ$75="Menor"),CONCATENATE("R2C",'Mapa final'!$R$75),"")</f>
        <v/>
      </c>
      <c r="T40" s="54" t="str">
        <f>IF(AND('Mapa final'!$AH$76="Media",'Mapa final'!$AJ$76="Menor"),CONCATENATE("R2C",'Mapa final'!$R$76),"")</f>
        <v/>
      </c>
      <c r="U40" s="54" t="str">
        <f>IF(AND('Mapa final'!$AH$77="Media",'Mapa final'!$AJ$77="Menor"),CONCATENATE("R2C",'Mapa final'!$R$77),"")</f>
        <v/>
      </c>
      <c r="V40" s="55" t="str">
        <f>IF(AND('Mapa final'!$AH$78="Media",'Mapa final'!$AJ$78="Menor"),CONCATENATE("R2C",'Mapa final'!$R$78),"")</f>
        <v/>
      </c>
      <c r="W40" s="53" t="str">
        <f>IF(AND('Mapa final'!$AH$73="Media",'Mapa final'!$AJ$73="Moderado"),CONCATENATE("R2C",'Mapa final'!$R$73),"")</f>
        <v/>
      </c>
      <c r="X40" s="54" t="str">
        <f>IF(AND('Mapa final'!$AH$74="Media",'Mapa final'!$AJ$74="Moderado"),CONCATENATE("R2C",'Mapa final'!$R$74),"")</f>
        <v/>
      </c>
      <c r="Y40" s="54" t="str">
        <f>IF(AND('Mapa final'!$AH$75="Media",'Mapa final'!$AJ$75="Moderado"),CONCATENATE("R2C",'Mapa final'!$R$75),"")</f>
        <v/>
      </c>
      <c r="Z40" s="54" t="str">
        <f>IF(AND('Mapa final'!$AH$76="Media",'Mapa final'!$AJ$76="Moderado"),CONCATENATE("R2C",'Mapa final'!$R$76),"")</f>
        <v/>
      </c>
      <c r="AA40" s="54" t="str">
        <f>IF(AND('Mapa final'!$AH$77="Media",'Mapa final'!$AJ$77="Moderado"),CONCATENATE("R2C",'Mapa final'!$R$77),"")</f>
        <v/>
      </c>
      <c r="AB40" s="55" t="str">
        <f>IF(AND('Mapa final'!$AH$78="Media",'Mapa final'!$AJ$78="Moderado"),CONCATENATE("R2C",'Mapa final'!$R$78),"")</f>
        <v/>
      </c>
      <c r="AC40" s="38" t="str">
        <f>IF(AND('Mapa final'!$AH$73="Media",'Mapa final'!$AJ$73="Mayor"),CONCATENATE("R2C",'Mapa final'!$R$73),"")</f>
        <v/>
      </c>
      <c r="AD40" s="39" t="str">
        <f>IF(AND('Mapa final'!$AH$74="Media",'Mapa final'!$AJ$74="Mayor"),CONCATENATE("R2C",'Mapa final'!$R$74),"")</f>
        <v/>
      </c>
      <c r="AE40" s="39" t="str">
        <f>IF(AND('Mapa final'!$AH$75="Media",'Mapa final'!$AJ$75="Mayor"),CONCATENATE("R2C",'Mapa final'!$R$75),"")</f>
        <v/>
      </c>
      <c r="AF40" s="39" t="str">
        <f>IF(AND('Mapa final'!$AH$76="Media",'Mapa final'!$AJ$76="Mayor"),CONCATENATE("R2C",'Mapa final'!$R$76),"")</f>
        <v/>
      </c>
      <c r="AG40" s="39" t="str">
        <f>IF(AND('Mapa final'!$AH$77="Media",'Mapa final'!$AJ$77="Mayor"),CONCATENATE("R2C",'Mapa final'!$R$77),"")</f>
        <v/>
      </c>
      <c r="AH40" s="40" t="str">
        <f>IF(AND('Mapa final'!$AH$78="Media",'Mapa final'!$AJ$78="Mayor"),CONCATENATE("R2C",'Mapa final'!$R$78),"")</f>
        <v/>
      </c>
      <c r="AI40" s="41" t="str">
        <f>IF(AND('Mapa final'!$AH$73="Media",'Mapa final'!$AJ$73="Catastrófico"),CONCATENATE("R2C",'Mapa final'!$R$73),"")</f>
        <v/>
      </c>
      <c r="AJ40" s="42" t="str">
        <f>IF(AND('Mapa final'!$AH$74="Media",'Mapa final'!$AJ$74="Catastrófico"),CONCATENATE("R2C",'Mapa final'!$R$74),"")</f>
        <v/>
      </c>
      <c r="AK40" s="42" t="str">
        <f>IF(AND('Mapa final'!$AH$75="Media",'Mapa final'!$AJ$75="Catastrófico"),CONCATENATE("R2C",'Mapa final'!$R$75),"")</f>
        <v/>
      </c>
      <c r="AL40" s="42" t="str">
        <f>IF(AND('Mapa final'!$AH$76="Media",'Mapa final'!$AJ$76="Catastrófico"),CONCATENATE("R2C",'Mapa final'!$R$76),"")</f>
        <v/>
      </c>
      <c r="AM40" s="42" t="str">
        <f>IF(AND('Mapa final'!$AH$77="Media",'Mapa final'!$AJ$77="Catastrófico"),CONCATENATE("R2C",'Mapa final'!$R$77),"")</f>
        <v/>
      </c>
      <c r="AN40" s="43" t="str">
        <f>IF(AND('Mapa final'!$AH$78="Media",'Mapa final'!$AJ$78="Catastrófico"),CONCATENATE("R2C",'Mapa final'!$R$78),"")</f>
        <v/>
      </c>
      <c r="AO40" s="68"/>
      <c r="AP40" s="525"/>
      <c r="AQ40" s="526"/>
      <c r="AR40" s="526"/>
      <c r="AS40" s="526"/>
      <c r="AT40" s="526"/>
      <c r="AU40" s="527"/>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41"/>
      <c r="D41" s="441"/>
      <c r="E41" s="442"/>
      <c r="F41" s="487"/>
      <c r="G41" s="488"/>
      <c r="H41" s="488"/>
      <c r="I41" s="488"/>
      <c r="J41" s="489"/>
      <c r="K41" s="53" t="str">
        <f>IF(AND('Mapa final'!$AH$79="Media",'Mapa final'!$AJ$79="Leve"),CONCATENATE("R2C",'Mapa final'!$R$79),"")</f>
        <v/>
      </c>
      <c r="L41" s="54" t="str">
        <f>IF(AND('Mapa final'!$AH$80="Media",'Mapa final'!$AJ$80="Leve"),CONCATENATE("R2C",'Mapa final'!$R$80),"")</f>
        <v/>
      </c>
      <c r="M41" s="54" t="str">
        <f>IF(AND('Mapa final'!$AH$81="Media",'Mapa final'!$AJ$81="Leve"),CONCATENATE("R2C",'Mapa final'!$R$81),"")</f>
        <v/>
      </c>
      <c r="N41" s="54" t="str">
        <f>IF(AND('Mapa final'!$AH$82="Media",'Mapa final'!$AJ$82="Leve"),CONCATENATE("R2C",'Mapa final'!$R$82),"")</f>
        <v/>
      </c>
      <c r="O41" s="54" t="str">
        <f>IF(AND('Mapa final'!$AH$84="Media",'Mapa final'!$AJ$84="Leve"),CONCATENATE("R2C",'Mapa final'!$R$84),"")</f>
        <v/>
      </c>
      <c r="P41" s="55" t="str">
        <f>IF(AND('Mapa final'!$AH$85="Media",'Mapa final'!$AJ$85="Leve"),CONCATENATE("R2C",'Mapa final'!$R$85),"")</f>
        <v/>
      </c>
      <c r="Q41" s="53" t="str">
        <f>IF(AND('Mapa final'!$AH$79="Media",'Mapa final'!$AJ$79="Menor"),CONCATENATE("R2C",'Mapa final'!$R$79),"")</f>
        <v/>
      </c>
      <c r="R41" s="54" t="str">
        <f>IF(AND('Mapa final'!$AH$80="Media",'Mapa final'!$AJ$80="Menor"),CONCATENATE("R2C",'Mapa final'!$R$80),"")</f>
        <v/>
      </c>
      <c r="S41" s="54" t="str">
        <f>IF(AND('Mapa final'!$AH$81="Media",'Mapa final'!$AJ$81="Menor"),CONCATENATE("R2C",'Mapa final'!$R$81),"")</f>
        <v/>
      </c>
      <c r="T41" s="54" t="str">
        <f>IF(AND('Mapa final'!$AH$82="Media",'Mapa final'!$AJ$82="Menor"),CONCATENATE("R2C",'Mapa final'!$R$82),"")</f>
        <v/>
      </c>
      <c r="U41" s="54" t="str">
        <f>IF(AND('Mapa final'!$AH$84="Media",'Mapa final'!$AJ$84="Menor"),CONCATENATE("R2C",'Mapa final'!$R$84),"")</f>
        <v/>
      </c>
      <c r="V41" s="55" t="str">
        <f>IF(AND('Mapa final'!$AH$85="Media",'Mapa final'!$AJ$85="Menor"),CONCATENATE("R2C",'Mapa final'!$R$85),"")</f>
        <v/>
      </c>
      <c r="W41" s="53" t="str">
        <f>IF(AND('Mapa final'!$AH$79="Media",'Mapa final'!$AJ$79="Moderado"),CONCATENATE("R2C",'Mapa final'!$R$79),"")</f>
        <v/>
      </c>
      <c r="X41" s="54" t="str">
        <f>IF(AND('Mapa final'!$AH$80="Media",'Mapa final'!$AJ$80="Moderado"),CONCATENATE("R2C",'Mapa final'!$R$80),"")</f>
        <v/>
      </c>
      <c r="Y41" s="54" t="str">
        <f>IF(AND('Mapa final'!$AH$81="Media",'Mapa final'!$AJ$81="Moderado"),CONCATENATE("R2C",'Mapa final'!$R$81),"")</f>
        <v/>
      </c>
      <c r="Z41" s="54" t="str">
        <f>IF(AND('Mapa final'!$AH$82="Media",'Mapa final'!$AJ$82="Moderado"),CONCATENATE("R2C",'Mapa final'!$R$82),"")</f>
        <v/>
      </c>
      <c r="AA41" s="54" t="str">
        <f>IF(AND('Mapa final'!$AH$84="Media",'Mapa final'!$AJ$84="Moderado"),CONCATENATE("R2C",'Mapa final'!$R$84),"")</f>
        <v/>
      </c>
      <c r="AB41" s="55" t="str">
        <f>IF(AND('Mapa final'!$AH$85="Media",'Mapa final'!$AJ$85="Moderado"),CONCATENATE("R2C",'Mapa final'!$R$85),"")</f>
        <v/>
      </c>
      <c r="AC41" s="44" t="str">
        <f>IF(AND('Mapa final'!$AH$79="Media",'Mapa final'!$AJ$79="Mayor"),CONCATENATE("R2C",'Mapa final'!$R$79),"")</f>
        <v/>
      </c>
      <c r="AD41" s="45" t="str">
        <f>IF(AND('Mapa final'!$AH$80="Media",'Mapa final'!$AJ$80="Mayor"),CONCATENATE("R2C",'Mapa final'!$R$80),"")</f>
        <v/>
      </c>
      <c r="AE41" s="45" t="str">
        <f>IF(AND('Mapa final'!$AH$81="Media",'Mapa final'!$AJ$81="Mayor"),CONCATENATE("R2C",'Mapa final'!$R$81),"")</f>
        <v/>
      </c>
      <c r="AF41" s="45" t="str">
        <f>IF(AND('Mapa final'!$AH$82="Media",'Mapa final'!$AJ$82="Mayor"),CONCATENATE("R2C",'Mapa final'!$R$82),"")</f>
        <v/>
      </c>
      <c r="AG41" s="45" t="str">
        <f>IF(AND('Mapa final'!$AH$84="Media",'Mapa final'!$AJ$84="Mayor"),CONCATENATE("R2C",'Mapa final'!$R$84),"")</f>
        <v/>
      </c>
      <c r="AH41" s="46" t="str">
        <f>IF(AND('Mapa final'!$AH$85="Media",'Mapa final'!$AJ$85="Mayor"),CONCATENATE("R2C",'Mapa final'!$R$85),"")</f>
        <v/>
      </c>
      <c r="AI41" s="47" t="str">
        <f>IF(AND('Mapa final'!$AH$79="Media",'Mapa final'!$AJ$79="Catastrófico"),CONCATENATE("R2C",'Mapa final'!$R$79),"")</f>
        <v/>
      </c>
      <c r="AJ41" s="48" t="str">
        <f>IF(AND('Mapa final'!$AH$80="Media",'Mapa final'!$AJ$80="Catastrófico"),CONCATENATE("R2C",'Mapa final'!$R$80),"")</f>
        <v/>
      </c>
      <c r="AK41" s="48" t="str">
        <f>IF(AND('Mapa final'!$AH$81="Media",'Mapa final'!$AJ$81="Catastrófico"),CONCATENATE("R2C",'Mapa final'!$R$81),"")</f>
        <v/>
      </c>
      <c r="AL41" s="48" t="str">
        <f>IF(AND('Mapa final'!$AH$82="Media",'Mapa final'!$AJ$82="Catastrófico"),CONCATENATE("R2C",'Mapa final'!$R$82),"")</f>
        <v/>
      </c>
      <c r="AM41" s="48" t="str">
        <f>IF(AND('Mapa final'!$AH$84="Media",'Mapa final'!$AJ$84="Catastrófico"),CONCATENATE("R2C",'Mapa final'!$R$84),"")</f>
        <v/>
      </c>
      <c r="AN41" s="49" t="str">
        <f>IF(AND('Mapa final'!$AH$85="Muy Alta",'Mapa final'!$AJ$85="Catastrófico"),CONCATENATE("R2C",'Mapa final'!$R$85),"")</f>
        <v/>
      </c>
      <c r="AO41" s="68"/>
      <c r="AP41" s="528"/>
      <c r="AQ41" s="529"/>
      <c r="AR41" s="529"/>
      <c r="AS41" s="529"/>
      <c r="AT41" s="529"/>
      <c r="AU41" s="530"/>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41"/>
      <c r="D42" s="441"/>
      <c r="E42" s="442"/>
      <c r="F42" s="481" t="s">
        <v>313</v>
      </c>
      <c r="G42" s="482"/>
      <c r="H42" s="482"/>
      <c r="I42" s="482"/>
      <c r="J42" s="482"/>
      <c r="K42" s="59"/>
      <c r="L42" s="60" t="str">
        <f>IF(AND('Mapa final'!$AH$16="Baja",'Mapa final'!$AJ$16="Leve"),CONCATENATE("R2C",'Mapa final'!$R$15),"")</f>
        <v/>
      </c>
      <c r="M42" s="60" t="str">
        <f>IF(AND('Mapa final'!$AH$17="Baja",'Mapa final'!$AJ$17="Leve"),CONCATENATE("R2C",'Mapa final'!$R$17),"")</f>
        <v/>
      </c>
      <c r="N42" s="60" t="str">
        <f>IF(AND('Mapa final'!$AH$20="Baja",'Mapa final'!$AJ$20="Leve"),CONCATENATE("R2C",'Mapa final'!$R$20),"")</f>
        <v/>
      </c>
      <c r="O42" s="60" t="str">
        <f>IF(AND('Mapa final'!$AH$21="Baja",'Mapa final'!$AJ$21="Leve"),CONCATENATE("R2C",'Mapa final'!$R$21),"")</f>
        <v/>
      </c>
      <c r="P42" s="61" t="str">
        <f>IF(AND('Mapa final'!$AH$22="Baja",'Mapa final'!$AJ$22="Leve"),CONCATENATE("R2C",'Mapa final'!$R$22),"")</f>
        <v/>
      </c>
      <c r="Q42" s="50"/>
      <c r="R42" s="51" t="str">
        <f>IF(AND('Mapa final'!$AH$16="Baja",'Mapa final'!$AJ$16="Menore"),CONCATENATE("R2C",'Mapa final'!$R$15),"")</f>
        <v/>
      </c>
      <c r="S42" s="51" t="str">
        <f>IF(AND('Mapa final'!$AH$17="Baja",'Mapa final'!$AJ$17="Menor"),CONCATENATE("R2C",'Mapa final'!$R$17),"")</f>
        <v/>
      </c>
      <c r="T42" s="51" t="str">
        <f>IF(AND('Mapa final'!$AH$20="Baja",'Mapa final'!$AJ$20="Menor"),CONCATENATE("R2C",'Mapa final'!$R$20),"")</f>
        <v/>
      </c>
      <c r="U42" s="51" t="str">
        <f>IF(AND('Mapa final'!$AH$21="Baja",'Mapa final'!$AJ$21="Menor"),CONCATENATE("R2C",'Mapa final'!$R$21),"")</f>
        <v/>
      </c>
      <c r="V42" s="52" t="str">
        <f>IF(AND('Mapa final'!$AH$22="Baja",'Mapa final'!$AJ$22="Menor"),CONCATENATE("R2C",'Mapa final'!$R$22),"")</f>
        <v/>
      </c>
      <c r="W42" s="50"/>
      <c r="X42" s="51" t="str">
        <f>IF(AND('Mapa final'!$AH$16="Baja",'Mapa final'!$AJ$16="Moderado"),CONCATENATE("R2C",'Mapa final'!$R$15),"")</f>
        <v/>
      </c>
      <c r="Y42" s="51"/>
      <c r="Z42" s="51" t="str">
        <f>IF(AND('Mapa final'!$AH$20="Baja",'Mapa final'!$AJ$20="Moderado"),CONCATENATE("R2C",'Mapa final'!$D$19),"")</f>
        <v/>
      </c>
      <c r="AA42" s="51" t="str">
        <f>IF(AND('Mapa final'!$AH$21="Baja",'Mapa final'!$AJ$21="Moderado"),CONCATENATE("R2C",'Mapa final'!$R$21),"")</f>
        <v>R2C     El riesgo afecta la imagen de la entidad con algunos usuarios de relevancia frente al logro de los objetivos</v>
      </c>
      <c r="AB42" s="52" t="str">
        <f>IF(AND('Mapa final'!$AH$22="Baja",'Mapa final'!$AJ$22="Moderado"),CONCATENATE("R2C",'Mapa final'!$R$22),"")</f>
        <v/>
      </c>
      <c r="AC42" s="32"/>
      <c r="AD42" s="33" t="str">
        <f>IF(AND('Mapa final'!$AH$16="Baja",'Mapa final'!$AJ$16="Mayor"),CONCATENATE("R2C",'Mapa final'!$R$15),"")</f>
        <v/>
      </c>
      <c r="AE42" s="33" t="str">
        <f>IF(AND('Mapa final'!$AH$17="Baja",'Mapa final'!$AJ$17="Mayor"),CONCATENATE("R2C",'Mapa final'!$R$17),"")</f>
        <v/>
      </c>
      <c r="AF42" s="33" t="str">
        <f>IF(AND('Mapa final'!$AH$20="Baja",'Mapa final'!$AJ$20="Mayor"),CONCATENATE("R2C",'Mapa final'!$R$20),"")</f>
        <v/>
      </c>
      <c r="AG42" s="33" t="str">
        <f>IF(AND('Mapa final'!$AH$21="Baja",'Mapa final'!$AJ$21="Mayor"),CONCATENATE("R2C",'Mapa final'!$R$21),"")</f>
        <v/>
      </c>
      <c r="AH42" s="34" t="str">
        <f>IF(AND('Mapa final'!$AH$22="Baja",'Mapa final'!$AJ$22="Mayor"),CONCATENATE("R2C",'Mapa final'!$R$22),"")</f>
        <v/>
      </c>
      <c r="AI42" s="35"/>
      <c r="AJ42" s="36" t="str">
        <f>IF(AND('Mapa final'!$AH$16="Baja",'Mapa final'!$AJ$16="Catastrófico"),CONCATENATE("R2C",'Mapa final'!$R$15),"")</f>
        <v/>
      </c>
      <c r="AK42" s="36" t="str">
        <f>IF(AND('Mapa final'!$AH$17="Baja",'Mapa final'!$AJ$17="Catastrófico"),CONCATENATE("R2C",'Mapa final'!$R$17),"")</f>
        <v/>
      </c>
      <c r="AL42" s="36" t="str">
        <f>IF(AND('Mapa final'!$AH$20="Baja",'Mapa final'!$AJ$20="Catastrófico"),CONCATENATE("R2C",'Mapa final'!$R$20),"")</f>
        <v/>
      </c>
      <c r="AM42" s="36" t="str">
        <f>IF(AND('Mapa final'!$AH$21="Baja",'Mapa final'!$AJ$21="Catastrófico"),CONCATENATE("R2C",'Mapa final'!$R$21),"")</f>
        <v/>
      </c>
      <c r="AN42" s="37" t="str">
        <f>IF(AND('Mapa final'!$AH$22="Baja",'Mapa final'!$AJ$22="Catastrófico"),CONCATENATE("R2C",'Mapa final'!$R$22),"")</f>
        <v/>
      </c>
      <c r="AO42" s="68"/>
      <c r="AP42" s="513" t="s">
        <v>314</v>
      </c>
      <c r="AQ42" s="514"/>
      <c r="AR42" s="514"/>
      <c r="AS42" s="514"/>
      <c r="AT42" s="514"/>
      <c r="AU42" s="515"/>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41"/>
      <c r="D43" s="441"/>
      <c r="E43" s="442"/>
      <c r="F43" s="500"/>
      <c r="G43" s="485"/>
      <c r="H43" s="485"/>
      <c r="I43" s="485"/>
      <c r="J43" s="485"/>
      <c r="K43" s="62" t="str">
        <f>IF(AND('Mapa final'!$AH$23="Baja",'Mapa final'!$AJ$23="Leve"),CONCATENATE("R2C",'Mapa final'!$R$23),"")</f>
        <v/>
      </c>
      <c r="L43" s="63" t="str">
        <f>IF(AND('Mapa final'!$AH$24="Baja",'Mapa final'!$AJ$24="Leve"),CONCATENATE("R2C",'Mapa final'!$R$24),"")</f>
        <v/>
      </c>
      <c r="M43" s="63" t="str">
        <f>IF(AND('Mapa final'!$AH$33="Baja",'Mapa final'!$AJ$33="Leve"),CONCATENATE("R2C",'Mapa final'!$R$33),"")</f>
        <v/>
      </c>
      <c r="N43" s="63" t="str">
        <f>IF(AND('Mapa final'!$AH$34="Baja",'Mapa final'!$AJ$34="Leve"),CONCATENATE("R2C",'Mapa final'!$R$34),"")</f>
        <v/>
      </c>
      <c r="O43" s="63" t="str">
        <f>IF(AND('Mapa final'!$AH$35="Baja",'Mapa final'!$AJ$35="Leve"),CONCATENATE("R2C",'Mapa final'!$R$35),"")</f>
        <v/>
      </c>
      <c r="P43" s="64" t="str">
        <f>IF(AND('Mapa final'!$AH$36="Baja",'Mapa final'!$AJ$36="Leve"),CONCATENATE("R2C",'Mapa final'!$R$36),"")</f>
        <v/>
      </c>
      <c r="Q43" s="53" t="str">
        <f>IF(AND('Mapa final'!$AH$23="Baja",'Mapa final'!$AJ$23="Menor"),CONCATENATE("R2C",'Mapa final'!$R$23),"")</f>
        <v/>
      </c>
      <c r="R43" s="54" t="str">
        <f>IF(AND('Mapa final'!$AH$24="Baja",'Mapa final'!$AJ$24="Menor"),CONCATENATE("R2C",'Mapa final'!$R$24),"")</f>
        <v/>
      </c>
      <c r="S43" s="54" t="str">
        <f>IF(AND('Mapa final'!$AH$33="Baja",'Mapa final'!$AJ$33="Menor"),CONCATENATE("R2C",'Mapa final'!$R$33),"")</f>
        <v/>
      </c>
      <c r="T43" s="54" t="str">
        <f>IF(AND('Mapa final'!$AH$34="Baja",'Mapa final'!$AJ$34="Menor"),CONCATENATE("R2C",'Mapa final'!$R$34),"")</f>
        <v/>
      </c>
      <c r="U43" s="54" t="str">
        <f>IF(AND('Mapa final'!$AH$35="Baja",'Mapa final'!$AJ$35="Menor"),CONCATENATE("R2C",'Mapa final'!$R$35),"")</f>
        <v/>
      </c>
      <c r="V43" s="55" t="str">
        <f>IF(AND('Mapa final'!$AH$36="Baja",'Mapa final'!$AJ$36="Menor"),CONCATENATE("R2C",'Mapa final'!$R$36),"")</f>
        <v/>
      </c>
      <c r="W43" s="53" t="str">
        <f>IF(AND('Mapa final'!$AH$23="Baja",'Mapa final'!$AJ$23="Moderado"),CONCATENATE("R2C",'Mapa final'!$R$23),"")</f>
        <v/>
      </c>
      <c r="X43" s="54" t="str">
        <f>IF(AND('Mapa final'!$AH$24="Baja",'Mapa final'!$AJ$24="Moderado"),CONCATENATE("R2C",'Mapa final'!$R$24),"")</f>
        <v/>
      </c>
      <c r="Y43" s="54" t="str">
        <f>IF(AND('Mapa final'!$AH$33="Baja",'Mapa final'!$AJ$33="Moderado"),CONCATENATE("R2C",'Mapa final'!$R$33),"")</f>
        <v/>
      </c>
      <c r="Z43" s="54" t="str">
        <f>IF(AND('Mapa final'!$AH$34="Baja",'Mapa final'!$AJ$34="Moderado"),CONCATENATE("R2C",'Mapa final'!$R$34),"")</f>
        <v/>
      </c>
      <c r="AA43" s="54" t="str">
        <f>IF(AND('Mapa final'!$AH$35="Baja",'Mapa final'!$AJ$35="Moderado"),CONCATENATE("R2C",'Mapa final'!$R$35),"")</f>
        <v/>
      </c>
      <c r="AB43" s="55" t="str">
        <f>IF(AND('Mapa final'!$AH$36="Baja",'Mapa final'!$AJ$36="Moderado"),CONCATENATE("R2C",'Mapa final'!$R$36),"")</f>
        <v/>
      </c>
      <c r="AC43" s="38" t="str">
        <f>IF(AND('Mapa final'!$AH$23="Baja",'Mapa final'!$AJ$23="Mayor"),CONCATENATE("R2C",'Mapa final'!$R$23),"")</f>
        <v/>
      </c>
      <c r="AD43" s="39" t="str">
        <f>IF(AND('Mapa final'!$AH$24="Baja",'Mapa final'!$AJ$24="Mayor"),CONCATENATE("R2C",'Mapa final'!$R$24),"")</f>
        <v/>
      </c>
      <c r="AE43" s="39" t="str">
        <f>IF(AND('Mapa final'!$AH$33="Baja",'Mapa final'!$AJ$33="Mayor"),CONCATENATE("R2C",'Mapa final'!$R$33),"")</f>
        <v/>
      </c>
      <c r="AF43" s="39" t="str">
        <f>IF(AND('Mapa final'!$AH$34="Baja",'Mapa final'!$AJ$34="Mayor"),CONCATENATE("R2C",'Mapa final'!$R$34),"")</f>
        <v/>
      </c>
      <c r="AG43" s="39" t="str">
        <f>IF(AND('Mapa final'!$AH$35="Baja",'Mapa final'!$AJ$35="Mayor"),CONCATENATE("R2C",'Mapa final'!$R$35),"")</f>
        <v/>
      </c>
      <c r="AH43" s="40" t="str">
        <f>IF(AND('Mapa final'!$AH$36="Baja",'Mapa final'!$AJ$36="Mayor"),CONCATENATE("R2C",'Mapa final'!$R$36),"")</f>
        <v/>
      </c>
      <c r="AI43" s="41" t="str">
        <f>IF(AND('Mapa final'!$AH$23="Baja",'Mapa final'!$AJ$23="Catastrófico"),CONCATENATE("R2C",'Mapa final'!$R$23),"")</f>
        <v>R2C     El riesgo afecta la imagen de la entidad a nivel nacional, con efecto publicitarios sostenible a nivel país</v>
      </c>
      <c r="AJ43" s="42" t="str">
        <f>IF(AND('Mapa final'!$AH$24="Baja",'Mapa final'!$AJ$24="Catastrófico"),CONCATENATE("R2C",'Mapa final'!$R$24),"")</f>
        <v>R2C</v>
      </c>
      <c r="AK43" s="42" t="str">
        <f>IF(AND('Mapa final'!$AH$33="Baja",'Mapa final'!$AJ$33="Catastrófico"),CONCATENATE("R2C",'Mapa final'!$R$33),"")</f>
        <v/>
      </c>
      <c r="AL43" s="42" t="str">
        <f>IF(AND('Mapa final'!$AH$34="Baja",'Mapa final'!$AJ$34="Catastrófico"),CONCATENATE("R2C",'Mapa final'!$R$34),"")</f>
        <v/>
      </c>
      <c r="AM43" s="42" t="str">
        <f>IF(AND('Mapa final'!$AH$35="Baja",'Mapa final'!$AJ$35="Catastrófico"),CONCATENATE("R2C",'Mapa final'!$R$35),"")</f>
        <v/>
      </c>
      <c r="AN43" s="43" t="str">
        <f>IF(AND('Mapa final'!$AH$36="Baja",'Mapa final'!$AJ$36="Catastrófico"),CONCATENATE("R2C",'Mapa final'!$R$36),"")</f>
        <v/>
      </c>
      <c r="AO43" s="68"/>
      <c r="AP43" s="516"/>
      <c r="AQ43" s="517"/>
      <c r="AR43" s="517"/>
      <c r="AS43" s="517"/>
      <c r="AT43" s="517"/>
      <c r="AU43" s="51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41"/>
      <c r="D44" s="441"/>
      <c r="E44" s="442"/>
      <c r="F44" s="484"/>
      <c r="G44" s="485"/>
      <c r="H44" s="485"/>
      <c r="I44" s="485"/>
      <c r="J44" s="485"/>
      <c r="K44" s="62" t="str">
        <f>IF(AND('Mapa final'!$AH$37="Baja",'Mapa final'!$AJ$37="Leve"),CONCATENATE("R2C",'Mapa final'!$R$37),"")</f>
        <v/>
      </c>
      <c r="L44" s="63" t="str">
        <f>IF(AND('Mapa final'!$AH$38="Baja",'Mapa final'!$AJ$38="Leve"),CONCATENATE("R2C",'Mapa final'!$R$38),"")</f>
        <v/>
      </c>
      <c r="M44" s="63" t="str">
        <f>IF(AND('Mapa final'!$AH$39="Baja",'Mapa final'!$AJ$39="Leve"),CONCATENATE("R2C",'Mapa final'!$R$39),"")</f>
        <v/>
      </c>
      <c r="N44" s="63" t="str">
        <f>IF(AND('Mapa final'!$AH$40="Baja",'Mapa final'!$AJ$40="Leve"),CONCATENATE("R2C",'Mapa final'!$R$40),"")</f>
        <v/>
      </c>
      <c r="O44" s="63" t="str">
        <f>IF(AND('Mapa final'!$AH$41="Baja",'Mapa final'!$AJ$41="Leve"),CONCATENATE("R2C",'Mapa final'!$R$41),"")</f>
        <v/>
      </c>
      <c r="P44" s="64" t="str">
        <f>IF(AND('Mapa final'!$AH$42="Baja",'Mapa final'!$AJ$42="Leve"),CONCATENATE("R2C",'Mapa final'!$R$42),"")</f>
        <v/>
      </c>
      <c r="Q44" s="53" t="str">
        <f>IF(AND('Mapa final'!$AH$37="Baja",'Mapa final'!$AJ$37="Menor"),CONCATENATE("R2C",'Mapa final'!$R$37),"")</f>
        <v/>
      </c>
      <c r="R44" s="54" t="str">
        <f>IF(AND('Mapa final'!$AH$38="Baja",'Mapa final'!$AJ$38="Menor"),CONCATENATE("R2C",'Mapa final'!$R$38),"")</f>
        <v/>
      </c>
      <c r="S44" s="54" t="str">
        <f>IF(AND('Mapa final'!$AH$39="Baja",'Mapa final'!$AJ$39="Menor"),CONCATENATE("R2C",'Mapa final'!$R$39),"")</f>
        <v/>
      </c>
      <c r="T44" s="54" t="str">
        <f>IF(AND('Mapa final'!$AH$40="Baja",'Mapa final'!$AJ$40="Menor"),CONCATENATE("R2C",'Mapa final'!$R$40),"")</f>
        <v/>
      </c>
      <c r="U44" s="54" t="str">
        <f>IF(AND('Mapa final'!$AH$41="Baja",'Mapa final'!$AJ$41="Menor"),CONCATENATE("R2C",'Mapa final'!$R$41),"")</f>
        <v/>
      </c>
      <c r="V44" s="55" t="str">
        <f>IF(AND('Mapa final'!$AH$42="Baja",'Mapa final'!$AJ$42="Menor"),CONCATENATE("R2C",'Mapa final'!$R$42),"")</f>
        <v/>
      </c>
      <c r="W44" s="53" t="str">
        <f>IF(AND('Mapa final'!$AH$37="Baja",'Mapa final'!$AJ$37="Moderado"),CONCATENATE("R2C",'Mapa final'!$R$37),"")</f>
        <v/>
      </c>
      <c r="X44" s="54" t="str">
        <f>IF(AND('Mapa final'!$AH$38="Baja",'Mapa final'!$AJ$38="Moderado"),CONCATENATE("R2C",'Mapa final'!$R$38),"")</f>
        <v/>
      </c>
      <c r="Y44" s="54" t="str">
        <f>IF(AND('Mapa final'!$AH$39="Baja",'Mapa final'!$AJ$39="Moderado"),CONCATENATE("R2C",'Mapa final'!$R$39),"")</f>
        <v/>
      </c>
      <c r="Z44" s="54" t="str">
        <f>IF(AND('Mapa final'!$AH$40="Baja",'Mapa final'!$AJ$40="Moderado"),CONCATENATE("R2C",'Mapa final'!$R$40),"")</f>
        <v/>
      </c>
      <c r="AA44" s="54" t="str">
        <f>IF(AND('Mapa final'!$AH$41="Baja",'Mapa final'!$AJ$41="Moderado"),CONCATENATE("R2C",'Mapa final'!$R$41),"")</f>
        <v/>
      </c>
      <c r="AB44" s="55" t="str">
        <f>IF(AND('Mapa final'!$AH$42="Baja",'Mapa final'!$AJ$42="Moderado"),CONCATENATE("R2C",'Mapa final'!$R$42),"")</f>
        <v/>
      </c>
      <c r="AC44" s="38" t="str">
        <f>IF(AND('Mapa final'!$AH$37="Baja",'Mapa final'!$AJ$37="Mayor"),CONCATENATE("R2C",'Mapa final'!$R$37),"")</f>
        <v/>
      </c>
      <c r="AD44" s="39" t="str">
        <f>IF(AND('Mapa final'!$AH$38="Baja",'Mapa final'!$AJ$38="Mayor"),CONCATENATE("R2C",'Mapa final'!$R$38),"")</f>
        <v/>
      </c>
      <c r="AE44" s="39" t="str">
        <f>IF(AND('Mapa final'!$AH$39="Baja",'Mapa final'!$AJ$39="Mayor"),CONCATENATE("R2C",'Mapa final'!$R$39),"")</f>
        <v/>
      </c>
      <c r="AF44" s="39" t="str">
        <f>IF(AND('Mapa final'!$AH$40="Baja",'Mapa final'!$AJ$40="Mayor"),CONCATENATE("R2C",'Mapa final'!$R$40),"")</f>
        <v/>
      </c>
      <c r="AG44" s="39" t="str">
        <f>IF(AND('Mapa final'!$AH$41="Baja",'Mapa final'!$AJ$41="Mayor"),CONCATENATE("R2C",'Mapa final'!$R$41),"")</f>
        <v/>
      </c>
      <c r="AH44" s="40" t="str">
        <f>IF(AND('Mapa final'!$AH$42="Baja",'Mapa final'!$AJ$42="Mayor"),CONCATENATE("R2C",'Mapa final'!$R$42),"")</f>
        <v/>
      </c>
      <c r="AI44" s="41" t="str">
        <f>IF(AND('Mapa final'!$AH$37="Baja",'Mapa final'!$AJ$37="Catastrófico"),CONCATENATE("R2C",'Mapa final'!$R$37),"")</f>
        <v/>
      </c>
      <c r="AJ44" s="42" t="str">
        <f>IF(AND('Mapa final'!$AH$38="Baja",'Mapa final'!$AJ$38="Catastrófico"),CONCATENATE("R2C",'Mapa final'!$R$38),"")</f>
        <v/>
      </c>
      <c r="AK44" s="42" t="str">
        <f>IF(AND('Mapa final'!$AH$39="Baja",'Mapa final'!$AJ$39="Catastrófico"),CONCATENATE("R2C",'Mapa final'!$R$39),"")</f>
        <v/>
      </c>
      <c r="AL44" s="42" t="str">
        <f>IF(AND('Mapa final'!$AH$40="Baja",'Mapa final'!$AJ$40="Catastrófico"),CONCATENATE("R2C",'Mapa final'!$R$40),"")</f>
        <v/>
      </c>
      <c r="AM44" s="42" t="str">
        <f>IF(AND('Mapa final'!$AH$41="Baja",'Mapa final'!$AJ$41="Catastrófico"),CONCATENATE("R2C",'Mapa final'!$R$41),"")</f>
        <v/>
      </c>
      <c r="AN44" s="43" t="str">
        <f>IF(AND('Mapa final'!$AH$42="Baja",'Mapa final'!$AJ$42="Catastrófico"),CONCATENATE("R2C",'Mapa final'!$R$42),"")</f>
        <v/>
      </c>
      <c r="AO44" s="68"/>
      <c r="AP44" s="516"/>
      <c r="AQ44" s="517"/>
      <c r="AR44" s="517"/>
      <c r="AS44" s="517"/>
      <c r="AT44" s="517"/>
      <c r="AU44" s="51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41"/>
      <c r="D45" s="441"/>
      <c r="E45" s="442"/>
      <c r="F45" s="484"/>
      <c r="G45" s="485"/>
      <c r="H45" s="485"/>
      <c r="I45" s="485"/>
      <c r="J45" s="485"/>
      <c r="K45" s="62" t="str">
        <f>IF(AND('Mapa final'!$AH$43="Baja",'Mapa final'!$AJ$43="Leve"),CONCATENATE("R2C",'Mapa final'!$R$43),"")</f>
        <v/>
      </c>
      <c r="L45" s="63" t="str">
        <f>IF(AND('Mapa final'!$AH$44="Baja",'Mapa final'!$AJ$44="Leve"),CONCATENATE("R2C",'Mapa final'!$R$44),"")</f>
        <v/>
      </c>
      <c r="M45" s="63" t="str">
        <f>IF(AND('Mapa final'!$AH$45="Baja",'Mapa final'!$AJ$45="Leve"),CONCATENATE("R2C",'Mapa final'!$R$45),"")</f>
        <v/>
      </c>
      <c r="N45" s="63" t="str">
        <f>IF(AND('Mapa final'!$AH$46="Baja",'Mapa final'!$AJ$46="Leve"),CONCATENATE("R2C",'Mapa final'!$R$46),"")</f>
        <v/>
      </c>
      <c r="O45" s="63" t="str">
        <f>IF(AND('Mapa final'!$AH$47="Baja",'Mapa final'!$AJ$47="Leve"),CONCATENATE("R2C",'Mapa final'!$R$47),"")</f>
        <v/>
      </c>
      <c r="P45" s="64" t="str">
        <f>IF(AND('Mapa final'!$AH$48="Baja",'Mapa final'!$AJ$48="Leve"),CONCATENATE("R2C",'Mapa final'!$R$48),"")</f>
        <v/>
      </c>
      <c r="Q45" s="53" t="str">
        <f>IF(AND('Mapa final'!$AH$43="Baja",'Mapa final'!$AJ$43="Menor"),CONCATENATE("R2C",'Mapa final'!$R$43),"")</f>
        <v/>
      </c>
      <c r="R45" s="54" t="str">
        <f>IF(AND('Mapa final'!$AH$44="Baja",'Mapa final'!$AJ$44="Menor"),CONCATENATE("R2C",'Mapa final'!$R$44),"")</f>
        <v/>
      </c>
      <c r="S45" s="54" t="str">
        <f>IF(AND('Mapa final'!$AH$45="Baja",'Mapa final'!$AJ$45="Menor"),CONCATENATE("R2C",'Mapa final'!$R$45),"")</f>
        <v/>
      </c>
      <c r="T45" s="54" t="str">
        <f>IF(AND('Mapa final'!$AH$46="Baja",'Mapa final'!$AJ$46="Menor"),CONCATENATE("R2C",'Mapa final'!$R$46),"")</f>
        <v/>
      </c>
      <c r="U45" s="54" t="str">
        <f>IF(AND('Mapa final'!$AH$47="Baja",'Mapa final'!$AJ$47="LMenor"),CONCATENATE("R2C",'Mapa final'!$R$47),"")</f>
        <v/>
      </c>
      <c r="V45" s="55" t="str">
        <f>IF(AND('Mapa final'!$AH$48="Baja",'Mapa final'!$AJ$48="Menor"),CONCATENATE("R2C",'Mapa final'!$R$48),"")</f>
        <v/>
      </c>
      <c r="W45" s="53" t="str">
        <f>IF(AND('Mapa final'!$AH$43="Baja",'Mapa final'!$AJ$43="Moderado"),CONCATENATE("R2C",'Mapa final'!$R$43),"")</f>
        <v/>
      </c>
      <c r="X45" s="54" t="str">
        <f>IF(AND('Mapa final'!$AH$44="Baja",'Mapa final'!$AJ$44="Moderado"),CONCATENATE("R2C",'Mapa final'!$R$44),"")</f>
        <v/>
      </c>
      <c r="Y45" s="54" t="str">
        <f>IF(AND('Mapa final'!$AH$45="Baja",'Mapa final'!$AJ$45="Moderado"),CONCATENATE("R2C",'Mapa final'!$R$45),"")</f>
        <v/>
      </c>
      <c r="Z45" s="54" t="str">
        <f>IF(AND('Mapa final'!$AH$46="Baja",'Mapa final'!$AJ$46="Moderado"),CONCATENATE("R2C",'Mapa final'!$R$46),"")</f>
        <v/>
      </c>
      <c r="AA45" s="54" t="str">
        <f>IF(AND('Mapa final'!$AH$47="Baja",'Mapa final'!$AJ$47="Moderado"),CONCATENATE("R2C",'Mapa final'!$R$47),"")</f>
        <v/>
      </c>
      <c r="AB45" s="55" t="str">
        <f>IF(AND('Mapa final'!$AH$48="Baja",'Mapa final'!$AJ$48="Moderado"),CONCATENATE("R2C",'Mapa final'!$R$48),"")</f>
        <v/>
      </c>
      <c r="AC45" s="38" t="str">
        <f>IF(AND('Mapa final'!$AH$43="Baja",'Mapa final'!$AJ$43="Mayor"),CONCATENATE("R2C",'Mapa final'!$R$43),"")</f>
        <v/>
      </c>
      <c r="AD45" s="39" t="str">
        <f>IF(AND('Mapa final'!$AH$44="Baja",'Mapa final'!$AJ$44="Mayor"),CONCATENATE("R2C",'Mapa final'!$R$44),"")</f>
        <v/>
      </c>
      <c r="AE45" s="39" t="str">
        <f>IF(AND('Mapa final'!$AH$45="Baja",'Mapa final'!$AJ$45="Mayor"),CONCATENATE("R2C",'Mapa final'!$R$45),"")</f>
        <v/>
      </c>
      <c r="AF45" s="39" t="str">
        <f>IF(AND('Mapa final'!$AH$46="Baja",'Mapa final'!$AJ$46="Mayor"),CONCATENATE("R2C",'Mapa final'!$R$46),"")</f>
        <v/>
      </c>
      <c r="AG45" s="39" t="str">
        <f>IF(AND('Mapa final'!$AH$47="Baja",'Mapa final'!$AJ$47="Mayor"),CONCATENATE("R2C",'Mapa final'!$R$47),"")</f>
        <v/>
      </c>
      <c r="AH45" s="40" t="str">
        <f>IF(AND('Mapa final'!$AH$48="Baja",'Mapa final'!$AJ$48="Mayor"),CONCATENATE("R2C",'Mapa final'!$R$48),"")</f>
        <v/>
      </c>
      <c r="AI45" s="41" t="str">
        <f>IF(AND('Mapa final'!$AH$43="Baja",'Mapa final'!$AJ$43="Catastrófico"),CONCATENATE("R2C",'Mapa final'!$R$43),"")</f>
        <v/>
      </c>
      <c r="AJ45" s="42" t="str">
        <f>IF(AND('Mapa final'!$AH$44="Baja",'Mapa final'!$AJ$44="Catastrófico"),CONCATENATE("R2C",'Mapa final'!$R$44),"")</f>
        <v/>
      </c>
      <c r="AK45" s="42" t="str">
        <f>IF(AND('Mapa final'!$AH$45="Baja",'Mapa final'!$AJ$45="Catastrófico"),CONCATENATE("R2C",'Mapa final'!$R$45),"")</f>
        <v/>
      </c>
      <c r="AL45" s="42" t="str">
        <f>IF(AND('Mapa final'!$AH$46="Baja",'Mapa final'!$AJ$46="Catastrófico"),CONCATENATE("R2C",'Mapa final'!$R$46),"")</f>
        <v/>
      </c>
      <c r="AM45" s="42" t="str">
        <f>IF(AND('Mapa final'!$AH$47="Baja",'Mapa final'!$AJ$47="LCatastrófico"),CONCATENATE("R2C",'Mapa final'!$R$47),"")</f>
        <v/>
      </c>
      <c r="AN45" s="43" t="str">
        <f>IF(AND('Mapa final'!$AH$48="Baja",'Mapa final'!$AJ$48="Catastrófico"),CONCATENATE("R2C",'Mapa final'!$R$48),"")</f>
        <v/>
      </c>
      <c r="AO45" s="68"/>
      <c r="AP45" s="516"/>
      <c r="AQ45" s="517"/>
      <c r="AR45" s="517"/>
      <c r="AS45" s="517"/>
      <c r="AT45" s="517"/>
      <c r="AU45" s="51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41"/>
      <c r="D46" s="441"/>
      <c r="E46" s="442"/>
      <c r="F46" s="484"/>
      <c r="G46" s="485"/>
      <c r="H46" s="485"/>
      <c r="I46" s="485"/>
      <c r="J46" s="485"/>
      <c r="K46" s="62" t="str">
        <f>IF(AND('Mapa final'!$AH$49="Baja",'Mapa final'!$AJ$49="Leve"),CONCATENATE("R2C",'Mapa final'!$R$49),"")</f>
        <v/>
      </c>
      <c r="L46" s="63" t="str">
        <f>IF(AND('Mapa final'!$AH$50="Baja",'Mapa final'!$AJ$50="Leve"),CONCATENATE("R2C",'Mapa final'!$R$50),"")</f>
        <v/>
      </c>
      <c r="M46" s="63" t="str">
        <f>IF(AND('Mapa final'!$AH$51="Baja",'Mapa final'!$AJ$51="Leve"),CONCATENATE("R2C",'Mapa final'!$R$51),"")</f>
        <v/>
      </c>
      <c r="N46" s="63" t="str">
        <f>IF(AND('Mapa final'!$AH$52="Baja",'Mapa final'!$AJ$52="Leve"),CONCATENATE("R2C",'Mapa final'!$R$52),"")</f>
        <v/>
      </c>
      <c r="O46" s="63" t="str">
        <f>IF(AND('Mapa final'!$AH$53="Baja",'Mapa final'!$AJ$53="Leve"),CONCATENATE("R2C",'Mapa final'!$R$53),"")</f>
        <v/>
      </c>
      <c r="P46" s="64" t="str">
        <f>IF(AND('Mapa final'!$AH$54="Baja",'Mapa final'!$AJ$54="Leve"),CONCATENATE("R2C",'Mapa final'!$R$54),"")</f>
        <v/>
      </c>
      <c r="Q46" s="53" t="str">
        <f>IF(AND('Mapa final'!$AH$49="Baja",'Mapa final'!$AJ$49="Menor"),CONCATENATE("R2C",'Mapa final'!$R$49),"")</f>
        <v/>
      </c>
      <c r="R46" s="54" t="str">
        <f>IF(AND('Mapa final'!$AH$50="Baja",'Mapa final'!$AJ$50="Menor"),CONCATENATE("R2C",'Mapa final'!$R$50),"")</f>
        <v/>
      </c>
      <c r="S46" s="54" t="str">
        <f>IF(AND('Mapa final'!$AH$51="Baja",'Mapa final'!$AJ$51="Menor"),CONCATENATE("R2C",'Mapa final'!$R$51),"")</f>
        <v/>
      </c>
      <c r="T46" s="54" t="str">
        <f>IF(AND('Mapa final'!$AH$52="Baja",'Mapa final'!$AJ$52="Menor"),CONCATENATE("R2C",'Mapa final'!$R$52),"")</f>
        <v/>
      </c>
      <c r="U46" s="54" t="str">
        <f>IF(AND('Mapa final'!$AH$53="Baja",'Mapa final'!$AJ$53="Menor"),CONCATENATE("R2C",'Mapa final'!$R$53),"")</f>
        <v/>
      </c>
      <c r="V46" s="55" t="str">
        <f>IF(AND('Mapa final'!$AH$54="Baja",'Mapa final'!$AJ$54="Menor"),CONCATENATE("R2C",'Mapa final'!$R$54),"")</f>
        <v/>
      </c>
      <c r="W46" s="53" t="str">
        <f>IF(AND('Mapa final'!$AH$49="Baja",'Mapa final'!$AJ$49="Moderado"),CONCATENATE("R2C",'Mapa final'!$R$49),"")</f>
        <v/>
      </c>
      <c r="X46" s="54" t="str">
        <f>IF(AND('Mapa final'!$AH$50="Baja",'Mapa final'!$AJ$50="Moderado"),CONCATENATE("R2C",'Mapa final'!$R$50),"")</f>
        <v/>
      </c>
      <c r="Y46" s="54" t="str">
        <f>IF(AND('Mapa final'!$AH$51="Baja",'Mapa final'!$AJ$51="Moderado"),CONCATENATE("R2C",'Mapa final'!$R$51),"")</f>
        <v/>
      </c>
      <c r="Z46" s="54" t="str">
        <f>IF(AND('Mapa final'!$AH$52="Baja",'Mapa final'!$AJ$52="Moderado"),CONCATENATE("R2C",'Mapa final'!$R$52),"")</f>
        <v/>
      </c>
      <c r="AA46" s="54" t="str">
        <f>IF(AND('Mapa final'!$AH$53="Baja",'Mapa final'!$AJ$53="Moderado"),CONCATENATE("R2C",'Mapa final'!$R$53),"")</f>
        <v/>
      </c>
      <c r="AB46" s="55" t="str">
        <f>IF(AND('Mapa final'!$AH$54="Baja",'Mapa final'!$AJ$54="Moderado"),CONCATENATE("R2C",'Mapa final'!$R$54),"")</f>
        <v/>
      </c>
      <c r="AC46" s="38" t="str">
        <f>IF(AND('Mapa final'!$AH$49="Baja",'Mapa final'!$AJ$49="Mayor"),CONCATENATE("R2C",'Mapa final'!$R$49),"")</f>
        <v/>
      </c>
      <c r="AD46" s="39" t="str">
        <f>IF(AND('Mapa final'!$AH$50="Baja",'Mapa final'!$AJ$50="Mayor"),CONCATENATE("R2C",'Mapa final'!$R$50),"")</f>
        <v/>
      </c>
      <c r="AE46" s="39" t="str">
        <f>IF(AND('Mapa final'!$AH$51="Baja",'Mapa final'!$AJ$51="Mayor"),CONCATENATE("R2C",'Mapa final'!$R$51),"")</f>
        <v/>
      </c>
      <c r="AF46" s="39" t="str">
        <f>IF(AND('Mapa final'!$AH$52="Baja",'Mapa final'!$AJ$52="Mayor"),CONCATENATE("R2C",'Mapa final'!$R$52),"")</f>
        <v/>
      </c>
      <c r="AG46" s="39" t="str">
        <f>IF(AND('Mapa final'!$AH$53="Baja",'Mapa final'!$AJ$53="Mayor"),CONCATENATE("R2C",'Mapa final'!$R$53),"")</f>
        <v/>
      </c>
      <c r="AH46" s="40" t="str">
        <f>IF(AND('Mapa final'!$AH$54="Baja",'Mapa final'!$AJ$54="Mayor"),CONCATENATE("R2C",'Mapa final'!$R$54),"")</f>
        <v/>
      </c>
      <c r="AI46" s="41" t="str">
        <f>IF(AND('Mapa final'!$AH$49="Baja",'Mapa final'!$AJ$49="Catastrófico"),CONCATENATE("R2C",'Mapa final'!$R$49),"")</f>
        <v/>
      </c>
      <c r="AJ46" s="42" t="str">
        <f>IF(AND('Mapa final'!$AH$50="Baja",'Mapa final'!$AJ$50="Catastrófico"),CONCATENATE("R2C",'Mapa final'!$R$50),"")</f>
        <v/>
      </c>
      <c r="AK46" s="42" t="str">
        <f>IF(AND('Mapa final'!$AH$51="Baja",'Mapa final'!$AJ$51="Catastrófico"),CONCATENATE("R2C",'Mapa final'!$R$51),"")</f>
        <v/>
      </c>
      <c r="AL46" s="42" t="str">
        <f>IF(AND('Mapa final'!$AH$52="Baja",'Mapa final'!$AJ$52="Catastrófico"),CONCATENATE("R2C",'Mapa final'!$R$52),"")</f>
        <v/>
      </c>
      <c r="AM46" s="42" t="str">
        <f>IF(AND('Mapa final'!$AH$53="Baja",'Mapa final'!$AJ$53="Catastrófico"),CONCATENATE("R2C",'Mapa final'!$R$53),"")</f>
        <v/>
      </c>
      <c r="AN46" s="43" t="str">
        <f>IF(AND('Mapa final'!$AH$54="Baja",'Mapa final'!$AJ$54="Catastrófico"),CONCATENATE("R2C",'Mapa final'!$R$54),"")</f>
        <v/>
      </c>
      <c r="AO46" s="68"/>
      <c r="AP46" s="516"/>
      <c r="AQ46" s="517"/>
      <c r="AR46" s="517"/>
      <c r="AS46" s="517"/>
      <c r="AT46" s="517"/>
      <c r="AU46" s="51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41"/>
      <c r="D47" s="441"/>
      <c r="E47" s="442"/>
      <c r="F47" s="484"/>
      <c r="G47" s="485"/>
      <c r="H47" s="485"/>
      <c r="I47" s="485"/>
      <c r="J47" s="485"/>
      <c r="K47" s="62" t="str">
        <f>IF(AND('Mapa final'!$AH$55="Baja",'Mapa final'!$AJ$55="Leve"),CONCATENATE("R2C",'Mapa final'!$R$55),"")</f>
        <v/>
      </c>
      <c r="L47" s="63" t="str">
        <f>IF(AND('Mapa final'!$AH$56="Baja",'Mapa final'!$AJ$56="Leve"),CONCATENATE("R2C",'Mapa final'!$R$56),"")</f>
        <v/>
      </c>
      <c r="M47" s="63" t="str">
        <f>IF(AND('Mapa final'!$AH$57="Baja",'Mapa final'!$AJ$57="Leve"),CONCATENATE("R2C",'Mapa final'!$R$57),"")</f>
        <v/>
      </c>
      <c r="N47" s="63" t="str">
        <f>IF(AND('Mapa final'!$AH$58="Baja",'Mapa final'!$AJ$58="Leve"),CONCATENATE("R2C",'Mapa final'!$R$58),"")</f>
        <v/>
      </c>
      <c r="O47" s="63" t="str">
        <f>IF(AND('Mapa final'!$AH$59="Baja",'Mapa final'!$AJ$59="Leve"),CONCATENATE("R2C",'Mapa final'!$R$59),"")</f>
        <v/>
      </c>
      <c r="P47" s="64" t="str">
        <f>IF(AND('Mapa final'!$AH$70="Baja",'Mapa final'!$AJ$60="Leve"),CONCATENATE("R2C",'Mapa final'!$R$60),"")</f>
        <v/>
      </c>
      <c r="Q47" s="53" t="str">
        <f>IF(AND('Mapa final'!$AH$55="Baja",'Mapa final'!$AJ$55="Menor"),CONCATENATE("R2C",'Mapa final'!$R$55),"")</f>
        <v/>
      </c>
      <c r="R47" s="54" t="str">
        <f>IF(AND('Mapa final'!$AH$56="Baja",'Mapa final'!$AJ$56="Menor"),CONCATENATE("R2C",'Mapa final'!$R$56),"")</f>
        <v/>
      </c>
      <c r="S47" s="54" t="str">
        <f>IF(AND('Mapa final'!$AH$57="Baja",'Mapa final'!$AJ$57="Menor"),CONCATENATE("R2C",'Mapa final'!$R$57),"")</f>
        <v/>
      </c>
      <c r="T47" s="54" t="str">
        <f>IF(AND('Mapa final'!$AH$58="Baja",'Mapa final'!$AJ$58="Menor"),CONCATENATE("R2C",'Mapa final'!$R$58),"")</f>
        <v/>
      </c>
      <c r="U47" s="54" t="str">
        <f>IF(AND('Mapa final'!$AH$59="Baja",'Mapa final'!$AJ$59="Menor"),CONCATENATE("R2C",'Mapa final'!$R$59),"")</f>
        <v/>
      </c>
      <c r="V47" s="55" t="str">
        <f>IF(AND('Mapa final'!$AH$70="Baja",'Mapa final'!$AJ$60="Menor"),CONCATENATE("R2C",'Mapa final'!$R$60),"")</f>
        <v/>
      </c>
      <c r="W47" s="53" t="str">
        <f>IF(AND('Mapa final'!$AH$55="Baja",'Mapa final'!$AJ$55="Moderado"),CONCATENATE("R2C",'Mapa final'!$R$55),"")</f>
        <v/>
      </c>
      <c r="X47" s="54" t="str">
        <f>IF(AND('Mapa final'!$AH$56="Baja",'Mapa final'!$AJ$56="Moderado"),CONCATENATE("R2C",'Mapa final'!$R$56),"")</f>
        <v/>
      </c>
      <c r="Y47" s="54" t="str">
        <f>IF(AND('Mapa final'!$AH$57="Baja",'Mapa final'!$AJ$57="Moderado"),CONCATENATE("R2C",'Mapa final'!$R$57),"")</f>
        <v/>
      </c>
      <c r="Z47" s="54" t="str">
        <f>IF(AND('Mapa final'!$AH$58="Baja",'Mapa final'!$AJ$58="Moderado"),CONCATENATE("R2C",'Mapa final'!$R$58),"")</f>
        <v/>
      </c>
      <c r="AA47" s="54" t="str">
        <f>IF(AND('Mapa final'!$AH$59="Baja",'Mapa final'!$AJ$59="Moderado"),CONCATENATE("R2C",'Mapa final'!$R$59),"")</f>
        <v/>
      </c>
      <c r="AB47" s="55" t="str">
        <f>IF(AND('Mapa final'!$AH$70="Baja",'Mapa final'!$AJ$60="Moderado"),CONCATENATE("R2C",'Mapa final'!$R$60),"")</f>
        <v/>
      </c>
      <c r="AC47" s="38" t="str">
        <f>IF(AND('Mapa final'!$AH$55="Baja",'Mapa final'!$AJ$55="Mayor"),CONCATENATE("R2C",'Mapa final'!$R$55),"")</f>
        <v/>
      </c>
      <c r="AD47" s="39" t="str">
        <f>IF(AND('Mapa final'!$AH$56="Baja",'Mapa final'!$AJ$56="Mayor"),CONCATENATE("R2C",'Mapa final'!$R$56),"")</f>
        <v/>
      </c>
      <c r="AE47" s="39" t="str">
        <f>IF(AND('Mapa final'!$AH$57="Baja",'Mapa final'!$AJ$57="Mayor"),CONCATENATE("R2C",'Mapa final'!$R$57),"")</f>
        <v/>
      </c>
      <c r="AF47" s="39" t="str">
        <f>IF(AND('Mapa final'!$AH$58="Baja",'Mapa final'!$AJ$58="Mayor"),CONCATENATE("R2C",'Mapa final'!$R$58),"")</f>
        <v/>
      </c>
      <c r="AG47" s="39" t="str">
        <f>IF(AND('Mapa final'!$AH$59="Baja",'Mapa final'!$AJ$59="Mayor"),CONCATENATE("R2C",'Mapa final'!$R$59),"")</f>
        <v/>
      </c>
      <c r="AH47" s="40" t="str">
        <f>IF(AND('Mapa final'!$AH$70="Baja",'Mapa final'!$AJ$60="Mayor"),CONCATENATE("R2C",'Mapa final'!$R$60),"")</f>
        <v/>
      </c>
      <c r="AI47" s="41" t="str">
        <f>IF(AND('Mapa final'!$AH$55="Baja",'Mapa final'!$AJ$55="Catastrófico"),CONCATENATE("R2C",'Mapa final'!$R$55),"")</f>
        <v/>
      </c>
      <c r="AJ47" s="42" t="str">
        <f>IF(AND('Mapa final'!$AH$56="Baja",'Mapa final'!$AJ$56="Catastrófico"),CONCATENATE("R2C",'Mapa final'!$R$56),"")</f>
        <v/>
      </c>
      <c r="AK47" s="42" t="str">
        <f>IF(AND('Mapa final'!$AH$57="Baja",'Mapa final'!$AJ$57="Catastrófico"),CONCATENATE("R2C",'Mapa final'!$R$57),"")</f>
        <v/>
      </c>
      <c r="AL47" s="42" t="str">
        <f>IF(AND('Mapa final'!$AH$58="Baja",'Mapa final'!$AJ$58="Catastrófico"),CONCATENATE("R2C",'Mapa final'!$R$58),"")</f>
        <v/>
      </c>
      <c r="AM47" s="42" t="str">
        <f>IF(AND('Mapa final'!$AH$59="Baja",'Mapa final'!$AJ$59="Catastrófico"),CONCATENATE("R2C",'Mapa final'!$R$59),"")</f>
        <v/>
      </c>
      <c r="AN47" s="43" t="str">
        <f>IF(AND('Mapa final'!$AH$70="Baja",'Mapa final'!$AJ$60="Catastrófico"),CONCATENATE("R2C",'Mapa final'!$R$60),"")</f>
        <v/>
      </c>
      <c r="AO47" s="68"/>
      <c r="AP47" s="516"/>
      <c r="AQ47" s="517"/>
      <c r="AR47" s="517"/>
      <c r="AS47" s="517"/>
      <c r="AT47" s="517"/>
      <c r="AU47" s="51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41"/>
      <c r="D48" s="441"/>
      <c r="E48" s="442"/>
      <c r="F48" s="484"/>
      <c r="G48" s="485"/>
      <c r="H48" s="485"/>
      <c r="I48" s="485"/>
      <c r="J48" s="485"/>
      <c r="K48" s="62" t="str">
        <f>IF(AND('Mapa final'!$AH$61="Baja",'Mapa final'!$AJ$61="Leve"),CONCATENATE("R2C",'Mapa final'!$R$61),"")</f>
        <v/>
      </c>
      <c r="L48" s="63" t="str">
        <f>IF(AND('Mapa final'!$AH$62="Baja",'Mapa final'!$AJ$62="Leve"),CONCATENATE("R2C",'Mapa final'!$R$62),"")</f>
        <v/>
      </c>
      <c r="M48" s="63" t="str">
        <f>IF(AND('Mapa final'!$AH$63="Baja",'Mapa final'!$AJ$63="Leve"),CONCATENATE("R2C",'Mapa final'!$R$63),"")</f>
        <v/>
      </c>
      <c r="N48" s="63" t="str">
        <f>IF(AND('Mapa final'!$AH$64="Baja",'Mapa final'!$AJ$64="Leve"),CONCATENATE("R2C",'Mapa final'!$R$64),"")</f>
        <v/>
      </c>
      <c r="O48" s="63" t="str">
        <f>IF(AND('Mapa final'!$AH$65="Baja",'Mapa final'!$AJ$65="Leve"),CONCATENATE("R2C",'Mapa final'!$R$65),"")</f>
        <v/>
      </c>
      <c r="P48" s="64" t="str">
        <f>IF(AND('Mapa final'!$AH$66="Baja",'Mapa final'!$AJ$66="Leve"),CONCATENATE("R2C",'Mapa final'!$R$66),"")</f>
        <v/>
      </c>
      <c r="Q48" s="53" t="str">
        <f>IF(AND('Mapa final'!$AH$61="Baja",'Mapa final'!$AJ$61="Menor"),CONCATENATE("R2C",'Mapa final'!$R$61),"")</f>
        <v/>
      </c>
      <c r="R48" s="54" t="str">
        <f>IF(AND('Mapa final'!$AH$62="Baja",'Mapa final'!$AJ$62="Menor"),CONCATENATE("R2C",'Mapa final'!$R$62),"")</f>
        <v/>
      </c>
      <c r="S48" s="54" t="str">
        <f>IF(AND('Mapa final'!$AH$63="Baja",'Mapa final'!$AJ$63="Menor"),CONCATENATE("R2C",'Mapa final'!$R$63),"")</f>
        <v/>
      </c>
      <c r="T48" s="54" t="str">
        <f>IF(AND('Mapa final'!$AH$64="Baja",'Mapa final'!$AJ$64="Menor"),CONCATENATE("R2C",'Mapa final'!$R$64),"")</f>
        <v/>
      </c>
      <c r="U48" s="54" t="str">
        <f>IF(AND('Mapa final'!$AH$65="Baja",'Mapa final'!$AJ$65="Menor"),CONCATENATE("R2C",'Mapa final'!$R$65),"")</f>
        <v/>
      </c>
      <c r="V48" s="55" t="str">
        <f>IF(AND('Mapa final'!$AH$66="Baja",'Mapa final'!$AJ$66="Menor"),CONCATENATE("R2C",'Mapa final'!$R$66),"")</f>
        <v/>
      </c>
      <c r="W48" s="53" t="str">
        <f>IF(AND('Mapa final'!$AH$61="Baja",'Mapa final'!$AJ$61="Moderado"),CONCATENATE("R2C",'Mapa final'!$R$61),"")</f>
        <v/>
      </c>
      <c r="X48" s="54" t="str">
        <f>IF(AND('Mapa final'!$AH$62="Baja",'Mapa final'!$AJ$62="Moderado"),CONCATENATE("R2C",'Mapa final'!$R$62),"")</f>
        <v/>
      </c>
      <c r="Y48" s="54" t="str">
        <f>IF(AND('Mapa final'!$AH$63="Baja",'Mapa final'!$AJ$63="Moderado"),CONCATENATE("R2C",'Mapa final'!$R$63),"")</f>
        <v/>
      </c>
      <c r="Z48" s="54" t="str">
        <f>IF(AND('Mapa final'!$AH$64="Baja",'Mapa final'!$AJ$64="Moderado"),CONCATENATE("R2C",'Mapa final'!$R$64),"")</f>
        <v/>
      </c>
      <c r="AA48" s="54" t="str">
        <f>IF(AND('Mapa final'!$AH$65="Baja",'Mapa final'!$AJ$65="Moderado"),CONCATENATE("R2C",'Mapa final'!$R$65),"")</f>
        <v/>
      </c>
      <c r="AB48" s="55" t="str">
        <f>IF(AND('Mapa final'!$AH$66="Baja",'Mapa final'!$AJ$66="Moderado"),CONCATENATE("R2C",'Mapa final'!$R$66),"")</f>
        <v/>
      </c>
      <c r="AC48" s="38" t="str">
        <f>IF(AND('Mapa final'!$AH$61="Baja",'Mapa final'!$AJ$61="Mayor"),CONCATENATE("R2C",'Mapa final'!$R$61),"")</f>
        <v/>
      </c>
      <c r="AD48" s="39" t="str">
        <f>IF(AND('Mapa final'!$AH$62="Baja",'Mapa final'!$AJ$62="Mayor"),CONCATENATE("R2C",'Mapa final'!$R$62),"")</f>
        <v/>
      </c>
      <c r="AE48" s="39" t="str">
        <f>IF(AND('Mapa final'!$AH$63="Baja",'Mapa final'!$AJ$63="Mayor"),CONCATENATE("R2C",'Mapa final'!$R$63),"")</f>
        <v/>
      </c>
      <c r="AF48" s="39" t="str">
        <f>IF(AND('Mapa final'!$AH$64="Baja",'Mapa final'!$AJ$64="Mayor"),CONCATENATE("R2C",'Mapa final'!$R$64),"")</f>
        <v/>
      </c>
      <c r="AG48" s="39" t="str">
        <f>IF(AND('Mapa final'!$AH$65="Baja",'Mapa final'!$AJ$65="Mayor"),CONCATENATE("R2C",'Mapa final'!$R$65),"")</f>
        <v/>
      </c>
      <c r="AH48" s="40" t="str">
        <f>IF(AND('Mapa final'!$AH$66="Baja",'Mapa final'!$AJ$66="Mayor"),CONCATENATE("R2C",'Mapa final'!$R$66),"")</f>
        <v/>
      </c>
      <c r="AI48" s="41" t="str">
        <f>IF(AND('Mapa final'!$AH$61="Baja",'Mapa final'!$AJ$61="Catastrófico"),CONCATENATE("R2C",'Mapa final'!$R$61),"")</f>
        <v/>
      </c>
      <c r="AJ48" s="42" t="str">
        <f>IF(AND('Mapa final'!$AH$62="Baja",'Mapa final'!$AJ$62="Catastrófico"),CONCATENATE("R2C",'Mapa final'!$R$62),"")</f>
        <v/>
      </c>
      <c r="AK48" s="42" t="str">
        <f>IF(AND('Mapa final'!$AH$63="Baja",'Mapa final'!$AJ$63="Catastrófico"),CONCATENATE("R2C",'Mapa final'!$R$63),"")</f>
        <v/>
      </c>
      <c r="AL48" s="42" t="str">
        <f>IF(AND('Mapa final'!$AH$64="Baja",'Mapa final'!$AJ$64="Catastrófico"),CONCATENATE("R2C",'Mapa final'!$R$64),"")</f>
        <v/>
      </c>
      <c r="AM48" s="42" t="str">
        <f>IF(AND('Mapa final'!$AH$65="Baja",'Mapa final'!$AJ$65="Catastrófico"),CONCATENATE("R2C",'Mapa final'!$R$65),"")</f>
        <v/>
      </c>
      <c r="AN48" s="43" t="str">
        <f>IF(AND('Mapa final'!$AH$66="Baja",'Mapa final'!$AJ$66="Catastrófico"),CONCATENATE("R2C",'Mapa final'!$R$66),"")</f>
        <v/>
      </c>
      <c r="AO48" s="68"/>
      <c r="AP48" s="516"/>
      <c r="AQ48" s="517"/>
      <c r="AR48" s="517"/>
      <c r="AS48" s="517"/>
      <c r="AT48" s="517"/>
      <c r="AU48" s="51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41"/>
      <c r="D49" s="441"/>
      <c r="E49" s="442"/>
      <c r="F49" s="484"/>
      <c r="G49" s="485"/>
      <c r="H49" s="485"/>
      <c r="I49" s="485"/>
      <c r="J49" s="485"/>
      <c r="K49" s="62" t="str">
        <f>IF(AND('Mapa final'!$AH$67="Baja",'Mapa final'!$AJ$67="Leve"),CONCATENATE("R2C",'Mapa final'!$R$67),"")</f>
        <v/>
      </c>
      <c r="L49" s="63" t="str">
        <f>IF(AND('Mapa final'!$AH$68="Baja",'Mapa final'!$AJ$68="Leve"),CONCATENATE("R2C",'Mapa final'!$R$68),"")</f>
        <v/>
      </c>
      <c r="M49" s="63" t="str">
        <f>IF(AND('Mapa final'!$AH$69="Baja",'Mapa final'!$AJ$69="Leve"),CONCATENATE("R2C",'Mapa final'!$R$69),"")</f>
        <v/>
      </c>
      <c r="N49" s="63" t="str">
        <f>IF(AND('Mapa final'!$AH$70="Baja",'Mapa final'!$AJ$70="Leve"),CONCATENATE("R2C",'Mapa final'!$R$70),"")</f>
        <v/>
      </c>
      <c r="O49" s="63" t="str">
        <f>IF(AND('Mapa final'!$AH$71="Baja",'Mapa final'!$AJ$71="Leve"),CONCATENATE("R2C",'Mapa final'!$R$71),"")</f>
        <v/>
      </c>
      <c r="P49" s="64" t="str">
        <f>IF(AND('Mapa final'!$AH$72="Baja",'Mapa final'!$AJ$72="Leve"),CONCATENATE("R2C",'Mapa final'!$R$72),"")</f>
        <v/>
      </c>
      <c r="Q49" s="53" t="str">
        <f>IF(AND('Mapa final'!$AH$67="Baja",'Mapa final'!$AJ$67="Menor"),CONCATENATE("R2C",'Mapa final'!$R$67),"")</f>
        <v/>
      </c>
      <c r="R49" s="54" t="str">
        <f>IF(AND('Mapa final'!$AH$68="Baja",'Mapa final'!$AJ$68="Menor"),CONCATENATE("R2C",'Mapa final'!$R$68),"")</f>
        <v/>
      </c>
      <c r="S49" s="54" t="str">
        <f>IF(AND('Mapa final'!$AH$69="Baja",'Mapa final'!$AJ$69="Menor"),CONCATENATE("R2C",'Mapa final'!$R$69),"")</f>
        <v/>
      </c>
      <c r="T49" s="54" t="str">
        <f>IF(AND('Mapa final'!$AH$70="Baja",'Mapa final'!$AJ$70="Menor"),CONCATENATE("R2C",'Mapa final'!$R$70),"")</f>
        <v/>
      </c>
      <c r="U49" s="54" t="str">
        <f>IF(AND('Mapa final'!$AH$71="Baja",'Mapa final'!$AJ$71="Menor"),CONCATENATE("R2C",'Mapa final'!$R$71),"")</f>
        <v/>
      </c>
      <c r="V49" s="55" t="str">
        <f>IF(AND('Mapa final'!$AH$72="Baja",'Mapa final'!$AJ$72="Menor"),CONCATENATE("R2C",'Mapa final'!$R$72),"")</f>
        <v/>
      </c>
      <c r="W49" s="53" t="str">
        <f>IF(AND('Mapa final'!$AH$67="Baja",'Mapa final'!$AJ$67="Moderado"),CONCATENATE("R2C",'Mapa final'!$R$67),"")</f>
        <v/>
      </c>
      <c r="X49" s="54" t="str">
        <f>IF(AND('Mapa final'!$AH$68="Baja",'Mapa final'!$AJ$68="Moderado"),CONCATENATE("R2C",'Mapa final'!$R$68),"")</f>
        <v/>
      </c>
      <c r="Y49" s="54" t="str">
        <f>IF(AND('Mapa final'!$AH$69="Baja",'Mapa final'!$AJ$69="Moderado"),CONCATENATE("R2C",'Mapa final'!$R$69),"")</f>
        <v/>
      </c>
      <c r="Z49" s="54" t="str">
        <f>IF(AND('Mapa final'!$AH$70="Baja",'Mapa final'!$AJ$70="Moderado"),CONCATENATE("R2C",'Mapa final'!$R$70),"")</f>
        <v/>
      </c>
      <c r="AA49" s="54" t="str">
        <f>IF(AND('Mapa final'!$AH$71="Baja",'Mapa final'!$AJ$71="Moderado"),CONCATENATE("R2C",'Mapa final'!$R$71),"")</f>
        <v/>
      </c>
      <c r="AB49" s="55" t="str">
        <f>IF(AND('Mapa final'!$AH$72="Baja",'Mapa final'!$AJ$72="Moderado"),CONCATENATE("R2C",'Mapa final'!$R$72),"")</f>
        <v/>
      </c>
      <c r="AC49" s="38" t="str">
        <f>IF(AND('Mapa final'!$AH$67="Baja",'Mapa final'!$AJ$67="Mayor"),CONCATENATE("R2C",'Mapa final'!$R$67),"")</f>
        <v/>
      </c>
      <c r="AD49" s="39" t="str">
        <f>IF(AND('Mapa final'!$AH$68="Baja",'Mapa final'!$AJ$68="Mayor"),CONCATENATE("R2C",'Mapa final'!$R$68),"")</f>
        <v/>
      </c>
      <c r="AE49" s="39" t="str">
        <f>IF(AND('Mapa final'!$AH$69="Baja",'Mapa final'!$AJ$69="Mayor"),CONCATENATE("R2C",'Mapa final'!$R$69),"")</f>
        <v/>
      </c>
      <c r="AF49" s="39" t="str">
        <f>IF(AND('Mapa final'!$AH$70="Baja",'Mapa final'!$AJ$70="Mayor"),CONCATENATE("R2C",'Mapa final'!$R$70),"")</f>
        <v/>
      </c>
      <c r="AG49" s="39" t="str">
        <f>IF(AND('Mapa final'!$AH$71="Baja",'Mapa final'!$AJ$71="Mayor"),CONCATENATE("R2C",'Mapa final'!$R$71),"")</f>
        <v/>
      </c>
      <c r="AH49" s="40" t="str">
        <f>IF(AND('Mapa final'!$AH$72="Baja",'Mapa final'!$AJ$72="Mayor"),CONCATENATE("R2C",'Mapa final'!$R$72),"")</f>
        <v/>
      </c>
      <c r="AI49" s="41" t="str">
        <f>IF(AND('Mapa final'!$AH$67="Baja",'Mapa final'!$AJ$67="Catastrófico"),CONCATENATE("R2C",'Mapa final'!$R$67),"")</f>
        <v/>
      </c>
      <c r="AJ49" s="42" t="str">
        <f>IF(AND('Mapa final'!$AH$68="Baja",'Mapa final'!$AJ$68="Catastrófico"),CONCATENATE("R2C",'Mapa final'!$R$68),"")</f>
        <v/>
      </c>
      <c r="AK49" s="42" t="str">
        <f>IF(AND('Mapa final'!$AH$69="Baja",'Mapa final'!$AJ$69="Catastrófico"),CONCATENATE("R2C",'Mapa final'!$R$69),"")</f>
        <v/>
      </c>
      <c r="AL49" s="42" t="str">
        <f>IF(AND('Mapa final'!$AH$70="Baja",'Mapa final'!$AJ$70="Catastrófico"),CONCATENATE("R2C",'Mapa final'!$R$70),"")</f>
        <v/>
      </c>
      <c r="AM49" s="42" t="str">
        <f>IF(AND('Mapa final'!$AH$71="Baja",'Mapa final'!$AJ$71="Catastrófico"),CONCATENATE("R2C",'Mapa final'!$R$71),"")</f>
        <v/>
      </c>
      <c r="AN49" s="43" t="str">
        <f>IF(AND('Mapa final'!$AH$72="Baja",'Mapa final'!$AJ$72="Catastrófico"),CONCATENATE("R2C",'Mapa final'!$R$72),"")</f>
        <v/>
      </c>
      <c r="AO49" s="68"/>
      <c r="AP49" s="516"/>
      <c r="AQ49" s="517"/>
      <c r="AR49" s="517"/>
      <c r="AS49" s="517"/>
      <c r="AT49" s="517"/>
      <c r="AU49" s="51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41"/>
      <c r="D50" s="441"/>
      <c r="E50" s="442"/>
      <c r="F50" s="484"/>
      <c r="G50" s="485"/>
      <c r="H50" s="485"/>
      <c r="I50" s="485"/>
      <c r="J50" s="485"/>
      <c r="K50" s="62" t="str">
        <f>IF(AND('Mapa final'!$AH$73="Baja",'Mapa final'!$AJ$73="Leve"),CONCATENATE("R2C",'Mapa final'!$R$73),"")</f>
        <v/>
      </c>
      <c r="L50" s="63" t="str">
        <f>IF(AND('Mapa final'!$AH$74="Baja",'Mapa final'!$AJ$74="Leve"),CONCATENATE("R2C",'Mapa final'!$R$74),"")</f>
        <v/>
      </c>
      <c r="M50" s="63" t="str">
        <f>IF(AND('Mapa final'!$AH$75="Baja",'Mapa final'!$AJ$75="Leve"),CONCATENATE("R2C",'Mapa final'!$R$75),"")</f>
        <v/>
      </c>
      <c r="N50" s="63" t="str">
        <f>IF(AND('Mapa final'!$AH$76="Baja",'Mapa final'!$AJ$76="Leve"),CONCATENATE("R2C",'Mapa final'!$R$76),"")</f>
        <v/>
      </c>
      <c r="O50" s="63" t="str">
        <f>IF(AND('Mapa final'!$AH$77="Baja",'Mapa final'!$AJ$77="Leve"),CONCATENATE("R2C",'Mapa final'!$R$77),"")</f>
        <v/>
      </c>
      <c r="P50" s="64" t="str">
        <f>IF(AND('Mapa final'!$AH$78="Baja",'Mapa final'!$AJ$78="Leve"),CONCATENATE("R2C",'Mapa final'!$R$78),"")</f>
        <v/>
      </c>
      <c r="Q50" s="53" t="str">
        <f>IF(AND('Mapa final'!$AH$73="Baja",'Mapa final'!$AJ$73="Menor"),CONCATENATE("R2C",'Mapa final'!$R$73),"")</f>
        <v/>
      </c>
      <c r="R50" s="54" t="str">
        <f>IF(AND('Mapa final'!$AH$74="Baja",'Mapa final'!$AJ$74="Menor"),CONCATENATE("R2C",'Mapa final'!$R$74),"")</f>
        <v/>
      </c>
      <c r="S50" s="54" t="str">
        <f>IF(AND('Mapa final'!$AH$75="Baja",'Mapa final'!$AJ$75="Menor"),CONCATENATE("R2C",'Mapa final'!$R$75),"")</f>
        <v/>
      </c>
      <c r="T50" s="54" t="str">
        <f>IF(AND('Mapa final'!$AH$76="Baja",'Mapa final'!$AJ$76="Menor"),CONCATENATE("R2C",'Mapa final'!$R$76),"")</f>
        <v/>
      </c>
      <c r="U50" s="54" t="str">
        <f>IF(AND('Mapa final'!$AH$77="Baja",'Mapa final'!$AJ$77="Menor"),CONCATENATE("R2C",'Mapa final'!$R$77),"")</f>
        <v/>
      </c>
      <c r="V50" s="55" t="str">
        <f>IF(AND('Mapa final'!$AH$78="Baja",'Mapa final'!$AJ$78="Menor"),CONCATENATE("R2C",'Mapa final'!$R$78),"")</f>
        <v/>
      </c>
      <c r="W50" s="53" t="str">
        <f>IF(AND('Mapa final'!$AH$73="Baja",'Mapa final'!$AJ$73="Moderado"),CONCATENATE("R2C",'Mapa final'!$R$73),"")</f>
        <v/>
      </c>
      <c r="X50" s="54" t="str">
        <f>IF(AND('Mapa final'!$AH$74="Baja",'Mapa final'!$AJ$74="Moderado"),CONCATENATE("R2C",'Mapa final'!$R$74),"")</f>
        <v/>
      </c>
      <c r="Y50" s="54" t="str">
        <f>IF(AND('Mapa final'!$AH$75="Baja",'Mapa final'!$AJ$75="Moderado"),CONCATENATE("R2C",'Mapa final'!$R$75),"")</f>
        <v/>
      </c>
      <c r="Z50" s="54" t="str">
        <f>IF(AND('Mapa final'!$AH$76="Baja",'Mapa final'!$AJ$76="Moderado"),CONCATENATE("R2C",'Mapa final'!$R$76),"")</f>
        <v/>
      </c>
      <c r="AA50" s="54" t="str">
        <f>IF(AND('Mapa final'!$AH$77="Baja",'Mapa final'!$AJ$77="Moderado"),CONCATENATE("R2C",'Mapa final'!$R$77),"")</f>
        <v/>
      </c>
      <c r="AB50" s="55" t="str">
        <f>IF(AND('Mapa final'!$AH$78="Baja",'Mapa final'!$AJ$78="Moderado"),CONCATENATE("R2C",'Mapa final'!$R$78),"")</f>
        <v/>
      </c>
      <c r="AC50" s="38" t="str">
        <f>IF(AND('Mapa final'!$AH$73="Baja",'Mapa final'!$AJ$73="Mayor"),CONCATENATE("R2C",'Mapa final'!$R$73),"")</f>
        <v/>
      </c>
      <c r="AD50" s="39" t="str">
        <f>IF(AND('Mapa final'!$AH$74="Baja",'Mapa final'!$AJ$74="Mayor"),CONCATENATE("R2C",'Mapa final'!$R$74),"")</f>
        <v/>
      </c>
      <c r="AE50" s="39" t="str">
        <f>IF(AND('Mapa final'!$AH$75="Baja",'Mapa final'!$AJ$75="Mayor"),CONCATENATE("R2C",'Mapa final'!$R$75),"")</f>
        <v/>
      </c>
      <c r="AF50" s="39" t="str">
        <f>IF(AND('Mapa final'!$AH$76="Baja",'Mapa final'!$AJ$76="Mayor"),CONCATENATE("R2C",'Mapa final'!$R$76),"")</f>
        <v/>
      </c>
      <c r="AG50" s="39" t="str">
        <f>IF(AND('Mapa final'!$AH$77="Baja",'Mapa final'!$AJ$77="Mayor"),CONCATENATE("R2C",'Mapa final'!$R$77),"")</f>
        <v/>
      </c>
      <c r="AH50" s="40" t="str">
        <f>IF(AND('Mapa final'!$AH$78="Baja",'Mapa final'!$AJ$78="Mayor"),CONCATENATE("R2C",'Mapa final'!$R$78),"")</f>
        <v/>
      </c>
      <c r="AI50" s="41" t="str">
        <f>IF(AND('Mapa final'!$AH$73="Baja",'Mapa final'!$AJ$73="Catastrófico"),CONCATENATE("R2C",'Mapa final'!$R$73),"")</f>
        <v/>
      </c>
      <c r="AJ50" s="42" t="str">
        <f>IF(AND('Mapa final'!$AH$74="Baja",'Mapa final'!$AJ$74="Catastrófico"),CONCATENATE("R2C",'Mapa final'!$R$74),"")</f>
        <v/>
      </c>
      <c r="AK50" s="42" t="str">
        <f>IF(AND('Mapa final'!$AH$75="Baja",'Mapa final'!$AJ$75="Catastrófico"),CONCATENATE("R2C",'Mapa final'!$R$75),"")</f>
        <v/>
      </c>
      <c r="AL50" s="42" t="str">
        <f>IF(AND('Mapa final'!$AH$76="Baja",'Mapa final'!$AJ$76="Catastrófico"),CONCATENATE("R2C",'Mapa final'!$R$76),"")</f>
        <v/>
      </c>
      <c r="AM50" s="42" t="str">
        <f>IF(AND('Mapa final'!$AH$77="Baja",'Mapa final'!$AJ$77="Catastrófico"),CONCATENATE("R2C",'Mapa final'!$R$77),"")</f>
        <v/>
      </c>
      <c r="AN50" s="43" t="str">
        <f>IF(AND('Mapa final'!$AH$78="Baja",'Mapa final'!$AJ$78="Catastrófico"),CONCATENATE("R2C",'Mapa final'!$R$78),"")</f>
        <v/>
      </c>
      <c r="AO50" s="68"/>
      <c r="AP50" s="516"/>
      <c r="AQ50" s="517"/>
      <c r="AR50" s="517"/>
      <c r="AS50" s="517"/>
      <c r="AT50" s="517"/>
      <c r="AU50" s="51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41"/>
      <c r="D51" s="441"/>
      <c r="E51" s="442"/>
      <c r="F51" s="487"/>
      <c r="G51" s="488"/>
      <c r="H51" s="488"/>
      <c r="I51" s="488"/>
      <c r="J51" s="488"/>
      <c r="K51" s="65" t="str">
        <f>IF(AND('Mapa final'!$AH$79="Baja",'Mapa final'!$AJ$79="Leve"),CONCATENATE("R2C",'Mapa final'!$R$79),"")</f>
        <v/>
      </c>
      <c r="L51" s="66" t="str">
        <f>IF(AND('Mapa final'!$AH$80="Baja",'Mapa final'!$AJ$80="Leve"),CONCATENATE("R2C",'Mapa final'!$R$80),"")</f>
        <v/>
      </c>
      <c r="M51" s="66" t="str">
        <f>IF(AND('Mapa final'!$AH$81="Baja",'Mapa final'!$AJ$81="Leve"),CONCATENATE("R2C",'Mapa final'!$R$81),"")</f>
        <v/>
      </c>
      <c r="N51" s="66" t="str">
        <f>IF(AND('Mapa final'!$AH$82="Baja",'Mapa final'!$AJ$82="Leve"),CONCATENATE("R2C",'Mapa final'!$R$82),"")</f>
        <v/>
      </c>
      <c r="O51" s="66" t="str">
        <f>IF(AND('Mapa final'!$AH$84="Baja",'Mapa final'!$AJ$84="Leve"),CONCATENATE("R2C",'Mapa final'!$R$84),"")</f>
        <v/>
      </c>
      <c r="P51" s="67" t="str">
        <f>IF(AND('Mapa final'!$AH$85="Baja",'Mapa final'!$AJ$85="Leve"),CONCATENATE("R2C",'Mapa final'!$R$85),"")</f>
        <v/>
      </c>
      <c r="Q51" s="53" t="str">
        <f>IF(AND('Mapa final'!$AH$79="Baja",'Mapa final'!$AJ$79="Menor"),CONCATENATE("R2C",'Mapa final'!$R$79),"")</f>
        <v/>
      </c>
      <c r="R51" s="54" t="str">
        <f>IF(AND('Mapa final'!$AH$80="Baja",'Mapa final'!$AJ$80="Menor"),CONCATENATE("R2C",'Mapa final'!$R$80),"")</f>
        <v/>
      </c>
      <c r="S51" s="54" t="str">
        <f>IF(AND('Mapa final'!$AH$81="Baja",'Mapa final'!$AJ$81="Menor"),CONCATENATE("R2C",'Mapa final'!$R$81),"")</f>
        <v/>
      </c>
      <c r="T51" s="54" t="str">
        <f>IF(AND('Mapa final'!$AH$82="Baja",'Mapa final'!$AJ$82="Menor"),CONCATENATE("R2C",'Mapa final'!$R$82),"")</f>
        <v/>
      </c>
      <c r="U51" s="54" t="str">
        <f>IF(AND('Mapa final'!$AH$84="Baja",'Mapa final'!$AJ$84="Menor"),CONCATENATE("R2C",'Mapa final'!$R$84),"")</f>
        <v/>
      </c>
      <c r="V51" s="55" t="str">
        <f>IF(AND('Mapa final'!$AH$85="Baja",'Mapa final'!$AJ$85="Menor"),CONCATENATE("R2C",'Mapa final'!$R$85),"")</f>
        <v/>
      </c>
      <c r="W51" s="56" t="str">
        <f>IF(AND('Mapa final'!$AH$79="Baja",'Mapa final'!$AJ$79="Moderado"),CONCATENATE("R2C",'Mapa final'!$R$79),"")</f>
        <v/>
      </c>
      <c r="X51" s="57" t="str">
        <f>IF(AND('Mapa final'!$AH$80="Baja",'Mapa final'!$AJ$80="Moderado"),CONCATENATE("R2C",'Mapa final'!$R$80),"")</f>
        <v/>
      </c>
      <c r="Y51" s="57" t="str">
        <f>IF(AND('Mapa final'!$AH$81="Baja",'Mapa final'!$AJ$81="Moderado"),CONCATENATE("R2C",'Mapa final'!$R$81),"")</f>
        <v/>
      </c>
      <c r="Z51" s="57" t="str">
        <f>IF(AND('Mapa final'!$AH$82="Baja",'Mapa final'!$AJ$82="Moderado"),CONCATENATE("R2C",'Mapa final'!$R$82),"")</f>
        <v/>
      </c>
      <c r="AA51" s="57" t="str">
        <f>IF(AND('Mapa final'!$AH$84="Baja",'Mapa final'!$AJ$84="Moderado"),CONCATENATE("R2C",'Mapa final'!$R$84),"")</f>
        <v/>
      </c>
      <c r="AB51" s="58" t="str">
        <f>IF(AND('Mapa final'!$AH$85="Baja",'Mapa final'!$AJ$85="Moderado"),CONCATENATE("R2C",'Mapa final'!$R$85),"")</f>
        <v/>
      </c>
      <c r="AC51" s="44" t="str">
        <f>IF(AND('Mapa final'!$AH$79="Baja",'Mapa final'!$AJ$79="Mayor"),CONCATENATE("R2C",'Mapa final'!$R$79),"")</f>
        <v/>
      </c>
      <c r="AD51" s="45" t="str">
        <f>IF(AND('Mapa final'!$AH$80="Baja",'Mapa final'!$AJ$80="Mayor"),CONCATENATE("R2C",'Mapa final'!$R$80),"")</f>
        <v/>
      </c>
      <c r="AE51" s="45" t="str">
        <f>IF(AND('Mapa final'!$AH$81="Baja",'Mapa final'!$AJ$81="Mayor"),CONCATENATE("R2C",'Mapa final'!$R$81),"")</f>
        <v/>
      </c>
      <c r="AF51" s="45" t="str">
        <f>IF(AND('Mapa final'!$AH$82="Baja",'Mapa final'!$AJ$82="Mayor"),CONCATENATE("R2C",'Mapa final'!$R$82),"")</f>
        <v/>
      </c>
      <c r="AG51" s="45" t="str">
        <f>IF(AND('Mapa final'!$AH$84="Baja",'Mapa final'!$AJ$84="Mayor"),CONCATENATE("R2C",'Mapa final'!$R$84),"")</f>
        <v/>
      </c>
      <c r="AH51" s="46" t="str">
        <f>IF(AND('Mapa final'!$AH$85="Baja",'Mapa final'!$AJ$85="Mayor"),CONCATENATE("R2C",'Mapa final'!$R$85),"")</f>
        <v/>
      </c>
      <c r="AI51" s="47" t="str">
        <f>IF(AND('Mapa final'!$AH$79="Baja",'Mapa final'!$AJ$79="Catastrófico"),CONCATENATE("R2C",'Mapa final'!$R$79),"")</f>
        <v/>
      </c>
      <c r="AJ51" s="48" t="str">
        <f>IF(AND('Mapa final'!$AH$80="Baja",'Mapa final'!$AJ$80="Catastrófico"),CONCATENATE("R2C",'Mapa final'!$R$80),"")</f>
        <v/>
      </c>
      <c r="AK51" s="48" t="str">
        <f>IF(AND('Mapa final'!$AH$81="Baja",'Mapa final'!$AJ$81="Catastrófico"),CONCATENATE("R2C",'Mapa final'!$R$81),"")</f>
        <v/>
      </c>
      <c r="AL51" s="48" t="str">
        <f>IF(AND('Mapa final'!$AH$82="Baja",'Mapa final'!$AJ$82="Catastrófico"),CONCATENATE("R2C",'Mapa final'!$R$82),"")</f>
        <v/>
      </c>
      <c r="AM51" s="48" t="str">
        <f>IF(AND('Mapa final'!$AH$84="Baja",'Mapa final'!$AJ$84="Catastrófico"),CONCATENATE("R2C",'Mapa final'!$R$84),"")</f>
        <v/>
      </c>
      <c r="AN51" s="49" t="str">
        <f>IF(AND('Mapa final'!$AH$85="Baja",'Mapa final'!$AJ$85="Catastrófico"),CONCATENATE("R2C",'Mapa final'!$R$85),"")</f>
        <v/>
      </c>
      <c r="AO51" s="68"/>
      <c r="AP51" s="519"/>
      <c r="AQ51" s="520"/>
      <c r="AR51" s="520"/>
      <c r="AS51" s="520"/>
      <c r="AT51" s="520"/>
      <c r="AU51" s="521"/>
    </row>
    <row r="52" spans="2:81" ht="41.25" customHeight="1">
      <c r="B52" s="68"/>
      <c r="C52" s="441"/>
      <c r="D52" s="441"/>
      <c r="E52" s="442"/>
      <c r="F52" s="481" t="s">
        <v>315</v>
      </c>
      <c r="G52" s="482"/>
      <c r="H52" s="482"/>
      <c r="I52" s="482"/>
      <c r="J52" s="483"/>
      <c r="K52" s="59"/>
      <c r="L52" s="60" t="str">
        <f>IF(AND('Mapa final'!$AH$16="Muy Baja",'Mapa final'!$AJ$16="Leve"),CONCATENATE("R2C",'Mapa final'!$R$15),"")</f>
        <v/>
      </c>
      <c r="M52" s="60" t="str">
        <f>IF(AND('Mapa final'!$AH$17="Muy Baja",'Mapa final'!$AJ$17="Leve"),CONCATENATE("R2C",'Mapa final'!$R$17),"")</f>
        <v/>
      </c>
      <c r="N52" s="60" t="str">
        <f>IF(AND('Mapa final'!$AH$20="Muy Baja",'Mapa final'!$AJ$20="Leve"),CONCATENATE("R2C",'Mapa final'!$R$20),"")</f>
        <v/>
      </c>
      <c r="O52" s="60" t="str">
        <f>IF(AND('Mapa final'!$AH$21="Muy Baja",'Mapa final'!$AJ$21="Leve"),CONCATENATE("R2C",'Mapa final'!$R$21),"")</f>
        <v/>
      </c>
      <c r="P52" s="61" t="str">
        <f>IF(AND('Mapa final'!$AH$22="Muy Baja",'Mapa final'!$AJ$22="Leve"),CONCATENATE("R2C",'Mapa final'!$R$22),"")</f>
        <v/>
      </c>
      <c r="Q52" s="59"/>
      <c r="R52" s="60" t="str">
        <f>IF(AND('Mapa final'!$AH$16="Muy Baja",'Mapa final'!$AJ$16="Menore"),CONCATENATE("R2C",'Mapa final'!$R$15),"")</f>
        <v/>
      </c>
      <c r="S52" s="60" t="str">
        <f>IF(AND('Mapa final'!$AH$17="Muy Baja",'Mapa final'!$AJ$17="Menor"),CONCATENATE("R2C",'Mapa final'!$R$17),"")</f>
        <v/>
      </c>
      <c r="T52" s="60" t="str">
        <f>IF(AND('Mapa final'!$AH$20="Muy Baja",'Mapa final'!$AJ$20="Menor"),CONCATENATE("R2C",'Mapa final'!$R$20),"")</f>
        <v/>
      </c>
      <c r="U52" s="60" t="str">
        <f>IF(AND('Mapa final'!$AH$21="Muy Baja",'Mapa final'!$AJ$21="Menor"),CONCATENATE("R2C",'Mapa final'!$R$21),"")</f>
        <v/>
      </c>
      <c r="V52" s="61" t="str">
        <f>IF(AND('Mapa final'!$AH$22="Muy Baja",'Mapa final'!$AJ$22="Menor"),CONCATENATE("R2C",'Mapa final'!$R$22),"")</f>
        <v/>
      </c>
      <c r="W52" s="50"/>
      <c r="X52" s="201" t="str">
        <f>IF(AND('Mapa final'!$AH$16="Muy Baja",'Mapa final'!$AJ$16="Moderado"),CONCATENATE("R2C",'Mapa final'!$D$15),"")</f>
        <v/>
      </c>
      <c r="Y52" s="51"/>
      <c r="Z52" s="51" t="str">
        <f>IF(AND('Mapa final'!$AH$20="Muy Baja",'Mapa final'!$AJ$20="Moderado"),CONCATENATE("R2C",'Mapa final'!$R$20),"")</f>
        <v/>
      </c>
      <c r="AA52" s="51" t="str">
        <f>IF(AND('Mapa final'!$AH$21="Muy Baja",'Mapa final'!$AJ$21="Moderado"),CONCATENATE("R2C",'Mapa final'!$R$21),"")</f>
        <v/>
      </c>
      <c r="AB52" s="52" t="str">
        <f>IF(AND('Mapa final'!$AH$22="Muy Baja",'Mapa final'!$AJ$22="Moderado"),CONCATENATE("R2C",'Mapa final'!$R$22),"")</f>
        <v/>
      </c>
      <c r="AC52" s="32"/>
      <c r="AD52" s="33" t="str">
        <f>IF(AND('Mapa final'!$AH$16="Muy Baja",'Mapa final'!$AJ$16="Mayor"),CONCATENATE("R2C",'Mapa final'!$R$15),"")</f>
        <v/>
      </c>
      <c r="AE52" s="200" t="str">
        <f>IF(AND('Mapa final'!$AH$17="Muy Baja",'Mapa final'!$AJ$17="Mayor"),CONCATENATE("R2C",'Mapa final'!$D$17),"")</f>
        <v/>
      </c>
      <c r="AF52" s="33" t="str">
        <f>IF(AND('Mapa final'!$AH$20="Muy Baja",'Mapa final'!$AJ$20="Mayor"),CONCATENATE("R2C",'Mapa final'!$R$20),"")</f>
        <v/>
      </c>
      <c r="AG52" s="33" t="str">
        <f>IF(AND('Mapa final'!$AH$21="Muy Baja",'Mapa final'!$AJ$21="Mayor"),CONCATENATE("R2C",'Mapa final'!$R$21),"")</f>
        <v/>
      </c>
      <c r="AH52" s="34" t="str">
        <f>IF(AND('Mapa final'!$AH$22="Muy Baja",'Mapa final'!$AJ$22="Mayor"),CONCATENATE("R2C",'Mapa final'!$R$22),"")</f>
        <v/>
      </c>
      <c r="AI52" s="35"/>
      <c r="AJ52" s="36" t="str">
        <f>IF(AND('Mapa final'!$AH$16="Muy Baja",'Mapa final'!$AJ$16="Catastrófico"),CONCATENATE("R2C",'Mapa final'!$D$15),"")</f>
        <v/>
      </c>
      <c r="AK52" s="36" t="str">
        <f>IF(AND('Mapa final'!$AH$17="Muy Baja",'Mapa final'!$AJ$17="Catastrófico"),CONCATENATE("R2C",'Mapa final'!$R$17),"")</f>
        <v/>
      </c>
      <c r="AL52" s="36" t="str">
        <f>IF(AND('Mapa final'!$AH$20="Muy Baja",'Mapa final'!$AJ$20="Catastrófico"),CONCATENATE("R2C",'Mapa final'!$R$20),"")</f>
        <v/>
      </c>
      <c r="AM52" s="36" t="str">
        <f>IF(AND('Mapa final'!$AH$21="Muy Baja",'Mapa final'!$AJ$21="Catastrófico"),CONCATENATE("R2C",'Mapa final'!$R$21),"")</f>
        <v/>
      </c>
      <c r="AN52" s="37" t="str">
        <f>IF(AND('Mapa final'!$AH$22="Muy Baja",'Mapa final'!$AJ$22="Catastrófico"),CONCATENATE("R2C",'Mapa final'!$R$22),"")</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41"/>
      <c r="D53" s="441"/>
      <c r="E53" s="442"/>
      <c r="F53" s="500"/>
      <c r="G53" s="485"/>
      <c r="H53" s="485"/>
      <c r="I53" s="485"/>
      <c r="J53" s="486"/>
      <c r="K53" s="62" t="str">
        <f>IF(AND('Mapa final'!$AH$23="Muy Baja",'Mapa final'!$AJ$23="Leve"),CONCATENATE("R2C",'Mapa final'!$R$23),"")</f>
        <v/>
      </c>
      <c r="L53" s="63" t="str">
        <f>IF(AND('Mapa final'!$AH$24="Muy Baja",'Mapa final'!$AJ$24="Leve"),CONCATENATE("R2C",'Mapa final'!$R$24),"")</f>
        <v/>
      </c>
      <c r="M53" s="63" t="str">
        <f>IF(AND('Mapa final'!$AH$33="Muy Baja",'Mapa final'!$AJ$33="Leve"),CONCATENATE("R2C",'Mapa final'!$R$33),"")</f>
        <v/>
      </c>
      <c r="N53" s="63" t="str">
        <f>IF(AND('Mapa final'!$AH$34="Muy Baja",'Mapa final'!$AJ$34="Leve"),CONCATENATE("R2C",'Mapa final'!$R$34),"")</f>
        <v/>
      </c>
      <c r="O53" s="63" t="str">
        <f>IF(AND('Mapa final'!$AH$35="Muy Baja",'Mapa final'!$AJ$35="Leve"),CONCATENATE("R2C",'Mapa final'!$R$35),"")</f>
        <v/>
      </c>
      <c r="P53" s="64" t="str">
        <f>IF(AND('Mapa final'!$AH$36="Muy Baja",'Mapa final'!$AJ$36="Leve"),CONCATENATE("R2C",'Mapa final'!$R$36),"")</f>
        <v/>
      </c>
      <c r="Q53" s="62" t="str">
        <f>IF(AND('Mapa final'!$AH$23="Muy Baja",'Mapa final'!$AJ$23="Menor"),CONCATENATE("R2C",'Mapa final'!$R$23),"")</f>
        <v/>
      </c>
      <c r="R53" s="63" t="str">
        <f>IF(AND('Mapa final'!$AH$24="Muy Baja",'Mapa final'!$AJ$24="Menor"),CONCATENATE("R2C",'Mapa final'!$R$24),"")</f>
        <v/>
      </c>
      <c r="S53" s="63" t="str">
        <f>IF(AND('Mapa final'!$AH$33="Muy Baja",'Mapa final'!$AJ$33="Menor"),CONCATENATE("R2C",'Mapa final'!$R$33),"")</f>
        <v/>
      </c>
      <c r="T53" s="63" t="str">
        <f>IF(AND('Mapa final'!$AH$34="Muy Baja",'Mapa final'!$AJ$34="Menor"),CONCATENATE("R2C",'Mapa final'!$R$34),"")</f>
        <v/>
      </c>
      <c r="U53" s="63" t="str">
        <f>IF(AND('Mapa final'!$AH$35="Muy Baja",'Mapa final'!$AJ$35="Menor"),CONCATENATE("R2C",'Mapa final'!$R$35),"")</f>
        <v/>
      </c>
      <c r="V53" s="64" t="str">
        <f>IF(AND('Mapa final'!$AH$36="Muy Baja",'Mapa final'!$AJ$36="Menor"),CONCATENATE("R2C",'Mapa final'!$R$36),"")</f>
        <v/>
      </c>
      <c r="W53" s="53" t="str">
        <f>IF(AND('Mapa final'!$AH$23="Muy Baja",'Mapa final'!$AJ$23="Moderado"),CONCATENATE("R2C",'Mapa final'!$R$23),"")</f>
        <v/>
      </c>
      <c r="X53" s="54" t="str">
        <f>IF(AND('Mapa final'!$AH$24="Muy Baja",'Mapa final'!$AJ$24="Moderado"),CONCATENATE("R2C",'Mapa final'!$R$24),"")</f>
        <v/>
      </c>
      <c r="Y53" s="54" t="str">
        <f>IF(AND('Mapa final'!$AH$33="Muy Baja",'Mapa final'!$AJ$33="Moderado"),CONCATENATE("R2C",'Mapa final'!$R$33),"")</f>
        <v/>
      </c>
      <c r="Z53" s="54" t="str">
        <f>IF(AND('Mapa final'!$AH$34="Muy Baja",'Mapa final'!$AJ$34="Moderado"),CONCATENATE("R2C",'Mapa final'!$R$34),"")</f>
        <v/>
      </c>
      <c r="AA53" s="54" t="str">
        <f>IF(AND('Mapa final'!$AH$35="Muy Baja",'Mapa final'!$AJ$35="Moderado"),CONCATENATE("R2C",'Mapa final'!$R$35),"")</f>
        <v/>
      </c>
      <c r="AB53" s="55" t="str">
        <f>IF(AND('Mapa final'!$AH$36="Muy Baja",'Mapa final'!$AJ$36="Moderado"),CONCATENATE("R2C",'Mapa final'!$R$36),"")</f>
        <v/>
      </c>
      <c r="AC53" s="38" t="str">
        <f>IF(AND('Mapa final'!$AH$23="Muy Baja",'Mapa final'!$AJ$23="Mayor"),CONCATENATE("R2C",'Mapa final'!$R$23),"")</f>
        <v/>
      </c>
      <c r="AD53" s="39" t="str">
        <f>IF(AND('Mapa final'!$AH$24="Muy Baja",'Mapa final'!$AJ$24="Mayor"),CONCATENATE("R2C",'Mapa final'!$R$24),"")</f>
        <v/>
      </c>
      <c r="AE53" s="39" t="str">
        <f>IF(AND('Mapa final'!$AH$33="Muy Baja",'Mapa final'!$AJ$33="Mayor"),CONCATENATE("R2C",'Mapa final'!$R$33),"")</f>
        <v/>
      </c>
      <c r="AF53" s="39" t="str">
        <f>IF(AND('Mapa final'!$AH$34="Muy Baja",'Mapa final'!$AJ$34="Mayor"),CONCATENATE("R2C",'Mapa final'!$R$34),"")</f>
        <v/>
      </c>
      <c r="AG53" s="39" t="str">
        <f>IF(AND('Mapa final'!$AH$35="Muy Baja",'Mapa final'!$AJ$35="Mayor"),CONCATENATE("R2C",'Mapa final'!$R$35),"")</f>
        <v/>
      </c>
      <c r="AH53" s="40" t="str">
        <f>IF(AND('Mapa final'!$AH$36="Muy Baja",'Mapa final'!$AJ$36="Mayor"),CONCATENATE("R2C",'Mapa final'!$R$36),"")</f>
        <v/>
      </c>
      <c r="AI53" s="41" t="str">
        <f>IF(AND('Mapa final'!$AH$23="Muy Baja",'Mapa final'!$AJ$23="Catastrófico"),CONCATENATE("R2C",'Mapa final'!$A$23),"")</f>
        <v/>
      </c>
      <c r="AJ53" s="42" t="str">
        <f>IF(AND('Mapa final'!$AH$24="Muy Baja",'Mapa final'!$AJ$24="Catastrófico"),CONCATENATE("R2C",'Mapa final'!$R$24),"")</f>
        <v/>
      </c>
      <c r="AK53" s="42" t="str">
        <f>IF(AND('Mapa final'!$AH$33="Muy Baja",'Mapa final'!$AJ$33="Catastrófico"),CONCATENATE("R2C",'Mapa final'!$R$33),"")</f>
        <v/>
      </c>
      <c r="AL53" s="42" t="str">
        <f>IF(AND('Mapa final'!$AH$34="Muy Baja",'Mapa final'!$AJ$34="Catastrófico"),CONCATENATE("R2C",'Mapa final'!$R$34),"")</f>
        <v/>
      </c>
      <c r="AM53" s="42" t="str">
        <f>IF(AND('Mapa final'!$AH$35="Muy Baja",'Mapa final'!$AJ$35="Catastrófico"),CONCATENATE("R2C",'Mapa final'!$R$35),"")</f>
        <v/>
      </c>
      <c r="AN53" s="43" t="str">
        <f>IF(AND('Mapa final'!$AH$36="Muy Baja",'Mapa final'!$AJ$36="Catastrófico"),CONCATENATE("R2C",'Mapa final'!$R$36),"")</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41"/>
      <c r="D54" s="441"/>
      <c r="E54" s="442"/>
      <c r="F54" s="500"/>
      <c r="G54" s="485"/>
      <c r="H54" s="485"/>
      <c r="I54" s="485"/>
      <c r="J54" s="486"/>
      <c r="K54" s="62" t="str">
        <f>IF(AND('Mapa final'!$AH$37="Muy Baja",'Mapa final'!$AJ$37="Leve"),CONCATENATE("R2C",'Mapa final'!$R$37),"")</f>
        <v/>
      </c>
      <c r="L54" s="63" t="str">
        <f>IF(AND('Mapa final'!$AH$38="Muy Baja",'Mapa final'!$AJ$38="Leve"),CONCATENATE("R2C",'Mapa final'!$R$38),"")</f>
        <v/>
      </c>
      <c r="M54" s="63" t="str">
        <f>IF(AND('Mapa final'!$AH$39="Muy Baja",'Mapa final'!$AJ$39="Leve"),CONCATENATE("R2C",'Mapa final'!$R$39),"")</f>
        <v/>
      </c>
      <c r="N54" s="63" t="str">
        <f>IF(AND('Mapa final'!$AH$40="Muy Baja",'Mapa final'!$AJ$40="Leve"),CONCATENATE("R2C",'Mapa final'!$R$40),"")</f>
        <v/>
      </c>
      <c r="O54" s="63" t="str">
        <f>IF(AND('Mapa final'!$AH$41="Muy Baja",'Mapa final'!$AJ$41="Leve"),CONCATENATE("R2C",'Mapa final'!$R$41),"")</f>
        <v/>
      </c>
      <c r="P54" s="64" t="str">
        <f>IF(AND('Mapa final'!$AH$42="Muy Baja",'Mapa final'!$AJ$42="Leve"),CONCATENATE("R2C",'Mapa final'!$R$42),"")</f>
        <v/>
      </c>
      <c r="Q54" s="62" t="str">
        <f>IF(AND('Mapa final'!$AH$37="Muy Baja",'Mapa final'!$AJ$37="Menor"),CONCATENATE("R2C",'Mapa final'!$R$37),"")</f>
        <v/>
      </c>
      <c r="R54" s="63" t="str">
        <f>IF(AND('Mapa final'!$AH$38="Muy Baja",'Mapa final'!$AJ$38="Menor"),CONCATENATE("R2C",'Mapa final'!$R$38),"")</f>
        <v/>
      </c>
      <c r="S54" s="63" t="str">
        <f>IF(AND('Mapa final'!$AH$39="Muy Baja",'Mapa final'!$AJ$39="Menor"),CONCATENATE("R2C",'Mapa final'!$R$39),"")</f>
        <v/>
      </c>
      <c r="T54" s="63" t="str">
        <f>IF(AND('Mapa final'!$AH$40="Muy Baja",'Mapa final'!$AJ$40="Menor"),CONCATENATE("R2C",'Mapa final'!$R$40),"")</f>
        <v/>
      </c>
      <c r="U54" s="63" t="str">
        <f>IF(AND('Mapa final'!$AH$41="Muy Baja",'Mapa final'!$AJ$41="Menor"),CONCATENATE("R2C",'Mapa final'!$R$41),"")</f>
        <v/>
      </c>
      <c r="V54" s="64" t="str">
        <f>IF(AND('Mapa final'!$AH$42="Muy Baja",'Mapa final'!$AJ$42="Menor"),CONCATENATE("R2C",'Mapa final'!$R$42),"")</f>
        <v/>
      </c>
      <c r="W54" s="53" t="str">
        <f>IF(AND('Mapa final'!$AH$37="Muy Baja",'Mapa final'!$AJ$37="Moderado"),CONCATENATE("R2C",'Mapa final'!$R$37),"")</f>
        <v/>
      </c>
      <c r="X54" s="54" t="str">
        <f>IF(AND('Mapa final'!$AH$38="Muy Baja",'Mapa final'!$AJ$38="Moderado"),CONCATENATE("R2C",'Mapa final'!$R$38),"")</f>
        <v/>
      </c>
      <c r="Y54" s="54" t="str">
        <f>IF(AND('Mapa final'!$AH$39="Muy Baja",'Mapa final'!$AJ$39="Moderado"),CONCATENATE("R2C",'Mapa final'!$R$39),"")</f>
        <v/>
      </c>
      <c r="Z54" s="54" t="str">
        <f>IF(AND('Mapa final'!$AH$40="Muy Baja",'Mapa final'!$AJ$40="Moderado"),CONCATENATE("R2C",'Mapa final'!$R$40),"")</f>
        <v/>
      </c>
      <c r="AA54" s="54" t="str">
        <f>IF(AND('Mapa final'!$AH$41="Muy Baja",'Mapa final'!$AJ$41="Moderado"),CONCATENATE("R2C",'Mapa final'!$R$41),"")</f>
        <v/>
      </c>
      <c r="AB54" s="55" t="str">
        <f>IF(AND('Mapa final'!$AH$42="Muy Baja",'Mapa final'!$AJ$42="Moderado"),CONCATENATE("R2C",'Mapa final'!$R$42),"")</f>
        <v/>
      </c>
      <c r="AC54" s="38" t="str">
        <f>IF(AND('Mapa final'!$AH$37="Muy Baja",'Mapa final'!$AJ$37="Mayor"),CONCATENATE("R2C",'Mapa final'!$R$37),"")</f>
        <v/>
      </c>
      <c r="AD54" s="39" t="str">
        <f>IF(AND('Mapa final'!$AH$38="Muy Baja",'Mapa final'!$AJ$38="Mayor"),CONCATENATE("R2C",'Mapa final'!$R$38),"")</f>
        <v/>
      </c>
      <c r="AE54" s="39" t="str">
        <f>IF(AND('Mapa final'!$AH$39="Muy Baja",'Mapa final'!$AJ$39="Mayor"),CONCATENATE("R2C",'Mapa final'!$R$39),"")</f>
        <v/>
      </c>
      <c r="AF54" s="39" t="str">
        <f>IF(AND('Mapa final'!$AH$40="Muy Baja",'Mapa final'!$AJ$40="Mayor"),CONCATENATE("R2C",'Mapa final'!$R$40),"")</f>
        <v/>
      </c>
      <c r="AG54" s="39" t="str">
        <f>IF(AND('Mapa final'!$AH$41="Muy Baja",'Mapa final'!$AJ$41="Mayor"),CONCATENATE("R2C",'Mapa final'!$R$41),"")</f>
        <v/>
      </c>
      <c r="AH54" s="40" t="str">
        <f>IF(AND('Mapa final'!$AH$42="Muy Baja",'Mapa final'!$AJ$42="Mayor"),CONCATENATE("R2C",'Mapa final'!$R$42),"")</f>
        <v/>
      </c>
      <c r="AI54" s="41" t="str">
        <f>IF(AND('Mapa final'!$AH$37="Muy Baja",'Mapa final'!$AJ$37="Catastrófico"),CONCATENATE("R2C",'Mapa final'!$R$37),"")</f>
        <v/>
      </c>
      <c r="AJ54" s="42" t="str">
        <f>IF(AND('Mapa final'!$AH$38="Muy Baja",'Mapa final'!$AJ$38="Catastrófico"),CONCATENATE("R2C",'Mapa final'!$R$38),"")</f>
        <v/>
      </c>
      <c r="AK54" s="42" t="str">
        <f>IF(AND('Mapa final'!$AH$39="Muy Baja",'Mapa final'!$AJ$39="Catastrófico"),CONCATENATE("R2C",'Mapa final'!$R$39),"")</f>
        <v/>
      </c>
      <c r="AL54" s="42" t="str">
        <f>IF(AND('Mapa final'!$AH$40="Muy Baja",'Mapa final'!$AJ$40="Catastrófico"),CONCATENATE("R2C",'Mapa final'!$R$40),"")</f>
        <v/>
      </c>
      <c r="AM54" s="42" t="str">
        <f>IF(AND('Mapa final'!$AH$41="Muy Baja",'Mapa final'!$AJ$41="Catastrófico"),CONCATENATE("R2C",'Mapa final'!$R$41),"")</f>
        <v/>
      </c>
      <c r="AN54" s="43" t="str">
        <f>IF(AND('Mapa final'!$AH$42="Muy Baja",'Mapa final'!$AJ$42="Catastrófico"),CONCATENATE("R2C",'Mapa final'!$R$42),"")</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41"/>
      <c r="D55" s="441"/>
      <c r="E55" s="442"/>
      <c r="F55" s="484"/>
      <c r="G55" s="485"/>
      <c r="H55" s="485"/>
      <c r="I55" s="485"/>
      <c r="J55" s="486"/>
      <c r="K55" s="62" t="str">
        <f>IF(AND('Mapa final'!$AH$43="Muy Baja",'Mapa final'!$AJ$43="Leve"),CONCATENATE("R2C",'Mapa final'!$R$43),"")</f>
        <v/>
      </c>
      <c r="L55" s="63" t="str">
        <f>IF(AND('Mapa final'!$AH$44="Muy Baja",'Mapa final'!$AJ$44="Leve"),CONCATENATE("R2C",'Mapa final'!$R$44),"")</f>
        <v/>
      </c>
      <c r="M55" s="63" t="str">
        <f>IF(AND('Mapa final'!$AH$45="Muy Baja",'Mapa final'!$AJ$45="Leve"),CONCATENATE("R2C",'Mapa final'!$R$45),"")</f>
        <v/>
      </c>
      <c r="N55" s="63" t="str">
        <f>IF(AND('Mapa final'!$AH$46="Muy Baja",'Mapa final'!$AJ$46="Leve"),CONCATENATE("R2C",'Mapa final'!$R$46),"")</f>
        <v/>
      </c>
      <c r="O55" s="63" t="str">
        <f>IF(AND('Mapa final'!$AH$47="Muy Baja",'Mapa final'!$AJ$47="Leve"),CONCATENATE("R2C",'Mapa final'!$R$47),"")</f>
        <v/>
      </c>
      <c r="P55" s="64" t="str">
        <f>IF(AND('Mapa final'!$AH$48="Muy Baja",'Mapa final'!$AJ$48="Leve"),CONCATENATE("R2C",'Mapa final'!$R$48),"")</f>
        <v/>
      </c>
      <c r="Q55" s="62" t="str">
        <f>IF(AND('Mapa final'!$AH$43="Muy Baja",'Mapa final'!$AJ$43="Menor"),CONCATENATE("R2C",'Mapa final'!$R$43),"")</f>
        <v/>
      </c>
      <c r="R55" s="63" t="str">
        <f>IF(AND('Mapa final'!$AH$44="Muy Baja",'Mapa final'!$AJ$44="Menor"),CONCATENATE("R2C",'Mapa final'!$R$44),"")</f>
        <v/>
      </c>
      <c r="S55" s="63" t="str">
        <f>IF(AND('Mapa final'!$AH$45="Muy Baja",'Mapa final'!$AJ$45="Menor"),CONCATENATE("R2C",'Mapa final'!$R$45),"")</f>
        <v/>
      </c>
      <c r="T55" s="63" t="str">
        <f>IF(AND('Mapa final'!$AH$46="Muy Baja",'Mapa final'!$AJ$46="Menor"),CONCATENATE("R2C",'Mapa final'!$R$46),"")</f>
        <v/>
      </c>
      <c r="U55" s="63" t="str">
        <f>IF(AND('Mapa final'!$AH$47="Muy Baja",'Mapa final'!$AJ$47="LMenor"),CONCATENATE("R2C",'Mapa final'!$R$47),"")</f>
        <v/>
      </c>
      <c r="V55" s="64" t="str">
        <f>IF(AND('Mapa final'!$AH$48="Muy Baja",'Mapa final'!$AJ$48="Menor"),CONCATENATE("R2C",'Mapa final'!$R$48),"")</f>
        <v/>
      </c>
      <c r="W55" s="53" t="str">
        <f>IF(AND('Mapa final'!$AH$43="Muy Baja",'Mapa final'!$AJ$43="Moderado"),CONCATENATE("R2C",'Mapa final'!$R$43),"")</f>
        <v/>
      </c>
      <c r="X55" s="54" t="str">
        <f>IF(AND('Mapa final'!$AH$44="Muy Baja",'Mapa final'!$AJ$44="Moderado"),CONCATENATE("R2C",'Mapa final'!$R$44),"")</f>
        <v/>
      </c>
      <c r="Y55" s="54" t="str">
        <f>IF(AND('Mapa final'!$AH$45="Muy Baja",'Mapa final'!$AJ$45="Moderado"),CONCATENATE("R2C",'Mapa final'!$R$45),"")</f>
        <v/>
      </c>
      <c r="Z55" s="54" t="str">
        <f>IF(AND('Mapa final'!$AH$46="Muy Baja",'Mapa final'!$AJ$46="Moderado"),CONCATENATE("R2C",'Mapa final'!$R$46),"")</f>
        <v/>
      </c>
      <c r="AA55" s="54" t="str">
        <f>IF(AND('Mapa final'!$AH$47="Muy Baja",'Mapa final'!$AJ$47="Moderado"),CONCATENATE("R2C",'Mapa final'!$R$47),"")</f>
        <v/>
      </c>
      <c r="AB55" s="55" t="str">
        <f>IF(AND('Mapa final'!$AH$48="Muy Baja",'Mapa final'!$AJ$48="Moderado"),CONCATENATE("R2C",'Mapa final'!$R$48),"")</f>
        <v/>
      </c>
      <c r="AC55" s="38" t="str">
        <f>IF(AND('Mapa final'!$AH$43="Muy Baja",'Mapa final'!$AJ$43="Mayor"),CONCATENATE("R2C",'Mapa final'!$R$43),"")</f>
        <v/>
      </c>
      <c r="AD55" s="39" t="str">
        <f>IF(AND('Mapa final'!$AH$44="Muy Baja",'Mapa final'!$AJ$44="Mayor"),CONCATENATE("R2C",'Mapa final'!$R$44),"")</f>
        <v/>
      </c>
      <c r="AE55" s="39" t="str">
        <f>IF(AND('Mapa final'!$AH$45="Muy Baja",'Mapa final'!$AJ$45="Mayor"),CONCATENATE("R2C",'Mapa final'!$R$45),"")</f>
        <v/>
      </c>
      <c r="AF55" s="39" t="str">
        <f>IF(AND('Mapa final'!$AH$46="Muy Baja",'Mapa final'!$AJ$46="Mayor"),CONCATENATE("R2C",'Mapa final'!$R$46),"")</f>
        <v/>
      </c>
      <c r="AG55" s="39" t="str">
        <f>IF(AND('Mapa final'!$AH$47="Muy Baja",'Mapa final'!$AJ$47="Mayor"),CONCATENATE("R2C",'Mapa final'!$R$47),"")</f>
        <v/>
      </c>
      <c r="AH55" s="40" t="str">
        <f>IF(AND('Mapa final'!$AH$48="Muy Baja",'Mapa final'!$AJ$48="Mayor"),CONCATENATE("R2C",'Mapa final'!$R$48),"")</f>
        <v/>
      </c>
      <c r="AI55" s="41" t="str">
        <f>IF(AND('Mapa final'!$AH$43="Muy Baja",'Mapa final'!$AJ$43="Catastrófico"),CONCATENATE("R2C",'Mapa final'!$R$43),"")</f>
        <v/>
      </c>
      <c r="AJ55" s="42" t="str">
        <f>IF(AND('Mapa final'!$AH$44="Muy Baja",'Mapa final'!$AJ$44="Catastrófico"),CONCATENATE("R2C",'Mapa final'!$R$44),"")</f>
        <v/>
      </c>
      <c r="AK55" s="42" t="str">
        <f>IF(AND('Mapa final'!$AH$45="Muy Baja",'Mapa final'!$AJ$45="Catastrófico"),CONCATENATE("R2C",'Mapa final'!$R$45),"")</f>
        <v/>
      </c>
      <c r="AL55" s="42" t="str">
        <f>IF(AND('Mapa final'!$AH$46="Muy Baja",'Mapa final'!$AJ$46="Catastrófico"),CONCATENATE("R2C",'Mapa final'!$R$46),"")</f>
        <v/>
      </c>
      <c r="AM55" s="42" t="str">
        <f>IF(AND('Mapa final'!$AH$47="Muy Baja",'Mapa final'!$AJ$47="LCatastrófico"),CONCATENATE("R2C",'Mapa final'!$R$47),"")</f>
        <v/>
      </c>
      <c r="AN55" s="43" t="str">
        <f>IF(AND('Mapa final'!$AH$48="Muy Baja",'Mapa final'!$AJ$48="Catastrófico"),CONCATENATE("R2C",'Mapa final'!$R$48),"")</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41"/>
      <c r="D56" s="441"/>
      <c r="E56" s="442"/>
      <c r="F56" s="484"/>
      <c r="G56" s="485"/>
      <c r="H56" s="485"/>
      <c r="I56" s="485"/>
      <c r="J56" s="486"/>
      <c r="K56" s="62" t="str">
        <f>IF(AND('Mapa final'!$AH$49="Muy Baja",'Mapa final'!$AJ$49="Leve"),CONCATENATE("R2C",'Mapa final'!$R$49),"")</f>
        <v/>
      </c>
      <c r="L56" s="63" t="str">
        <f>IF(AND('Mapa final'!$AH$50="Muy Baja",'Mapa final'!$AJ$50="Leve"),CONCATENATE("R2C",'Mapa final'!$R$50),"")</f>
        <v/>
      </c>
      <c r="M56" s="63" t="str">
        <f>IF(AND('Mapa final'!$AH$51="Muy Baja",'Mapa final'!$AJ$51="Leve"),CONCATENATE("R2C",'Mapa final'!$R$51),"")</f>
        <v/>
      </c>
      <c r="N56" s="63" t="str">
        <f>IF(AND('Mapa final'!$AH$52="Muy Baja",'Mapa final'!$AJ$52="Leve"),CONCATENATE("R2C",'Mapa final'!$R$52),"")</f>
        <v/>
      </c>
      <c r="O56" s="63" t="str">
        <f>IF(AND('Mapa final'!$AH$53="Muy Baja",'Mapa final'!$AJ$53="Leve"),CONCATENATE("R2C",'Mapa final'!$R$53),"")</f>
        <v/>
      </c>
      <c r="P56" s="64" t="str">
        <f>IF(AND('Mapa final'!$AH$54="Muy Baja",'Mapa final'!$AJ$54="Leve"),CONCATENATE("R2C",'Mapa final'!$R$54),"")</f>
        <v/>
      </c>
      <c r="Q56" s="62" t="str">
        <f>IF(AND('Mapa final'!$AH$49="Muy Baja",'Mapa final'!$AJ$49="Menor"),CONCATENATE("R2C",'Mapa final'!$R$49),"")</f>
        <v/>
      </c>
      <c r="R56" s="63" t="str">
        <f>IF(AND('Mapa final'!$AH$50="Muy Baja",'Mapa final'!$AJ$50="Menor"),CONCATENATE("R2C",'Mapa final'!$R$50),"")</f>
        <v/>
      </c>
      <c r="S56" s="63" t="str">
        <f>IF(AND('Mapa final'!$AH$51="Muy Baja",'Mapa final'!$AJ$51="Menor"),CONCATENATE("R2C",'Mapa final'!$R$51),"")</f>
        <v/>
      </c>
      <c r="T56" s="63" t="str">
        <f>IF(AND('Mapa final'!$AH$52="Muy Baja",'Mapa final'!$AJ$52="Menor"),CONCATENATE("R2C",'Mapa final'!$R$52),"")</f>
        <v/>
      </c>
      <c r="U56" s="63" t="str">
        <f>IF(AND('Mapa final'!$AH$53="Muy Baja",'Mapa final'!$AJ$53="Menor"),CONCATENATE("R2C",'Mapa final'!$R$53),"")</f>
        <v/>
      </c>
      <c r="V56" s="64" t="str">
        <f>IF(AND('Mapa final'!$AH$54="Muy Baja",'Mapa final'!$AJ$54="Menor"),CONCATENATE("R2C",'Mapa final'!$R$54),"")</f>
        <v/>
      </c>
      <c r="W56" s="53" t="str">
        <f>IF(AND('Mapa final'!$AH$49="Muy Baja",'Mapa final'!$AJ$49="Moderado"),CONCATENATE("R2C",'Mapa final'!$R$49),"")</f>
        <v/>
      </c>
      <c r="X56" s="54" t="str">
        <f>IF(AND('Mapa final'!$AH$50="Muy Baja",'Mapa final'!$AJ$50="Moderado"),CONCATENATE("R2C",'Mapa final'!$R$50),"")</f>
        <v/>
      </c>
      <c r="Y56" s="54" t="str">
        <f>IF(AND('Mapa final'!$AH$51="Muy Baja",'Mapa final'!$AJ$51="Moderado"),CONCATENATE("R2C",'Mapa final'!$R$51),"")</f>
        <v/>
      </c>
      <c r="Z56" s="54" t="str">
        <f>IF(AND('Mapa final'!$AH$52="Muy Baja",'Mapa final'!$AJ$52="Moderado"),CONCATENATE("R2C",'Mapa final'!$R$52),"")</f>
        <v/>
      </c>
      <c r="AA56" s="54" t="str">
        <f>IF(AND('Mapa final'!$AH$53="Muy Baja",'Mapa final'!$AJ$53="Moderado"),CONCATENATE("R2C",'Mapa final'!$R$53),"")</f>
        <v/>
      </c>
      <c r="AB56" s="55" t="str">
        <f>IF(AND('Mapa final'!$AH$54="Muy Baja",'Mapa final'!$AJ$54="Moderado"),CONCATENATE("R2C",'Mapa final'!$R$54),"")</f>
        <v/>
      </c>
      <c r="AC56" s="38" t="str">
        <f>IF(AND('Mapa final'!$AH$49="Muy Baja",'Mapa final'!$AJ$49="Mayor"),CONCATENATE("R2C",'Mapa final'!$R$49),"")</f>
        <v/>
      </c>
      <c r="AD56" s="39" t="str">
        <f>IF(AND('Mapa final'!$AH$50="Muy Baja",'Mapa final'!$AJ$50="Mayor"),CONCATENATE("R2C",'Mapa final'!$R$50),"")</f>
        <v/>
      </c>
      <c r="AE56" s="39" t="str">
        <f>IF(AND('Mapa final'!$AH$51="Muy Baja",'Mapa final'!$AJ$51="Mayor"),CONCATENATE("R2C",'Mapa final'!$R$51),"")</f>
        <v/>
      </c>
      <c r="AF56" s="39" t="str">
        <f>IF(AND('Mapa final'!$AH$52="Muy Baja",'Mapa final'!$AJ$52="Mayor"),CONCATENATE("R2C",'Mapa final'!$R$52),"")</f>
        <v/>
      </c>
      <c r="AG56" s="39" t="str">
        <f>IF(AND('Mapa final'!$AH$53="Muy Baja",'Mapa final'!$AJ$53="Mayor"),CONCATENATE("R2C",'Mapa final'!$R$53),"")</f>
        <v/>
      </c>
      <c r="AH56" s="40" t="str">
        <f>IF(AND('Mapa final'!$AH$54="Muy Baja",'Mapa final'!$AJ$54="Mayor"),CONCATENATE("R2C",'Mapa final'!$R$54),"")</f>
        <v/>
      </c>
      <c r="AI56" s="41" t="str">
        <f>IF(AND('Mapa final'!$AH$49="Muy Baja",'Mapa final'!$AJ$49="Catastrófico"),CONCATENATE("R2C",'Mapa final'!$R$49),"")</f>
        <v/>
      </c>
      <c r="AJ56" s="42" t="str">
        <f>IF(AND('Mapa final'!$AH$50="Muy Baja",'Mapa final'!$AJ$50="Catastrófico"),CONCATENATE("R2C",'Mapa final'!$R$50),"")</f>
        <v/>
      </c>
      <c r="AK56" s="42" t="str">
        <f>IF(AND('Mapa final'!$AH$51="Muy Baja",'Mapa final'!$AJ$51="Catastrófico"),CONCATENATE("R2C",'Mapa final'!$R$51),"")</f>
        <v/>
      </c>
      <c r="AL56" s="42" t="str">
        <f>IF(AND('Mapa final'!$AH$52="Muy Baja",'Mapa final'!$AJ$52="Catastrófico"),CONCATENATE("R2C",'Mapa final'!$R$52),"")</f>
        <v/>
      </c>
      <c r="AM56" s="42" t="str">
        <f>IF(AND('Mapa final'!$AH$53="Muy Baja",'Mapa final'!$AJ$53="Catastrófico"),CONCATENATE("R2C",'Mapa final'!$R$53),"")</f>
        <v/>
      </c>
      <c r="AN56" s="43" t="str">
        <f>IF(AND('Mapa final'!$AH$54="Muy Baja",'Mapa final'!$AJ$54="Catastrófico"),CONCATENATE("R2C",'Mapa final'!$R$54),"")</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41"/>
      <c r="D57" s="441"/>
      <c r="E57" s="442"/>
      <c r="F57" s="484"/>
      <c r="G57" s="485"/>
      <c r="H57" s="485"/>
      <c r="I57" s="485"/>
      <c r="J57" s="486"/>
      <c r="K57" s="62" t="str">
        <f>IF(AND('Mapa final'!$AH$55="Muy Baja",'Mapa final'!$AJ$55="Leve"),CONCATENATE("R2C",'Mapa final'!$R$55),"")</f>
        <v/>
      </c>
      <c r="L57" s="63" t="str">
        <f>IF(AND('Mapa final'!$AH$56="Muy Baja",'Mapa final'!$AJ$56="Leve"),CONCATENATE("R2C",'Mapa final'!$R$56),"")</f>
        <v/>
      </c>
      <c r="M57" s="63" t="str">
        <f>IF(AND('Mapa final'!$AH$57="Muy Baja",'Mapa final'!$AJ$57="Leve"),CONCATENATE("R2C",'Mapa final'!$R$57),"")</f>
        <v/>
      </c>
      <c r="N57" s="63" t="str">
        <f>IF(AND('Mapa final'!$AH$58="Muy Baja",'Mapa final'!$AJ$58="Leve"),CONCATENATE("R2C",'Mapa final'!$R$58),"")</f>
        <v/>
      </c>
      <c r="O57" s="63" t="str">
        <f>IF(AND('Mapa final'!$AH$59="Muy Baja",'Mapa final'!$AJ$59="Leve"),CONCATENATE("R2C",'Mapa final'!$R$59),"")</f>
        <v/>
      </c>
      <c r="P57" s="64" t="str">
        <f>IF(AND('Mapa final'!$AH$70="Muy Baja",'Mapa final'!$AJ$60="Leve"),CONCATENATE("R2C",'Mapa final'!$R$60),"")</f>
        <v/>
      </c>
      <c r="Q57" s="62" t="str">
        <f>IF(AND('Mapa final'!$AH$55="Muy Baja",'Mapa final'!$AJ$55="Menor"),CONCATENATE("R2C",'Mapa final'!$R$55),"")</f>
        <v/>
      </c>
      <c r="R57" s="63" t="str">
        <f>IF(AND('Mapa final'!$AH$56="Muy Baja",'Mapa final'!$AJ$56="Menor"),CONCATENATE("R2C",'Mapa final'!$R$56),"")</f>
        <v/>
      </c>
      <c r="S57" s="63" t="str">
        <f>IF(AND('Mapa final'!$AH$57="Muy Baja",'Mapa final'!$AJ$57="Menor"),CONCATENATE("R2C",'Mapa final'!$R$57),"")</f>
        <v/>
      </c>
      <c r="T57" s="63" t="str">
        <f>IF(AND('Mapa final'!$AH$58="Muy Baja",'Mapa final'!$AJ$58="Menor"),CONCATENATE("R2C",'Mapa final'!$R$58),"")</f>
        <v/>
      </c>
      <c r="U57" s="63" t="str">
        <f>IF(AND('Mapa final'!$AH$59="Muy Baja",'Mapa final'!$AJ$59="Menor"),CONCATENATE("R2C",'Mapa final'!$R$59),"")</f>
        <v/>
      </c>
      <c r="V57" s="64" t="str">
        <f>IF(AND('Mapa final'!$AH$70="Muy Baja",'Mapa final'!$AJ$60="Menor"),CONCATENATE("R2C",'Mapa final'!$R$60),"")</f>
        <v/>
      </c>
      <c r="W57" s="53" t="str">
        <f>IF(AND('Mapa final'!$AH$55="Muy Baja",'Mapa final'!$AJ$55="Moderado"),CONCATENATE("R2C",'Mapa final'!$R$55),"")</f>
        <v/>
      </c>
      <c r="X57" s="54" t="str">
        <f>IF(AND('Mapa final'!$AH$56="Muy Baja",'Mapa final'!$AJ$56="Moderado"),CONCATENATE("R2C",'Mapa final'!$R$56),"")</f>
        <v/>
      </c>
      <c r="Y57" s="54" t="str">
        <f>IF(AND('Mapa final'!$AH$57="Muy Baja",'Mapa final'!$AJ$57="Moderado"),CONCATENATE("R2C",'Mapa final'!$R$57),"")</f>
        <v/>
      </c>
      <c r="Z57" s="54" t="str">
        <f>IF(AND('Mapa final'!$AH$58="Muy Baja",'Mapa final'!$AJ$58="Moderado"),CONCATENATE("R2C",'Mapa final'!$R$58),"")</f>
        <v/>
      </c>
      <c r="AA57" s="54" t="str">
        <f>IF(AND('Mapa final'!$AH$59="Muy Baja",'Mapa final'!$AJ$59="Moderado"),CONCATENATE("R2C",'Mapa final'!$R$59),"")</f>
        <v/>
      </c>
      <c r="AB57" s="55" t="str">
        <f>IF(AND('Mapa final'!$AH$70="Muy Baja",'Mapa final'!$AJ$60="Moderado"),CONCATENATE("R2C",'Mapa final'!$R$60),"")</f>
        <v/>
      </c>
      <c r="AC57" s="38" t="str">
        <f>IF(AND('Mapa final'!$AH$55="Muy Baja",'Mapa final'!$AJ$55="Mayor"),CONCATENATE("R2C",'Mapa final'!$R$55),"")</f>
        <v/>
      </c>
      <c r="AD57" s="39" t="str">
        <f>IF(AND('Mapa final'!$AH$56="Muy Baja",'Mapa final'!$AJ$56="Mayor"),CONCATENATE("R2C",'Mapa final'!$R$56),"")</f>
        <v/>
      </c>
      <c r="AE57" s="39" t="str">
        <f>IF(AND('Mapa final'!$AH$57="Muy Baja",'Mapa final'!$AJ$57="Mayor"),CONCATENATE("R2C",'Mapa final'!$R$57),"")</f>
        <v/>
      </c>
      <c r="AF57" s="39" t="str">
        <f>IF(AND('Mapa final'!$AH$58="Muy Baja",'Mapa final'!$AJ$58="Mayor"),CONCATENATE("R2C",'Mapa final'!$R$58),"")</f>
        <v/>
      </c>
      <c r="AG57" s="39" t="str">
        <f>IF(AND('Mapa final'!$AH$59="Muy Baja",'Mapa final'!$AJ$59="Mayor"),CONCATENATE("R2C",'Mapa final'!$R$59),"")</f>
        <v/>
      </c>
      <c r="AH57" s="40" t="str">
        <f>IF(AND('Mapa final'!$AH$70="Muy Baja",'Mapa final'!$AJ$60="Mayor"),CONCATENATE("R2C",'Mapa final'!$R$60),"")</f>
        <v/>
      </c>
      <c r="AI57" s="41" t="str">
        <f>IF(AND('Mapa final'!$AH$55="Muy Baja",'Mapa final'!$AJ$55="Catastrófico"),CONCATENATE("R2C",'Mapa final'!$R$55),"")</f>
        <v/>
      </c>
      <c r="AJ57" s="42" t="str">
        <f>IF(AND('Mapa final'!$AH$56="Muy Baja",'Mapa final'!$AJ$56="Catastrófico"),CONCATENATE("R2C",'Mapa final'!$R$56),"")</f>
        <v/>
      </c>
      <c r="AK57" s="42" t="str">
        <f>IF(AND('Mapa final'!$AH$57="Muy Baja",'Mapa final'!$AJ$57="Catastrófico"),CONCATENATE("R2C",'Mapa final'!$R$57),"")</f>
        <v/>
      </c>
      <c r="AL57" s="42" t="str">
        <f>IF(AND('Mapa final'!$AH$58="Muy Baja",'Mapa final'!$AJ$58="Catastrófico"),CONCATENATE("R2C",'Mapa final'!$R$58),"")</f>
        <v/>
      </c>
      <c r="AM57" s="42" t="str">
        <f>IF(AND('Mapa final'!$AH$59="Muy Baja",'Mapa final'!$AJ$59="Catastrófico"),CONCATENATE("R2C",'Mapa final'!$R$59),"")</f>
        <v/>
      </c>
      <c r="AN57" s="43" t="str">
        <f>IF(AND('Mapa final'!$AH$70="Muy Baja",'Mapa final'!$AJ$60="Catastrófico"),CONCATENATE("R2C",'Mapa final'!$R$60),"")</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41"/>
      <c r="D58" s="441"/>
      <c r="E58" s="442"/>
      <c r="F58" s="484"/>
      <c r="G58" s="485"/>
      <c r="H58" s="485"/>
      <c r="I58" s="485"/>
      <c r="J58" s="486"/>
      <c r="K58" s="62" t="str">
        <f>IF(AND('Mapa final'!$AH$61="Muy Baja",'Mapa final'!$AJ$61="Leve"),CONCATENATE("R2C",'Mapa final'!$R$61),"")</f>
        <v/>
      </c>
      <c r="L58" s="63" t="str">
        <f>IF(AND('Mapa final'!$AH$62="Muy Baja",'Mapa final'!$AJ$62="Leve"),CONCATENATE("R2C",'Mapa final'!$R$62),"")</f>
        <v/>
      </c>
      <c r="M58" s="63" t="str">
        <f>IF(AND('Mapa final'!$AH$63="Muy Baja",'Mapa final'!$AJ$63="Leve"),CONCATENATE("R2C",'Mapa final'!$R$63),"")</f>
        <v/>
      </c>
      <c r="N58" s="63" t="str">
        <f>IF(AND('Mapa final'!$AH$64="Muy Baja",'Mapa final'!$AJ$64="Leve"),CONCATENATE("R2C",'Mapa final'!$R$64),"")</f>
        <v/>
      </c>
      <c r="O58" s="63" t="str">
        <f>IF(AND('Mapa final'!$AH$65="Muy Baja",'Mapa final'!$AJ$65="Leve"),CONCATENATE("R2C",'Mapa final'!$R$65),"")</f>
        <v/>
      </c>
      <c r="P58" s="64" t="str">
        <f>IF(AND('Mapa final'!$AH$66="Muy Baja",'Mapa final'!$AJ$66="Leve"),CONCATENATE("R2C",'Mapa final'!$R$66),"")</f>
        <v/>
      </c>
      <c r="Q58" s="62" t="str">
        <f>IF(AND('Mapa final'!$AH$61="Muy Baja",'Mapa final'!$AJ$61="Menor"),CONCATENATE("R2C",'Mapa final'!$R$61),"")</f>
        <v/>
      </c>
      <c r="R58" s="63" t="str">
        <f>IF(AND('Mapa final'!$AH$62="Muy Baja",'Mapa final'!$AJ$62="Menor"),CONCATENATE("R2C",'Mapa final'!$R$62),"")</f>
        <v/>
      </c>
      <c r="S58" s="63" t="str">
        <f>IF(AND('Mapa final'!$AH$63="Muy Baja",'Mapa final'!$AJ$63="Menor"),CONCATENATE("R2C",'Mapa final'!$R$63),"")</f>
        <v/>
      </c>
      <c r="T58" s="63" t="str">
        <f>IF(AND('Mapa final'!$AH$64="Muy Baja",'Mapa final'!$AJ$64="Menor"),CONCATENATE("R2C",'Mapa final'!$R$64),"")</f>
        <v/>
      </c>
      <c r="U58" s="63" t="str">
        <f>IF(AND('Mapa final'!$AH$65="Muy Baja",'Mapa final'!$AJ$65="Menor"),CONCATENATE("R2C",'Mapa final'!$R$65),"")</f>
        <v/>
      </c>
      <c r="V58" s="64" t="str">
        <f>IF(AND('Mapa final'!$AH$66="Muy Baja",'Mapa final'!$AJ$66="Menor"),CONCATENATE("R2C",'Mapa final'!$R$66),"")</f>
        <v/>
      </c>
      <c r="W58" s="53" t="str">
        <f>IF(AND('Mapa final'!$AH$61="Muy Baja",'Mapa final'!$AJ$61="Moderado"),CONCATENATE("R2C",'Mapa final'!$R$61),"")</f>
        <v/>
      </c>
      <c r="X58" s="54" t="str">
        <f>IF(AND('Mapa final'!$AH$62="Muy Baja",'Mapa final'!$AJ$62="Moderado"),CONCATENATE("R2C",'Mapa final'!$R$62),"")</f>
        <v/>
      </c>
      <c r="Y58" s="54" t="str">
        <f>IF(AND('Mapa final'!$AH$63="Muy Baja",'Mapa final'!$AJ$63="Moderado"),CONCATENATE("R2C",'Mapa final'!$R$63),"")</f>
        <v/>
      </c>
      <c r="Z58" s="54" t="str">
        <f>IF(AND('Mapa final'!$AH$64="Muy Baja",'Mapa final'!$AJ$64="Moderado"),CONCATENATE("R2C",'Mapa final'!$R$64),"")</f>
        <v/>
      </c>
      <c r="AA58" s="54" t="str">
        <f>IF(AND('Mapa final'!$AH$65="Muy Baja",'Mapa final'!$AJ$65="Moderado"),CONCATENATE("R2C",'Mapa final'!$R$65),"")</f>
        <v/>
      </c>
      <c r="AB58" s="55" t="str">
        <f>IF(AND('Mapa final'!$AH$66="Muy Baja",'Mapa final'!$AJ$66="Moderado"),CONCATENATE("R2C",'Mapa final'!$R$66),"")</f>
        <v/>
      </c>
      <c r="AC58" s="38" t="str">
        <f>IF(AND('Mapa final'!$AH$61="Muy Baja",'Mapa final'!$AJ$61="Mayor"),CONCATENATE("R2C",'Mapa final'!$R$61),"")</f>
        <v/>
      </c>
      <c r="AD58" s="39" t="str">
        <f>IF(AND('Mapa final'!$AH$62="Muy Baja",'Mapa final'!$AJ$62="Mayor"),CONCATENATE("R2C",'Mapa final'!$R$62),"")</f>
        <v/>
      </c>
      <c r="AE58" s="39" t="str">
        <f>IF(AND('Mapa final'!$AH$63="Muy Baja",'Mapa final'!$AJ$63="Mayor"),CONCATENATE("R2C",'Mapa final'!$R$63),"")</f>
        <v/>
      </c>
      <c r="AF58" s="39" t="str">
        <f>IF(AND('Mapa final'!$AH$64="Muy Baja",'Mapa final'!$AJ$64="Mayor"),CONCATENATE("R2C",'Mapa final'!$R$64),"")</f>
        <v/>
      </c>
      <c r="AG58" s="39" t="str">
        <f>IF(AND('Mapa final'!$AH$65="Muy Baja",'Mapa final'!$AJ$65="Mayor"),CONCATENATE("R2C",'Mapa final'!$R$65),"")</f>
        <v/>
      </c>
      <c r="AH58" s="40" t="str">
        <f>IF(AND('Mapa final'!$AH$66="Muy Baja",'Mapa final'!$AJ$66="Mayor"),CONCATENATE("R2C",'Mapa final'!$R$66),"")</f>
        <v/>
      </c>
      <c r="AI58" s="41" t="str">
        <f>IF(AND('Mapa final'!$AH$61="Muy Baja",'Mapa final'!$AJ$61="Catastrófico"),CONCATENATE("R2C",'Mapa final'!$R$61),"")</f>
        <v/>
      </c>
      <c r="AJ58" s="42" t="str">
        <f>IF(AND('Mapa final'!$AH$62="Muy Baja",'Mapa final'!$AJ$62="Catastrófico"),CONCATENATE("R2C",'Mapa final'!$R$62),"")</f>
        <v/>
      </c>
      <c r="AK58" s="42" t="str">
        <f>IF(AND('Mapa final'!$AH$63="Muy Baja",'Mapa final'!$AJ$63="Catastrófico"),CONCATENATE("R2C",'Mapa final'!$R$63),"")</f>
        <v/>
      </c>
      <c r="AL58" s="42" t="str">
        <f>IF(AND('Mapa final'!$AH$64="Muy Baja",'Mapa final'!$AJ$64="Catastrófico"),CONCATENATE("R2C",'Mapa final'!$R$64),"")</f>
        <v/>
      </c>
      <c r="AM58" s="42" t="str">
        <f>IF(AND('Mapa final'!$AH$65="Muy Baja",'Mapa final'!$AJ$65="Catastrófico"),CONCATENATE("R2C",'Mapa final'!$R$65),"")</f>
        <v/>
      </c>
      <c r="AN58" s="43" t="str">
        <f>IF(AND('Mapa final'!$AH$66="Muy Baja",'Mapa final'!$AJ$66="Catastrófico"),CONCATENATE("R2C",'Mapa final'!$R$66),"")</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41"/>
      <c r="D59" s="441"/>
      <c r="E59" s="442"/>
      <c r="F59" s="484"/>
      <c r="G59" s="485"/>
      <c r="H59" s="485"/>
      <c r="I59" s="485"/>
      <c r="J59" s="486"/>
      <c r="K59" s="62" t="str">
        <f>IF(AND('Mapa final'!$AH$67="Muy Baja",'Mapa final'!$AJ$67="Leve"),CONCATENATE("R2C",'Mapa final'!$R$67),"")</f>
        <v/>
      </c>
      <c r="L59" s="63" t="str">
        <f>IF(AND('Mapa final'!$AH$68="Muy Baja",'Mapa final'!$AJ$68="Leve"),CONCATENATE("R2C",'Mapa final'!$R$68),"")</f>
        <v/>
      </c>
      <c r="M59" s="63" t="str">
        <f>IF(AND('Mapa final'!$AH$69="Muy Baja",'Mapa final'!$AJ$69="Leve"),CONCATENATE("R2C",'Mapa final'!$R$69),"")</f>
        <v/>
      </c>
      <c r="N59" s="63" t="str">
        <f>IF(AND('Mapa final'!$AH$70="Muy Baja",'Mapa final'!$AJ$70="Leve"),CONCATENATE("R2C",'Mapa final'!$R$70),"")</f>
        <v/>
      </c>
      <c r="O59" s="63" t="str">
        <f>IF(AND('Mapa final'!$AH$71="Muy Baja",'Mapa final'!$AJ$71="Leve"),CONCATENATE("R2C",'Mapa final'!$R$71),"")</f>
        <v/>
      </c>
      <c r="P59" s="64" t="str">
        <f>IF(AND('Mapa final'!$AH$72="Muy Baja",'Mapa final'!$AJ$72="Leve"),CONCATENATE("R2C",'Mapa final'!$R$72),"")</f>
        <v/>
      </c>
      <c r="Q59" s="62" t="str">
        <f>IF(AND('Mapa final'!$AH$67="Muy Baja",'Mapa final'!$AJ$67="Menor"),CONCATENATE("R2C",'Mapa final'!$R$67),"")</f>
        <v/>
      </c>
      <c r="R59" s="63" t="str">
        <f>IF(AND('Mapa final'!$AH$68="Muy Baja",'Mapa final'!$AJ$68="Menor"),CONCATENATE("R2C",'Mapa final'!$R$68),"")</f>
        <v/>
      </c>
      <c r="S59" s="63" t="str">
        <f>IF(AND('Mapa final'!$AH$69="Muy Baja",'Mapa final'!$AJ$69="Menor"),CONCATENATE("R2C",'Mapa final'!$R$69),"")</f>
        <v/>
      </c>
      <c r="T59" s="63" t="str">
        <f>IF(AND('Mapa final'!$AH$70="Muy Baja",'Mapa final'!$AJ$70="Menor"),CONCATENATE("R2C",'Mapa final'!$R$70),"")</f>
        <v/>
      </c>
      <c r="U59" s="63" t="str">
        <f>IF(AND('Mapa final'!$AH$71="Muy Baja",'Mapa final'!$AJ$71="Menor"),CONCATENATE("R2C",'Mapa final'!$R$71),"")</f>
        <v/>
      </c>
      <c r="V59" s="64" t="str">
        <f>IF(AND('Mapa final'!$AH$72="Muy Baja",'Mapa final'!$AJ$72="Menor"),CONCATENATE("R2C",'Mapa final'!$R$72),"")</f>
        <v/>
      </c>
      <c r="W59" s="53" t="str">
        <f>IF(AND('Mapa final'!$AH$67="Muy Baja",'Mapa final'!$AJ$67="Moderado"),CONCATENATE("R2C",'Mapa final'!$R$67),"")</f>
        <v/>
      </c>
      <c r="X59" s="54" t="str">
        <f>IF(AND('Mapa final'!$AH$68="Muy Baja",'Mapa final'!$AJ$68="Moderado"),CONCATENATE("R2C",'Mapa final'!$R$68),"")</f>
        <v/>
      </c>
      <c r="Y59" s="54" t="str">
        <f>IF(AND('Mapa final'!$AH$69="Muy Baja",'Mapa final'!$AJ$69="Moderado"),CONCATENATE("R2C",'Mapa final'!$R$69),"")</f>
        <v/>
      </c>
      <c r="Z59" s="54" t="str">
        <f>IF(AND('Mapa final'!$AH$70="Muy Baja",'Mapa final'!$AJ$70="Moderado"),CONCATENATE("R2C",'Mapa final'!$R$70),"")</f>
        <v/>
      </c>
      <c r="AA59" s="54" t="str">
        <f>IF(AND('Mapa final'!$AH$71="Muy Baja",'Mapa final'!$AJ$71="Moderado"),CONCATENATE("R2C",'Mapa final'!$R$71),"")</f>
        <v/>
      </c>
      <c r="AB59" s="55" t="str">
        <f>IF(AND('Mapa final'!$AH$72="Muy Baja",'Mapa final'!$AJ$72="Moderado"),CONCATENATE("R2C",'Mapa final'!$R$72),"")</f>
        <v/>
      </c>
      <c r="AC59" s="38" t="str">
        <f>IF(AND('Mapa final'!$AH$67="Muy Baja",'Mapa final'!$AJ$67="Mayor"),CONCATENATE("R2C",'Mapa final'!$R$67),"")</f>
        <v/>
      </c>
      <c r="AD59" s="39" t="str">
        <f>IF(AND('Mapa final'!$AH$68="Muy Baja",'Mapa final'!$AJ$68="Mayor"),CONCATENATE("R2C",'Mapa final'!$R$68),"")</f>
        <v/>
      </c>
      <c r="AE59" s="39" t="str">
        <f>IF(AND('Mapa final'!$AH$69="Muy Baja",'Mapa final'!$AJ$69="Mayor"),CONCATENATE("R2C",'Mapa final'!$R$69),"")</f>
        <v/>
      </c>
      <c r="AF59" s="39" t="str">
        <f>IF(AND('Mapa final'!$AH$70="Muy Baja",'Mapa final'!$AJ$70="Mayor"),CONCATENATE("R2C",'Mapa final'!$R$70),"")</f>
        <v/>
      </c>
      <c r="AG59" s="39" t="str">
        <f>IF(AND('Mapa final'!$AH$71="Muy Baja",'Mapa final'!$AJ$71="Mayor"),CONCATENATE("R2C",'Mapa final'!$R$71),"")</f>
        <v/>
      </c>
      <c r="AH59" s="40" t="str">
        <f>IF(AND('Mapa final'!$AH$72="Muy Baja",'Mapa final'!$AJ$72="Mayor"),CONCATENATE("R2C",'Mapa final'!$R$72),"")</f>
        <v/>
      </c>
      <c r="AI59" s="41" t="str">
        <f>IF(AND('Mapa final'!$AH$67="Muy Baja",'Mapa final'!$AJ$67="Catastrófico"),CONCATENATE("R2C",'Mapa final'!$R$67),"")</f>
        <v/>
      </c>
      <c r="AJ59" s="42" t="str">
        <f>IF(AND('Mapa final'!$AH$68="Muy Baja",'Mapa final'!$AJ$68="Catastrófico"),CONCATENATE("R2C",'Mapa final'!$R$68),"")</f>
        <v/>
      </c>
      <c r="AK59" s="42" t="str">
        <f>IF(AND('Mapa final'!$AH$69="Muy Baja",'Mapa final'!$AJ$69="Catastrófico"),CONCATENATE("R2C",'Mapa final'!$R$69),"")</f>
        <v/>
      </c>
      <c r="AL59" s="42" t="str">
        <f>IF(AND('Mapa final'!$AH$70="Muy Baja",'Mapa final'!$AJ$70="Catastrófico"),CONCATENATE("R2C",'Mapa final'!$R$70),"")</f>
        <v/>
      </c>
      <c r="AM59" s="42" t="str">
        <f>IF(AND('Mapa final'!$AH$71="Muy Baja",'Mapa final'!$AJ$71="Catastrófico"),CONCATENATE("R2C",'Mapa final'!$R$71),"")</f>
        <v/>
      </c>
      <c r="AN59" s="43" t="str">
        <f>IF(AND('Mapa final'!$AH$72="Muy Baja",'Mapa final'!$AJ$72="Catastrófico"),CONCATENATE("R2C",'Mapa final'!$R$72),"")</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41"/>
      <c r="D60" s="441"/>
      <c r="E60" s="442"/>
      <c r="F60" s="484"/>
      <c r="G60" s="485"/>
      <c r="H60" s="485"/>
      <c r="I60" s="485"/>
      <c r="J60" s="486"/>
      <c r="K60" s="62" t="str">
        <f>IF(AND('Mapa final'!$AH$73="Muy Baja",'Mapa final'!$AJ$73="Leve"),CONCATENATE("R2C",'Mapa final'!$R$73),"")</f>
        <v/>
      </c>
      <c r="L60" s="63" t="str">
        <f>IF(AND('Mapa final'!$AH$74="Muy Baja",'Mapa final'!$AJ$74="Leve"),CONCATENATE("R2C",'Mapa final'!$R$74),"")</f>
        <v/>
      </c>
      <c r="M60" s="63" t="str">
        <f>IF(AND('Mapa final'!$AH$75="Muy Baja",'Mapa final'!$AJ$75="Leve"),CONCATENATE("R2C",'Mapa final'!$R$75),"")</f>
        <v/>
      </c>
      <c r="N60" s="63" t="str">
        <f>IF(AND('Mapa final'!$AH$76="Muy Baja",'Mapa final'!$AJ$76="Leve"),CONCATENATE("R2C",'Mapa final'!$R$76),"")</f>
        <v/>
      </c>
      <c r="O60" s="63" t="str">
        <f>IF(AND('Mapa final'!$AH$77="Muy Baja",'Mapa final'!$AJ$77="Leve"),CONCATENATE("R2C",'Mapa final'!$R$77),"")</f>
        <v/>
      </c>
      <c r="P60" s="64" t="str">
        <f>IF(AND('Mapa final'!$AH$78="Muy Baja",'Mapa final'!$AJ$78="Leve"),CONCATENATE("R2C",'Mapa final'!$R$78),"")</f>
        <v/>
      </c>
      <c r="Q60" s="62" t="str">
        <f>IF(AND('Mapa final'!$AH$73="Muy Baja",'Mapa final'!$AJ$73="Menor"),CONCATENATE("R2C",'Mapa final'!$R$73),"")</f>
        <v/>
      </c>
      <c r="R60" s="63" t="str">
        <f>IF(AND('Mapa final'!$AH$74="Muy Baja",'Mapa final'!$AJ$74="Menor"),CONCATENATE("R2C",'Mapa final'!$R$74),"")</f>
        <v/>
      </c>
      <c r="S60" s="63" t="str">
        <f>IF(AND('Mapa final'!$AH$75="Muy Baja",'Mapa final'!$AJ$75="Menor"),CONCATENATE("R2C",'Mapa final'!$R$75),"")</f>
        <v/>
      </c>
      <c r="T60" s="63" t="str">
        <f>IF(AND('Mapa final'!$AH$76="Muy Baja",'Mapa final'!$AJ$76="Menor"),CONCATENATE("R2C",'Mapa final'!$R$76),"")</f>
        <v/>
      </c>
      <c r="U60" s="63" t="str">
        <f>IF(AND('Mapa final'!$AH$77="Muy Baja",'Mapa final'!$AJ$77="Menor"),CONCATENATE("R2C",'Mapa final'!$R$77),"")</f>
        <v/>
      </c>
      <c r="V60" s="64" t="str">
        <f>IF(AND('Mapa final'!$AH$78="Muy Baja",'Mapa final'!$AJ$78="Menor"),CONCATENATE("R2C",'Mapa final'!$R$78),"")</f>
        <v/>
      </c>
      <c r="W60" s="53" t="str">
        <f>IF(AND('Mapa final'!$AH$73="Muy Baja",'Mapa final'!$AJ$73="Moderado"),CONCATENATE("R2C",'Mapa final'!$R$73),"")</f>
        <v/>
      </c>
      <c r="X60" s="54" t="str">
        <f>IF(AND('Mapa final'!$AH$74="Muy Baja",'Mapa final'!$AJ$74="Moderado"),CONCATENATE("R2C",'Mapa final'!$R$74),"")</f>
        <v/>
      </c>
      <c r="Y60" s="54" t="str">
        <f>IF(AND('Mapa final'!$AH$75="Muy Baja",'Mapa final'!$AJ$75="Moderado"),CONCATENATE("R2C",'Mapa final'!$R$75),"")</f>
        <v/>
      </c>
      <c r="Z60" s="54" t="str">
        <f>IF(AND('Mapa final'!$AH$76="Muy Baja",'Mapa final'!$AJ$76="Moderado"),CONCATENATE("R2C",'Mapa final'!$R$76),"")</f>
        <v/>
      </c>
      <c r="AA60" s="54" t="str">
        <f>IF(AND('Mapa final'!$AH$77="Muy Baja",'Mapa final'!$AJ$77="Moderado"),CONCATENATE("R2C",'Mapa final'!$R$77),"")</f>
        <v/>
      </c>
      <c r="AB60" s="55" t="str">
        <f>IF(AND('Mapa final'!$AH$78="Muy Baja",'Mapa final'!$AJ$78="Moderado"),CONCATENATE("R2C",'Mapa final'!$R$78),"")</f>
        <v/>
      </c>
      <c r="AC60" s="38" t="str">
        <f>IF(AND('Mapa final'!$AH$73="Muy Baja",'Mapa final'!$AJ$73="Mayor"),CONCATENATE("R2C",'Mapa final'!$R$73),"")</f>
        <v/>
      </c>
      <c r="AD60" s="39" t="str">
        <f>IF(AND('Mapa final'!$AH$74="Muy Baja",'Mapa final'!$AJ$74="Mayor"),CONCATENATE("R2C",'Mapa final'!$R$74),"")</f>
        <v/>
      </c>
      <c r="AE60" s="39" t="str">
        <f>IF(AND('Mapa final'!$AH$75="Muy Baja",'Mapa final'!$AJ$75="Mayor"),CONCATENATE("R2C",'Mapa final'!$R$75),"")</f>
        <v/>
      </c>
      <c r="AF60" s="39" t="str">
        <f>IF(AND('Mapa final'!$AH$76="Muy Baja",'Mapa final'!$AJ$76="Mayor"),CONCATENATE("R2C",'Mapa final'!$R$76),"")</f>
        <v/>
      </c>
      <c r="AG60" s="39" t="str">
        <f>IF(AND('Mapa final'!$AH$77="Muy Baja",'Mapa final'!$AJ$77="Mayor"),CONCATENATE("R2C",'Mapa final'!$R$77),"")</f>
        <v/>
      </c>
      <c r="AH60" s="40" t="str">
        <f>IF(AND('Mapa final'!$AH$78="Muy Baja",'Mapa final'!$AJ$78="Mayor"),CONCATENATE("R2C",'Mapa final'!$R$78),"")</f>
        <v/>
      </c>
      <c r="AI60" s="41" t="str">
        <f>IF(AND('Mapa final'!$AH$73="Muy Baja",'Mapa final'!$AJ$73="Catastrófico"),CONCATENATE("R2C",'Mapa final'!$R$73),"")</f>
        <v/>
      </c>
      <c r="AJ60" s="42" t="str">
        <f>IF(AND('Mapa final'!$AH$74="Muy Baja",'Mapa final'!$AJ$74="Catastrófico"),CONCATENATE("R2C",'Mapa final'!$R$74),"")</f>
        <v/>
      </c>
      <c r="AK60" s="42" t="str">
        <f>IF(AND('Mapa final'!$AH$75="Muy Baja",'Mapa final'!$AJ$75="Catastrófico"),CONCATENATE("R2C",'Mapa final'!$R$75),"")</f>
        <v/>
      </c>
      <c r="AL60" s="42" t="str">
        <f>IF(AND('Mapa final'!$AH$76="Muy Baja",'Mapa final'!$AJ$76="Catastrófico"),CONCATENATE("R2C",'Mapa final'!$R$76),"")</f>
        <v/>
      </c>
      <c r="AM60" s="42" t="str">
        <f>IF(AND('Mapa final'!$AH$77="Muy Baja",'Mapa final'!$AJ$77="Catastrófico"),CONCATENATE("R2C",'Mapa final'!$R$77),"")</f>
        <v/>
      </c>
      <c r="AN60" s="43" t="str">
        <f>IF(AND('Mapa final'!$AH$78="Muy Baja",'Mapa final'!$AJ$78="Catastrófico"),CONCATENATE("R2C",'Mapa final'!$R$78),"")</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41"/>
      <c r="D61" s="441"/>
      <c r="E61" s="442"/>
      <c r="F61" s="487"/>
      <c r="G61" s="488"/>
      <c r="H61" s="488"/>
      <c r="I61" s="488"/>
      <c r="J61" s="489"/>
      <c r="K61" s="65" t="str">
        <f>IF(AND('Mapa final'!$AH$79="Muy Baja",'Mapa final'!$AJ$79="Leve"),CONCATENATE("R2C",'Mapa final'!$R$79),"")</f>
        <v/>
      </c>
      <c r="L61" s="66" t="str">
        <f>IF(AND('Mapa final'!$AH$80="Muy Baja",'Mapa final'!$AJ$80="Leve"),CONCATENATE("R2C",'Mapa final'!$R$80),"")</f>
        <v/>
      </c>
      <c r="M61" s="66" t="str">
        <f>IF(AND('Mapa final'!$AH$81="Muy Baja",'Mapa final'!$AJ$81="Leve"),CONCATENATE("R2C",'Mapa final'!$R$81),"")</f>
        <v/>
      </c>
      <c r="N61" s="66" t="str">
        <f>IF(AND('Mapa final'!$AH$82="Muy Baja",'Mapa final'!$AJ$82="Leve"),CONCATENATE("R2C",'Mapa final'!$R$82),"")</f>
        <v/>
      </c>
      <c r="O61" s="66" t="str">
        <f>IF(AND('Mapa final'!$AH$84="Muy Baja",'Mapa final'!$AJ$84="Leve"),CONCATENATE("R2C",'Mapa final'!$R$84),"")</f>
        <v/>
      </c>
      <c r="P61" s="67" t="str">
        <f>IF(AND('Mapa final'!$AH$85="Muy Baja",'Mapa final'!$AJ$85="Leve"),CONCATENATE("R2C",'Mapa final'!$R$85),"")</f>
        <v/>
      </c>
      <c r="Q61" s="65" t="str">
        <f>IF(AND('Mapa final'!$AH$79="Muy Baja",'Mapa final'!$AJ$79="Menor"),CONCATENATE("R2C",'Mapa final'!$R$79),"")</f>
        <v/>
      </c>
      <c r="R61" s="66" t="str">
        <f>IF(AND('Mapa final'!$AH$80="Muy Baja",'Mapa final'!$AJ$80="Menor"),CONCATENATE("R2C",'Mapa final'!$R$80),"")</f>
        <v/>
      </c>
      <c r="S61" s="66" t="str">
        <f>IF(AND('Mapa final'!$AH$81="Muy Baja",'Mapa final'!$AJ$81="Menor"),CONCATENATE("R2C",'Mapa final'!$R$81),"")</f>
        <v/>
      </c>
      <c r="T61" s="66" t="str">
        <f>IF(AND('Mapa final'!$AH$82="Muy Baja",'Mapa final'!$AJ$82="Menor"),CONCATENATE("R2C",'Mapa final'!$R$82),"")</f>
        <v/>
      </c>
      <c r="U61" s="66" t="str">
        <f>IF(AND('Mapa final'!$AH$84="Muy Baja",'Mapa final'!$AJ$84="Menor"),CONCATENATE("R2C",'Mapa final'!$R$84),"")</f>
        <v/>
      </c>
      <c r="V61" s="67" t="str">
        <f>IF(AND('Mapa final'!$AH$85="Muy Baja",'Mapa final'!$AJ$85="Menor"),CONCATENATE("R2C",'Mapa final'!$R$85),"")</f>
        <v/>
      </c>
      <c r="W61" s="56" t="str">
        <f>IF(AND('Mapa final'!$AH$79="Muy Baja",'Mapa final'!$AJ$79="Moderado"),CONCATENATE("R2C",'Mapa final'!$R$79),"")</f>
        <v/>
      </c>
      <c r="X61" s="57" t="str">
        <f>IF(AND('Mapa final'!$AH$80="Muy Baja",'Mapa final'!$AJ$80="Moderado"),CONCATENATE("R2C",'Mapa final'!$R$80),"")</f>
        <v/>
      </c>
      <c r="Y61" s="57" t="str">
        <f>IF(AND('Mapa final'!$AH$81="Muy Baja",'Mapa final'!$AJ$81="Moderado"),CONCATENATE("R2C",'Mapa final'!$R$81),"")</f>
        <v/>
      </c>
      <c r="Z61" s="57" t="str">
        <f>IF(AND('Mapa final'!$AH$82="Muy Baja",'Mapa final'!$AJ$82="Moderado"),CONCATENATE("R2C",'Mapa final'!$R$82),"")</f>
        <v/>
      </c>
      <c r="AA61" s="57" t="str">
        <f>IF(AND('Mapa final'!$AH$84="Muy Baja",'Mapa final'!$AJ$84="Moderado"),CONCATENATE("R2C",'Mapa final'!$R$84),"")</f>
        <v/>
      </c>
      <c r="AB61" s="58" t="str">
        <f>IF(AND('Mapa final'!$AH$85="Muy Baja",'Mapa final'!$AJ$85="Moderado"),CONCATENATE("R2C",'Mapa final'!$R$85),"")</f>
        <v/>
      </c>
      <c r="AC61" s="44" t="str">
        <f>IF(AND('Mapa final'!$AH$79="Muy Baja",'Mapa final'!$AJ$79="Mayor"),CONCATENATE("R2C",'Mapa final'!$R$79),"")</f>
        <v/>
      </c>
      <c r="AD61" s="45" t="str">
        <f>IF(AND('Mapa final'!$AH$80="Muy Baja",'Mapa final'!$AJ$80="Mayor"),CONCATENATE("R2C",'Mapa final'!$R$80),"")</f>
        <v/>
      </c>
      <c r="AE61" s="45" t="str">
        <f>IF(AND('Mapa final'!$AH$81="Muy Baja",'Mapa final'!$AJ$81="Mayor"),CONCATENATE("R2C",'Mapa final'!$R$81),"")</f>
        <v/>
      </c>
      <c r="AF61" s="45" t="str">
        <f>IF(AND('Mapa final'!$AH$82="Muy Baja",'Mapa final'!$AJ$82="Mayor"),CONCATENATE("R2C",'Mapa final'!$R$82),"")</f>
        <v/>
      </c>
      <c r="AG61" s="45" t="str">
        <f>IF(AND('Mapa final'!$AH$84="Muy Baja",'Mapa final'!$AJ$84="Mayor"),CONCATENATE("R2C",'Mapa final'!$R$84),"")</f>
        <v/>
      </c>
      <c r="AH61" s="46" t="str">
        <f>IF(AND('Mapa final'!$AH$85="Muy Baja",'Mapa final'!$AJ$85="Mayor"),CONCATENATE("R2C",'Mapa final'!$R$85),"")</f>
        <v/>
      </c>
      <c r="AI61" s="47" t="str">
        <f>IF(AND('Mapa final'!$AH$79="Muy Baja",'Mapa final'!$AJ$79="Catastrófico"),CONCATENATE("R2C",'Mapa final'!$R$79),"")</f>
        <v/>
      </c>
      <c r="AJ61" s="48" t="str">
        <f>IF(AND('Mapa final'!$AH$80="Muy Baja",'Mapa final'!$AJ$80="Catastrófico"),CONCATENATE("R2C",'Mapa final'!$R$80),"")</f>
        <v/>
      </c>
      <c r="AK61" s="48" t="str">
        <f>IF(AND('Mapa final'!$AH$81="Muy Baja",'Mapa final'!$AJ$81="Catastrófico"),CONCATENATE("R2C",'Mapa final'!$R$81),"")</f>
        <v/>
      </c>
      <c r="AL61" s="48" t="str">
        <f>IF(AND('Mapa final'!$AH$82="Muy Baja",'Mapa final'!$AJ$82="Catastrófico"),CONCATENATE("R2C",'Mapa final'!$R$82),"")</f>
        <v/>
      </c>
      <c r="AM61" s="48" t="str">
        <f>IF(AND('Mapa final'!$AH$84="Muy Baja",'Mapa final'!$AJ$84="Catastrófico"),CONCATENATE("R2C",'Mapa final'!$R$84),"")</f>
        <v/>
      </c>
      <c r="AN61" s="49" t="str">
        <f>IF(AND('Mapa final'!$AH$85="Muy Baja",'Mapa final'!$AJ$85="Catastrófico"),CONCATENATE("R2C",'Mapa final'!$R$85),"")</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481" t="s">
        <v>316</v>
      </c>
      <c r="L62" s="482"/>
      <c r="M62" s="482"/>
      <c r="N62" s="482"/>
      <c r="O62" s="482"/>
      <c r="P62" s="483"/>
      <c r="Q62" s="481" t="s">
        <v>317</v>
      </c>
      <c r="R62" s="482"/>
      <c r="S62" s="482"/>
      <c r="T62" s="482"/>
      <c r="U62" s="482"/>
      <c r="V62" s="483"/>
      <c r="W62" s="481" t="s">
        <v>318</v>
      </c>
      <c r="X62" s="482"/>
      <c r="Y62" s="482"/>
      <c r="Z62" s="482"/>
      <c r="AA62" s="482"/>
      <c r="AB62" s="483"/>
      <c r="AC62" s="481" t="s">
        <v>319</v>
      </c>
      <c r="AD62" s="490"/>
      <c r="AE62" s="482"/>
      <c r="AF62" s="482"/>
      <c r="AG62" s="482"/>
      <c r="AH62" s="483"/>
      <c r="AI62" s="481" t="s">
        <v>320</v>
      </c>
      <c r="AJ62" s="482"/>
      <c r="AK62" s="482"/>
      <c r="AL62" s="482"/>
      <c r="AM62" s="482"/>
      <c r="AN62" s="483"/>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484"/>
      <c r="L63" s="485"/>
      <c r="M63" s="485"/>
      <c r="N63" s="485"/>
      <c r="O63" s="485"/>
      <c r="P63" s="486"/>
      <c r="Q63" s="484"/>
      <c r="R63" s="485"/>
      <c r="S63" s="485"/>
      <c r="T63" s="485"/>
      <c r="U63" s="485"/>
      <c r="V63" s="486"/>
      <c r="W63" s="484"/>
      <c r="X63" s="485"/>
      <c r="Y63" s="485"/>
      <c r="Z63" s="485"/>
      <c r="AA63" s="485"/>
      <c r="AB63" s="486"/>
      <c r="AC63" s="484"/>
      <c r="AD63" s="485"/>
      <c r="AE63" s="485"/>
      <c r="AF63" s="485"/>
      <c r="AG63" s="485"/>
      <c r="AH63" s="486"/>
      <c r="AI63" s="484"/>
      <c r="AJ63" s="485"/>
      <c r="AK63" s="485"/>
      <c r="AL63" s="485"/>
      <c r="AM63" s="485"/>
      <c r="AN63" s="486"/>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484"/>
      <c r="L64" s="485"/>
      <c r="M64" s="485"/>
      <c r="N64" s="485"/>
      <c r="O64" s="485"/>
      <c r="P64" s="486"/>
      <c r="Q64" s="484"/>
      <c r="R64" s="485"/>
      <c r="S64" s="485"/>
      <c r="T64" s="485"/>
      <c r="U64" s="485"/>
      <c r="V64" s="486"/>
      <c r="W64" s="484"/>
      <c r="X64" s="485"/>
      <c r="Y64" s="485"/>
      <c r="Z64" s="485"/>
      <c r="AA64" s="485"/>
      <c r="AB64" s="486"/>
      <c r="AC64" s="484"/>
      <c r="AD64" s="485"/>
      <c r="AE64" s="485"/>
      <c r="AF64" s="485"/>
      <c r="AG64" s="485"/>
      <c r="AH64" s="486"/>
      <c r="AI64" s="484"/>
      <c r="AJ64" s="485"/>
      <c r="AK64" s="485"/>
      <c r="AL64" s="485"/>
      <c r="AM64" s="485"/>
      <c r="AN64" s="486"/>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484"/>
      <c r="L65" s="485"/>
      <c r="M65" s="485"/>
      <c r="N65" s="485"/>
      <c r="O65" s="485"/>
      <c r="P65" s="486"/>
      <c r="Q65" s="484"/>
      <c r="R65" s="485"/>
      <c r="S65" s="485"/>
      <c r="T65" s="485"/>
      <c r="U65" s="485"/>
      <c r="V65" s="486"/>
      <c r="W65" s="484"/>
      <c r="X65" s="485"/>
      <c r="Y65" s="485"/>
      <c r="Z65" s="485"/>
      <c r="AA65" s="485"/>
      <c r="AB65" s="486"/>
      <c r="AC65" s="484"/>
      <c r="AD65" s="485"/>
      <c r="AE65" s="485"/>
      <c r="AF65" s="485"/>
      <c r="AG65" s="485"/>
      <c r="AH65" s="486"/>
      <c r="AI65" s="484"/>
      <c r="AJ65" s="485"/>
      <c r="AK65" s="485"/>
      <c r="AL65" s="485"/>
      <c r="AM65" s="485"/>
      <c r="AN65" s="486"/>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484"/>
      <c r="L66" s="485"/>
      <c r="M66" s="485"/>
      <c r="N66" s="485"/>
      <c r="O66" s="485"/>
      <c r="P66" s="486"/>
      <c r="Q66" s="484"/>
      <c r="R66" s="485"/>
      <c r="S66" s="485"/>
      <c r="T66" s="485"/>
      <c r="U66" s="485"/>
      <c r="V66" s="486"/>
      <c r="W66" s="484"/>
      <c r="X66" s="485"/>
      <c r="Y66" s="485"/>
      <c r="Z66" s="485"/>
      <c r="AA66" s="485"/>
      <c r="AB66" s="486"/>
      <c r="AC66" s="484"/>
      <c r="AD66" s="485"/>
      <c r="AE66" s="485"/>
      <c r="AF66" s="485"/>
      <c r="AG66" s="485"/>
      <c r="AH66" s="486"/>
      <c r="AI66" s="484"/>
      <c r="AJ66" s="485"/>
      <c r="AK66" s="485"/>
      <c r="AL66" s="485"/>
      <c r="AM66" s="485"/>
      <c r="AN66" s="486"/>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75" thickBot="1">
      <c r="B67" s="68"/>
      <c r="C67" s="68"/>
      <c r="D67" s="68"/>
      <c r="E67" s="68"/>
      <c r="F67" s="68"/>
      <c r="G67" s="68"/>
      <c r="H67" s="68"/>
      <c r="I67" s="68"/>
      <c r="J67" s="68"/>
      <c r="K67" s="487"/>
      <c r="L67" s="488"/>
      <c r="M67" s="488"/>
      <c r="N67" s="488"/>
      <c r="O67" s="488"/>
      <c r="P67" s="489"/>
      <c r="Q67" s="487"/>
      <c r="R67" s="488"/>
      <c r="S67" s="488"/>
      <c r="T67" s="488"/>
      <c r="U67" s="488"/>
      <c r="V67" s="489"/>
      <c r="W67" s="487"/>
      <c r="X67" s="488"/>
      <c r="Y67" s="488"/>
      <c r="Z67" s="488"/>
      <c r="AA67" s="488"/>
      <c r="AB67" s="489"/>
      <c r="AC67" s="487"/>
      <c r="AD67" s="488"/>
      <c r="AE67" s="488"/>
      <c r="AF67" s="488"/>
      <c r="AG67" s="488"/>
      <c r="AH67" s="489"/>
      <c r="AI67" s="487"/>
      <c r="AJ67" s="488"/>
      <c r="AK67" s="488"/>
      <c r="AL67" s="488"/>
      <c r="AM67" s="488"/>
      <c r="AN67" s="489"/>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defaultColWidth="11.42578125" defaultRowHeight="15"/>
  <cols>
    <col min="1" max="1" width="10.28515625" style="116" customWidth="1"/>
    <col min="2" max="2" width="32.42578125" style="116" customWidth="1"/>
    <col min="3" max="3" width="77" style="116" customWidth="1"/>
    <col min="4" max="4" width="21" style="116" customWidth="1"/>
    <col min="5" max="5" width="23.7109375" style="116" customWidth="1"/>
    <col min="6" max="16384" width="11.42578125" style="116"/>
  </cols>
  <sheetData>
    <row r="1" spans="1:6" ht="7.9" customHeight="1"/>
    <row r="2" spans="1:6" ht="15.75" customHeight="1">
      <c r="B2" s="531" t="s">
        <v>323</v>
      </c>
      <c r="C2" s="534" t="s">
        <v>1</v>
      </c>
      <c r="D2" s="323"/>
      <c r="E2" s="202" t="s">
        <v>2</v>
      </c>
      <c r="F2" s="117"/>
    </row>
    <row r="3" spans="1:6" ht="15.75" customHeight="1">
      <c r="B3" s="532"/>
      <c r="C3" s="535"/>
      <c r="D3" s="326"/>
      <c r="E3" s="203" t="s">
        <v>3</v>
      </c>
      <c r="F3" s="117"/>
    </row>
    <row r="4" spans="1:6" ht="16.5" customHeight="1">
      <c r="B4" s="532"/>
      <c r="C4" s="535"/>
      <c r="D4" s="326"/>
      <c r="E4" s="203" t="s">
        <v>4</v>
      </c>
      <c r="F4" s="117"/>
    </row>
    <row r="5" spans="1:6" ht="15" customHeight="1">
      <c r="B5" s="533"/>
      <c r="C5" s="536"/>
      <c r="D5" s="329"/>
      <c r="E5" s="204" t="s">
        <v>5</v>
      </c>
      <c r="F5" s="117"/>
    </row>
    <row r="7" spans="1:6">
      <c r="A7" s="537" t="s">
        <v>9</v>
      </c>
      <c r="B7" s="134" t="s">
        <v>324</v>
      </c>
      <c r="C7" s="135" t="s">
        <v>325</v>
      </c>
      <c r="D7" s="135" t="s">
        <v>326</v>
      </c>
      <c r="E7" s="135" t="s">
        <v>327</v>
      </c>
    </row>
    <row r="8" spans="1:6" ht="42.75">
      <c r="A8" s="537"/>
      <c r="B8" s="118">
        <v>45687</v>
      </c>
      <c r="C8" s="199" t="s">
        <v>328</v>
      </c>
      <c r="D8" s="120" t="s">
        <v>329</v>
      </c>
      <c r="E8" s="120" t="s">
        <v>330</v>
      </c>
    </row>
    <row r="9" spans="1:6" ht="161.44999999999999" customHeight="1">
      <c r="A9" s="537"/>
      <c r="B9" s="118">
        <v>45777</v>
      </c>
      <c r="C9" s="199" t="s">
        <v>331</v>
      </c>
      <c r="D9" s="120" t="s">
        <v>329</v>
      </c>
      <c r="E9" s="120" t="s">
        <v>330</v>
      </c>
    </row>
    <row r="10" spans="1:6">
      <c r="A10" s="537"/>
      <c r="B10" s="118"/>
      <c r="C10" s="119"/>
      <c r="D10" s="120"/>
      <c r="E10" s="120"/>
    </row>
    <row r="11" spans="1:6">
      <c r="A11" s="537"/>
      <c r="B11" s="118"/>
      <c r="C11" s="119"/>
      <c r="D11" s="120"/>
      <c r="E11" s="120"/>
    </row>
    <row r="12" spans="1:6">
      <c r="A12" s="537"/>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defaultColWidth="11.4257812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defaultColWidth="11.42578125" defaultRowHeight="15"/>
  <cols>
    <col min="1" max="1" width="2.7109375" style="68" customWidth="1"/>
    <col min="2" max="3" width="24.7109375" style="68" customWidth="1"/>
    <col min="4" max="4" width="16" style="68" customWidth="1"/>
    <col min="5" max="5" width="24.7109375" style="68" customWidth="1"/>
    <col min="6" max="6" width="27.7109375" style="68" customWidth="1"/>
    <col min="7" max="8" width="24.7109375" style="68" customWidth="1"/>
    <col min="9" max="10" width="11.42578125" style="142"/>
    <col min="11" max="16384" width="11.42578125" style="68"/>
  </cols>
  <sheetData>
    <row r="1" spans="2:10" ht="15.75" thickBot="1"/>
    <row r="2" spans="2:10" ht="18" customHeight="1">
      <c r="B2" s="538" t="s">
        <v>332</v>
      </c>
      <c r="C2" s="539"/>
      <c r="D2" s="539"/>
      <c r="E2" s="539"/>
      <c r="F2" s="539"/>
      <c r="G2" s="539"/>
      <c r="H2" s="540"/>
      <c r="J2" s="143" t="s">
        <v>17</v>
      </c>
    </row>
    <row r="3" spans="2:10" ht="20.25">
      <c r="B3" s="69"/>
      <c r="C3" s="70"/>
      <c r="D3" s="70"/>
      <c r="E3" s="70"/>
      <c r="F3" s="70"/>
      <c r="G3" s="70"/>
      <c r="H3" s="71"/>
      <c r="J3" s="143"/>
    </row>
    <row r="4" spans="2:10" ht="63" customHeight="1">
      <c r="B4" s="541" t="s">
        <v>333</v>
      </c>
      <c r="C4" s="542"/>
      <c r="D4" s="542"/>
      <c r="E4" s="542"/>
      <c r="F4" s="542"/>
      <c r="G4" s="542"/>
      <c r="H4" s="543"/>
    </row>
    <row r="5" spans="2:10" ht="63" customHeight="1">
      <c r="B5" s="544"/>
      <c r="C5" s="545"/>
      <c r="D5" s="545"/>
      <c r="E5" s="545"/>
      <c r="F5" s="545"/>
      <c r="G5" s="545"/>
      <c r="H5" s="546"/>
    </row>
    <row r="6" spans="2:10" ht="16.5">
      <c r="B6" s="547" t="s">
        <v>334</v>
      </c>
      <c r="C6" s="548"/>
      <c r="D6" s="548"/>
      <c r="E6" s="548"/>
      <c r="F6" s="548"/>
      <c r="G6" s="548"/>
      <c r="H6" s="549"/>
    </row>
    <row r="7" spans="2:10" ht="95.25" customHeight="1">
      <c r="B7" s="557" t="s">
        <v>335</v>
      </c>
      <c r="C7" s="558"/>
      <c r="D7" s="558"/>
      <c r="E7" s="558"/>
      <c r="F7" s="558"/>
      <c r="G7" s="558"/>
      <c r="H7" s="559"/>
    </row>
    <row r="8" spans="2:10" ht="16.5">
      <c r="B8" s="101"/>
      <c r="C8" s="102"/>
      <c r="D8" s="102"/>
      <c r="E8" s="102"/>
      <c r="F8" s="102"/>
      <c r="G8" s="102"/>
      <c r="H8" s="103"/>
    </row>
    <row r="9" spans="2:10" ht="16.5" customHeight="1">
      <c r="B9" s="550" t="s">
        <v>336</v>
      </c>
      <c r="C9" s="551"/>
      <c r="D9" s="551"/>
      <c r="E9" s="551"/>
      <c r="F9" s="551"/>
      <c r="G9" s="551"/>
      <c r="H9" s="552"/>
    </row>
    <row r="10" spans="2:10" ht="44.25" customHeight="1">
      <c r="B10" s="550"/>
      <c r="C10" s="551"/>
      <c r="D10" s="551"/>
      <c r="E10" s="551"/>
      <c r="F10" s="551"/>
      <c r="G10" s="551"/>
      <c r="H10" s="552"/>
    </row>
    <row r="11" spans="2:10" ht="15.75" thickBot="1">
      <c r="B11" s="90"/>
      <c r="C11" s="93"/>
      <c r="D11" s="98"/>
      <c r="E11" s="99"/>
      <c r="F11" s="99"/>
      <c r="G11" s="100"/>
      <c r="H11" s="94"/>
    </row>
    <row r="12" spans="2:10" ht="15.75" thickTop="1">
      <c r="B12" s="90"/>
      <c r="C12" s="553" t="s">
        <v>337</v>
      </c>
      <c r="D12" s="554"/>
      <c r="E12" s="555" t="s">
        <v>338</v>
      </c>
      <c r="F12" s="556"/>
      <c r="G12" s="93"/>
      <c r="H12" s="94"/>
    </row>
    <row r="13" spans="2:10" ht="35.25" customHeight="1">
      <c r="B13" s="90"/>
      <c r="C13" s="560" t="s">
        <v>339</v>
      </c>
      <c r="D13" s="561"/>
      <c r="E13" s="562" t="s">
        <v>340</v>
      </c>
      <c r="F13" s="563"/>
      <c r="G13" s="93"/>
      <c r="H13" s="94"/>
    </row>
    <row r="14" spans="2:10" ht="17.25" customHeight="1">
      <c r="B14" s="90"/>
      <c r="C14" s="560" t="s">
        <v>341</v>
      </c>
      <c r="D14" s="561"/>
      <c r="E14" s="562" t="s">
        <v>342</v>
      </c>
      <c r="F14" s="563"/>
      <c r="G14" s="93"/>
      <c r="H14" s="94"/>
    </row>
    <row r="15" spans="2:10" ht="19.5" customHeight="1">
      <c r="B15" s="90"/>
      <c r="C15" s="560" t="s">
        <v>343</v>
      </c>
      <c r="D15" s="561"/>
      <c r="E15" s="562" t="s">
        <v>344</v>
      </c>
      <c r="F15" s="563"/>
      <c r="G15" s="93"/>
      <c r="H15" s="94"/>
    </row>
    <row r="16" spans="2:10" ht="69.75" customHeight="1">
      <c r="B16" s="90"/>
      <c r="C16" s="560" t="s">
        <v>345</v>
      </c>
      <c r="D16" s="561"/>
      <c r="E16" s="562" t="s">
        <v>346</v>
      </c>
      <c r="F16" s="563"/>
      <c r="G16" s="93"/>
      <c r="H16" s="94"/>
    </row>
    <row r="17" spans="2:8" ht="34.5" customHeight="1">
      <c r="B17" s="90"/>
      <c r="C17" s="564" t="s">
        <v>60</v>
      </c>
      <c r="D17" s="565"/>
      <c r="E17" s="566" t="s">
        <v>347</v>
      </c>
      <c r="F17" s="567"/>
      <c r="G17" s="93"/>
      <c r="H17" s="94"/>
    </row>
    <row r="18" spans="2:8" ht="27.75" customHeight="1">
      <c r="B18" s="90"/>
      <c r="C18" s="564" t="s">
        <v>348</v>
      </c>
      <c r="D18" s="565"/>
      <c r="E18" s="566" t="s">
        <v>349</v>
      </c>
      <c r="F18" s="567"/>
      <c r="G18" s="93"/>
      <c r="H18" s="94"/>
    </row>
    <row r="19" spans="2:8" ht="28.5" customHeight="1">
      <c r="B19" s="90"/>
      <c r="C19" s="564" t="s">
        <v>350</v>
      </c>
      <c r="D19" s="565"/>
      <c r="E19" s="566" t="s">
        <v>351</v>
      </c>
      <c r="F19" s="567"/>
      <c r="G19" s="93"/>
      <c r="H19" s="94"/>
    </row>
    <row r="20" spans="2:8" ht="72.75" customHeight="1">
      <c r="B20" s="90"/>
      <c r="C20" s="564" t="s">
        <v>352</v>
      </c>
      <c r="D20" s="565"/>
      <c r="E20" s="566" t="s">
        <v>353</v>
      </c>
      <c r="F20" s="567"/>
      <c r="G20" s="93"/>
      <c r="H20" s="94"/>
    </row>
    <row r="21" spans="2:8" ht="64.5" customHeight="1">
      <c r="B21" s="90"/>
      <c r="C21" s="564" t="s">
        <v>66</v>
      </c>
      <c r="D21" s="565"/>
      <c r="E21" s="566" t="s">
        <v>354</v>
      </c>
      <c r="F21" s="567"/>
      <c r="G21" s="93"/>
      <c r="H21" s="94"/>
    </row>
    <row r="22" spans="2:8" ht="71.25" customHeight="1">
      <c r="B22" s="90"/>
      <c r="C22" s="564" t="s">
        <v>355</v>
      </c>
      <c r="D22" s="565"/>
      <c r="E22" s="566" t="s">
        <v>356</v>
      </c>
      <c r="F22" s="567"/>
      <c r="G22" s="93"/>
      <c r="H22" s="94"/>
    </row>
    <row r="23" spans="2:8" ht="55.5" customHeight="1">
      <c r="B23" s="90"/>
      <c r="C23" s="571" t="s">
        <v>357</v>
      </c>
      <c r="D23" s="572"/>
      <c r="E23" s="566" t="s">
        <v>358</v>
      </c>
      <c r="F23" s="567"/>
      <c r="G23" s="93"/>
      <c r="H23" s="94"/>
    </row>
    <row r="24" spans="2:8" ht="42" customHeight="1">
      <c r="B24" s="90"/>
      <c r="C24" s="571" t="s">
        <v>73</v>
      </c>
      <c r="D24" s="572"/>
      <c r="E24" s="566" t="s">
        <v>359</v>
      </c>
      <c r="F24" s="567"/>
      <c r="G24" s="93"/>
      <c r="H24" s="94"/>
    </row>
    <row r="25" spans="2:8" ht="59.25" customHeight="1">
      <c r="B25" s="90"/>
      <c r="C25" s="571" t="s">
        <v>360</v>
      </c>
      <c r="D25" s="572"/>
      <c r="E25" s="566" t="s">
        <v>361</v>
      </c>
      <c r="F25" s="567"/>
      <c r="G25" s="93"/>
      <c r="H25" s="94"/>
    </row>
    <row r="26" spans="2:8" ht="23.25" customHeight="1">
      <c r="B26" s="90"/>
      <c r="C26" s="571" t="s">
        <v>77</v>
      </c>
      <c r="D26" s="572"/>
      <c r="E26" s="566" t="s">
        <v>362</v>
      </c>
      <c r="F26" s="567"/>
      <c r="G26" s="93"/>
      <c r="H26" s="94"/>
    </row>
    <row r="27" spans="2:8" ht="30.75" customHeight="1">
      <c r="B27" s="90"/>
      <c r="C27" s="571" t="s">
        <v>363</v>
      </c>
      <c r="D27" s="572"/>
      <c r="E27" s="566" t="s">
        <v>364</v>
      </c>
      <c r="F27" s="567"/>
      <c r="G27" s="93"/>
      <c r="H27" s="94"/>
    </row>
    <row r="28" spans="2:8" ht="35.25" customHeight="1">
      <c r="B28" s="90"/>
      <c r="C28" s="571" t="s">
        <v>365</v>
      </c>
      <c r="D28" s="572"/>
      <c r="E28" s="566" t="s">
        <v>366</v>
      </c>
      <c r="F28" s="567"/>
      <c r="G28" s="93"/>
      <c r="H28" s="94"/>
    </row>
    <row r="29" spans="2:8" ht="33" customHeight="1">
      <c r="B29" s="90"/>
      <c r="C29" s="571" t="s">
        <v>365</v>
      </c>
      <c r="D29" s="572"/>
      <c r="E29" s="566" t="s">
        <v>366</v>
      </c>
      <c r="F29" s="567"/>
      <c r="G29" s="93"/>
      <c r="H29" s="94"/>
    </row>
    <row r="30" spans="2:8" ht="30" customHeight="1">
      <c r="B30" s="90"/>
      <c r="C30" s="571" t="s">
        <v>367</v>
      </c>
      <c r="D30" s="572"/>
      <c r="E30" s="566" t="s">
        <v>368</v>
      </c>
      <c r="F30" s="567"/>
      <c r="G30" s="93"/>
      <c r="H30" s="94"/>
    </row>
    <row r="31" spans="2:8" ht="35.25" customHeight="1">
      <c r="B31" s="90"/>
      <c r="C31" s="571" t="s">
        <v>369</v>
      </c>
      <c r="D31" s="572"/>
      <c r="E31" s="566" t="s">
        <v>370</v>
      </c>
      <c r="F31" s="567"/>
      <c r="G31" s="93"/>
      <c r="H31" s="94"/>
    </row>
    <row r="32" spans="2:8" ht="31.5" customHeight="1">
      <c r="B32" s="90"/>
      <c r="C32" s="571" t="s">
        <v>371</v>
      </c>
      <c r="D32" s="572"/>
      <c r="E32" s="566" t="s">
        <v>372</v>
      </c>
      <c r="F32" s="567"/>
      <c r="G32" s="93"/>
      <c r="H32" s="94"/>
    </row>
    <row r="33" spans="2:8" ht="35.25" customHeight="1">
      <c r="B33" s="90"/>
      <c r="C33" s="571" t="s">
        <v>373</v>
      </c>
      <c r="D33" s="572"/>
      <c r="E33" s="566" t="s">
        <v>374</v>
      </c>
      <c r="F33" s="567"/>
      <c r="G33" s="93"/>
      <c r="H33" s="94"/>
    </row>
    <row r="34" spans="2:8" ht="59.25" customHeight="1">
      <c r="B34" s="90"/>
      <c r="C34" s="571" t="s">
        <v>375</v>
      </c>
      <c r="D34" s="572"/>
      <c r="E34" s="566" t="s">
        <v>376</v>
      </c>
      <c r="F34" s="567"/>
      <c r="G34" s="93"/>
      <c r="H34" s="94"/>
    </row>
    <row r="35" spans="2:8" ht="29.25" customHeight="1">
      <c r="B35" s="90"/>
      <c r="C35" s="571" t="s">
        <v>83</v>
      </c>
      <c r="D35" s="572"/>
      <c r="E35" s="566" t="s">
        <v>377</v>
      </c>
      <c r="F35" s="567"/>
      <c r="G35" s="93"/>
      <c r="H35" s="94"/>
    </row>
    <row r="36" spans="2:8" ht="82.5" customHeight="1">
      <c r="B36" s="90"/>
      <c r="C36" s="571" t="s">
        <v>378</v>
      </c>
      <c r="D36" s="572"/>
      <c r="E36" s="566" t="s">
        <v>379</v>
      </c>
      <c r="F36" s="567"/>
      <c r="G36" s="93"/>
      <c r="H36" s="94"/>
    </row>
    <row r="37" spans="2:8" ht="46.5" customHeight="1">
      <c r="B37" s="90"/>
      <c r="C37" s="571" t="s">
        <v>380</v>
      </c>
      <c r="D37" s="572"/>
      <c r="E37" s="566" t="s">
        <v>381</v>
      </c>
      <c r="F37" s="567"/>
      <c r="G37" s="93"/>
      <c r="H37" s="94"/>
    </row>
    <row r="38" spans="2:8" ht="6.75" customHeight="1" thickBot="1">
      <c r="B38" s="90"/>
      <c r="C38" s="573"/>
      <c r="D38" s="574"/>
      <c r="E38" s="575"/>
      <c r="F38" s="576"/>
      <c r="G38" s="93"/>
      <c r="H38" s="94"/>
    </row>
    <row r="39" spans="2:8" ht="15.75" thickTop="1">
      <c r="B39" s="90"/>
      <c r="C39" s="91"/>
      <c r="D39" s="91"/>
      <c r="E39" s="92"/>
      <c r="F39" s="92"/>
      <c r="G39" s="93"/>
      <c r="H39" s="94"/>
    </row>
    <row r="40" spans="2:8" ht="21" customHeight="1">
      <c r="B40" s="568" t="s">
        <v>382</v>
      </c>
      <c r="C40" s="569"/>
      <c r="D40" s="569"/>
      <c r="E40" s="569"/>
      <c r="F40" s="569"/>
      <c r="G40" s="569"/>
      <c r="H40" s="570"/>
    </row>
    <row r="41" spans="2:8" ht="20.25" customHeight="1">
      <c r="B41" s="568" t="s">
        <v>383</v>
      </c>
      <c r="C41" s="569"/>
      <c r="D41" s="569"/>
      <c r="E41" s="569"/>
      <c r="F41" s="569"/>
      <c r="G41" s="569"/>
      <c r="H41" s="570"/>
    </row>
    <row r="42" spans="2:8" ht="20.25" customHeight="1">
      <c r="B42" s="568" t="s">
        <v>384</v>
      </c>
      <c r="C42" s="569"/>
      <c r="D42" s="569"/>
      <c r="E42" s="569"/>
      <c r="F42" s="569"/>
      <c r="G42" s="569"/>
      <c r="H42" s="570"/>
    </row>
    <row r="43" spans="2:8" ht="20.25" customHeight="1">
      <c r="B43" s="568" t="s">
        <v>385</v>
      </c>
      <c r="C43" s="569"/>
      <c r="D43" s="569"/>
      <c r="E43" s="569"/>
      <c r="F43" s="569"/>
      <c r="G43" s="569"/>
      <c r="H43" s="570"/>
    </row>
    <row r="44" spans="2:8" ht="15" customHeight="1">
      <c r="B44" s="568" t="s">
        <v>386</v>
      </c>
      <c r="C44" s="569"/>
      <c r="D44" s="569"/>
      <c r="E44" s="569"/>
      <c r="F44" s="569"/>
      <c r="G44" s="569"/>
      <c r="H44" s="570"/>
    </row>
    <row r="45" spans="2:8" ht="15.75" thickBot="1">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defaultColWidth="11.4257812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defaultColWidth="11.42578125" defaultRowHeight="15"/>
  <sheetData>
    <row r="1" spans="1:4">
      <c r="A1" t="s">
        <v>387</v>
      </c>
      <c r="B1" t="s">
        <v>62</v>
      </c>
      <c r="C1" t="s">
        <v>205</v>
      </c>
      <c r="D1" t="s">
        <v>206</v>
      </c>
    </row>
    <row r="2" spans="1:4">
      <c r="A2" t="s">
        <v>388</v>
      </c>
      <c r="B2" t="s">
        <v>211</v>
      </c>
      <c r="C2" t="s">
        <v>235</v>
      </c>
      <c r="D2" t="s">
        <v>161</v>
      </c>
    </row>
    <row r="3" spans="1:4">
      <c r="A3" t="s">
        <v>107</v>
      </c>
      <c r="B3" t="s">
        <v>220</v>
      </c>
      <c r="C3" t="s">
        <v>389</v>
      </c>
      <c r="D3" t="s">
        <v>222</v>
      </c>
    </row>
    <row r="4" spans="1:4">
      <c r="A4" t="s">
        <v>390</v>
      </c>
      <c r="B4" t="s">
        <v>233</v>
      </c>
      <c r="C4" t="s">
        <v>241</v>
      </c>
      <c r="D4" t="s">
        <v>115</v>
      </c>
    </row>
    <row r="5" spans="1:4">
      <c r="A5" t="s">
        <v>220</v>
      </c>
      <c r="B5" t="s">
        <v>109</v>
      </c>
      <c r="C5" t="s">
        <v>114</v>
      </c>
      <c r="D5" t="s">
        <v>134</v>
      </c>
    </row>
    <row r="6" spans="1:4">
      <c r="A6" t="s">
        <v>129</v>
      </c>
      <c r="B6" t="s">
        <v>130</v>
      </c>
      <c r="C6" t="s">
        <v>134</v>
      </c>
    </row>
    <row r="7" spans="1:4">
      <c r="A7" t="s">
        <v>391</v>
      </c>
      <c r="B7" t="s">
        <v>247</v>
      </c>
    </row>
    <row r="8" spans="1:4">
      <c r="A8" t="s">
        <v>392</v>
      </c>
    </row>
    <row r="9" spans="1:4">
      <c r="A9" t="s">
        <v>393</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defaultColWidth="11.42578125"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defaultColWidth="11.42578125" defaultRowHeight="15"/>
  <cols>
    <col min="1" max="1" width="2.5703125" style="68" customWidth="1"/>
    <col min="2" max="2" width="33.28515625" style="68" customWidth="1"/>
    <col min="3" max="4" width="11.42578125" style="68"/>
    <col min="5" max="5" width="5.7109375" style="68" customWidth="1"/>
    <col min="6" max="6" width="16.28515625" style="68" customWidth="1"/>
    <col min="7" max="7" width="11.42578125" style="68"/>
    <col min="8" max="8" width="13.7109375" style="68" customWidth="1"/>
    <col min="9" max="9" width="14.28515625" style="68" customWidth="1"/>
    <col min="10" max="10" width="14.7109375" style="68" customWidth="1"/>
    <col min="11" max="11" width="7.5703125" style="68" customWidth="1"/>
    <col min="12" max="12" width="2.28515625" style="68" customWidth="1"/>
    <col min="13" max="16384" width="11.42578125" style="68"/>
  </cols>
  <sheetData>
    <row r="1" spans="2:11" ht="6" customHeight="1" thickBot="1"/>
    <row r="2" spans="2:11" ht="15" customHeight="1">
      <c r="B2" s="577" t="s">
        <v>303</v>
      </c>
      <c r="C2" s="580" t="s">
        <v>1</v>
      </c>
      <c r="D2" s="581"/>
      <c r="E2" s="581"/>
      <c r="F2" s="581"/>
      <c r="G2" s="581"/>
      <c r="H2" s="581"/>
      <c r="I2" s="581"/>
      <c r="J2" s="364" t="s">
        <v>304</v>
      </c>
      <c r="K2" s="338"/>
    </row>
    <row r="3" spans="2:11" ht="15" customHeight="1">
      <c r="B3" s="578"/>
      <c r="C3" s="582"/>
      <c r="D3" s="583"/>
      <c r="E3" s="583"/>
      <c r="F3" s="583"/>
      <c r="G3" s="583"/>
      <c r="H3" s="583"/>
      <c r="I3" s="583"/>
      <c r="J3" s="365" t="s">
        <v>394</v>
      </c>
      <c r="K3" s="340"/>
    </row>
    <row r="4" spans="2:11" ht="15" customHeight="1">
      <c r="B4" s="578"/>
      <c r="C4" s="582"/>
      <c r="D4" s="583"/>
      <c r="E4" s="583"/>
      <c r="F4" s="583"/>
      <c r="G4" s="583"/>
      <c r="H4" s="583"/>
      <c r="I4" s="583"/>
      <c r="J4" s="365" t="s">
        <v>305</v>
      </c>
      <c r="K4" s="340" t="s">
        <v>305</v>
      </c>
    </row>
    <row r="5" spans="2:11" ht="15" customHeight="1" thickBot="1">
      <c r="B5" s="579"/>
      <c r="C5" s="584"/>
      <c r="D5" s="585"/>
      <c r="E5" s="585"/>
      <c r="F5" s="585"/>
      <c r="G5" s="585"/>
      <c r="H5" s="585"/>
      <c r="I5" s="585"/>
      <c r="J5" s="366" t="s">
        <v>5</v>
      </c>
      <c r="K5" s="342" t="s">
        <v>5</v>
      </c>
    </row>
    <row r="6" spans="2:11" ht="15.75" thickBot="1"/>
    <row r="7" spans="2:11" customFormat="1" ht="15.75" thickBot="1">
      <c r="B7" s="586" t="s">
        <v>324</v>
      </c>
      <c r="C7" s="587"/>
      <c r="D7" s="588" t="s">
        <v>395</v>
      </c>
      <c r="E7" s="589"/>
      <c r="F7" s="588" t="s">
        <v>396</v>
      </c>
      <c r="G7" s="590"/>
      <c r="H7" s="590"/>
      <c r="I7" s="590"/>
      <c r="J7" s="590"/>
      <c r="K7" s="591"/>
    </row>
    <row r="8" spans="2:11" customFormat="1" ht="18" customHeight="1" thickBot="1">
      <c r="B8" s="592"/>
      <c r="C8" s="593"/>
      <c r="D8" s="594">
        <v>1</v>
      </c>
      <c r="E8" s="595"/>
      <c r="F8" s="596"/>
      <c r="G8" s="596"/>
      <c r="H8" s="596"/>
      <c r="I8" s="596"/>
      <c r="J8" s="596"/>
      <c r="K8" s="597"/>
    </row>
    <row r="9" spans="2:11" customFormat="1" ht="18" customHeight="1" thickBot="1">
      <c r="B9" s="592"/>
      <c r="C9" s="593"/>
      <c r="D9" s="594">
        <v>2</v>
      </c>
      <c r="E9" s="595"/>
      <c r="F9" s="596"/>
      <c r="G9" s="596"/>
      <c r="H9" s="596"/>
      <c r="I9" s="596"/>
      <c r="J9" s="596"/>
      <c r="K9" s="597"/>
    </row>
    <row r="10" spans="2:11" customFormat="1" ht="18" customHeight="1" thickBot="1">
      <c r="B10" s="592"/>
      <c r="C10" s="593"/>
      <c r="D10" s="594">
        <v>3</v>
      </c>
      <c r="E10" s="595"/>
      <c r="F10" s="596"/>
      <c r="G10" s="596"/>
      <c r="H10" s="596"/>
      <c r="I10" s="596"/>
      <c r="J10" s="596"/>
      <c r="K10" s="597"/>
    </row>
    <row r="11" spans="2:11" customFormat="1" ht="18" customHeight="1" thickBot="1">
      <c r="B11" s="592"/>
      <c r="C11" s="593"/>
      <c r="D11" s="594">
        <v>4</v>
      </c>
      <c r="E11" s="595"/>
      <c r="F11" s="596"/>
      <c r="G11" s="596"/>
      <c r="H11" s="596"/>
      <c r="I11" s="596"/>
      <c r="J11" s="596"/>
      <c r="K11" s="597"/>
    </row>
    <row r="12" spans="2:11" customFormat="1" ht="18" customHeight="1" thickBot="1">
      <c r="B12" s="592"/>
      <c r="C12" s="593"/>
      <c r="D12" s="594">
        <v>5</v>
      </c>
      <c r="E12" s="595"/>
      <c r="F12" s="596"/>
      <c r="G12" s="596"/>
      <c r="H12" s="596"/>
      <c r="I12" s="596"/>
      <c r="J12" s="596"/>
      <c r="K12" s="597"/>
    </row>
    <row r="13" spans="2:11" customFormat="1" ht="18" customHeight="1" thickBot="1">
      <c r="B13" s="592"/>
      <c r="C13" s="593"/>
      <c r="D13" s="594">
        <v>6</v>
      </c>
      <c r="E13" s="595"/>
      <c r="F13" s="596"/>
      <c r="G13" s="596"/>
      <c r="H13" s="596"/>
      <c r="I13" s="596"/>
      <c r="J13" s="596"/>
      <c r="K13" s="597"/>
    </row>
    <row r="14" spans="2:11" customFormat="1" ht="18" customHeight="1" thickBot="1">
      <c r="B14" s="592"/>
      <c r="C14" s="593"/>
      <c r="D14" s="594">
        <v>7</v>
      </c>
      <c r="E14" s="595"/>
      <c r="F14" s="596"/>
      <c r="G14" s="596"/>
      <c r="H14" s="596"/>
      <c r="I14" s="596"/>
      <c r="J14" s="596"/>
      <c r="K14" s="597"/>
    </row>
    <row r="15" spans="2:11" customFormat="1" ht="18" customHeight="1">
      <c r="B15" s="592">
        <v>45352</v>
      </c>
      <c r="C15" s="593"/>
      <c r="D15" s="594">
        <v>8</v>
      </c>
      <c r="E15" s="595"/>
      <c r="F15" s="596" t="s">
        <v>397</v>
      </c>
      <c r="G15" s="596"/>
      <c r="H15" s="596"/>
      <c r="I15" s="596"/>
      <c r="J15" s="596"/>
      <c r="K15" s="597"/>
    </row>
    <row r="16" spans="2:11" customFormat="1" ht="150.75" customHeight="1">
      <c r="B16" s="592" t="s">
        <v>398</v>
      </c>
      <c r="C16" s="593"/>
      <c r="D16" s="594">
        <v>9</v>
      </c>
      <c r="E16" s="595"/>
      <c r="F16" s="596" t="s">
        <v>399</v>
      </c>
      <c r="G16" s="596"/>
      <c r="H16" s="596"/>
      <c r="I16" s="596"/>
      <c r="J16" s="596"/>
      <c r="K16" s="597"/>
    </row>
    <row r="17" spans="2:12" customFormat="1" ht="15.75" customHeight="1">
      <c r="B17" s="598"/>
      <c r="C17" s="598"/>
      <c r="D17" s="598"/>
      <c r="E17" s="598"/>
      <c r="F17" s="598"/>
      <c r="G17" s="598"/>
      <c r="H17" s="598"/>
      <c r="I17" s="598"/>
      <c r="J17" s="598"/>
      <c r="K17" s="598"/>
    </row>
    <row r="18" spans="2:12" customFormat="1" ht="15.75" customHeight="1" thickBot="1">
      <c r="B18" s="599" t="s">
        <v>400</v>
      </c>
      <c r="C18" s="600"/>
      <c r="D18" s="600"/>
      <c r="E18" s="601"/>
      <c r="F18" s="602" t="s">
        <v>401</v>
      </c>
      <c r="G18" s="603"/>
      <c r="H18" s="604"/>
      <c r="I18" s="605" t="s">
        <v>402</v>
      </c>
      <c r="J18" s="606"/>
      <c r="K18" s="601"/>
    </row>
    <row r="19" spans="2:12" customFormat="1" ht="27" customHeight="1">
      <c r="B19" s="607"/>
      <c r="C19" s="608"/>
      <c r="D19" s="608"/>
      <c r="E19" s="608"/>
      <c r="F19" s="608"/>
      <c r="G19" s="608"/>
      <c r="H19" s="608"/>
      <c r="I19" s="609"/>
      <c r="J19" s="609"/>
      <c r="K19" s="610"/>
    </row>
    <row r="20" spans="2:12" customFormat="1" ht="15" customHeight="1">
      <c r="B20" s="612" t="s">
        <v>403</v>
      </c>
      <c r="C20" s="613"/>
      <c r="D20" s="613"/>
      <c r="E20" s="613"/>
      <c r="F20" s="614" t="s">
        <v>404</v>
      </c>
      <c r="G20" s="614"/>
      <c r="H20" s="615"/>
      <c r="I20" s="614" t="s">
        <v>404</v>
      </c>
      <c r="J20" s="614"/>
      <c r="K20" s="615"/>
    </row>
    <row r="21" spans="2:12" customFormat="1" ht="22.5" customHeight="1" thickBot="1">
      <c r="B21" s="616" t="s">
        <v>405</v>
      </c>
      <c r="C21" s="617"/>
      <c r="D21" s="617"/>
      <c r="E21" s="617"/>
      <c r="F21" s="617" t="s">
        <v>406</v>
      </c>
      <c r="G21" s="617"/>
      <c r="H21" s="618"/>
      <c r="I21" s="617" t="s">
        <v>406</v>
      </c>
      <c r="J21" s="617"/>
      <c r="K21" s="618"/>
    </row>
    <row r="22" spans="2:12" customFormat="1" ht="9" customHeight="1" thickBot="1">
      <c r="B22" s="619"/>
      <c r="C22" s="619"/>
      <c r="D22" s="619"/>
      <c r="E22" s="619"/>
      <c r="F22" s="619"/>
      <c r="G22" s="619"/>
      <c r="H22" s="619"/>
      <c r="I22" s="619"/>
      <c r="J22" s="619"/>
      <c r="K22" s="619"/>
    </row>
    <row r="23" spans="2:12" customFormat="1" ht="15.75" thickBot="1">
      <c r="B23" s="620" t="s">
        <v>175</v>
      </c>
      <c r="C23" s="621"/>
      <c r="D23" s="622"/>
      <c r="E23" s="123" t="s">
        <v>176</v>
      </c>
      <c r="F23" s="620" t="s">
        <v>177</v>
      </c>
      <c r="G23" s="622"/>
      <c r="H23" s="124" t="s">
        <v>178</v>
      </c>
      <c r="I23" s="620" t="s">
        <v>179</v>
      </c>
      <c r="J23" s="622"/>
      <c r="K23" s="125">
        <v>1</v>
      </c>
    </row>
    <row r="24" spans="2:12" ht="8.25" customHeight="1"/>
    <row r="25" spans="2:12">
      <c r="B25" s="611" t="s">
        <v>407</v>
      </c>
      <c r="C25" s="611"/>
      <c r="D25" s="611"/>
      <c r="E25" s="611"/>
      <c r="F25" s="611"/>
      <c r="G25" s="611"/>
      <c r="H25" s="611"/>
      <c r="I25" s="611"/>
      <c r="J25" s="611"/>
      <c r="K25" s="611"/>
      <c r="L25" s="611"/>
    </row>
    <row r="26" spans="2:12">
      <c r="B26" s="611" t="s">
        <v>408</v>
      </c>
      <c r="C26" s="611"/>
      <c r="D26" s="611"/>
      <c r="E26" s="611"/>
      <c r="F26" s="611"/>
      <c r="G26" s="611"/>
      <c r="H26" s="611"/>
      <c r="I26" s="611"/>
      <c r="J26" s="611"/>
      <c r="K26" s="611"/>
      <c r="L26" s="611"/>
    </row>
    <row r="27" spans="2:12" ht="9" customHeight="1"/>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defaultColWidth="11.42578125" defaultRowHeight="15"/>
  <cols>
    <col min="2" max="2" width="24.28515625" customWidth="1"/>
    <col min="3" max="3" width="70.28515625" customWidth="1"/>
    <col min="4" max="4" width="29.7109375" customWidth="1"/>
  </cols>
  <sheetData>
    <row r="1" spans="1:37" ht="23.25">
      <c r="A1" s="68"/>
      <c r="B1" s="623" t="s">
        <v>409</v>
      </c>
      <c r="C1" s="623"/>
      <c r="D1" s="623"/>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5">
      <c r="A3" s="68"/>
      <c r="B3" s="3"/>
      <c r="C3" s="4" t="s">
        <v>410</v>
      </c>
      <c r="D3" s="4" t="s">
        <v>307</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1">
      <c r="A4" s="68"/>
      <c r="B4" s="5" t="s">
        <v>411</v>
      </c>
      <c r="C4" s="6" t="s">
        <v>412</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1">
      <c r="A5" s="68"/>
      <c r="B5" s="8" t="s">
        <v>413</v>
      </c>
      <c r="C5" s="9" t="s">
        <v>414</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1">
      <c r="A6" s="68"/>
      <c r="B6" s="11" t="s">
        <v>415</v>
      </c>
      <c r="C6" s="9" t="s">
        <v>416</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6.5">
      <c r="A7" s="68"/>
      <c r="B7" s="12" t="s">
        <v>417</v>
      </c>
      <c r="C7" s="9" t="s">
        <v>418</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1">
      <c r="A8" s="68"/>
      <c r="B8" s="13" t="s">
        <v>419</v>
      </c>
      <c r="C8" s="9" t="s">
        <v>420</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ht="16.5">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topLeftCell="A14" workbookViewId="0">
      <selection activeCell="H23" sqref="H23"/>
    </sheetView>
  </sheetViews>
  <sheetFormatPr defaultColWidth="11.42578125" defaultRowHeight="15"/>
  <cols>
    <col min="1" max="1" width="17.42578125" customWidth="1"/>
    <col min="2" max="2" width="9.7109375" customWidth="1"/>
    <col min="4" max="4" width="72.28515625" customWidth="1"/>
    <col min="5" max="6" width="11" customWidth="1"/>
    <col min="7" max="7" width="11.42578125" style="138"/>
    <col min="8" max="8" width="11.42578125" style="15"/>
  </cols>
  <sheetData>
    <row r="1" spans="1:8" ht="15.75" thickBot="1"/>
    <row r="2" spans="1:8" ht="19.5" customHeight="1">
      <c r="B2" s="331" t="s">
        <v>0</v>
      </c>
      <c r="C2" s="332"/>
      <c r="D2" s="348" t="s">
        <v>7</v>
      </c>
      <c r="E2" s="364" t="s">
        <v>8</v>
      </c>
      <c r="F2" s="338"/>
    </row>
    <row r="3" spans="1:8" ht="19.5" customHeight="1">
      <c r="B3" s="333"/>
      <c r="C3" s="334"/>
      <c r="D3" s="349"/>
      <c r="E3" s="365" t="s">
        <v>3</v>
      </c>
      <c r="F3" s="340"/>
    </row>
    <row r="4" spans="1:8" ht="19.5" customHeight="1">
      <c r="B4" s="333"/>
      <c r="C4" s="334"/>
      <c r="D4" s="349"/>
      <c r="E4" s="365" t="s">
        <v>4</v>
      </c>
      <c r="F4" s="340"/>
    </row>
    <row r="5" spans="1:8" ht="19.5" customHeight="1" thickBot="1">
      <c r="A5" t="s">
        <v>9</v>
      </c>
      <c r="B5" s="335"/>
      <c r="C5" s="336"/>
      <c r="D5" s="350"/>
      <c r="E5" s="366" t="s">
        <v>5</v>
      </c>
      <c r="F5" s="342"/>
    </row>
    <row r="6" spans="1:8" ht="15.75" thickBot="1"/>
    <row r="7" spans="1:8">
      <c r="B7" s="351" t="s">
        <v>10</v>
      </c>
      <c r="C7" s="354" t="s">
        <v>11</v>
      </c>
      <c r="D7" s="355"/>
      <c r="E7" s="360" t="s">
        <v>12</v>
      </c>
      <c r="F7" s="361"/>
    </row>
    <row r="8" spans="1:8" ht="15.75" thickBot="1">
      <c r="B8" s="352"/>
      <c r="C8" s="356"/>
      <c r="D8" s="357"/>
      <c r="E8" s="362"/>
      <c r="F8" s="363"/>
      <c r="H8" s="148"/>
    </row>
    <row r="9" spans="1:8" ht="15.75" thickBot="1">
      <c r="B9" s="353"/>
      <c r="C9" s="358" t="s">
        <v>13</v>
      </c>
      <c r="D9" s="359"/>
      <c r="E9" s="145" t="s">
        <v>14</v>
      </c>
      <c r="F9" s="145" t="s">
        <v>15</v>
      </c>
      <c r="H9" s="148"/>
    </row>
    <row r="10" spans="1:8" ht="15.75" thickBot="1">
      <c r="B10" s="144">
        <v>1</v>
      </c>
      <c r="C10" s="343" t="s">
        <v>16</v>
      </c>
      <c r="D10" s="344"/>
      <c r="E10" s="140" t="s">
        <v>17</v>
      </c>
      <c r="F10" s="141"/>
      <c r="H10" s="148"/>
    </row>
    <row r="11" spans="1:8" ht="15.75" thickBot="1">
      <c r="B11" s="144">
        <v>2</v>
      </c>
      <c r="C11" s="343" t="s">
        <v>18</v>
      </c>
      <c r="D11" s="344" t="s">
        <v>18</v>
      </c>
      <c r="E11" s="140" t="s">
        <v>17</v>
      </c>
      <c r="F11" s="141"/>
      <c r="H11" s="149"/>
    </row>
    <row r="12" spans="1:8" ht="15.75" thickBot="1">
      <c r="B12" s="144">
        <v>3</v>
      </c>
      <c r="C12" s="343" t="s">
        <v>19</v>
      </c>
      <c r="D12" s="344" t="s">
        <v>19</v>
      </c>
      <c r="E12" s="140" t="s">
        <v>17</v>
      </c>
      <c r="F12" s="141"/>
    </row>
    <row r="13" spans="1:8" ht="15.75" thickBot="1">
      <c r="B13" s="144">
        <v>4</v>
      </c>
      <c r="C13" s="343" t="s">
        <v>20</v>
      </c>
      <c r="D13" s="344" t="s">
        <v>21</v>
      </c>
      <c r="E13" s="140"/>
      <c r="F13" s="141" t="s">
        <v>17</v>
      </c>
    </row>
    <row r="14" spans="1:8" ht="15.75" thickBot="1">
      <c r="B14" s="144">
        <v>5</v>
      </c>
      <c r="C14" s="343" t="s">
        <v>22</v>
      </c>
      <c r="D14" s="344" t="s">
        <v>22</v>
      </c>
      <c r="E14" s="140" t="s">
        <v>17</v>
      </c>
      <c r="F14" s="141"/>
    </row>
    <row r="15" spans="1:8" ht="15.75" thickBot="1">
      <c r="B15" s="144">
        <v>6</v>
      </c>
      <c r="C15" s="343" t="s">
        <v>23</v>
      </c>
      <c r="D15" s="344" t="s">
        <v>23</v>
      </c>
      <c r="E15" s="140"/>
      <c r="F15" s="141" t="s">
        <v>17</v>
      </c>
    </row>
    <row r="16" spans="1:8" ht="15.75" thickBot="1">
      <c r="B16" s="144">
        <v>7</v>
      </c>
      <c r="C16" s="343" t="s">
        <v>24</v>
      </c>
      <c r="D16" s="344" t="s">
        <v>24</v>
      </c>
      <c r="E16" s="140" t="s">
        <v>17</v>
      </c>
      <c r="F16" s="141"/>
    </row>
    <row r="17" spans="1:7" ht="28.5" customHeight="1" thickBot="1">
      <c r="B17" s="144">
        <v>8</v>
      </c>
      <c r="C17" s="343" t="s">
        <v>25</v>
      </c>
      <c r="D17" s="344" t="s">
        <v>25</v>
      </c>
      <c r="E17" s="140"/>
      <c r="F17" s="141" t="s">
        <v>17</v>
      </c>
    </row>
    <row r="18" spans="1:7" ht="18.75" customHeight="1" thickBot="1">
      <c r="B18" s="144">
        <v>9</v>
      </c>
      <c r="C18" s="343" t="s">
        <v>26</v>
      </c>
      <c r="D18" s="344" t="s">
        <v>26</v>
      </c>
      <c r="E18" s="140"/>
      <c r="F18" s="141" t="s">
        <v>17</v>
      </c>
    </row>
    <row r="19" spans="1:7" ht="15.75" thickBot="1">
      <c r="B19" s="144">
        <v>10</v>
      </c>
      <c r="C19" s="343" t="s">
        <v>27</v>
      </c>
      <c r="D19" s="344" t="s">
        <v>27</v>
      </c>
      <c r="E19" s="140"/>
      <c r="F19" s="141" t="s">
        <v>17</v>
      </c>
    </row>
    <row r="20" spans="1:7" ht="15.75" thickBot="1">
      <c r="B20" s="144">
        <v>11</v>
      </c>
      <c r="C20" s="343" t="s">
        <v>28</v>
      </c>
      <c r="D20" s="344" t="s">
        <v>28</v>
      </c>
      <c r="E20" s="140"/>
      <c r="F20" s="141" t="s">
        <v>17</v>
      </c>
    </row>
    <row r="21" spans="1:7" ht="15.75" thickBot="1">
      <c r="B21" s="144">
        <v>12</v>
      </c>
      <c r="C21" s="343" t="s">
        <v>29</v>
      </c>
      <c r="D21" s="344" t="s">
        <v>29</v>
      </c>
      <c r="E21" s="140"/>
      <c r="F21" s="141" t="s">
        <v>17</v>
      </c>
    </row>
    <row r="22" spans="1:7" ht="15.75" thickBot="1">
      <c r="B22" s="144">
        <v>13</v>
      </c>
      <c r="C22" s="343" t="s">
        <v>30</v>
      </c>
      <c r="D22" s="344" t="s">
        <v>30</v>
      </c>
      <c r="E22" s="140"/>
      <c r="F22" s="141" t="s">
        <v>17</v>
      </c>
    </row>
    <row r="23" spans="1:7" ht="15.75" thickBot="1">
      <c r="B23" s="144">
        <v>14</v>
      </c>
      <c r="C23" s="343" t="s">
        <v>31</v>
      </c>
      <c r="D23" s="344" t="s">
        <v>31</v>
      </c>
      <c r="E23" s="140"/>
      <c r="F23" s="141" t="s">
        <v>17</v>
      </c>
    </row>
    <row r="24" spans="1:7" ht="15.75" thickBot="1">
      <c r="B24" s="144">
        <v>15</v>
      </c>
      <c r="C24" s="343" t="s">
        <v>32</v>
      </c>
      <c r="D24" s="344" t="s">
        <v>32</v>
      </c>
      <c r="E24" s="140"/>
      <c r="F24" s="141" t="s">
        <v>17</v>
      </c>
    </row>
    <row r="25" spans="1:7" ht="15.75" thickBot="1">
      <c r="B25" s="144">
        <v>16</v>
      </c>
      <c r="C25" s="343" t="s">
        <v>33</v>
      </c>
      <c r="D25" s="344" t="s">
        <v>33</v>
      </c>
      <c r="E25" s="140"/>
      <c r="F25" s="141" t="s">
        <v>17</v>
      </c>
    </row>
    <row r="26" spans="1:7" ht="15.75" thickBot="1">
      <c r="B26" s="144">
        <v>17</v>
      </c>
      <c r="C26" s="343" t="s">
        <v>34</v>
      </c>
      <c r="D26" s="344" t="s">
        <v>34</v>
      </c>
      <c r="E26" s="140"/>
      <c r="F26" s="141" t="s">
        <v>17</v>
      </c>
    </row>
    <row r="27" spans="1:7" ht="15.75" thickBot="1">
      <c r="B27" s="144">
        <v>18</v>
      </c>
      <c r="C27" s="343" t="s">
        <v>35</v>
      </c>
      <c r="D27" s="344" t="s">
        <v>35</v>
      </c>
      <c r="E27" s="140"/>
      <c r="F27" s="141" t="s">
        <v>17</v>
      </c>
    </row>
    <row r="28" spans="1:7" ht="15.75" thickBot="1">
      <c r="B28" s="144">
        <v>19</v>
      </c>
      <c r="C28" s="343" t="s">
        <v>36</v>
      </c>
      <c r="D28" s="344" t="s">
        <v>36</v>
      </c>
      <c r="E28" s="140"/>
      <c r="F28" s="141" t="s">
        <v>17</v>
      </c>
    </row>
    <row r="29" spans="1:7">
      <c r="C29" s="139"/>
      <c r="D29" s="139"/>
      <c r="E29" s="147">
        <f>COUNTIF(E10:E28,"x")</f>
        <v>5</v>
      </c>
      <c r="F29" s="147">
        <f>COUNTIF(F10:F28,"x")</f>
        <v>14</v>
      </c>
      <c r="G29" s="146" t="str">
        <f>IF(E29=0,"",IF(E29&lt;=5,"Moderado",IF(E29&lt;=11,"Mayor",IF(E29&lt;=19,"Catastrófico",""))))</f>
        <v>Moderado</v>
      </c>
    </row>
    <row r="30" spans="1:7">
      <c r="C30" s="137"/>
      <c r="D30" s="137"/>
      <c r="E30" s="137"/>
      <c r="F30" s="137"/>
    </row>
    <row r="31" spans="1:7" ht="66" customHeight="1">
      <c r="A31" s="345" t="s">
        <v>37</v>
      </c>
      <c r="B31" s="346"/>
      <c r="C31" s="346"/>
      <c r="D31" s="346"/>
      <c r="E31" s="346"/>
      <c r="F31" s="347"/>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25" priority="1" stopIfTrue="1" operator="equal">
      <formula>"Catastrófico"</formula>
    </cfRule>
    <cfRule type="cellIs" dxfId="24" priority="2" stopIfTrue="1" operator="equal">
      <formula>"Moderado"</formula>
    </cfRule>
    <cfRule type="cellIs" dxfId="23"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defaultColWidth="11.42578125" defaultRowHeight="15"/>
  <cols>
    <col min="2" max="2" width="40.42578125" customWidth="1"/>
    <col min="3" max="3" width="74.7109375" customWidth="1"/>
    <col min="4" max="4" width="135" bestFit="1" customWidth="1"/>
    <col min="5" max="5" width="144.7109375" bestFit="1" customWidth="1"/>
    <col min="6" max="6" width="136.5703125" bestFit="1" customWidth="1"/>
  </cols>
  <sheetData>
    <row r="1" spans="1:21" ht="33.75">
      <c r="A1" s="68"/>
      <c r="B1" s="624" t="s">
        <v>421</v>
      </c>
      <c r="C1" s="624"/>
      <c r="D1" s="624"/>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60">
      <c r="A3" s="68"/>
      <c r="B3" s="85"/>
      <c r="C3" s="22" t="s">
        <v>422</v>
      </c>
      <c r="D3" s="22" t="s">
        <v>423</v>
      </c>
      <c r="E3" s="68"/>
      <c r="F3" s="68"/>
      <c r="G3" s="68"/>
      <c r="H3" s="68"/>
      <c r="I3" s="68"/>
      <c r="J3" s="68"/>
      <c r="K3" s="68"/>
      <c r="L3" s="68"/>
      <c r="M3" s="68"/>
      <c r="N3" s="68"/>
      <c r="O3" s="68"/>
      <c r="P3" s="68"/>
      <c r="Q3" s="68"/>
      <c r="R3" s="68"/>
      <c r="S3" s="68"/>
      <c r="T3" s="68"/>
      <c r="U3" s="68"/>
    </row>
    <row r="4" spans="1:21" ht="33.75">
      <c r="A4" s="84" t="s">
        <v>424</v>
      </c>
      <c r="B4" s="25" t="s">
        <v>425</v>
      </c>
      <c r="C4" s="30" t="s">
        <v>426</v>
      </c>
      <c r="D4" s="23" t="s">
        <v>427</v>
      </c>
      <c r="E4" s="68"/>
      <c r="F4" s="68"/>
      <c r="G4" s="68"/>
      <c r="H4" s="68"/>
      <c r="I4" s="68"/>
      <c r="J4" s="68"/>
      <c r="K4" s="68"/>
      <c r="L4" s="68"/>
      <c r="M4" s="68"/>
      <c r="N4" s="68"/>
      <c r="O4" s="68"/>
      <c r="P4" s="68"/>
      <c r="Q4" s="68"/>
      <c r="R4" s="68"/>
      <c r="S4" s="68"/>
      <c r="T4" s="68"/>
      <c r="U4" s="68"/>
    </row>
    <row r="5" spans="1:21" ht="101.25">
      <c r="A5" s="84" t="s">
        <v>187</v>
      </c>
      <c r="B5" s="26" t="s">
        <v>428</v>
      </c>
      <c r="C5" s="31" t="s">
        <v>429</v>
      </c>
      <c r="D5" s="24" t="s">
        <v>430</v>
      </c>
      <c r="E5" s="68"/>
      <c r="F5" s="68"/>
      <c r="G5" s="68"/>
      <c r="H5" s="68"/>
      <c r="I5" s="68"/>
      <c r="J5" s="68"/>
      <c r="K5" s="68"/>
      <c r="L5" s="68"/>
      <c r="M5" s="68"/>
      <c r="N5" s="68"/>
      <c r="O5" s="68"/>
      <c r="P5" s="68"/>
      <c r="Q5" s="68"/>
      <c r="R5" s="68"/>
      <c r="S5" s="68"/>
      <c r="T5" s="68"/>
      <c r="U5" s="68"/>
    </row>
    <row r="6" spans="1:21" ht="67.5">
      <c r="A6" s="84" t="s">
        <v>189</v>
      </c>
      <c r="B6" s="27" t="s">
        <v>431</v>
      </c>
      <c r="C6" s="31" t="s">
        <v>432</v>
      </c>
      <c r="D6" s="24" t="s">
        <v>433</v>
      </c>
      <c r="E6" s="68"/>
      <c r="F6" s="68"/>
      <c r="G6" s="68"/>
      <c r="H6" s="68"/>
      <c r="I6" s="68"/>
      <c r="J6" s="68"/>
      <c r="K6" s="68"/>
      <c r="L6" s="68"/>
      <c r="M6" s="68"/>
      <c r="N6" s="68"/>
      <c r="O6" s="68"/>
      <c r="P6" s="68"/>
      <c r="Q6" s="68"/>
      <c r="R6" s="68"/>
      <c r="S6" s="68"/>
      <c r="T6" s="68"/>
      <c r="U6" s="68"/>
    </row>
    <row r="7" spans="1:21" ht="101.25">
      <c r="A7" s="84" t="s">
        <v>191</v>
      </c>
      <c r="B7" s="28" t="s">
        <v>434</v>
      </c>
      <c r="C7" s="31" t="s">
        <v>435</v>
      </c>
      <c r="D7" s="24" t="s">
        <v>436</v>
      </c>
      <c r="E7" s="68"/>
      <c r="F7" s="68"/>
      <c r="G7" s="68"/>
      <c r="H7" s="68"/>
      <c r="I7" s="68"/>
      <c r="J7" s="68"/>
      <c r="K7" s="68"/>
      <c r="L7" s="68"/>
      <c r="M7" s="68"/>
      <c r="N7" s="68"/>
      <c r="O7" s="68"/>
      <c r="P7" s="68"/>
      <c r="Q7" s="68"/>
      <c r="R7" s="68"/>
      <c r="S7" s="68"/>
      <c r="T7" s="68"/>
      <c r="U7" s="68"/>
    </row>
    <row r="8" spans="1:21" ht="67.5">
      <c r="A8" s="84" t="s">
        <v>193</v>
      </c>
      <c r="B8" s="29" t="s">
        <v>437</v>
      </c>
      <c r="C8" s="31" t="s">
        <v>438</v>
      </c>
      <c r="D8" s="24" t="s">
        <v>439</v>
      </c>
      <c r="E8" s="68"/>
      <c r="F8" s="68"/>
      <c r="G8" s="68"/>
      <c r="H8" s="68"/>
      <c r="I8" s="68"/>
      <c r="J8" s="68"/>
      <c r="K8" s="68"/>
      <c r="L8" s="68"/>
      <c r="M8" s="68"/>
      <c r="N8" s="68"/>
      <c r="O8" s="68"/>
      <c r="P8" s="68"/>
      <c r="Q8" s="68"/>
      <c r="R8" s="68"/>
      <c r="S8" s="68"/>
      <c r="T8" s="68"/>
      <c r="U8" s="68"/>
    </row>
    <row r="9" spans="1:21" ht="20.25">
      <c r="A9" s="84"/>
      <c r="B9" s="84"/>
      <c r="C9" s="86"/>
      <c r="D9" s="86"/>
      <c r="E9" s="68"/>
      <c r="F9" s="68"/>
      <c r="G9" s="68"/>
      <c r="H9" s="68"/>
      <c r="I9" s="68"/>
      <c r="J9" s="68"/>
      <c r="K9" s="68"/>
      <c r="L9" s="68"/>
      <c r="M9" s="68"/>
      <c r="N9" s="68"/>
      <c r="O9" s="68"/>
      <c r="P9" s="68"/>
      <c r="Q9" s="68"/>
      <c r="R9" s="68"/>
      <c r="S9" s="68"/>
      <c r="T9" s="68"/>
      <c r="U9" s="68"/>
    </row>
    <row r="10" spans="1:21" ht="16.5">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440</v>
      </c>
      <c r="C11" s="84" t="s">
        <v>184</v>
      </c>
      <c r="D11" s="84" t="s">
        <v>194</v>
      </c>
      <c r="E11" s="68"/>
      <c r="F11" s="68"/>
      <c r="G11" s="68"/>
      <c r="H11" s="68"/>
      <c r="I11" s="68"/>
      <c r="J11" s="68"/>
      <c r="K11" s="68"/>
      <c r="L11" s="68"/>
      <c r="M11" s="68"/>
      <c r="N11" s="68"/>
      <c r="O11" s="68"/>
      <c r="P11" s="68"/>
      <c r="Q11" s="68"/>
      <c r="R11" s="68"/>
      <c r="S11" s="68"/>
      <c r="T11" s="68"/>
      <c r="U11" s="68"/>
    </row>
    <row r="12" spans="1:21">
      <c r="A12" s="84"/>
      <c r="B12" s="84" t="s">
        <v>441</v>
      </c>
      <c r="C12" s="84" t="s">
        <v>186</v>
      </c>
      <c r="D12" s="84" t="s">
        <v>195</v>
      </c>
      <c r="E12" s="68"/>
      <c r="F12" s="68"/>
      <c r="G12" s="68"/>
      <c r="H12" s="68"/>
      <c r="I12" s="68"/>
      <c r="J12" s="68"/>
      <c r="K12" s="68"/>
      <c r="L12" s="68"/>
      <c r="M12" s="68"/>
      <c r="N12" s="68"/>
      <c r="O12" s="68"/>
      <c r="P12" s="68"/>
      <c r="Q12" s="68"/>
      <c r="R12" s="68"/>
      <c r="S12" s="68"/>
      <c r="T12" s="68"/>
      <c r="U12" s="68"/>
    </row>
    <row r="13" spans="1:21">
      <c r="A13" s="84"/>
      <c r="B13" s="84"/>
      <c r="C13" s="84" t="s">
        <v>188</v>
      </c>
      <c r="D13" s="84" t="s">
        <v>135</v>
      </c>
      <c r="E13" s="68"/>
      <c r="F13" s="68"/>
      <c r="G13" s="68"/>
      <c r="H13" s="68"/>
      <c r="I13" s="68"/>
      <c r="J13" s="68"/>
      <c r="K13" s="68"/>
      <c r="L13" s="68"/>
      <c r="M13" s="68"/>
      <c r="N13" s="68"/>
      <c r="O13" s="68"/>
      <c r="P13" s="68"/>
      <c r="Q13" s="68"/>
      <c r="R13" s="68"/>
      <c r="S13" s="68"/>
      <c r="T13" s="68"/>
      <c r="U13" s="68"/>
    </row>
    <row r="14" spans="1:21">
      <c r="A14" s="84"/>
      <c r="B14" s="84"/>
      <c r="C14" s="84" t="s">
        <v>190</v>
      </c>
      <c r="D14" s="84" t="s">
        <v>196</v>
      </c>
      <c r="E14" s="68"/>
      <c r="F14" s="68"/>
      <c r="G14" s="68"/>
      <c r="H14" s="68"/>
      <c r="I14" s="68"/>
      <c r="J14" s="68"/>
      <c r="K14" s="68"/>
      <c r="L14" s="68"/>
      <c r="M14" s="68"/>
      <c r="N14" s="68"/>
      <c r="O14" s="68"/>
      <c r="P14" s="68"/>
      <c r="Q14" s="68"/>
      <c r="R14" s="68"/>
      <c r="S14" s="68"/>
      <c r="T14" s="68"/>
      <c r="U14" s="68"/>
    </row>
    <row r="15" spans="1:21">
      <c r="A15" s="84"/>
      <c r="B15" s="84"/>
      <c r="C15" s="84" t="s">
        <v>192</v>
      </c>
      <c r="D15" s="84" t="s">
        <v>162</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25">
      <c r="A22" s="84"/>
      <c r="B22" s="84"/>
      <c r="C22" s="86"/>
      <c r="D22" s="86"/>
      <c r="E22" s="68"/>
      <c r="F22" s="68"/>
      <c r="G22" s="68"/>
      <c r="H22" s="68"/>
      <c r="I22" s="68"/>
      <c r="J22" s="68"/>
      <c r="K22" s="68"/>
      <c r="L22" s="68"/>
      <c r="M22" s="68"/>
      <c r="N22" s="68"/>
      <c r="O22" s="68"/>
    </row>
    <row r="23" spans="1:15" ht="20.25">
      <c r="A23" s="84"/>
      <c r="B23" s="84"/>
      <c r="C23" s="86"/>
      <c r="D23" s="86"/>
      <c r="E23" s="68"/>
      <c r="F23" s="68"/>
      <c r="G23" s="68"/>
      <c r="H23" s="68"/>
      <c r="I23" s="68"/>
      <c r="J23" s="68"/>
      <c r="K23" s="68"/>
      <c r="L23" s="68"/>
      <c r="M23" s="68"/>
      <c r="N23" s="68"/>
      <c r="O23" s="68"/>
    </row>
    <row r="24" spans="1:15" ht="20.25">
      <c r="A24" s="84"/>
      <c r="B24" s="84"/>
      <c r="C24" s="86"/>
      <c r="D24" s="86"/>
      <c r="E24" s="68"/>
      <c r="F24" s="68"/>
      <c r="G24" s="68"/>
      <c r="H24" s="68"/>
      <c r="I24" s="68"/>
      <c r="J24" s="68"/>
      <c r="K24" s="68"/>
      <c r="L24" s="68"/>
      <c r="M24" s="68"/>
      <c r="N24" s="68"/>
      <c r="O24" s="68"/>
    </row>
    <row r="25" spans="1:15" ht="20.25">
      <c r="A25" s="84"/>
      <c r="B25" s="84"/>
      <c r="C25" s="86"/>
      <c r="D25" s="86"/>
      <c r="E25" s="68"/>
      <c r="F25" s="68"/>
      <c r="G25" s="68"/>
      <c r="H25" s="68"/>
      <c r="I25" s="68"/>
      <c r="J25" s="68"/>
      <c r="K25" s="68"/>
      <c r="L25" s="68"/>
      <c r="M25" s="68"/>
      <c r="N25" s="68"/>
      <c r="O25" s="68"/>
    </row>
    <row r="26" spans="1:15" ht="20.25">
      <c r="A26" s="84"/>
      <c r="B26" s="84"/>
      <c r="C26" s="86"/>
      <c r="D26" s="86"/>
      <c r="E26" s="68"/>
      <c r="F26" s="68"/>
      <c r="G26" s="68"/>
      <c r="H26" s="68"/>
      <c r="I26" s="68"/>
      <c r="J26" s="68"/>
      <c r="K26" s="68"/>
      <c r="L26" s="68"/>
      <c r="M26" s="68"/>
      <c r="N26" s="68"/>
      <c r="O26" s="68"/>
    </row>
    <row r="27" spans="1:15" ht="20.25">
      <c r="A27" s="84"/>
      <c r="B27" s="84"/>
      <c r="C27" s="86"/>
      <c r="D27" s="86"/>
      <c r="E27" s="68"/>
      <c r="F27" s="68"/>
      <c r="G27" s="68"/>
      <c r="H27" s="68"/>
      <c r="I27" s="68"/>
      <c r="J27" s="68"/>
      <c r="K27" s="68"/>
      <c r="L27" s="68"/>
      <c r="M27" s="68"/>
      <c r="N27" s="68"/>
      <c r="O27" s="68"/>
    </row>
    <row r="28" spans="1:15" ht="20.25">
      <c r="A28" s="84"/>
      <c r="B28" s="84"/>
      <c r="C28" s="86"/>
      <c r="D28" s="86"/>
      <c r="E28" s="68"/>
      <c r="F28" s="68"/>
      <c r="G28" s="68"/>
      <c r="H28" s="68"/>
      <c r="I28" s="68"/>
      <c r="J28" s="68"/>
      <c r="K28" s="68"/>
      <c r="L28" s="68"/>
      <c r="M28" s="68"/>
      <c r="N28" s="68"/>
      <c r="O28" s="68"/>
    </row>
    <row r="29" spans="1:15" ht="20.25">
      <c r="A29" s="84"/>
      <c r="B29" s="84"/>
      <c r="C29" s="86"/>
      <c r="D29" s="86"/>
      <c r="E29" s="68"/>
      <c r="F29" s="68"/>
      <c r="G29" s="68"/>
      <c r="H29" s="68"/>
      <c r="I29" s="68"/>
      <c r="J29" s="68"/>
      <c r="K29" s="68"/>
      <c r="L29" s="68"/>
      <c r="M29" s="68"/>
      <c r="N29" s="68"/>
      <c r="O29" s="68"/>
    </row>
    <row r="30" spans="1:15" ht="20.25">
      <c r="A30" s="84"/>
      <c r="B30" s="84"/>
      <c r="C30" s="86"/>
      <c r="D30" s="86"/>
      <c r="E30" s="68"/>
      <c r="F30" s="68"/>
      <c r="G30" s="68"/>
      <c r="H30" s="68"/>
      <c r="I30" s="68"/>
      <c r="J30" s="68"/>
      <c r="K30" s="68"/>
      <c r="L30" s="68"/>
      <c r="M30" s="68"/>
      <c r="N30" s="68"/>
      <c r="O30" s="68"/>
    </row>
    <row r="31" spans="1:15" ht="20.25">
      <c r="A31" s="84"/>
      <c r="B31" s="84"/>
      <c r="C31" s="86"/>
      <c r="D31" s="86"/>
      <c r="E31" s="68"/>
      <c r="F31" s="68"/>
      <c r="G31" s="68"/>
      <c r="H31" s="68"/>
      <c r="I31" s="68"/>
      <c r="J31" s="68"/>
      <c r="K31" s="68"/>
      <c r="L31" s="68"/>
      <c r="M31" s="68"/>
      <c r="N31" s="68"/>
      <c r="O31" s="68"/>
    </row>
    <row r="32" spans="1:15" ht="20.25">
      <c r="A32" s="84"/>
      <c r="B32" s="84"/>
      <c r="C32" s="86"/>
      <c r="D32" s="86"/>
      <c r="E32" s="68"/>
      <c r="F32" s="68"/>
      <c r="G32" s="68"/>
      <c r="H32" s="68"/>
      <c r="I32" s="68"/>
      <c r="J32" s="68"/>
      <c r="K32" s="68"/>
      <c r="L32" s="68"/>
      <c r="M32" s="68"/>
      <c r="N32" s="68"/>
      <c r="O32" s="68"/>
    </row>
    <row r="33" spans="1:15" ht="20.25">
      <c r="A33" s="84"/>
      <c r="B33" s="84"/>
      <c r="C33" s="86"/>
      <c r="D33" s="86"/>
      <c r="E33" s="68"/>
      <c r="F33" s="68"/>
      <c r="G33" s="68"/>
      <c r="H33" s="68"/>
      <c r="I33" s="68"/>
      <c r="J33" s="68"/>
      <c r="K33" s="68"/>
      <c r="L33" s="68"/>
      <c r="M33" s="68"/>
      <c r="N33" s="68"/>
      <c r="O33" s="68"/>
    </row>
    <row r="34" spans="1:15" ht="20.25">
      <c r="A34" s="84"/>
      <c r="B34" s="84"/>
      <c r="C34" s="86"/>
      <c r="D34" s="86"/>
      <c r="E34" s="68"/>
      <c r="F34" s="68"/>
      <c r="G34" s="68"/>
      <c r="H34" s="68"/>
      <c r="I34" s="68"/>
      <c r="J34" s="68"/>
      <c r="K34" s="68"/>
      <c r="L34" s="68"/>
      <c r="M34" s="68"/>
      <c r="N34" s="68"/>
      <c r="O34" s="68"/>
    </row>
    <row r="35" spans="1:15" ht="20.25">
      <c r="A35" s="84"/>
      <c r="B35" s="84"/>
      <c r="C35" s="86"/>
      <c r="D35" s="86"/>
      <c r="E35" s="68"/>
      <c r="F35" s="68"/>
      <c r="G35" s="68"/>
      <c r="H35" s="68"/>
      <c r="I35" s="68"/>
      <c r="J35" s="68"/>
      <c r="K35" s="68"/>
      <c r="L35" s="68"/>
      <c r="M35" s="68"/>
      <c r="N35" s="68"/>
      <c r="O35" s="68"/>
    </row>
    <row r="36" spans="1:15" ht="20.25">
      <c r="A36" s="84"/>
      <c r="B36" s="84"/>
      <c r="C36" s="86"/>
      <c r="D36" s="86"/>
      <c r="E36" s="68"/>
      <c r="F36" s="68"/>
      <c r="G36" s="68"/>
      <c r="H36" s="68"/>
      <c r="I36" s="68"/>
      <c r="J36" s="68"/>
      <c r="K36" s="68"/>
      <c r="L36" s="68"/>
      <c r="M36" s="68"/>
      <c r="N36" s="68"/>
      <c r="O36" s="68"/>
    </row>
    <row r="37" spans="1:15" ht="20.25">
      <c r="A37" s="84"/>
      <c r="B37" s="84"/>
      <c r="C37" s="86"/>
      <c r="D37" s="86"/>
      <c r="E37" s="68"/>
      <c r="F37" s="68"/>
      <c r="G37" s="68"/>
      <c r="H37" s="68"/>
      <c r="I37" s="68"/>
      <c r="J37" s="68"/>
      <c r="K37" s="68"/>
      <c r="L37" s="68"/>
      <c r="M37" s="68"/>
      <c r="N37" s="68"/>
      <c r="O37" s="68"/>
    </row>
    <row r="38" spans="1:15" ht="20.25">
      <c r="A38" s="84"/>
      <c r="B38" s="84"/>
      <c r="C38" s="86"/>
      <c r="D38" s="86"/>
      <c r="E38" s="68"/>
      <c r="F38" s="68"/>
      <c r="G38" s="68"/>
      <c r="H38" s="68"/>
      <c r="I38" s="68"/>
      <c r="J38" s="68"/>
      <c r="K38" s="68"/>
      <c r="L38" s="68"/>
      <c r="M38" s="68"/>
      <c r="N38" s="68"/>
      <c r="O38" s="68"/>
    </row>
    <row r="39" spans="1:15" ht="20.25">
      <c r="A39" s="84"/>
      <c r="B39" s="84"/>
      <c r="C39" s="86"/>
      <c r="D39" s="86"/>
      <c r="E39" s="68"/>
      <c r="F39" s="68"/>
      <c r="G39" s="68"/>
      <c r="H39" s="68"/>
      <c r="I39" s="68"/>
      <c r="J39" s="68"/>
      <c r="K39" s="68"/>
      <c r="L39" s="68"/>
      <c r="M39" s="68"/>
      <c r="N39" s="68"/>
      <c r="O39" s="68"/>
    </row>
    <row r="40" spans="1:15" ht="20.25">
      <c r="A40" s="84"/>
      <c r="B40" s="84"/>
      <c r="C40" s="86"/>
      <c r="D40" s="86"/>
      <c r="E40" s="68"/>
      <c r="F40" s="68"/>
      <c r="G40" s="68"/>
      <c r="H40" s="68"/>
      <c r="I40" s="68"/>
      <c r="J40" s="68"/>
      <c r="K40" s="68"/>
      <c r="L40" s="68"/>
      <c r="M40" s="68"/>
      <c r="N40" s="68"/>
      <c r="O40" s="68"/>
    </row>
    <row r="41" spans="1:15" ht="20.25">
      <c r="A41" s="84"/>
      <c r="B41" s="84"/>
      <c r="C41" s="86"/>
      <c r="D41" s="86"/>
      <c r="E41" s="68"/>
      <c r="F41" s="68"/>
      <c r="G41" s="68"/>
      <c r="H41" s="68"/>
      <c r="I41" s="68"/>
      <c r="J41" s="68"/>
      <c r="K41" s="68"/>
      <c r="L41" s="68"/>
      <c r="M41" s="68"/>
      <c r="N41" s="68"/>
      <c r="O41" s="68"/>
    </row>
    <row r="42" spans="1:15" ht="20.25">
      <c r="A42" s="84"/>
      <c r="B42" s="84"/>
      <c r="C42" s="86"/>
      <c r="D42" s="86"/>
      <c r="E42" s="68"/>
      <c r="F42" s="68"/>
      <c r="G42" s="68"/>
      <c r="H42" s="68"/>
      <c r="I42" s="68"/>
      <c r="J42" s="68"/>
      <c r="K42" s="68"/>
      <c r="L42" s="68"/>
      <c r="M42" s="68"/>
      <c r="N42" s="68"/>
      <c r="O42" s="68"/>
    </row>
    <row r="43" spans="1:15" ht="20.25">
      <c r="A43" s="84"/>
      <c r="B43" s="84"/>
      <c r="C43" s="86"/>
      <c r="D43" s="86"/>
      <c r="E43" s="68"/>
      <c r="F43" s="68"/>
      <c r="G43" s="68"/>
      <c r="H43" s="68"/>
      <c r="I43" s="68"/>
      <c r="J43" s="68"/>
      <c r="K43" s="68"/>
      <c r="L43" s="68"/>
      <c r="M43" s="68"/>
      <c r="N43" s="68"/>
      <c r="O43" s="68"/>
    </row>
    <row r="44" spans="1:15" ht="20.25">
      <c r="A44" s="84"/>
      <c r="B44" s="84"/>
      <c r="C44" s="86"/>
      <c r="D44" s="86"/>
      <c r="E44" s="68"/>
      <c r="F44" s="68"/>
      <c r="G44" s="68"/>
      <c r="H44" s="68"/>
      <c r="I44" s="68"/>
      <c r="J44" s="68"/>
      <c r="K44" s="68"/>
      <c r="L44" s="68"/>
      <c r="M44" s="68"/>
      <c r="N44" s="68"/>
      <c r="O44" s="68"/>
    </row>
    <row r="45" spans="1:15" ht="20.25">
      <c r="A45" s="84"/>
      <c r="B45" s="84"/>
      <c r="C45" s="86"/>
      <c r="D45" s="86"/>
      <c r="E45" s="68"/>
      <c r="F45" s="68"/>
      <c r="G45" s="68"/>
      <c r="H45" s="68"/>
      <c r="I45" s="68"/>
      <c r="J45" s="68"/>
      <c r="K45" s="68"/>
      <c r="L45" s="68"/>
      <c r="M45" s="68"/>
      <c r="N45" s="68"/>
      <c r="O45" s="68"/>
    </row>
    <row r="46" spans="1:15" ht="20.25">
      <c r="A46" s="84"/>
      <c r="B46" s="84"/>
      <c r="C46" s="86"/>
      <c r="D46" s="86"/>
      <c r="E46" s="68"/>
      <c r="F46" s="68"/>
      <c r="G46" s="68"/>
      <c r="H46" s="68"/>
      <c r="I46" s="68"/>
      <c r="J46" s="68"/>
      <c r="K46" s="68"/>
      <c r="L46" s="68"/>
      <c r="M46" s="68"/>
      <c r="N46" s="68"/>
      <c r="O46" s="68"/>
    </row>
    <row r="47" spans="1:15" ht="20.25">
      <c r="A47" s="84"/>
      <c r="B47" s="84"/>
      <c r="C47" s="86"/>
      <c r="D47" s="86"/>
      <c r="E47" s="68"/>
      <c r="F47" s="68"/>
      <c r="G47" s="68"/>
      <c r="H47" s="68"/>
      <c r="I47" s="68"/>
      <c r="J47" s="68"/>
      <c r="K47" s="68"/>
      <c r="L47" s="68"/>
      <c r="M47" s="68"/>
      <c r="N47" s="68"/>
      <c r="O47" s="68"/>
    </row>
    <row r="48" spans="1:15" ht="20.25">
      <c r="A48" s="84"/>
      <c r="B48" s="84"/>
      <c r="C48" s="86"/>
      <c r="D48" s="86"/>
      <c r="E48" s="68"/>
      <c r="F48" s="68"/>
      <c r="G48" s="68"/>
      <c r="H48" s="68"/>
      <c r="I48" s="68"/>
      <c r="J48" s="68"/>
      <c r="K48" s="68"/>
      <c r="L48" s="68"/>
      <c r="M48" s="68"/>
      <c r="N48" s="68"/>
      <c r="O48" s="68"/>
    </row>
    <row r="49" spans="1:15" ht="20.25">
      <c r="A49" s="84"/>
      <c r="B49" s="84"/>
      <c r="C49" s="86"/>
      <c r="D49" s="86"/>
      <c r="E49" s="68"/>
      <c r="F49" s="68"/>
      <c r="G49" s="68"/>
      <c r="H49" s="68"/>
      <c r="I49" s="68"/>
      <c r="J49" s="68"/>
      <c r="K49" s="68"/>
      <c r="L49" s="68"/>
      <c r="M49" s="68"/>
      <c r="N49" s="68"/>
      <c r="O49" s="68"/>
    </row>
    <row r="50" spans="1:15" ht="20.25">
      <c r="A50" s="84"/>
      <c r="B50" s="84"/>
      <c r="C50" s="86"/>
      <c r="D50" s="86"/>
      <c r="E50" s="68"/>
      <c r="F50" s="68"/>
      <c r="G50" s="68"/>
      <c r="H50" s="68"/>
      <c r="I50" s="68"/>
      <c r="J50" s="68"/>
      <c r="K50" s="68"/>
      <c r="L50" s="68"/>
      <c r="M50" s="68"/>
      <c r="N50" s="68"/>
      <c r="O50" s="68"/>
    </row>
    <row r="51" spans="1:15" ht="20.25">
      <c r="A51" s="84"/>
      <c r="B51" s="84"/>
      <c r="C51" s="86"/>
      <c r="D51" s="86"/>
      <c r="E51" s="68"/>
      <c r="F51" s="68"/>
      <c r="G51" s="68"/>
      <c r="H51" s="68"/>
      <c r="I51" s="68"/>
      <c r="J51" s="68"/>
      <c r="K51" s="68"/>
      <c r="L51" s="68"/>
      <c r="M51" s="68"/>
      <c r="N51" s="68"/>
      <c r="O51" s="68"/>
    </row>
    <row r="52" spans="1:15" ht="20.25">
      <c r="A52" s="84"/>
      <c r="B52" s="15"/>
      <c r="C52" s="20"/>
      <c r="D52" s="20"/>
    </row>
    <row r="53" spans="1:15" ht="20.25">
      <c r="A53" s="84"/>
      <c r="B53" s="15"/>
      <c r="C53" s="20"/>
      <c r="D53" s="20"/>
    </row>
    <row r="54" spans="1:15" ht="20.25">
      <c r="A54" s="84"/>
      <c r="B54" s="15"/>
      <c r="C54" s="20"/>
      <c r="D54" s="20"/>
    </row>
    <row r="55" spans="1:15" ht="20.25">
      <c r="A55" s="84"/>
      <c r="B55" s="15"/>
      <c r="C55" s="20"/>
      <c r="D55" s="20"/>
    </row>
    <row r="56" spans="1:15" ht="20.25">
      <c r="A56" s="84"/>
      <c r="B56" s="15"/>
      <c r="C56" s="20"/>
      <c r="D56" s="20"/>
    </row>
    <row r="57" spans="1:15" ht="20.25">
      <c r="A57" s="84"/>
      <c r="B57" s="15"/>
      <c r="C57" s="20"/>
      <c r="D57" s="20"/>
    </row>
    <row r="58" spans="1:15" ht="20.25">
      <c r="A58" s="84"/>
      <c r="B58" s="15"/>
      <c r="C58" s="20"/>
      <c r="D58" s="20"/>
    </row>
    <row r="59" spans="1:15" ht="20.25">
      <c r="A59" s="84"/>
      <c r="B59" s="15"/>
      <c r="C59" s="20"/>
      <c r="D59" s="20"/>
    </row>
    <row r="60" spans="1:15" ht="20.25">
      <c r="A60" s="84"/>
      <c r="B60" s="15"/>
      <c r="C60" s="20"/>
      <c r="D60" s="20"/>
    </row>
    <row r="61" spans="1:15" ht="20.25">
      <c r="A61" s="84"/>
      <c r="B61" s="15"/>
      <c r="C61" s="20"/>
      <c r="D61" s="20"/>
    </row>
    <row r="62" spans="1:15" ht="20.25">
      <c r="A62" s="84"/>
      <c r="B62" s="15"/>
      <c r="C62" s="20"/>
      <c r="D62" s="20"/>
    </row>
    <row r="63" spans="1:15" ht="20.25">
      <c r="A63" s="84"/>
      <c r="B63" s="15"/>
      <c r="C63" s="20"/>
      <c r="D63" s="20"/>
    </row>
    <row r="64" spans="1:15" ht="20.25">
      <c r="A64" s="84"/>
      <c r="B64" s="15"/>
      <c r="C64" s="20"/>
      <c r="D64" s="20"/>
    </row>
    <row r="65" spans="1:4" ht="20.25">
      <c r="A65" s="84"/>
      <c r="B65" s="15"/>
      <c r="C65" s="20"/>
      <c r="D65" s="20"/>
    </row>
    <row r="66" spans="1:4" ht="20.25">
      <c r="A66" s="84"/>
      <c r="B66" s="15"/>
      <c r="C66" s="20"/>
      <c r="D66" s="20"/>
    </row>
    <row r="67" spans="1:4" ht="20.25">
      <c r="A67" s="84"/>
      <c r="B67" s="15"/>
      <c r="C67" s="20"/>
      <c r="D67" s="20"/>
    </row>
    <row r="68" spans="1:4" ht="20.25">
      <c r="A68" s="84"/>
      <c r="B68" s="15"/>
      <c r="C68" s="20"/>
      <c r="D68" s="20"/>
    </row>
    <row r="69" spans="1:4" ht="20.25">
      <c r="A69" s="84"/>
      <c r="B69" s="15"/>
      <c r="C69" s="20"/>
      <c r="D69" s="20"/>
    </row>
    <row r="70" spans="1:4" ht="20.25">
      <c r="A70" s="84"/>
      <c r="B70" s="15"/>
      <c r="C70" s="20"/>
      <c r="D70" s="20"/>
    </row>
    <row r="71" spans="1:4" ht="20.25">
      <c r="A71" s="84"/>
      <c r="B71" s="15"/>
      <c r="C71" s="20"/>
      <c r="D71" s="20"/>
    </row>
    <row r="72" spans="1:4" ht="20.25">
      <c r="A72" s="84"/>
      <c r="B72" s="15"/>
      <c r="C72" s="20"/>
      <c r="D72" s="20"/>
    </row>
    <row r="73" spans="1:4" ht="20.25">
      <c r="A73" s="84"/>
      <c r="B73" s="15"/>
      <c r="C73" s="20"/>
      <c r="D73" s="20"/>
    </row>
    <row r="74" spans="1:4" ht="20.25">
      <c r="A74" s="84"/>
      <c r="B74" s="15"/>
      <c r="C74" s="20"/>
      <c r="D74" s="20"/>
    </row>
    <row r="75" spans="1:4" ht="20.25">
      <c r="A75" s="84"/>
      <c r="B75" s="15"/>
      <c r="C75" s="20"/>
      <c r="D75" s="20"/>
    </row>
    <row r="76" spans="1:4" ht="20.25">
      <c r="A76" s="84"/>
      <c r="B76" s="15"/>
      <c r="C76" s="20"/>
      <c r="D76" s="20"/>
    </row>
    <row r="77" spans="1:4" ht="20.25">
      <c r="A77" s="84"/>
      <c r="B77" s="15"/>
      <c r="C77" s="20"/>
      <c r="D77" s="20"/>
    </row>
    <row r="78" spans="1:4" ht="20.25">
      <c r="A78" s="84"/>
      <c r="B78" s="15"/>
      <c r="C78" s="20"/>
      <c r="D78" s="20"/>
    </row>
    <row r="79" spans="1:4" ht="20.25">
      <c r="A79" s="84"/>
      <c r="B79" s="15"/>
      <c r="C79" s="20"/>
      <c r="D79" s="20"/>
    </row>
    <row r="80" spans="1:4" ht="20.25">
      <c r="A80" s="84"/>
      <c r="B80" s="15"/>
      <c r="C80" s="20"/>
      <c r="D80" s="20"/>
    </row>
    <row r="81" spans="1:4" ht="20.25">
      <c r="A81" s="84"/>
      <c r="B81" s="15"/>
      <c r="C81" s="20"/>
      <c r="D81" s="20"/>
    </row>
    <row r="82" spans="1:4" ht="20.25">
      <c r="A82" s="84"/>
      <c r="B82" s="15"/>
      <c r="C82" s="20"/>
      <c r="D82" s="20"/>
    </row>
    <row r="83" spans="1:4" ht="20.25">
      <c r="A83" s="84"/>
      <c r="B83" s="15"/>
      <c r="C83" s="20"/>
      <c r="D83" s="20"/>
    </row>
    <row r="84" spans="1:4" ht="20.25">
      <c r="A84" s="84"/>
      <c r="B84" s="15"/>
      <c r="C84" s="20"/>
      <c r="D84" s="20"/>
    </row>
    <row r="85" spans="1:4" ht="20.25">
      <c r="A85" s="84"/>
      <c r="B85" s="15"/>
      <c r="C85" s="20"/>
      <c r="D85" s="20"/>
    </row>
    <row r="86" spans="1:4" ht="20.25">
      <c r="A86" s="84"/>
      <c r="B86" s="15"/>
      <c r="C86" s="20"/>
      <c r="D86" s="20"/>
    </row>
    <row r="87" spans="1:4" ht="20.25">
      <c r="A87" s="84"/>
      <c r="B87" s="15"/>
      <c r="C87" s="20"/>
      <c r="D87" s="20"/>
    </row>
    <row r="88" spans="1:4" ht="20.25">
      <c r="A88" s="84"/>
      <c r="B88" s="15"/>
      <c r="C88" s="20"/>
      <c r="D88" s="20"/>
    </row>
    <row r="89" spans="1:4" ht="20.25">
      <c r="A89" s="84"/>
      <c r="B89" s="15"/>
      <c r="C89" s="20"/>
      <c r="D89" s="20"/>
    </row>
    <row r="90" spans="1:4" ht="20.25">
      <c r="A90" s="84"/>
      <c r="B90" s="15"/>
      <c r="C90" s="20"/>
      <c r="D90" s="20"/>
    </row>
    <row r="91" spans="1:4" ht="20.25">
      <c r="A91" s="84"/>
      <c r="B91" s="15"/>
      <c r="C91" s="20"/>
      <c r="D91" s="20"/>
    </row>
    <row r="92" spans="1:4" ht="20.25">
      <c r="A92" s="84"/>
      <c r="B92" s="15"/>
      <c r="C92" s="20"/>
      <c r="D92" s="20"/>
    </row>
    <row r="93" spans="1:4" ht="20.25">
      <c r="A93" s="84"/>
      <c r="B93" s="15"/>
      <c r="C93" s="20"/>
      <c r="D93" s="20"/>
    </row>
    <row r="94" spans="1:4" ht="20.25">
      <c r="A94" s="84"/>
      <c r="B94" s="15"/>
      <c r="C94" s="20"/>
      <c r="D94" s="20"/>
    </row>
    <row r="95" spans="1:4" ht="20.25">
      <c r="A95" s="84"/>
      <c r="B95" s="15"/>
      <c r="C95" s="20"/>
      <c r="D95" s="20"/>
    </row>
    <row r="96" spans="1:4" ht="20.25">
      <c r="A96" s="84"/>
      <c r="B96" s="15"/>
      <c r="C96" s="20"/>
      <c r="D96" s="20"/>
    </row>
    <row r="97" spans="1:4" ht="20.25">
      <c r="A97" s="84"/>
      <c r="B97" s="15"/>
      <c r="C97" s="20"/>
      <c r="D97" s="20"/>
    </row>
    <row r="98" spans="1:4" ht="20.25">
      <c r="A98" s="84"/>
      <c r="B98" s="15"/>
      <c r="C98" s="20"/>
      <c r="D98" s="20"/>
    </row>
    <row r="99" spans="1:4" ht="20.25">
      <c r="A99" s="84"/>
      <c r="B99" s="15"/>
      <c r="C99" s="20"/>
      <c r="D99" s="20"/>
    </row>
    <row r="100" spans="1:4" ht="20.25">
      <c r="A100" s="84"/>
      <c r="B100" s="15"/>
      <c r="C100" s="20"/>
      <c r="D100" s="20"/>
    </row>
    <row r="101" spans="1:4" ht="20.25">
      <c r="A101" s="84"/>
      <c r="B101" s="15"/>
      <c r="C101" s="20"/>
      <c r="D101" s="20"/>
    </row>
    <row r="102" spans="1:4" ht="20.25">
      <c r="A102" s="84"/>
      <c r="B102" s="15"/>
      <c r="C102" s="20"/>
      <c r="D102" s="20"/>
    </row>
    <row r="103" spans="1:4" ht="20.25">
      <c r="A103" s="84"/>
      <c r="B103" s="15"/>
      <c r="C103" s="20"/>
      <c r="D103" s="20"/>
    </row>
    <row r="104" spans="1:4" ht="20.25">
      <c r="A104" s="84"/>
      <c r="B104" s="15"/>
      <c r="C104" s="20"/>
      <c r="D104" s="20"/>
    </row>
    <row r="105" spans="1:4" ht="20.25">
      <c r="A105" s="84"/>
      <c r="B105" s="15"/>
      <c r="C105" s="20"/>
      <c r="D105" s="20"/>
    </row>
    <row r="106" spans="1:4" ht="20.25">
      <c r="A106" s="84"/>
      <c r="B106" s="15"/>
      <c r="C106" s="20"/>
      <c r="D106" s="20"/>
    </row>
    <row r="107" spans="1:4" ht="20.25">
      <c r="A107" s="84"/>
      <c r="B107" s="15"/>
      <c r="C107" s="20"/>
      <c r="D107" s="20"/>
    </row>
    <row r="108" spans="1:4" ht="20.25">
      <c r="A108" s="84"/>
      <c r="B108" s="15"/>
      <c r="C108" s="20"/>
      <c r="D108" s="20"/>
    </row>
    <row r="109" spans="1:4" ht="20.25">
      <c r="A109" s="84"/>
      <c r="B109" s="15"/>
      <c r="C109" s="20"/>
      <c r="D109" s="20"/>
    </row>
    <row r="110" spans="1:4" ht="20.25">
      <c r="A110" s="84"/>
      <c r="B110" s="15"/>
      <c r="C110" s="20"/>
      <c r="D110" s="20"/>
    </row>
    <row r="111" spans="1:4" ht="20.25">
      <c r="A111" s="84"/>
      <c r="B111" s="15"/>
      <c r="C111" s="20"/>
      <c r="D111" s="20"/>
    </row>
    <row r="112" spans="1:4" ht="20.25">
      <c r="A112" s="84"/>
      <c r="B112" s="15"/>
      <c r="C112" s="20"/>
      <c r="D112" s="20"/>
    </row>
    <row r="113" spans="1:4" ht="20.25">
      <c r="A113" s="84"/>
      <c r="B113" s="15"/>
      <c r="C113" s="20"/>
      <c r="D113" s="20"/>
    </row>
    <row r="114" spans="1:4" ht="20.25">
      <c r="A114" s="84"/>
      <c r="B114" s="15"/>
      <c r="C114" s="20"/>
      <c r="D114" s="20"/>
    </row>
    <row r="115" spans="1:4" ht="20.25">
      <c r="A115" s="84"/>
      <c r="B115" s="15"/>
      <c r="C115" s="20"/>
      <c r="D115" s="20"/>
    </row>
    <row r="116" spans="1:4" ht="20.25">
      <c r="A116" s="84"/>
      <c r="B116" s="15"/>
      <c r="C116" s="20"/>
      <c r="D116" s="20"/>
    </row>
    <row r="117" spans="1:4" ht="20.25">
      <c r="A117" s="84"/>
      <c r="B117" s="15"/>
      <c r="C117" s="20"/>
      <c r="D117" s="20"/>
    </row>
    <row r="118" spans="1:4" ht="20.25">
      <c r="A118" s="84"/>
      <c r="B118" s="15"/>
      <c r="C118" s="20"/>
      <c r="D118" s="20"/>
    </row>
    <row r="119" spans="1:4" ht="20.25">
      <c r="A119" s="84"/>
      <c r="B119" s="15"/>
      <c r="C119" s="20"/>
      <c r="D119" s="20"/>
    </row>
    <row r="120" spans="1:4" ht="20.25">
      <c r="A120" s="84"/>
      <c r="B120" s="15"/>
      <c r="C120" s="20"/>
      <c r="D120" s="20"/>
    </row>
    <row r="121" spans="1:4" ht="20.25">
      <c r="A121" s="84"/>
      <c r="B121" s="15"/>
      <c r="C121" s="20"/>
      <c r="D121" s="20"/>
    </row>
    <row r="122" spans="1:4" ht="20.25">
      <c r="A122" s="84"/>
      <c r="B122" s="15"/>
      <c r="C122" s="20"/>
      <c r="D122" s="20"/>
    </row>
    <row r="123" spans="1:4" ht="20.25">
      <c r="A123" s="84"/>
      <c r="B123" s="15"/>
      <c r="C123" s="20"/>
      <c r="D123" s="20"/>
    </row>
    <row r="124" spans="1:4" ht="20.25">
      <c r="A124" s="84"/>
      <c r="B124" s="15"/>
      <c r="C124" s="20"/>
      <c r="D124" s="20"/>
    </row>
    <row r="125" spans="1:4" ht="20.25">
      <c r="A125" s="84"/>
      <c r="B125" s="15"/>
      <c r="C125" s="20"/>
      <c r="D125" s="20"/>
    </row>
    <row r="126" spans="1:4" ht="20.25">
      <c r="A126" s="84"/>
      <c r="B126" s="15"/>
      <c r="C126" s="20"/>
      <c r="D126" s="20"/>
    </row>
    <row r="127" spans="1:4" ht="20.25">
      <c r="A127" s="84"/>
      <c r="B127" s="15"/>
      <c r="C127" s="20"/>
      <c r="D127" s="20"/>
    </row>
    <row r="128" spans="1:4" ht="20.25">
      <c r="A128" s="84"/>
      <c r="B128" s="15"/>
      <c r="C128" s="20"/>
      <c r="D128" s="20"/>
    </row>
    <row r="129" spans="1:4" ht="20.25">
      <c r="A129" s="84"/>
      <c r="B129" s="15"/>
      <c r="C129" s="20"/>
      <c r="D129" s="20"/>
    </row>
    <row r="130" spans="1:4" ht="20.25">
      <c r="A130" s="84"/>
      <c r="B130" s="15"/>
      <c r="C130" s="20"/>
      <c r="D130" s="20"/>
    </row>
    <row r="131" spans="1:4" ht="20.25">
      <c r="A131" s="84"/>
      <c r="B131" s="15"/>
      <c r="C131" s="20"/>
      <c r="D131" s="20"/>
    </row>
    <row r="132" spans="1:4" ht="20.25">
      <c r="A132" s="84"/>
      <c r="B132" s="15"/>
      <c r="C132" s="20"/>
      <c r="D132" s="20"/>
    </row>
    <row r="133" spans="1:4" ht="20.25">
      <c r="A133" s="84"/>
      <c r="B133" s="15"/>
      <c r="C133" s="20"/>
      <c r="D133" s="20"/>
    </row>
    <row r="134" spans="1:4" ht="20.25">
      <c r="A134" s="84"/>
      <c r="B134" s="15"/>
      <c r="C134" s="20"/>
      <c r="D134" s="20"/>
    </row>
    <row r="135" spans="1:4" ht="20.25">
      <c r="A135" s="84"/>
      <c r="B135" s="15"/>
      <c r="C135" s="20"/>
      <c r="D135" s="20"/>
    </row>
    <row r="136" spans="1:4" ht="20.25">
      <c r="A136" s="84"/>
      <c r="B136" s="15"/>
      <c r="C136" s="20"/>
      <c r="D136" s="20"/>
    </row>
    <row r="137" spans="1:4" ht="20.25">
      <c r="A137" s="84"/>
      <c r="B137" s="15"/>
      <c r="C137" s="20"/>
      <c r="D137" s="20"/>
    </row>
    <row r="138" spans="1:4" ht="20.25">
      <c r="A138" s="84"/>
      <c r="B138" s="15"/>
      <c r="C138" s="20"/>
      <c r="D138" s="20"/>
    </row>
    <row r="139" spans="1:4" ht="20.25">
      <c r="A139" s="84"/>
      <c r="B139" s="15"/>
      <c r="C139" s="20"/>
      <c r="D139" s="20"/>
    </row>
    <row r="140" spans="1:4" ht="20.25">
      <c r="A140" s="84"/>
      <c r="B140" s="15"/>
      <c r="C140" s="20"/>
      <c r="D140" s="20"/>
    </row>
    <row r="141" spans="1:4" ht="20.25">
      <c r="A141" s="84"/>
      <c r="B141" s="15"/>
      <c r="C141" s="20"/>
      <c r="D141" s="20"/>
    </row>
    <row r="142" spans="1:4" ht="20.25">
      <c r="A142" s="84"/>
      <c r="B142" s="15"/>
      <c r="C142" s="20"/>
      <c r="D142" s="20"/>
    </row>
    <row r="143" spans="1:4" ht="20.25">
      <c r="A143" s="84"/>
      <c r="B143" s="15"/>
      <c r="C143" s="20"/>
      <c r="D143" s="20"/>
    </row>
    <row r="144" spans="1:4" ht="20.25">
      <c r="A144" s="84"/>
      <c r="B144" s="15"/>
      <c r="C144" s="20"/>
      <c r="D144" s="20"/>
    </row>
    <row r="145" spans="1:4" ht="20.25">
      <c r="A145" s="84"/>
      <c r="B145" s="15"/>
      <c r="C145" s="20"/>
      <c r="D145" s="20"/>
    </row>
    <row r="146" spans="1:4" ht="20.25">
      <c r="A146" s="84"/>
      <c r="B146" s="15"/>
      <c r="C146" s="20"/>
      <c r="D146" s="20"/>
    </row>
    <row r="147" spans="1:4" ht="20.25">
      <c r="A147" s="84"/>
      <c r="B147" s="15"/>
      <c r="C147" s="20"/>
      <c r="D147" s="20"/>
    </row>
    <row r="148" spans="1:4" ht="20.25">
      <c r="A148" s="84"/>
      <c r="B148" s="15"/>
      <c r="C148" s="20"/>
      <c r="D148" s="20"/>
    </row>
    <row r="149" spans="1:4" ht="20.25">
      <c r="A149" s="84"/>
      <c r="B149" s="15"/>
      <c r="C149" s="20"/>
      <c r="D149" s="20"/>
    </row>
    <row r="150" spans="1:4" ht="20.25">
      <c r="A150" s="84"/>
      <c r="B150" s="15"/>
      <c r="C150" s="20"/>
      <c r="D150" s="20"/>
    </row>
    <row r="151" spans="1:4" ht="20.25">
      <c r="A151" s="84"/>
      <c r="B151" s="15"/>
      <c r="C151" s="20"/>
      <c r="D151" s="20"/>
    </row>
    <row r="152" spans="1:4" ht="20.25">
      <c r="A152" s="84"/>
      <c r="B152" s="15"/>
      <c r="C152" s="20"/>
      <c r="D152" s="20"/>
    </row>
    <row r="153" spans="1:4" ht="20.25">
      <c r="A153" s="84"/>
      <c r="B153" s="15"/>
      <c r="C153" s="20"/>
      <c r="D153" s="20"/>
    </row>
    <row r="154" spans="1:4" ht="20.25">
      <c r="A154" s="84"/>
      <c r="B154" s="15"/>
      <c r="C154" s="20"/>
      <c r="D154" s="20"/>
    </row>
    <row r="155" spans="1:4" ht="20.25">
      <c r="A155" s="84"/>
      <c r="B155" s="15"/>
      <c r="C155" s="20"/>
      <c r="D155" s="20"/>
    </row>
    <row r="156" spans="1:4" ht="20.25">
      <c r="A156" s="84"/>
      <c r="B156" s="15"/>
      <c r="C156" s="20"/>
      <c r="D156" s="20"/>
    </row>
    <row r="157" spans="1:4" ht="20.25">
      <c r="A157" s="84"/>
      <c r="B157" s="15"/>
      <c r="C157" s="20"/>
      <c r="D157" s="20"/>
    </row>
    <row r="158" spans="1:4" ht="20.25">
      <c r="A158" s="84"/>
      <c r="B158" s="15"/>
      <c r="C158" s="20"/>
      <c r="D158" s="20"/>
    </row>
    <row r="159" spans="1:4" ht="20.25">
      <c r="A159" s="84"/>
      <c r="B159" s="15"/>
      <c r="C159" s="20"/>
      <c r="D159" s="20"/>
    </row>
    <row r="160" spans="1:4" ht="20.25">
      <c r="A160" s="84"/>
      <c r="B160" s="15"/>
      <c r="C160" s="20"/>
      <c r="D160" s="20"/>
    </row>
    <row r="161" spans="1:4" ht="20.25">
      <c r="A161" s="84"/>
      <c r="B161" s="15"/>
      <c r="C161" s="20"/>
      <c r="D161" s="20"/>
    </row>
    <row r="162" spans="1:4" ht="20.25">
      <c r="A162" s="84"/>
      <c r="B162" s="15"/>
      <c r="C162" s="20"/>
      <c r="D162" s="20"/>
    </row>
    <row r="163" spans="1:4" ht="20.25">
      <c r="A163" s="84"/>
      <c r="B163" s="15"/>
      <c r="C163" s="20"/>
      <c r="D163" s="20"/>
    </row>
    <row r="164" spans="1:4" ht="20.25">
      <c r="A164" s="84"/>
      <c r="B164" s="15"/>
      <c r="C164" s="20"/>
      <c r="D164" s="20"/>
    </row>
    <row r="165" spans="1:4" ht="20.25">
      <c r="A165" s="84"/>
      <c r="B165" s="15"/>
      <c r="C165" s="20"/>
      <c r="D165" s="20"/>
    </row>
    <row r="166" spans="1:4" ht="20.25">
      <c r="A166" s="84"/>
      <c r="B166" s="15"/>
      <c r="C166" s="20"/>
      <c r="D166" s="20"/>
    </row>
    <row r="167" spans="1:4" ht="20.25">
      <c r="A167" s="84"/>
      <c r="B167" s="15"/>
      <c r="C167" s="20"/>
      <c r="D167" s="20"/>
    </row>
    <row r="168" spans="1:4" ht="20.25">
      <c r="A168" s="84"/>
      <c r="B168" s="15"/>
      <c r="C168" s="20"/>
      <c r="D168" s="20"/>
    </row>
    <row r="169" spans="1:4" ht="20.25">
      <c r="A169" s="84"/>
      <c r="B169" s="15"/>
      <c r="C169" s="20"/>
      <c r="D169" s="20"/>
    </row>
    <row r="170" spans="1:4" ht="20.25">
      <c r="A170" s="84"/>
      <c r="B170" s="15"/>
      <c r="C170" s="20"/>
      <c r="D170" s="20"/>
    </row>
    <row r="171" spans="1:4" ht="20.25">
      <c r="A171" s="84"/>
      <c r="B171" s="15"/>
      <c r="C171" s="20"/>
      <c r="D171" s="20"/>
    </row>
    <row r="172" spans="1:4" ht="20.25">
      <c r="A172" s="84"/>
      <c r="B172" s="15"/>
      <c r="C172" s="20"/>
      <c r="D172" s="20"/>
    </row>
    <row r="173" spans="1:4" ht="20.25">
      <c r="A173" s="84"/>
      <c r="B173" s="15"/>
      <c r="C173" s="20"/>
      <c r="D173" s="20"/>
    </row>
    <row r="174" spans="1:4" ht="20.25">
      <c r="A174" s="84"/>
      <c r="B174" s="15"/>
      <c r="C174" s="20"/>
      <c r="D174" s="20"/>
    </row>
    <row r="175" spans="1:4" ht="20.25">
      <c r="A175" s="84"/>
      <c r="B175" s="15"/>
      <c r="C175" s="20"/>
      <c r="D175" s="20"/>
    </row>
    <row r="176" spans="1:4" ht="20.25">
      <c r="A176" s="84"/>
      <c r="B176" s="15"/>
      <c r="C176" s="20"/>
      <c r="D176" s="20"/>
    </row>
    <row r="177" spans="1:4" ht="20.25">
      <c r="A177" s="84"/>
      <c r="B177" s="15"/>
      <c r="C177" s="20"/>
      <c r="D177" s="20"/>
    </row>
    <row r="178" spans="1:4" ht="20.25">
      <c r="A178" s="84"/>
      <c r="B178" s="15"/>
      <c r="C178" s="20"/>
      <c r="D178" s="20"/>
    </row>
    <row r="179" spans="1:4" ht="20.25">
      <c r="A179" s="84"/>
      <c r="B179" s="15"/>
      <c r="C179" s="20"/>
      <c r="D179" s="20"/>
    </row>
    <row r="180" spans="1:4" ht="20.25">
      <c r="A180" s="84"/>
      <c r="B180" s="15"/>
      <c r="C180" s="20"/>
      <c r="D180" s="20"/>
    </row>
    <row r="181" spans="1:4" ht="20.25">
      <c r="A181" s="84"/>
      <c r="B181" s="15"/>
      <c r="C181" s="20"/>
      <c r="D181" s="20"/>
    </row>
    <row r="182" spans="1:4" ht="20.25">
      <c r="A182" s="84"/>
      <c r="B182" s="15"/>
      <c r="C182" s="20"/>
      <c r="D182" s="20"/>
    </row>
    <row r="183" spans="1:4" ht="20.25">
      <c r="A183" s="84"/>
      <c r="B183" s="15"/>
      <c r="C183" s="20"/>
      <c r="D183" s="20"/>
    </row>
    <row r="184" spans="1:4" ht="20.25">
      <c r="A184" s="84"/>
      <c r="B184" s="15"/>
      <c r="C184" s="20"/>
      <c r="D184" s="20"/>
    </row>
    <row r="185" spans="1:4" ht="20.25">
      <c r="A185" s="84"/>
      <c r="B185" s="15"/>
      <c r="C185" s="20"/>
      <c r="D185" s="20"/>
    </row>
    <row r="186" spans="1:4" ht="20.25">
      <c r="A186" s="84"/>
      <c r="B186" s="15"/>
      <c r="C186" s="20"/>
      <c r="D186" s="20"/>
    </row>
    <row r="187" spans="1:4" ht="20.25">
      <c r="A187" s="84"/>
      <c r="B187" s="15"/>
      <c r="C187" s="20"/>
      <c r="D187" s="20"/>
    </row>
    <row r="188" spans="1:4" ht="20.25">
      <c r="A188" s="84"/>
      <c r="B188" s="15"/>
      <c r="C188" s="20"/>
      <c r="D188" s="20"/>
    </row>
    <row r="189" spans="1:4" ht="20.25">
      <c r="A189" s="84"/>
      <c r="B189" s="15"/>
      <c r="C189" s="20"/>
      <c r="D189" s="20"/>
    </row>
    <row r="190" spans="1:4" ht="20.25">
      <c r="A190" s="84"/>
      <c r="B190" s="15"/>
      <c r="C190" s="20"/>
      <c r="D190" s="20"/>
    </row>
    <row r="191" spans="1:4" ht="20.25">
      <c r="A191" s="84"/>
      <c r="B191" s="15"/>
      <c r="C191" s="20"/>
      <c r="D191" s="20"/>
    </row>
    <row r="192" spans="1:4" ht="20.25">
      <c r="A192" s="84"/>
      <c r="B192" s="15"/>
      <c r="C192" s="20"/>
      <c r="D192" s="20"/>
    </row>
    <row r="193" spans="1:4" ht="20.25">
      <c r="A193" s="84"/>
      <c r="B193" s="15"/>
      <c r="C193" s="20"/>
      <c r="D193" s="20"/>
    </row>
    <row r="194" spans="1:4" ht="20.25">
      <c r="A194" s="84"/>
      <c r="B194" s="15"/>
      <c r="C194" s="20"/>
      <c r="D194" s="20"/>
    </row>
    <row r="195" spans="1:4" ht="20.25">
      <c r="A195" s="84"/>
      <c r="B195" s="15"/>
      <c r="C195" s="20"/>
      <c r="D195" s="20"/>
    </row>
    <row r="196" spans="1:4" ht="20.25">
      <c r="A196" s="84"/>
      <c r="B196" s="15"/>
      <c r="C196" s="20"/>
      <c r="D196" s="20"/>
    </row>
    <row r="197" spans="1:4" ht="20.25">
      <c r="A197" s="84"/>
      <c r="B197" s="15"/>
      <c r="C197" s="20"/>
      <c r="D197" s="20"/>
    </row>
    <row r="198" spans="1:4" ht="20.25">
      <c r="A198" s="84"/>
      <c r="B198" s="15"/>
      <c r="C198" s="20"/>
      <c r="D198" s="20"/>
    </row>
    <row r="199" spans="1:4" ht="20.25">
      <c r="A199" s="84"/>
      <c r="B199" s="15"/>
      <c r="C199" s="20"/>
      <c r="D199" s="20"/>
    </row>
    <row r="200" spans="1:4" ht="20.25">
      <c r="A200" s="84"/>
      <c r="B200" s="15"/>
      <c r="C200" s="20"/>
      <c r="D200" s="20"/>
    </row>
    <row r="201" spans="1:4" ht="20.25">
      <c r="A201" s="84"/>
      <c r="B201" s="15"/>
      <c r="C201" s="20"/>
      <c r="D201" s="20"/>
    </row>
    <row r="202" spans="1:4" ht="20.25">
      <c r="A202" s="84"/>
      <c r="B202" s="15"/>
      <c r="C202" s="20"/>
      <c r="D202" s="20"/>
    </row>
    <row r="203" spans="1:4" ht="20.25">
      <c r="A203" s="84"/>
      <c r="B203" s="15"/>
      <c r="C203" s="20"/>
      <c r="D203" s="20"/>
    </row>
    <row r="204" spans="1:4" ht="20.25">
      <c r="A204" s="84"/>
      <c r="B204" s="15"/>
      <c r="C204" s="20"/>
      <c r="D204" s="20"/>
    </row>
    <row r="205" spans="1:4" ht="20.25">
      <c r="A205" s="84"/>
      <c r="B205" s="15"/>
      <c r="C205" s="20"/>
      <c r="D205" s="20"/>
    </row>
    <row r="206" spans="1:4" ht="20.25">
      <c r="A206" s="84"/>
      <c r="B206" s="15"/>
      <c r="C206" s="20"/>
      <c r="D206" s="20"/>
    </row>
    <row r="207" spans="1:4" ht="20.25">
      <c r="A207" s="84"/>
      <c r="B207" s="15"/>
      <c r="C207" s="20"/>
      <c r="D207" s="20"/>
    </row>
    <row r="208" spans="1:4">
      <c r="A208" s="68"/>
      <c r="B208" s="15"/>
      <c r="C208" s="15"/>
      <c r="D208" s="15"/>
    </row>
    <row r="209" spans="1:8" ht="20.25">
      <c r="A209" s="68"/>
      <c r="B209" s="16" t="s">
        <v>442</v>
      </c>
      <c r="C209" s="16" t="s">
        <v>443</v>
      </c>
      <c r="D209" s="19" t="s">
        <v>442</v>
      </c>
      <c r="E209" s="19" t="s">
        <v>443</v>
      </c>
    </row>
    <row r="210" spans="1:8" ht="21">
      <c r="A210" s="68"/>
      <c r="B210" s="17" t="s">
        <v>444</v>
      </c>
      <c r="C210" s="17" t="s">
        <v>445</v>
      </c>
      <c r="D210" t="s">
        <v>444</v>
      </c>
      <c r="F210" t="str">
        <f>IF(NOT(ISBLANK(D210)),D210,IF(NOT(ISBLANK(E210)),"     "&amp;E210,FALSE))</f>
        <v>Afectación Económica o presupuestal</v>
      </c>
      <c r="G210" t="s">
        <v>444</v>
      </c>
      <c r="H210" t="str">
        <f>IF(NOT(ISERROR(MATCH(G210,_xlfn.ANCHORARRAY(B221),0))),F223&amp;"Por favor no seleccionar los criterios de impacto",G210)</f>
        <v>❌Por favor no seleccionar los criterios de impacto</v>
      </c>
    </row>
    <row r="211" spans="1:8" ht="21">
      <c r="A211" s="68"/>
      <c r="B211" s="17" t="s">
        <v>444</v>
      </c>
      <c r="C211" s="17" t="s">
        <v>429</v>
      </c>
      <c r="E211" t="s">
        <v>445</v>
      </c>
      <c r="F211" t="str">
        <f t="shared" ref="F211:F221" si="0">IF(NOT(ISBLANK(D211)),D211,IF(NOT(ISBLANK(E211)),"     "&amp;E211,FALSE))</f>
        <v xml:space="preserve">     Afectación menor a 10 SMLMV .</v>
      </c>
    </row>
    <row r="212" spans="1:8" ht="21">
      <c r="A212" s="68"/>
      <c r="B212" s="17" t="s">
        <v>444</v>
      </c>
      <c r="C212" s="17" t="s">
        <v>432</v>
      </c>
      <c r="E212" t="s">
        <v>429</v>
      </c>
      <c r="F212" t="str">
        <f t="shared" si="0"/>
        <v xml:space="preserve">     Entre 10 y 50 SMLMV </v>
      </c>
    </row>
    <row r="213" spans="1:8" ht="21">
      <c r="A213" s="68"/>
      <c r="B213" s="17" t="s">
        <v>444</v>
      </c>
      <c r="C213" s="17" t="s">
        <v>435</v>
      </c>
      <c r="E213" t="s">
        <v>432</v>
      </c>
      <c r="F213" t="str">
        <f t="shared" si="0"/>
        <v xml:space="preserve">     Entre 50 y 100 SMLMV </v>
      </c>
    </row>
    <row r="214" spans="1:8" ht="21">
      <c r="A214" s="68"/>
      <c r="B214" s="17" t="s">
        <v>444</v>
      </c>
      <c r="C214" s="17" t="s">
        <v>438</v>
      </c>
      <c r="E214" t="s">
        <v>435</v>
      </c>
      <c r="F214" t="str">
        <f t="shared" si="0"/>
        <v xml:space="preserve">     Entre 100 y 500 SMLMV </v>
      </c>
    </row>
    <row r="215" spans="1:8" ht="21">
      <c r="A215" s="68"/>
      <c r="B215" s="17" t="s">
        <v>423</v>
      </c>
      <c r="C215" s="17" t="s">
        <v>427</v>
      </c>
      <c r="E215" t="s">
        <v>438</v>
      </c>
      <c r="F215" t="str">
        <f t="shared" si="0"/>
        <v xml:space="preserve">     Mayor a 500 SMLMV </v>
      </c>
    </row>
    <row r="216" spans="1:8" ht="21">
      <c r="A216" s="68"/>
      <c r="B216" s="17" t="s">
        <v>423</v>
      </c>
      <c r="C216" s="17" t="s">
        <v>430</v>
      </c>
      <c r="D216" t="s">
        <v>423</v>
      </c>
      <c r="F216" t="str">
        <f t="shared" si="0"/>
        <v>Pérdida Reputacional</v>
      </c>
    </row>
    <row r="217" spans="1:8" ht="21">
      <c r="A217" s="68"/>
      <c r="B217" s="17" t="s">
        <v>423</v>
      </c>
      <c r="C217" s="17" t="s">
        <v>433</v>
      </c>
      <c r="E217" t="s">
        <v>427</v>
      </c>
      <c r="F217" t="str">
        <f t="shared" si="0"/>
        <v xml:space="preserve">     El riesgo afecta la imagen de alguna área de la organización</v>
      </c>
    </row>
    <row r="218" spans="1:8" ht="21">
      <c r="A218" s="68"/>
      <c r="B218" s="17" t="s">
        <v>423</v>
      </c>
      <c r="C218" s="17" t="s">
        <v>446</v>
      </c>
      <c r="E218" t="s">
        <v>430</v>
      </c>
      <c r="F218" t="str">
        <f t="shared" si="0"/>
        <v xml:space="preserve">     El riesgo afecta la imagen de la entidad internamente, de conocimiento general, nivel interno, de junta dircetiva y accionistas y/o de provedores</v>
      </c>
    </row>
    <row r="219" spans="1:8" ht="21">
      <c r="A219" s="68"/>
      <c r="B219" s="17" t="s">
        <v>423</v>
      </c>
      <c r="C219" s="17" t="s">
        <v>439</v>
      </c>
      <c r="E219" t="s">
        <v>433</v>
      </c>
      <c r="F219" t="str">
        <f t="shared" si="0"/>
        <v xml:space="preserve">     El riesgo afecta la imagen de la entidad con algunos usuarios de relevancia frente al logro de los objetivos</v>
      </c>
    </row>
    <row r="220" spans="1:8">
      <c r="A220" s="68"/>
      <c r="B220" s="18"/>
      <c r="C220" s="18"/>
      <c r="E220" t="s">
        <v>446</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439</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447</v>
      </c>
    </row>
    <row r="224" spans="1:8">
      <c r="B224" s="14"/>
      <c r="C224" s="14"/>
      <c r="F224" s="21" t="s">
        <v>448</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defaultColWidth="14.28515625" defaultRowHeight="12.75"/>
  <cols>
    <col min="1" max="2" width="14.28515625" style="73"/>
    <col min="3" max="3" width="17" style="73" customWidth="1"/>
    <col min="4" max="4" width="14.28515625" style="73"/>
    <col min="5" max="5" width="46" style="73" customWidth="1"/>
    <col min="6" max="16384" width="14.28515625" style="73"/>
  </cols>
  <sheetData>
    <row r="1" spans="2:6" ht="24" customHeight="1" thickBot="1">
      <c r="B1" s="625" t="s">
        <v>449</v>
      </c>
      <c r="C1" s="626"/>
      <c r="D1" s="626"/>
      <c r="E1" s="626"/>
      <c r="F1" s="627"/>
    </row>
    <row r="2" spans="2:6" ht="16.5" thickBot="1">
      <c r="B2" s="74"/>
      <c r="C2" s="74"/>
      <c r="D2" s="74"/>
      <c r="E2" s="74"/>
      <c r="F2" s="74"/>
    </row>
    <row r="3" spans="2:6" ht="16.5" thickBot="1">
      <c r="B3" s="629" t="s">
        <v>450</v>
      </c>
      <c r="C3" s="630"/>
      <c r="D3" s="630"/>
      <c r="E3" s="216" t="s">
        <v>451</v>
      </c>
      <c r="F3" s="83" t="s">
        <v>452</v>
      </c>
    </row>
    <row r="4" spans="2:6" ht="31.5">
      <c r="B4" s="631" t="s">
        <v>453</v>
      </c>
      <c r="C4" s="633" t="s">
        <v>102</v>
      </c>
      <c r="D4" s="217" t="s">
        <v>119</v>
      </c>
      <c r="E4" s="75" t="s">
        <v>454</v>
      </c>
      <c r="F4" s="76">
        <v>0.25</v>
      </c>
    </row>
    <row r="5" spans="2:6" ht="47.25">
      <c r="B5" s="632"/>
      <c r="C5" s="634"/>
      <c r="D5" s="218" t="s">
        <v>223</v>
      </c>
      <c r="E5" s="77" t="s">
        <v>455</v>
      </c>
      <c r="F5" s="78">
        <v>0.15</v>
      </c>
    </row>
    <row r="6" spans="2:6" ht="47.25">
      <c r="B6" s="632"/>
      <c r="C6" s="634"/>
      <c r="D6" s="218" t="s">
        <v>236</v>
      </c>
      <c r="E6" s="77" t="s">
        <v>456</v>
      </c>
      <c r="F6" s="78">
        <v>0.1</v>
      </c>
    </row>
    <row r="7" spans="2:6" ht="63">
      <c r="B7" s="632"/>
      <c r="C7" s="634" t="s">
        <v>103</v>
      </c>
      <c r="D7" s="218" t="s">
        <v>214</v>
      </c>
      <c r="E7" s="77" t="s">
        <v>457</v>
      </c>
      <c r="F7" s="78">
        <v>0.25</v>
      </c>
    </row>
    <row r="8" spans="2:6" ht="31.5">
      <c r="B8" s="632"/>
      <c r="C8" s="634"/>
      <c r="D8" s="218" t="s">
        <v>120</v>
      </c>
      <c r="E8" s="77" t="s">
        <v>458</v>
      </c>
      <c r="F8" s="78">
        <v>0.15</v>
      </c>
    </row>
    <row r="9" spans="2:6" ht="47.25">
      <c r="B9" s="632" t="s">
        <v>459</v>
      </c>
      <c r="C9" s="634" t="s">
        <v>55</v>
      </c>
      <c r="D9" s="218" t="s">
        <v>121</v>
      </c>
      <c r="E9" s="77" t="s">
        <v>460</v>
      </c>
      <c r="F9" s="79" t="s">
        <v>461</v>
      </c>
    </row>
    <row r="10" spans="2:6" ht="63">
      <c r="B10" s="632"/>
      <c r="C10" s="634"/>
      <c r="D10" s="218" t="s">
        <v>224</v>
      </c>
      <c r="E10" s="77" t="s">
        <v>462</v>
      </c>
      <c r="F10" s="79" t="s">
        <v>461</v>
      </c>
    </row>
    <row r="11" spans="2:6" ht="47.25">
      <c r="B11" s="632"/>
      <c r="C11" s="634" t="s">
        <v>105</v>
      </c>
      <c r="D11" s="218" t="s">
        <v>122</v>
      </c>
      <c r="E11" s="77" t="s">
        <v>463</v>
      </c>
      <c r="F11" s="79" t="s">
        <v>461</v>
      </c>
    </row>
    <row r="12" spans="2:6" ht="47.25">
      <c r="B12" s="632"/>
      <c r="C12" s="634"/>
      <c r="D12" s="218" t="s">
        <v>225</v>
      </c>
      <c r="E12" s="77" t="s">
        <v>464</v>
      </c>
      <c r="F12" s="79" t="s">
        <v>461</v>
      </c>
    </row>
    <row r="13" spans="2:6" ht="31.5">
      <c r="B13" s="632"/>
      <c r="C13" s="634" t="s">
        <v>106</v>
      </c>
      <c r="D13" s="218" t="s">
        <v>123</v>
      </c>
      <c r="E13" s="77" t="s">
        <v>465</v>
      </c>
      <c r="F13" s="79" t="s">
        <v>461</v>
      </c>
    </row>
    <row r="14" spans="2:6" ht="32.25" thickBot="1">
      <c r="B14" s="635"/>
      <c r="C14" s="636"/>
      <c r="D14" s="219" t="s">
        <v>466</v>
      </c>
      <c r="E14" s="80" t="s">
        <v>467</v>
      </c>
      <c r="F14" s="81" t="s">
        <v>461</v>
      </c>
    </row>
    <row r="15" spans="2:6" ht="49.5" customHeight="1">
      <c r="B15" s="628" t="s">
        <v>468</v>
      </c>
      <c r="C15" s="628"/>
      <c r="D15" s="628"/>
      <c r="E15" s="628"/>
      <c r="F15" s="628"/>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defaultColWidth="9.140625" defaultRowHeight="1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defaultColWidth="9.140625" defaultRowHeight="1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defaultColWidth="11.42578125" defaultRowHeight="15"/>
  <sheetData>
    <row r="2" spans="2:5">
      <c r="B2" t="s">
        <v>216</v>
      </c>
      <c r="E2" t="s">
        <v>209</v>
      </c>
    </row>
    <row r="3" spans="2:5">
      <c r="B3" t="s">
        <v>227</v>
      </c>
      <c r="E3" t="s">
        <v>108</v>
      </c>
    </row>
    <row r="4" spans="2:5">
      <c r="B4" t="s">
        <v>246</v>
      </c>
      <c r="E4" t="s">
        <v>231</v>
      </c>
    </row>
    <row r="5" spans="2:5">
      <c r="B5" t="s">
        <v>125</v>
      </c>
    </row>
    <row r="8" spans="2:5">
      <c r="B8" t="s">
        <v>207</v>
      </c>
    </row>
    <row r="9" spans="2:5">
      <c r="B9" t="s">
        <v>217</v>
      </c>
    </row>
    <row r="10" spans="2:5">
      <c r="B10" t="s">
        <v>228</v>
      </c>
    </row>
    <row r="13" spans="2:5">
      <c r="B13" t="s">
        <v>212</v>
      </c>
    </row>
    <row r="14" spans="2:5">
      <c r="B14" t="s">
        <v>113</v>
      </c>
    </row>
    <row r="15" spans="2:5">
      <c r="B15" t="s">
        <v>234</v>
      </c>
    </row>
    <row r="16" spans="2:5">
      <c r="B16" t="s">
        <v>240</v>
      </c>
    </row>
    <row r="17" spans="2:2">
      <c r="B17" t="s">
        <v>244</v>
      </c>
    </row>
    <row r="18" spans="2:2">
      <c r="B18" t="s">
        <v>248</v>
      </c>
    </row>
    <row r="19" spans="2:2">
      <c r="B19" t="s">
        <v>250</v>
      </c>
    </row>
  </sheetData>
  <sortState xmlns:xlrd2="http://schemas.microsoft.com/office/spreadsheetml/2017/richdata2" ref="B2:B5">
    <sortCondition ref="B2:B5"/>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defaultColWidth="11.42578125" defaultRowHeight="12.75"/>
  <cols>
    <col min="1" max="1" width="32.7109375" style="1" customWidth="1"/>
    <col min="2" max="16384" width="11.42578125" style="1"/>
  </cols>
  <sheetData>
    <row r="3" spans="1:1">
      <c r="A3" s="2" t="s">
        <v>119</v>
      </c>
    </row>
    <row r="4" spans="1:1">
      <c r="A4" s="2" t="s">
        <v>223</v>
      </c>
    </row>
    <row r="5" spans="1:1">
      <c r="A5" s="2" t="s">
        <v>236</v>
      </c>
    </row>
    <row r="6" spans="1:1">
      <c r="A6" s="2" t="s">
        <v>214</v>
      </c>
    </row>
    <row r="7" spans="1:1">
      <c r="A7" s="2" t="s">
        <v>120</v>
      </c>
    </row>
    <row r="8" spans="1:1">
      <c r="A8" s="2" t="s">
        <v>121</v>
      </c>
    </row>
    <row r="9" spans="1:1">
      <c r="A9" s="2" t="s">
        <v>224</v>
      </c>
    </row>
    <row r="10" spans="1:1">
      <c r="A10" s="2" t="s">
        <v>122</v>
      </c>
    </row>
    <row r="11" spans="1:1">
      <c r="A11" s="2" t="s">
        <v>225</v>
      </c>
    </row>
    <row r="12" spans="1:1">
      <c r="A12" s="2" t="s">
        <v>215</v>
      </c>
    </row>
    <row r="13" spans="1:1">
      <c r="A13" s="2" t="s">
        <v>226</v>
      </c>
    </row>
    <row r="14" spans="1:1">
      <c r="A14" s="2" t="s">
        <v>237</v>
      </c>
    </row>
    <row r="16" spans="1:1">
      <c r="A16" s="2" t="s">
        <v>238</v>
      </c>
    </row>
    <row r="17" spans="1:1">
      <c r="A17" s="2" t="s">
        <v>216</v>
      </c>
    </row>
    <row r="18" spans="1:1">
      <c r="A18" s="2" t="s">
        <v>227</v>
      </c>
    </row>
    <row r="20" spans="1:1">
      <c r="A20" s="2" t="s">
        <v>217</v>
      </c>
    </row>
    <row r="21" spans="1:1">
      <c r="A21" s="2" t="s">
        <v>228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9"/>
  <sheetViews>
    <sheetView tabSelected="1" topLeftCell="J13" zoomScale="84" zoomScaleNormal="84" workbookViewId="0">
      <pane xSplit="1" ySplit="2" topLeftCell="K15" activePane="bottomRight" state="frozen"/>
      <selection pane="bottomRight" activeCell="R17" sqref="R17:R18"/>
      <selection pane="bottomLeft"/>
      <selection pane="topRight"/>
    </sheetView>
  </sheetViews>
  <sheetFormatPr defaultColWidth="11.42578125" defaultRowHeight="14.25"/>
  <cols>
    <col min="1" max="1" width="0" style="169" hidden="1" customWidth="1"/>
    <col min="2" max="2" width="4.5703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31" style="170" customWidth="1"/>
    <col min="10" max="10" width="39.85546875" style="170" customWidth="1"/>
    <col min="11" max="11" width="58.28515625" style="169" customWidth="1"/>
    <col min="12" max="12" width="25.5703125" style="171" customWidth="1"/>
    <col min="13" max="13" width="31.85546875" style="171" customWidth="1"/>
    <col min="14" max="14" width="23.85546875" style="171" customWidth="1"/>
    <col min="15" max="15" width="17.5703125" style="169" customWidth="1"/>
    <col min="16" max="16" width="16.42578125" style="169" customWidth="1"/>
    <col min="17" max="17" width="8.85546875" style="169" customWidth="1"/>
    <col min="18" max="18" width="42.5703125" style="169" customWidth="1"/>
    <col min="19" max="19" width="17.42578125" style="169" customWidth="1"/>
    <col min="20" max="20" width="10.5703125" style="169" customWidth="1"/>
    <col min="21" max="21" width="16" style="169" customWidth="1"/>
    <col min="22" max="22" width="5.7109375" style="169" customWidth="1"/>
    <col min="23" max="23" width="84.140625" style="169" customWidth="1"/>
    <col min="24" max="24" width="32.42578125" style="169" customWidth="1"/>
    <col min="25" max="25" width="20.140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0.5703125" style="169" customWidth="1"/>
    <col min="33" max="33" width="13.7109375" style="169" customWidth="1"/>
    <col min="34" max="38" width="16.140625" style="169" customWidth="1"/>
    <col min="39" max="40" width="7.28515625" style="169" customWidth="1"/>
    <col min="41" max="41" width="46.5703125" style="169" customWidth="1"/>
    <col min="42" max="42" width="24.28515625" style="169" customWidth="1"/>
    <col min="43" max="43" width="23.140625" style="169" customWidth="1"/>
    <col min="44" max="46" width="19.7109375" style="169" customWidth="1"/>
    <col min="47" max="47" width="35.5703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5703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73" t="s">
        <v>38</v>
      </c>
      <c r="E2" s="274"/>
      <c r="F2" s="274"/>
      <c r="G2" s="274"/>
      <c r="H2" s="275"/>
      <c r="I2" s="282" t="s">
        <v>39</v>
      </c>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05" t="s">
        <v>8</v>
      </c>
    </row>
    <row r="3" spans="1:82" ht="27.75" customHeight="1">
      <c r="D3" s="276"/>
      <c r="E3" s="277"/>
      <c r="F3" s="277"/>
      <c r="G3" s="277"/>
      <c r="H3" s="278"/>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15" t="s">
        <v>40</v>
      </c>
    </row>
    <row r="4" spans="1:82" ht="27.75" customHeight="1">
      <c r="D4" s="276"/>
      <c r="E4" s="277"/>
      <c r="F4" s="277"/>
      <c r="G4" s="277"/>
      <c r="H4" s="278"/>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06" t="s">
        <v>4</v>
      </c>
    </row>
    <row r="5" spans="1:82" ht="27.75" customHeight="1" thickBot="1">
      <c r="D5" s="279"/>
      <c r="E5" s="280"/>
      <c r="F5" s="280"/>
      <c r="G5" s="280"/>
      <c r="H5" s="281"/>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06" t="s">
        <v>41</v>
      </c>
    </row>
    <row r="6" spans="1:82" ht="13.9"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85" t="s">
        <v>42</v>
      </c>
      <c r="E7" s="286"/>
      <c r="F7" s="286"/>
      <c r="G7" s="287"/>
      <c r="H7" s="283" t="s">
        <v>43</v>
      </c>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285" t="s">
        <v>44</v>
      </c>
      <c r="E8" s="286"/>
      <c r="F8" s="286"/>
      <c r="G8" s="287"/>
      <c r="H8" s="283" t="s">
        <v>45</v>
      </c>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285" t="s">
        <v>46</v>
      </c>
      <c r="E9" s="286"/>
      <c r="F9" s="286"/>
      <c r="G9" s="287"/>
      <c r="H9" s="283" t="s">
        <v>47</v>
      </c>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08"/>
      <c r="AT10" s="208"/>
      <c r="AU10" s="208"/>
      <c r="AV10" s="208"/>
      <c r="AW10" s="208"/>
      <c r="AX10" s="208"/>
      <c r="AY10" s="208"/>
      <c r="AZ10" s="179"/>
      <c r="BA10" s="179"/>
      <c r="BB10" s="179"/>
      <c r="BC10" s="179"/>
      <c r="BD10" s="179"/>
    </row>
    <row r="11" spans="1:82" s="174" customFormat="1" ht="25.5" customHeight="1">
      <c r="A11" s="245" t="s">
        <v>9</v>
      </c>
      <c r="B11" s="245"/>
      <c r="C11" s="246"/>
      <c r="D11" s="269" t="s">
        <v>48</v>
      </c>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1"/>
      <c r="AS11" s="272" t="s">
        <v>49</v>
      </c>
      <c r="AT11" s="272"/>
      <c r="AU11" s="272"/>
      <c r="AV11" s="272"/>
      <c r="AW11" s="272"/>
      <c r="AX11" s="272"/>
      <c r="AY11" s="272"/>
      <c r="AZ11" s="289" t="s">
        <v>50</v>
      </c>
      <c r="BA11" s="290"/>
      <c r="BB11" s="290"/>
      <c r="BC11" s="263" t="s">
        <v>51</v>
      </c>
      <c r="BD11" s="264"/>
    </row>
    <row r="12" spans="1:82" ht="27" customHeight="1">
      <c r="D12" s="252" t="s">
        <v>52</v>
      </c>
      <c r="E12" s="252"/>
      <c r="F12" s="252"/>
      <c r="G12" s="252"/>
      <c r="H12" s="252"/>
      <c r="I12" s="248"/>
      <c r="J12" s="637"/>
      <c r="K12" s="637"/>
      <c r="L12" s="637"/>
      <c r="M12" s="637"/>
      <c r="N12" s="637"/>
      <c r="O12" s="637"/>
      <c r="P12" s="637" t="s">
        <v>53</v>
      </c>
      <c r="Q12" s="637"/>
      <c r="R12" s="637"/>
      <c r="S12" s="637"/>
      <c r="T12" s="637"/>
      <c r="U12" s="637"/>
      <c r="V12" s="637" t="s">
        <v>54</v>
      </c>
      <c r="W12" s="637"/>
      <c r="X12" s="637"/>
      <c r="Y12" s="637"/>
      <c r="Z12" s="637"/>
      <c r="AA12" s="637"/>
      <c r="AB12" s="637"/>
      <c r="AC12" s="637"/>
      <c r="AD12" s="637"/>
      <c r="AE12" s="637"/>
      <c r="AF12" s="638" t="s">
        <v>55</v>
      </c>
      <c r="AG12" s="637" t="s">
        <v>56</v>
      </c>
      <c r="AH12" s="637"/>
      <c r="AI12" s="637"/>
      <c r="AJ12" s="637"/>
      <c r="AK12" s="637"/>
      <c r="AL12" s="637"/>
      <c r="AM12" s="637"/>
      <c r="AN12" s="639"/>
      <c r="AO12" s="640" t="s">
        <v>57</v>
      </c>
      <c r="AP12" s="641"/>
      <c r="AQ12" s="641"/>
      <c r="AR12" s="641"/>
      <c r="AS12" s="272"/>
      <c r="AT12" s="272"/>
      <c r="AU12" s="272"/>
      <c r="AV12" s="272"/>
      <c r="AW12" s="272"/>
      <c r="AX12" s="272"/>
      <c r="AY12" s="272"/>
      <c r="AZ12" s="289"/>
      <c r="BA12" s="290"/>
      <c r="BB12" s="290"/>
      <c r="BC12" s="265"/>
      <c r="BD12" s="266"/>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88" t="s">
        <v>58</v>
      </c>
      <c r="E13" s="251" t="s">
        <v>59</v>
      </c>
      <c r="F13" s="247" t="s">
        <v>60</v>
      </c>
      <c r="G13" s="249" t="s">
        <v>61</v>
      </c>
      <c r="H13" s="252" t="s">
        <v>62</v>
      </c>
      <c r="I13" s="251" t="s">
        <v>63</v>
      </c>
      <c r="J13" s="642" t="s">
        <v>64</v>
      </c>
      <c r="K13" s="642" t="s">
        <v>65</v>
      </c>
      <c r="L13" s="643" t="s">
        <v>66</v>
      </c>
      <c r="M13" s="644" t="s">
        <v>67</v>
      </c>
      <c r="N13" s="645"/>
      <c r="O13" s="642" t="s">
        <v>68</v>
      </c>
      <c r="P13" s="642" t="s">
        <v>69</v>
      </c>
      <c r="Q13" s="646" t="s">
        <v>70</v>
      </c>
      <c r="R13" s="642" t="s">
        <v>71</v>
      </c>
      <c r="S13" s="642" t="s">
        <v>72</v>
      </c>
      <c r="T13" s="646" t="s">
        <v>70</v>
      </c>
      <c r="U13" s="642" t="s">
        <v>73</v>
      </c>
      <c r="V13" s="647" t="s">
        <v>74</v>
      </c>
      <c r="W13" s="642" t="s">
        <v>75</v>
      </c>
      <c r="X13" s="642" t="s">
        <v>76</v>
      </c>
      <c r="Y13" s="642" t="s">
        <v>77</v>
      </c>
      <c r="Z13" s="642" t="s">
        <v>78</v>
      </c>
      <c r="AA13" s="642"/>
      <c r="AB13" s="642"/>
      <c r="AC13" s="642"/>
      <c r="AD13" s="642"/>
      <c r="AE13" s="642"/>
      <c r="AF13" s="648"/>
      <c r="AG13" s="647" t="s">
        <v>79</v>
      </c>
      <c r="AH13" s="647" t="s">
        <v>80</v>
      </c>
      <c r="AI13" s="647" t="s">
        <v>70</v>
      </c>
      <c r="AJ13" s="647" t="s">
        <v>81</v>
      </c>
      <c r="AK13" s="647" t="s">
        <v>70</v>
      </c>
      <c r="AL13" s="647" t="s">
        <v>82</v>
      </c>
      <c r="AM13" s="647" t="s">
        <v>83</v>
      </c>
      <c r="AN13" s="647" t="s">
        <v>84</v>
      </c>
      <c r="AO13" s="642" t="s">
        <v>85</v>
      </c>
      <c r="AP13" s="642" t="s">
        <v>86</v>
      </c>
      <c r="AQ13" s="642" t="s">
        <v>87</v>
      </c>
      <c r="AR13" s="643" t="s">
        <v>88</v>
      </c>
      <c r="AS13" s="267" t="s">
        <v>89</v>
      </c>
      <c r="AT13" s="267" t="s">
        <v>90</v>
      </c>
      <c r="AU13" s="267" t="s">
        <v>91</v>
      </c>
      <c r="AV13" s="267" t="s">
        <v>92</v>
      </c>
      <c r="AW13" s="267" t="s">
        <v>93</v>
      </c>
      <c r="AX13" s="267" t="s">
        <v>94</v>
      </c>
      <c r="AY13" s="267" t="s">
        <v>95</v>
      </c>
      <c r="AZ13" s="251" t="s">
        <v>96</v>
      </c>
      <c r="BA13" s="251" t="s">
        <v>97</v>
      </c>
      <c r="BB13" s="251" t="s">
        <v>98</v>
      </c>
      <c r="BC13" s="267" t="s">
        <v>96</v>
      </c>
      <c r="BD13" s="267" t="s">
        <v>99</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50.25" customHeight="1">
      <c r="A14" s="180"/>
      <c r="B14" s="180"/>
      <c r="C14" s="180"/>
      <c r="D14" s="288"/>
      <c r="E14" s="251"/>
      <c r="F14" s="248"/>
      <c r="G14" s="250"/>
      <c r="H14" s="252"/>
      <c r="I14" s="251"/>
      <c r="J14" s="642"/>
      <c r="K14" s="646"/>
      <c r="L14" s="649"/>
      <c r="M14" s="650" t="s">
        <v>100</v>
      </c>
      <c r="N14" s="650" t="s">
        <v>101</v>
      </c>
      <c r="O14" s="642"/>
      <c r="P14" s="642"/>
      <c r="Q14" s="646"/>
      <c r="R14" s="642"/>
      <c r="S14" s="646"/>
      <c r="T14" s="646"/>
      <c r="U14" s="642"/>
      <c r="V14" s="647"/>
      <c r="W14" s="643"/>
      <c r="X14" s="643"/>
      <c r="Y14" s="642"/>
      <c r="Z14" s="651" t="s">
        <v>102</v>
      </c>
      <c r="AA14" s="651" t="s">
        <v>103</v>
      </c>
      <c r="AB14" s="651" t="s">
        <v>104</v>
      </c>
      <c r="AC14" s="651" t="s">
        <v>55</v>
      </c>
      <c r="AD14" s="651" t="s">
        <v>105</v>
      </c>
      <c r="AE14" s="651" t="s">
        <v>106</v>
      </c>
      <c r="AF14" s="652"/>
      <c r="AG14" s="647"/>
      <c r="AH14" s="647"/>
      <c r="AI14" s="647"/>
      <c r="AJ14" s="647"/>
      <c r="AK14" s="647"/>
      <c r="AL14" s="647"/>
      <c r="AM14" s="647"/>
      <c r="AN14" s="647"/>
      <c r="AO14" s="642"/>
      <c r="AP14" s="642"/>
      <c r="AQ14" s="642"/>
      <c r="AR14" s="649"/>
      <c r="AS14" s="268"/>
      <c r="AT14" s="268"/>
      <c r="AU14" s="268"/>
      <c r="AV14" s="268"/>
      <c r="AW14" s="268"/>
      <c r="AX14" s="268"/>
      <c r="AY14" s="268"/>
      <c r="AZ14" s="249"/>
      <c r="BA14" s="249"/>
      <c r="BB14" s="249"/>
      <c r="BC14" s="268"/>
      <c r="BD14" s="268"/>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91" customFormat="1" ht="148.5" customHeight="1">
      <c r="D15" s="255">
        <v>1</v>
      </c>
      <c r="E15" s="257" t="s">
        <v>107</v>
      </c>
      <c r="F15" s="257" t="s">
        <v>108</v>
      </c>
      <c r="G15" s="257"/>
      <c r="H15" s="257" t="s">
        <v>109</v>
      </c>
      <c r="I15" s="253" t="s">
        <v>110</v>
      </c>
      <c r="J15" s="307" t="s">
        <v>111</v>
      </c>
      <c r="K15" s="307" t="s">
        <v>112</v>
      </c>
      <c r="L15" s="307" t="s">
        <v>113</v>
      </c>
      <c r="M15" s="307" t="s">
        <v>114</v>
      </c>
      <c r="N15" s="307" t="s">
        <v>115</v>
      </c>
      <c r="O15" s="307">
        <v>170</v>
      </c>
      <c r="P15" s="653" t="str">
        <f>IF(O15&lt;=0,"",IF(O15&lt;=2,"Muy Baja",IF(O15&lt;=24,"Baja",IF(O15&lt;=500,"Media",IF(O15&lt;=5000,"Alta","Muy Alta")))))</f>
        <v>Media</v>
      </c>
      <c r="Q15" s="654">
        <f>IF(P15="","",IF(P15="Muy Baja",0.2,IF(P15="Baja",0.4,IF(P15="Media",0.6,IF(P15="Alta",0.8,IF(P15="Muy Alta",1,))))))</f>
        <v>0.6</v>
      </c>
      <c r="R15" s="655" t="s">
        <v>116</v>
      </c>
      <c r="S15" s="653" t="str">
        <f>IFERROR(VLOOKUP(R15,Criterios[],2,FALSE),"")</f>
        <v>Moderado</v>
      </c>
      <c r="T15" s="654">
        <f t="shared" ref="T15" si="0">IF(S15="","",IF(S15="Leve",0.2,IF(S15="Menor",0.4,IF(S15="Moderado",0.6,IF(S15="Mayor",0.8,IF(S15="Catastrófico",1,))))))</f>
        <v>0.6</v>
      </c>
      <c r="U15" s="653"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656">
        <v>1</v>
      </c>
      <c r="W15" s="229" t="s">
        <v>117</v>
      </c>
      <c r="X15" s="229" t="s">
        <v>118</v>
      </c>
      <c r="Y15" s="657" t="str">
        <f t="shared" ref="Y15:Y32" si="1">IF(OR(Z15="Preventivo",Z15="Detectivo"),"Probabilidad",IF(Z15="Correctivo","Impacto",""))</f>
        <v>Probabilidad</v>
      </c>
      <c r="Z15" s="658" t="s">
        <v>119</v>
      </c>
      <c r="AA15" s="658" t="s">
        <v>120</v>
      </c>
      <c r="AB15" s="659" t="str">
        <f t="shared" ref="AB15:AB32" si="2">IF(AND(Z15="Preventivo",AA15="Automático"),"50%",IF(AND(Z15="Preventivo",AA15="Manual"),"40%",IF(AND(Z15="Detectivo",AA15="Automático"),"40%",IF(AND(Z15="Detectivo",AA15="Manual"),"30%",IF(AND(Z15="Correctivo",AA15="Automático"),"35%",IF(AND(Z15="Correctivo",AA15="Manual"),"25%",""))))))</f>
        <v>40%</v>
      </c>
      <c r="AC15" s="658" t="s">
        <v>121</v>
      </c>
      <c r="AD15" s="658" t="s">
        <v>122</v>
      </c>
      <c r="AE15" s="658" t="s">
        <v>123</v>
      </c>
      <c r="AF15" s="660" t="s">
        <v>124</v>
      </c>
      <c r="AG15" s="661">
        <f>IFERROR(IF(Y15="Probabilidad",(Q15-(+ Q15*AB15)),IF(Y15="Impacto",Q15,"")),"")</f>
        <v>0.36</v>
      </c>
      <c r="AH15" s="662" t="str">
        <f>IFERROR(IF(AG15="","",IF(AG15&lt;=0.2,"Muy Baja",IF(AG15&lt;=0.4,"Baja",IF(AG15&lt;=0.6,"Media",IF(AG15&lt;=0.8,"Alta","Muy Alta"))))),"")</f>
        <v>Baja</v>
      </c>
      <c r="AI15" s="659">
        <f>+AG15</f>
        <v>0.36</v>
      </c>
      <c r="AJ15" s="662" t="str">
        <f>IFERROR(IF(AK15="","",IF(AK15&lt;=0.2,"Leve",IF(AK15&lt;=0.4,"Menor",IF(AK15&lt;=0.6,"Moderado",IF(AK15&lt;=0.8,"Mayor","Catastrófico"))))),"")</f>
        <v>Moderado</v>
      </c>
      <c r="AK15" s="659">
        <f>IFERROR(IF(Y15="Impacto",(T15-(+T15*AB15)),IF(Y15="Probabilidad",T15,"")),"")</f>
        <v>0.6</v>
      </c>
      <c r="AL15" s="66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663" t="s">
        <v>125</v>
      </c>
      <c r="AN15" s="664">
        <v>1</v>
      </c>
      <c r="AO15" s="307" t="s">
        <v>126</v>
      </c>
      <c r="AP15" s="665" t="s">
        <v>127</v>
      </c>
      <c r="AQ15" s="665" t="s">
        <v>128</v>
      </c>
      <c r="AR15" s="665">
        <v>46372</v>
      </c>
      <c r="AS15" s="318"/>
      <c r="AT15" s="214"/>
      <c r="AU15" s="214"/>
      <c r="AV15" s="214"/>
      <c r="AW15" s="214"/>
      <c r="AX15" s="214"/>
      <c r="AY15" s="214"/>
      <c r="AZ15" s="312"/>
      <c r="BA15" s="212"/>
      <c r="BB15" s="230"/>
      <c r="BC15" s="315"/>
      <c r="BD15" s="210"/>
      <c r="BE15" s="231"/>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row>
    <row r="16" spans="1:82" s="191" customFormat="1" ht="18.75" customHeight="1">
      <c r="D16" s="256"/>
      <c r="E16" s="258"/>
      <c r="F16" s="258"/>
      <c r="G16" s="258"/>
      <c r="H16" s="258"/>
      <c r="I16" s="254"/>
      <c r="J16" s="666"/>
      <c r="K16" s="666"/>
      <c r="L16" s="666"/>
      <c r="M16" s="666"/>
      <c r="N16" s="666"/>
      <c r="O16" s="666"/>
      <c r="P16" s="667"/>
      <c r="Q16" s="668"/>
      <c r="R16" s="669"/>
      <c r="S16" s="667"/>
      <c r="T16" s="668"/>
      <c r="U16" s="667"/>
      <c r="V16" s="670">
        <v>2</v>
      </c>
      <c r="W16" s="671"/>
      <c r="X16" s="672"/>
      <c r="Y16" s="673" t="str">
        <f t="shared" si="1"/>
        <v/>
      </c>
      <c r="Z16" s="658"/>
      <c r="AA16" s="658"/>
      <c r="AB16" s="659" t="str">
        <f t="shared" si="2"/>
        <v/>
      </c>
      <c r="AC16" s="658"/>
      <c r="AD16" s="658"/>
      <c r="AE16" s="658"/>
      <c r="AF16" s="660"/>
      <c r="AG16" s="661" t="str">
        <f>IFERROR(IF(Y16="Probabilidad",(Q15-(+ Q16*AB16)),IF(Y16="Impacto",Q16,"")),"")</f>
        <v/>
      </c>
      <c r="AH16" s="662" t="str">
        <f t="shared" ref="AH16:AH32" si="3">IFERROR(IF(AG16="","",IF(AG16&lt;=0.2,"Muy Baja",IF(AG16&lt;=0.4,"Baja",IF(AG16&lt;=0.6,"Media",IF(AG16&lt;=0.8,"Alta","Muy Alta"))))),"")</f>
        <v/>
      </c>
      <c r="AI16" s="659" t="str">
        <f t="shared" ref="AI16:AI32" si="4">+AG16</f>
        <v/>
      </c>
      <c r="AJ16" s="662" t="str">
        <f t="shared" ref="AJ16:AJ32" si="5">IFERROR(IF(AK16="","",IF(AK16&lt;=0.2,"Leve",IF(AK16&lt;=0.4,"Menor",IF(AK16&lt;=0.6,"Moderado",IF(AK16&lt;=0.8,"Mayor","Catastrófico"))))),"")</f>
        <v/>
      </c>
      <c r="AK16" s="659" t="str">
        <f>IFERROR(IF(Y16="Impacto",(T16-(+T16*AB16)),IF(Y16="Probabilidad",T15,"")),"")</f>
        <v/>
      </c>
      <c r="AL16" s="662" t="str">
        <f t="shared" ref="AL16:AL32" si="6">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674"/>
      <c r="AN16" s="670">
        <v>2</v>
      </c>
      <c r="AO16" s="666"/>
      <c r="AP16" s="675"/>
      <c r="AQ16" s="675"/>
      <c r="AR16" s="675"/>
      <c r="AS16" s="319"/>
      <c r="AT16" s="214"/>
      <c r="AU16" s="214"/>
      <c r="AV16" s="214"/>
      <c r="AW16" s="214"/>
      <c r="AX16" s="214"/>
      <c r="AY16" s="214"/>
      <c r="AZ16" s="313"/>
      <c r="BA16" s="212"/>
      <c r="BB16" s="233"/>
      <c r="BC16" s="316"/>
      <c r="BD16" s="210"/>
      <c r="BE16" s="234"/>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row>
    <row r="17" spans="4:82" s="191" customFormat="1" ht="193.5" customHeight="1">
      <c r="D17" s="255">
        <v>2</v>
      </c>
      <c r="E17" s="257" t="s">
        <v>129</v>
      </c>
      <c r="F17" s="257" t="s">
        <v>108</v>
      </c>
      <c r="G17" s="257"/>
      <c r="H17" s="257" t="s">
        <v>130</v>
      </c>
      <c r="I17" s="307" t="s">
        <v>131</v>
      </c>
      <c r="J17" s="307" t="s">
        <v>132</v>
      </c>
      <c r="K17" s="307" t="s">
        <v>133</v>
      </c>
      <c r="L17" s="307" t="s">
        <v>113</v>
      </c>
      <c r="M17" s="307" t="s">
        <v>114</v>
      </c>
      <c r="N17" s="307" t="s">
        <v>134</v>
      </c>
      <c r="O17" s="307">
        <v>80</v>
      </c>
      <c r="P17" s="653" t="str">
        <f>IF(O17&lt;=0,"",IF(O17&lt;=2,"Muy Baja",IF(O17&lt;=24,"Baja",IF(O17&lt;=500,"Media",IF(O17&lt;=5000,"Alta","Muy Alta")))))</f>
        <v>Media</v>
      </c>
      <c r="Q17" s="654">
        <f t="shared" ref="Q17" si="7">IF(P17="","",IF(P17="Muy Baja",0.2,IF(P17="Baja",0.4,IF(P17="Media",0.6,IF(P17="Alta",0.8,IF(P17="Muy Alta",1,))))))</f>
        <v>0.6</v>
      </c>
      <c r="R17" s="655" t="s">
        <v>135</v>
      </c>
      <c r="S17" s="653" t="str">
        <f>IFERROR(VLOOKUP(R17,Criterios[],2,FALSE),"")</f>
        <v>Moderado</v>
      </c>
      <c r="T17" s="654">
        <f t="shared" ref="T17" si="8">IF(S17="","",IF(S17="Leve",0.2,IF(S17="Menor",0.4,IF(S17="Moderado",0.6,IF(S17="Mayor",0.8,IF(S17="Catastrófico",1,))))))</f>
        <v>0.6</v>
      </c>
      <c r="U17" s="653"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664">
        <v>1</v>
      </c>
      <c r="W17" s="235" t="s">
        <v>136</v>
      </c>
      <c r="X17" s="676" t="s">
        <v>137</v>
      </c>
      <c r="Y17" s="673" t="str">
        <f t="shared" si="1"/>
        <v>Probabilidad</v>
      </c>
      <c r="Z17" s="658" t="s">
        <v>119</v>
      </c>
      <c r="AA17" s="658" t="s">
        <v>120</v>
      </c>
      <c r="AB17" s="659" t="str">
        <f t="shared" si="2"/>
        <v>40%</v>
      </c>
      <c r="AC17" s="658" t="s">
        <v>121</v>
      </c>
      <c r="AD17" s="658" t="s">
        <v>122</v>
      </c>
      <c r="AE17" s="658" t="s">
        <v>123</v>
      </c>
      <c r="AF17" s="660" t="s">
        <v>138</v>
      </c>
      <c r="AG17" s="661">
        <f>IFERROR(IF(Y17="Probabilidad",(Q17-(+ Q17*AB17)),IF(Y17="Impacto",Q17,"")),"")</f>
        <v>0.36</v>
      </c>
      <c r="AH17" s="662" t="str">
        <f t="shared" si="3"/>
        <v>Baja</v>
      </c>
      <c r="AI17" s="659">
        <f t="shared" si="4"/>
        <v>0.36</v>
      </c>
      <c r="AJ17" s="662" t="str">
        <f t="shared" si="5"/>
        <v>Moderado</v>
      </c>
      <c r="AK17" s="659">
        <f>IFERROR(IF(Y17="Impacto",(T117-(+T17*AB17)),IF(Y17="Probabilidad",T17,"")),"")</f>
        <v>0.6</v>
      </c>
      <c r="AL17" s="662" t="str">
        <f t="shared" si="6"/>
        <v>Moderado</v>
      </c>
      <c r="AM17" s="663" t="s">
        <v>125</v>
      </c>
      <c r="AN17" s="664">
        <v>1</v>
      </c>
      <c r="AO17" s="307" t="s">
        <v>139</v>
      </c>
      <c r="AP17" s="665" t="s">
        <v>140</v>
      </c>
      <c r="AQ17" s="665"/>
      <c r="AR17" s="665">
        <v>46372</v>
      </c>
      <c r="AS17" s="319"/>
      <c r="AT17" s="214"/>
      <c r="AU17" s="214"/>
      <c r="AV17" s="214"/>
      <c r="AW17" s="214"/>
      <c r="AX17" s="214"/>
      <c r="AY17" s="214"/>
      <c r="AZ17" s="313"/>
      <c r="BA17" s="212"/>
      <c r="BB17" s="233"/>
      <c r="BC17" s="316"/>
      <c r="BD17" s="210"/>
      <c r="BE17" s="198"/>
      <c r="BF17" s="234"/>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row>
    <row r="18" spans="4:82" s="191" customFormat="1" ht="39.75" customHeight="1">
      <c r="D18" s="256"/>
      <c r="E18" s="258"/>
      <c r="F18" s="258"/>
      <c r="G18" s="258"/>
      <c r="H18" s="258"/>
      <c r="I18" s="254"/>
      <c r="J18" s="666"/>
      <c r="K18" s="666"/>
      <c r="L18" s="666"/>
      <c r="M18" s="666"/>
      <c r="N18" s="666"/>
      <c r="O18" s="666"/>
      <c r="P18" s="667"/>
      <c r="Q18" s="668"/>
      <c r="R18" s="669"/>
      <c r="S18" s="667"/>
      <c r="T18" s="668"/>
      <c r="U18" s="667"/>
      <c r="V18" s="670">
        <v>2</v>
      </c>
      <c r="W18" s="677"/>
      <c r="X18" s="676"/>
      <c r="Y18" s="673" t="str">
        <f t="shared" si="1"/>
        <v/>
      </c>
      <c r="Z18" s="658"/>
      <c r="AA18" s="658"/>
      <c r="AB18" s="659" t="str">
        <f t="shared" si="2"/>
        <v/>
      </c>
      <c r="AC18" s="658"/>
      <c r="AD18" s="658"/>
      <c r="AE18" s="658"/>
      <c r="AF18" s="660"/>
      <c r="AG18" s="661" t="str">
        <f>IFERROR(IF(Y18="Probabilidad",(Q17-(+ Q18*AB18)),IF(Y18="Impacto",Q18,"")),"")</f>
        <v/>
      </c>
      <c r="AH18" s="662" t="str">
        <f t="shared" si="3"/>
        <v/>
      </c>
      <c r="AI18" s="659" t="str">
        <f t="shared" si="4"/>
        <v/>
      </c>
      <c r="AJ18" s="662" t="str">
        <f t="shared" si="5"/>
        <v/>
      </c>
      <c r="AK18" s="659" t="str">
        <f>IFERROR(IF(Y18="Impacto",(T18-(+T18*AB18)),IF(Y18="Probabilidad",T17,"")),"")</f>
        <v/>
      </c>
      <c r="AL18" s="662" t="str">
        <f t="shared" si="6"/>
        <v/>
      </c>
      <c r="AM18" s="674"/>
      <c r="AN18" s="670">
        <v>2</v>
      </c>
      <c r="AO18" s="666"/>
      <c r="AP18" s="675"/>
      <c r="AQ18" s="675"/>
      <c r="AR18" s="675"/>
      <c r="AS18" s="319"/>
      <c r="AT18" s="214"/>
      <c r="AU18" s="214"/>
      <c r="AV18" s="214"/>
      <c r="AW18" s="214"/>
      <c r="AX18" s="214"/>
      <c r="AY18" s="214"/>
      <c r="AZ18" s="313"/>
      <c r="BA18" s="212"/>
      <c r="BB18" s="233"/>
      <c r="BC18" s="316"/>
      <c r="BD18" s="210"/>
      <c r="BE18" s="198"/>
      <c r="BF18" s="234"/>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row>
    <row r="19" spans="4:82" s="227" customFormat="1" ht="80.25" customHeight="1">
      <c r="D19" s="299">
        <v>3</v>
      </c>
      <c r="E19" s="259" t="s">
        <v>129</v>
      </c>
      <c r="F19" s="259" t="s">
        <v>108</v>
      </c>
      <c r="G19" s="259"/>
      <c r="H19" s="259" t="s">
        <v>109</v>
      </c>
      <c r="I19" s="293" t="s">
        <v>141</v>
      </c>
      <c r="J19" s="307" t="s">
        <v>142</v>
      </c>
      <c r="K19" s="307" t="s">
        <v>143</v>
      </c>
      <c r="L19" s="307" t="s">
        <v>113</v>
      </c>
      <c r="M19" s="307" t="s">
        <v>114</v>
      </c>
      <c r="N19" s="307" t="s">
        <v>134</v>
      </c>
      <c r="O19" s="307">
        <v>1</v>
      </c>
      <c r="P19" s="653" t="str">
        <f>IF(O19&lt;=0,"",IF(O19&lt;=2,"Muy Baja",IF(O19&lt;=24,"Baja",IF(O19&lt;=500,"Media",IF(O19&lt;=5000,"Alta","Muy Alta")))))</f>
        <v>Muy Baja</v>
      </c>
      <c r="Q19" s="654">
        <f t="shared" ref="Q19" si="9">IF(P19="","",IF(P19="Muy Baja",0.2,IF(P19="Baja",0.4,IF(P19="Media",0.6,IF(P19="Alta",0.8,IF(P19="Muy Alta",1,))))))</f>
        <v>0.2</v>
      </c>
      <c r="R19" s="655" t="s">
        <v>135</v>
      </c>
      <c r="S19" s="653" t="str">
        <f>IFERROR(VLOOKUP(R19,Criterios[],2,FALSE),"")</f>
        <v>Moderado</v>
      </c>
      <c r="T19" s="654">
        <f t="shared" ref="T19" si="10">IF(S19="","",IF(S19="Leve",0.2,IF(S19="Menor",0.4,IF(S19="Moderado",0.6,IF(S19="Mayor",0.8,IF(S19="Catastrófico",1,))))))</f>
        <v>0.6</v>
      </c>
      <c r="U19" s="653"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664">
        <v>1</v>
      </c>
      <c r="W19" s="677" t="s">
        <v>144</v>
      </c>
      <c r="X19" s="676" t="s">
        <v>145</v>
      </c>
      <c r="Y19" s="673" t="str">
        <f t="shared" si="1"/>
        <v>Probabilidad</v>
      </c>
      <c r="Z19" s="658" t="s">
        <v>119</v>
      </c>
      <c r="AA19" s="658" t="s">
        <v>120</v>
      </c>
      <c r="AB19" s="659" t="str">
        <f t="shared" si="2"/>
        <v>40%</v>
      </c>
      <c r="AC19" s="658" t="s">
        <v>121</v>
      </c>
      <c r="AD19" s="658" t="s">
        <v>122</v>
      </c>
      <c r="AE19" s="658" t="s">
        <v>123</v>
      </c>
      <c r="AF19" s="660" t="s">
        <v>146</v>
      </c>
      <c r="AG19" s="661">
        <f>IFERROR(IF(Y19="Probabilidad",(Q19-(+ Q19*AB19)),IF(Y19="Impacto",Q19,"")),"")</f>
        <v>0.12</v>
      </c>
      <c r="AH19" s="662" t="str">
        <f t="shared" si="3"/>
        <v>Muy Baja</v>
      </c>
      <c r="AI19" s="659">
        <f t="shared" si="4"/>
        <v>0.12</v>
      </c>
      <c r="AJ19" s="662" t="str">
        <f t="shared" si="5"/>
        <v>Moderado</v>
      </c>
      <c r="AK19" s="659">
        <f>IFERROR(IF(Y19="Impacto",(T19-(+T19*AB19)),IF(Y19="Probabilidad",T19,"")),"")</f>
        <v>0.6</v>
      </c>
      <c r="AL19" s="662" t="str">
        <f t="shared" si="6"/>
        <v>Moderado</v>
      </c>
      <c r="AM19" s="663" t="s">
        <v>125</v>
      </c>
      <c r="AN19" s="664">
        <v>1</v>
      </c>
      <c r="AO19" s="307" t="s">
        <v>147</v>
      </c>
      <c r="AP19" s="665" t="s">
        <v>148</v>
      </c>
      <c r="AQ19" s="665"/>
      <c r="AR19" s="665">
        <v>46372</v>
      </c>
      <c r="AS19" s="319"/>
      <c r="AT19" s="223"/>
      <c r="AU19" s="223"/>
      <c r="AV19" s="223"/>
      <c r="AW19" s="223"/>
      <c r="AX19" s="223"/>
      <c r="AY19" s="223"/>
      <c r="AZ19" s="313"/>
      <c r="BA19" s="224"/>
      <c r="BB19" s="238"/>
      <c r="BC19" s="316"/>
      <c r="BD19" s="225"/>
      <c r="BE19" s="226"/>
      <c r="BF19" s="239"/>
      <c r="BG19" s="226"/>
      <c r="BH19" s="226"/>
      <c r="BI19" s="226"/>
      <c r="BJ19" s="226"/>
      <c r="BK19" s="226"/>
      <c r="BL19" s="226"/>
      <c r="BM19" s="226"/>
      <c r="BN19" s="226"/>
      <c r="BO19" s="226"/>
      <c r="BP19" s="226"/>
      <c r="BQ19" s="226"/>
      <c r="BR19" s="226"/>
      <c r="BS19" s="226"/>
      <c r="BT19" s="226"/>
      <c r="BU19" s="226"/>
      <c r="BV19" s="226"/>
      <c r="BW19" s="226"/>
      <c r="BX19" s="226"/>
      <c r="BY19" s="226"/>
      <c r="BZ19" s="226"/>
      <c r="CA19" s="226"/>
      <c r="CB19" s="226"/>
      <c r="CC19" s="226"/>
      <c r="CD19" s="226"/>
    </row>
    <row r="20" spans="4:82" s="227" customFormat="1" ht="39.75" customHeight="1">
      <c r="D20" s="300"/>
      <c r="E20" s="260"/>
      <c r="F20" s="260"/>
      <c r="G20" s="260"/>
      <c r="H20" s="260"/>
      <c r="I20" s="294" t="s">
        <v>149</v>
      </c>
      <c r="J20" s="666"/>
      <c r="K20" s="666"/>
      <c r="L20" s="666"/>
      <c r="M20" s="666" t="s">
        <v>134</v>
      </c>
      <c r="N20" s="666" t="s">
        <v>134</v>
      </c>
      <c r="O20" s="666"/>
      <c r="P20" s="667"/>
      <c r="Q20" s="668"/>
      <c r="R20" s="669"/>
      <c r="S20" s="667"/>
      <c r="T20" s="668"/>
      <c r="U20" s="667"/>
      <c r="V20" s="670">
        <v>2</v>
      </c>
      <c r="W20" s="677"/>
      <c r="X20" s="676"/>
      <c r="Y20" s="673" t="str">
        <f t="shared" si="1"/>
        <v/>
      </c>
      <c r="Z20" s="658"/>
      <c r="AA20" s="658"/>
      <c r="AB20" s="659" t="str">
        <f t="shared" si="2"/>
        <v/>
      </c>
      <c r="AC20" s="658"/>
      <c r="AD20" s="658"/>
      <c r="AE20" s="658"/>
      <c r="AF20" s="660"/>
      <c r="AG20" s="661" t="str">
        <f>IFERROR(IF(Y20="Probabilidad",(Q19-(+ Q20*AB20)),IF(Y20="Impacto",Q20,"")),"")</f>
        <v/>
      </c>
      <c r="AH20" s="662" t="str">
        <f t="shared" si="3"/>
        <v/>
      </c>
      <c r="AI20" s="659" t="str">
        <f t="shared" si="4"/>
        <v/>
      </c>
      <c r="AJ20" s="662" t="str">
        <f t="shared" si="5"/>
        <v/>
      </c>
      <c r="AK20" s="659" t="str">
        <f t="shared" ref="AK20:AK32" si="11">IFERROR(IF(Y20="Impacto",(T19-(+T19*AB20)),IF(Y20="Probabilidad",T19,"")),"")</f>
        <v/>
      </c>
      <c r="AL20" s="662" t="str">
        <f t="shared" si="6"/>
        <v/>
      </c>
      <c r="AM20" s="674"/>
      <c r="AN20" s="670">
        <v>2</v>
      </c>
      <c r="AO20" s="666"/>
      <c r="AP20" s="675"/>
      <c r="AQ20" s="675"/>
      <c r="AR20" s="675"/>
      <c r="AS20" s="319"/>
      <c r="AT20" s="223"/>
      <c r="AU20" s="223"/>
      <c r="AV20" s="223"/>
      <c r="AW20" s="223"/>
      <c r="AX20" s="223"/>
      <c r="AY20" s="223"/>
      <c r="AZ20" s="313"/>
      <c r="BA20" s="224"/>
      <c r="BB20" s="238"/>
      <c r="BC20" s="316"/>
      <c r="BD20" s="225"/>
      <c r="BE20" s="239"/>
      <c r="BF20" s="226"/>
      <c r="BG20" s="226"/>
      <c r="BH20" s="226"/>
      <c r="BI20" s="226"/>
      <c r="BJ20" s="226"/>
      <c r="BK20" s="226"/>
      <c r="BL20" s="226"/>
      <c r="BM20" s="226"/>
      <c r="BN20" s="226"/>
      <c r="BO20" s="226"/>
      <c r="BP20" s="226"/>
      <c r="BQ20" s="226"/>
      <c r="BR20" s="226"/>
      <c r="BS20" s="226"/>
      <c r="BT20" s="226"/>
      <c r="BU20" s="226"/>
      <c r="BV20" s="226"/>
      <c r="BW20" s="226"/>
      <c r="BX20" s="226"/>
      <c r="BY20" s="226"/>
      <c r="BZ20" s="226"/>
      <c r="CA20" s="226"/>
      <c r="CB20" s="226"/>
      <c r="CC20" s="226"/>
      <c r="CD20" s="226"/>
    </row>
    <row r="21" spans="4:82" s="227" customFormat="1" ht="149.25" customHeight="1">
      <c r="D21" s="299">
        <v>4</v>
      </c>
      <c r="E21" s="259" t="s">
        <v>129</v>
      </c>
      <c r="F21" s="259" t="s">
        <v>108</v>
      </c>
      <c r="G21" s="259"/>
      <c r="H21" s="259" t="s">
        <v>109</v>
      </c>
      <c r="I21" s="293" t="s">
        <v>150</v>
      </c>
      <c r="J21" s="307" t="s">
        <v>151</v>
      </c>
      <c r="K21" s="307" t="s">
        <v>152</v>
      </c>
      <c r="L21" s="307" t="s">
        <v>113</v>
      </c>
      <c r="M21" s="307" t="s">
        <v>114</v>
      </c>
      <c r="N21" s="307" t="s">
        <v>134</v>
      </c>
      <c r="O21" s="307">
        <v>18</v>
      </c>
      <c r="P21" s="653" t="str">
        <f>IF(O21&lt;=0,"",IF(O21&lt;=2,"Muy Baja",IF(O21&lt;=24,"Baja",IF(O21&lt;=500,"Media",IF(O21&lt;=5000,"Alta","Muy Alta")))))</f>
        <v>Baja</v>
      </c>
      <c r="Q21" s="654">
        <f t="shared" ref="Q21" si="12">IF(P21="","",IF(P21="Muy Baja",0.2,IF(P21="Baja",0.4,IF(P21="Media",0.6,IF(P21="Alta",0.8,IF(P21="Muy Alta",1,))))))</f>
        <v>0.4</v>
      </c>
      <c r="R21" s="655" t="s">
        <v>135</v>
      </c>
      <c r="S21" s="653" t="str">
        <f>IFERROR(VLOOKUP(R21,Criterios[],2,FALSE),"")</f>
        <v>Moderado</v>
      </c>
      <c r="T21" s="654">
        <f t="shared" ref="T21" si="13">IF(S21="","",IF(S21="Leve",0.2,IF(S21="Menor",0.4,IF(S21="Moderado",0.6,IF(S21="Mayor",0.8,IF(S21="Catastrófico",1,))))))</f>
        <v>0.6</v>
      </c>
      <c r="U21" s="653"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Moderado</v>
      </c>
      <c r="V21" s="664">
        <v>1</v>
      </c>
      <c r="W21" s="677" t="s">
        <v>153</v>
      </c>
      <c r="X21" s="678" t="s">
        <v>154</v>
      </c>
      <c r="Y21" s="673" t="str">
        <f t="shared" si="1"/>
        <v>Probabilidad</v>
      </c>
      <c r="Z21" s="658" t="s">
        <v>119</v>
      </c>
      <c r="AA21" s="658" t="s">
        <v>120</v>
      </c>
      <c r="AB21" s="659" t="str">
        <f t="shared" si="2"/>
        <v>40%</v>
      </c>
      <c r="AC21" s="658" t="s">
        <v>121</v>
      </c>
      <c r="AD21" s="658" t="s">
        <v>122</v>
      </c>
      <c r="AE21" s="658" t="s">
        <v>123</v>
      </c>
      <c r="AF21" s="660" t="s">
        <v>154</v>
      </c>
      <c r="AG21" s="661">
        <f>IFERROR(IF(Y21="Probabilidad",(Q21-(+ Q21*AB21)),IF(Y21="Impacto",Q21,"")),"")</f>
        <v>0.24</v>
      </c>
      <c r="AH21" s="662" t="str">
        <f t="shared" si="3"/>
        <v>Baja</v>
      </c>
      <c r="AI21" s="659">
        <f t="shared" si="4"/>
        <v>0.24</v>
      </c>
      <c r="AJ21" s="662" t="str">
        <f t="shared" si="5"/>
        <v>Moderado</v>
      </c>
      <c r="AK21" s="659">
        <f>IFERROR(IF(Y21="Impacto",(T21-(+T21*AB21)),IF(Y21="Probabilidad",T21,"")),"")</f>
        <v>0.6</v>
      </c>
      <c r="AL21" s="662" t="str">
        <f t="shared" si="6"/>
        <v>Moderado</v>
      </c>
      <c r="AM21" s="663" t="s">
        <v>125</v>
      </c>
      <c r="AN21" s="664">
        <v>1</v>
      </c>
      <c r="AO21" s="307" t="s">
        <v>155</v>
      </c>
      <c r="AP21" s="665" t="s">
        <v>156</v>
      </c>
      <c r="AQ21" s="665" t="s">
        <v>157</v>
      </c>
      <c r="AR21" s="665">
        <v>46184</v>
      </c>
      <c r="AS21" s="319"/>
      <c r="AT21" s="223"/>
      <c r="AU21" s="223"/>
      <c r="AV21" s="223"/>
      <c r="AW21" s="223"/>
      <c r="AX21" s="223"/>
      <c r="AY21" s="223"/>
      <c r="AZ21" s="313"/>
      <c r="BA21" s="228"/>
      <c r="BB21" s="228"/>
      <c r="BC21" s="316"/>
      <c r="BD21" s="225"/>
      <c r="BE21" s="226"/>
      <c r="BF21" s="226"/>
      <c r="BG21" s="226"/>
      <c r="BH21" s="226"/>
      <c r="BI21" s="226"/>
      <c r="BJ21" s="226"/>
      <c r="BK21" s="226"/>
      <c r="BL21" s="226"/>
      <c r="BM21" s="226"/>
      <c r="BN21" s="226"/>
      <c r="BO21" s="226"/>
      <c r="BP21" s="226"/>
      <c r="BQ21" s="226"/>
      <c r="BR21" s="226"/>
      <c r="BS21" s="226"/>
      <c r="BT21" s="226"/>
      <c r="BU21" s="226"/>
      <c r="BV21" s="226"/>
      <c r="BW21" s="226"/>
      <c r="BX21" s="226"/>
      <c r="BY21" s="226"/>
      <c r="BZ21" s="226"/>
      <c r="CA21" s="226"/>
      <c r="CB21" s="226"/>
      <c r="CC21" s="226"/>
      <c r="CD21" s="226"/>
    </row>
    <row r="22" spans="4:82" s="227" customFormat="1" ht="69" customHeight="1">
      <c r="D22" s="300"/>
      <c r="E22" s="260"/>
      <c r="F22" s="260"/>
      <c r="G22" s="260"/>
      <c r="H22" s="260"/>
      <c r="I22" s="294"/>
      <c r="J22" s="666"/>
      <c r="K22" s="666"/>
      <c r="L22" s="666"/>
      <c r="M22" s="666"/>
      <c r="N22" s="666"/>
      <c r="O22" s="666"/>
      <c r="P22" s="667"/>
      <c r="Q22" s="668"/>
      <c r="R22" s="669"/>
      <c r="S22" s="667"/>
      <c r="T22" s="668"/>
      <c r="U22" s="667"/>
      <c r="V22" s="670">
        <v>2</v>
      </c>
      <c r="W22" s="677"/>
      <c r="X22" s="676"/>
      <c r="Y22" s="673" t="str">
        <f t="shared" si="1"/>
        <v/>
      </c>
      <c r="Z22" s="658"/>
      <c r="AA22" s="658"/>
      <c r="AB22" s="659" t="str">
        <f t="shared" si="2"/>
        <v/>
      </c>
      <c r="AC22" s="658"/>
      <c r="AD22" s="658"/>
      <c r="AE22" s="658"/>
      <c r="AF22" s="660"/>
      <c r="AG22" s="661" t="str">
        <f>IFERROR(IF(Y22="Probabilidad",(Q21-(+ Q22*AB22)),IF(Y22="Impacto",Q22,"")),"")</f>
        <v/>
      </c>
      <c r="AH22" s="662" t="str">
        <f t="shared" si="3"/>
        <v/>
      </c>
      <c r="AI22" s="659" t="str">
        <f t="shared" si="4"/>
        <v/>
      </c>
      <c r="AJ22" s="662" t="str">
        <f t="shared" si="5"/>
        <v/>
      </c>
      <c r="AK22" s="659" t="str">
        <f>IFERROR(IF(Y22="Impacto",(T21-(+T21*AB22)),IF(Y22="Probabilidad",T21,"")),"")</f>
        <v/>
      </c>
      <c r="AL22" s="662" t="str">
        <f t="shared" si="6"/>
        <v/>
      </c>
      <c r="AM22" s="674"/>
      <c r="AN22" s="670">
        <v>2</v>
      </c>
      <c r="AO22" s="666"/>
      <c r="AP22" s="675"/>
      <c r="AQ22" s="675"/>
      <c r="AR22" s="675"/>
      <c r="AS22" s="319"/>
      <c r="AT22" s="223"/>
      <c r="AU22" s="223"/>
      <c r="AV22" s="223"/>
      <c r="AW22" s="223"/>
      <c r="AX22" s="223"/>
      <c r="AY22" s="223"/>
      <c r="AZ22" s="313"/>
      <c r="BA22" s="228"/>
      <c r="BB22" s="228"/>
      <c r="BC22" s="316"/>
      <c r="BD22" s="225"/>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row>
    <row r="23" spans="4:82" s="227" customFormat="1" ht="144.75" customHeight="1">
      <c r="D23" s="259">
        <v>5</v>
      </c>
      <c r="E23" s="259" t="s">
        <v>67</v>
      </c>
      <c r="F23" s="259" t="s">
        <v>108</v>
      </c>
      <c r="G23" s="259"/>
      <c r="H23" s="259" t="s">
        <v>109</v>
      </c>
      <c r="I23" s="293" t="s">
        <v>158</v>
      </c>
      <c r="J23" s="307" t="s">
        <v>159</v>
      </c>
      <c r="K23" s="307" t="s">
        <v>160</v>
      </c>
      <c r="L23" s="307" t="s">
        <v>113</v>
      </c>
      <c r="M23" s="307" t="s">
        <v>114</v>
      </c>
      <c r="N23" s="307" t="s">
        <v>161</v>
      </c>
      <c r="O23" s="679">
        <v>7</v>
      </c>
      <c r="P23" s="653" t="str">
        <f>IF(O23&lt;=0,"",IF(O23&lt;=2,"Muy Baja",IF(O23&lt;=24,"Baja",IF(O23&lt;=500,"Media",IF(O23&lt;=5000,"Alta","Muy Alta")))))</f>
        <v>Baja</v>
      </c>
      <c r="Q23" s="654">
        <f t="shared" ref="Q23" si="14">IF(P23="","",IF(P23="Muy Baja",0.2,IF(P23="Baja",0.4,IF(P23="Media",0.6,IF(P23="Alta",0.8,IF(P23="Muy Alta",1,))))))</f>
        <v>0.4</v>
      </c>
      <c r="R23" s="655" t="s">
        <v>162</v>
      </c>
      <c r="S23" s="653" t="str">
        <f>IFERROR(VLOOKUP(R23,Criterios[],2,FALSE),"")</f>
        <v>Catastrófico</v>
      </c>
      <c r="T23" s="654">
        <f t="shared" ref="T23" si="15">IF(S23="","",IF(S23="Leve",0.2,IF(S23="Menor",0.4,IF(S23="Moderado",0.6,IF(S23="Mayor",0.8,IF(S23="Catastrófico",1,))))))</f>
        <v>1</v>
      </c>
      <c r="U23" s="653"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Extremo</v>
      </c>
      <c r="V23" s="664">
        <v>1</v>
      </c>
      <c r="W23" s="680" t="s">
        <v>163</v>
      </c>
      <c r="X23" s="681" t="s">
        <v>164</v>
      </c>
      <c r="Y23" s="673" t="str">
        <f t="shared" si="1"/>
        <v>Probabilidad</v>
      </c>
      <c r="Z23" s="658" t="s">
        <v>119</v>
      </c>
      <c r="AA23" s="658" t="s">
        <v>120</v>
      </c>
      <c r="AB23" s="659" t="str">
        <f t="shared" si="2"/>
        <v>40%</v>
      </c>
      <c r="AC23" s="658" t="s">
        <v>121</v>
      </c>
      <c r="AD23" s="658" t="s">
        <v>122</v>
      </c>
      <c r="AE23" s="658" t="s">
        <v>123</v>
      </c>
      <c r="AF23" s="660" t="s">
        <v>165</v>
      </c>
      <c r="AG23" s="661">
        <f>IFERROR(IF(Y23="Probabilidad",(Q23-(+ Q23*AB23)),IF(Y23="Impacto",Q23,"")),"")</f>
        <v>0.24</v>
      </c>
      <c r="AH23" s="662" t="str">
        <f t="shared" si="3"/>
        <v>Baja</v>
      </c>
      <c r="AI23" s="659">
        <f t="shared" si="4"/>
        <v>0.24</v>
      </c>
      <c r="AJ23" s="662" t="str">
        <f t="shared" si="5"/>
        <v>Catastrófico</v>
      </c>
      <c r="AK23" s="659">
        <f>IFERROR(IF(Y23="Impacto",(T23-(+T23*AB23)),IF(Y23="Probabilidad",T23,"")),"")</f>
        <v>1</v>
      </c>
      <c r="AL23" s="662" t="str">
        <f t="shared" si="6"/>
        <v>Extremo</v>
      </c>
      <c r="AM23" s="663" t="s">
        <v>125</v>
      </c>
      <c r="AN23" s="664">
        <v>1</v>
      </c>
      <c r="AO23" s="307" t="s">
        <v>166</v>
      </c>
      <c r="AP23" s="665" t="s">
        <v>167</v>
      </c>
      <c r="AQ23" s="665" t="s">
        <v>157</v>
      </c>
      <c r="AR23" s="665">
        <v>46356</v>
      </c>
      <c r="AS23" s="319"/>
      <c r="AT23" s="223"/>
      <c r="AU23" s="223"/>
      <c r="AV23" s="223"/>
      <c r="AW23" s="223"/>
      <c r="AX23" s="223"/>
      <c r="AY23" s="223"/>
      <c r="AZ23" s="313"/>
      <c r="BA23" s="228"/>
      <c r="BB23" s="228"/>
      <c r="BC23" s="316"/>
      <c r="BD23" s="225"/>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row>
    <row r="24" spans="4:82" s="227" customFormat="1" ht="144.75" customHeight="1">
      <c r="D24" s="260"/>
      <c r="E24" s="260"/>
      <c r="F24" s="260"/>
      <c r="G24" s="260"/>
      <c r="H24" s="260"/>
      <c r="I24" s="294"/>
      <c r="J24" s="666"/>
      <c r="K24" s="666"/>
      <c r="L24" s="666"/>
      <c r="M24" s="666"/>
      <c r="N24" s="666"/>
      <c r="O24" s="682"/>
      <c r="P24" s="667"/>
      <c r="Q24" s="668"/>
      <c r="R24" s="669"/>
      <c r="S24" s="667"/>
      <c r="T24" s="668"/>
      <c r="U24" s="667"/>
      <c r="V24" s="670">
        <v>2</v>
      </c>
      <c r="W24" s="677" t="s">
        <v>168</v>
      </c>
      <c r="X24" s="680" t="s">
        <v>169</v>
      </c>
      <c r="Y24" s="673" t="str">
        <f t="shared" si="1"/>
        <v>Probabilidad</v>
      </c>
      <c r="Z24" s="658" t="s">
        <v>119</v>
      </c>
      <c r="AA24" s="658" t="s">
        <v>120</v>
      </c>
      <c r="AB24" s="659" t="str">
        <f t="shared" si="2"/>
        <v>40%</v>
      </c>
      <c r="AC24" s="658" t="s">
        <v>121</v>
      </c>
      <c r="AD24" s="658" t="s">
        <v>122</v>
      </c>
      <c r="AE24" s="658" t="s">
        <v>123</v>
      </c>
      <c r="AF24" s="660" t="s">
        <v>170</v>
      </c>
      <c r="AG24" s="661">
        <f>IFERROR(IF(Y24="Probabilidad",(Q23-(+ Q24*AB24)),IF(Y24="Impacto",Q24,"")),"")</f>
        <v>0.4</v>
      </c>
      <c r="AH24" s="662" t="str">
        <f t="shared" si="3"/>
        <v>Baja</v>
      </c>
      <c r="AI24" s="659">
        <f t="shared" si="4"/>
        <v>0.4</v>
      </c>
      <c r="AJ24" s="662" t="str">
        <f t="shared" si="5"/>
        <v>Catastrófico</v>
      </c>
      <c r="AK24" s="659">
        <f t="shared" si="11"/>
        <v>1</v>
      </c>
      <c r="AL24" s="662" t="str">
        <f t="shared" si="6"/>
        <v>Extremo</v>
      </c>
      <c r="AM24" s="674"/>
      <c r="AN24" s="670">
        <v>2</v>
      </c>
      <c r="AO24" s="666"/>
      <c r="AP24" s="675"/>
      <c r="AQ24" s="675"/>
      <c r="AR24" s="675"/>
      <c r="AS24" s="319"/>
      <c r="AT24" s="223"/>
      <c r="AU24" s="223"/>
      <c r="AV24" s="223"/>
      <c r="AW24" s="223"/>
      <c r="AX24" s="223"/>
      <c r="AY24" s="223"/>
      <c r="AZ24" s="313"/>
      <c r="BA24" s="228"/>
      <c r="BB24" s="228"/>
      <c r="BC24" s="316"/>
      <c r="BD24" s="225"/>
      <c r="BE24" s="226"/>
      <c r="BF24" s="226"/>
      <c r="BG24" s="226"/>
      <c r="BH24" s="226"/>
      <c r="BI24" s="226"/>
      <c r="BJ24" s="226"/>
      <c r="BK24" s="226"/>
      <c r="BL24" s="226"/>
      <c r="BM24" s="226"/>
      <c r="BN24" s="226"/>
      <c r="BO24" s="226"/>
      <c r="BP24" s="226"/>
      <c r="BQ24" s="226"/>
      <c r="BR24" s="226"/>
      <c r="BS24" s="226"/>
      <c r="BT24" s="226"/>
      <c r="BU24" s="226"/>
      <c r="BV24" s="226"/>
      <c r="BW24" s="226"/>
      <c r="BX24" s="226"/>
      <c r="BY24" s="226"/>
      <c r="BZ24" s="226"/>
      <c r="CA24" s="226"/>
      <c r="CB24" s="226"/>
      <c r="CC24" s="226"/>
      <c r="CD24" s="226"/>
    </row>
    <row r="25" spans="4:82" s="183" customFormat="1" ht="39.75" hidden="1" customHeight="1">
      <c r="D25" s="255">
        <v>6</v>
      </c>
      <c r="E25" s="257"/>
      <c r="F25" s="257"/>
      <c r="G25" s="257"/>
      <c r="H25" s="257"/>
      <c r="I25" s="253"/>
      <c r="J25" s="307"/>
      <c r="K25" s="307"/>
      <c r="L25" s="307"/>
      <c r="M25" s="307"/>
      <c r="N25" s="307"/>
      <c r="O25" s="683"/>
      <c r="P25" s="653"/>
      <c r="Q25" s="654"/>
      <c r="R25" s="655"/>
      <c r="S25" s="653"/>
      <c r="T25" s="654"/>
      <c r="U25" s="653"/>
      <c r="V25" s="664">
        <v>1</v>
      </c>
      <c r="W25" s="677"/>
      <c r="X25" s="676"/>
      <c r="Y25" s="673" t="str">
        <f t="shared" si="1"/>
        <v/>
      </c>
      <c r="Z25" s="658"/>
      <c r="AA25" s="658"/>
      <c r="AB25" s="659" t="str">
        <f t="shared" si="2"/>
        <v/>
      </c>
      <c r="AC25" s="658"/>
      <c r="AD25" s="658"/>
      <c r="AE25" s="658"/>
      <c r="AF25" s="660"/>
      <c r="AG25" s="661" t="str">
        <f>IFERROR(IF(Y25="Probabilidad",(Q25-(+Q25*AB25)),IF(Y25="Impacto",Q25,"")),"")</f>
        <v/>
      </c>
      <c r="AH25" s="662" t="str">
        <f t="shared" si="3"/>
        <v/>
      </c>
      <c r="AI25" s="659" t="str">
        <f t="shared" si="4"/>
        <v/>
      </c>
      <c r="AJ25" s="662" t="str">
        <f t="shared" si="5"/>
        <v/>
      </c>
      <c r="AK25" s="659" t="str">
        <f>IFERROR(IF(Y25="Impacto",(T25-(+T25*AB25)),IF(Y25="Probabilidad",T25,"")),"")</f>
        <v/>
      </c>
      <c r="AL25" s="662" t="str">
        <f t="shared" si="6"/>
        <v/>
      </c>
      <c r="AM25" s="663" t="s">
        <v>125</v>
      </c>
      <c r="AN25" s="664">
        <v>1</v>
      </c>
      <c r="AO25" s="307"/>
      <c r="AP25" s="665"/>
      <c r="AQ25" s="665"/>
      <c r="AR25" s="665"/>
      <c r="AS25" s="319"/>
      <c r="AT25" s="214"/>
      <c r="AU25" s="214"/>
      <c r="AV25" s="214"/>
      <c r="AW25" s="214"/>
      <c r="AX25" s="214"/>
      <c r="AY25" s="214"/>
      <c r="AZ25" s="313"/>
      <c r="BA25" s="213"/>
      <c r="BB25" s="213"/>
      <c r="BC25" s="316"/>
      <c r="BD25" s="211"/>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hidden="1" customHeight="1">
      <c r="D26" s="256"/>
      <c r="E26" s="258"/>
      <c r="F26" s="258"/>
      <c r="G26" s="258"/>
      <c r="H26" s="258"/>
      <c r="I26" s="254"/>
      <c r="J26" s="666"/>
      <c r="K26" s="666"/>
      <c r="L26" s="666"/>
      <c r="M26" s="666"/>
      <c r="N26" s="666"/>
      <c r="O26" s="683"/>
      <c r="P26" s="667"/>
      <c r="Q26" s="668"/>
      <c r="R26" s="669"/>
      <c r="S26" s="667"/>
      <c r="T26" s="668"/>
      <c r="U26" s="667"/>
      <c r="V26" s="670">
        <v>2</v>
      </c>
      <c r="W26" s="677"/>
      <c r="X26" s="676"/>
      <c r="Y26" s="673" t="str">
        <f t="shared" si="1"/>
        <v/>
      </c>
      <c r="Z26" s="658"/>
      <c r="AA26" s="658"/>
      <c r="AB26" s="659" t="str">
        <f t="shared" si="2"/>
        <v/>
      </c>
      <c r="AC26" s="658"/>
      <c r="AD26" s="658"/>
      <c r="AE26" s="658"/>
      <c r="AF26" s="660"/>
      <c r="AG26" s="661" t="str">
        <f>IFERROR(IF(Y26="Probabilidad",(Q25-(+Q26*AB26)),IF(Y26="Impacto",Q26,"")),"")</f>
        <v/>
      </c>
      <c r="AH26" s="662" t="str">
        <f t="shared" si="3"/>
        <v/>
      </c>
      <c r="AI26" s="659" t="str">
        <f t="shared" si="4"/>
        <v/>
      </c>
      <c r="AJ26" s="662" t="str">
        <f t="shared" si="5"/>
        <v/>
      </c>
      <c r="AK26" s="659" t="str">
        <f t="shared" si="11"/>
        <v/>
      </c>
      <c r="AL26" s="662" t="str">
        <f t="shared" si="6"/>
        <v/>
      </c>
      <c r="AM26" s="674"/>
      <c r="AN26" s="670">
        <v>2</v>
      </c>
      <c r="AO26" s="666"/>
      <c r="AP26" s="675"/>
      <c r="AQ26" s="675"/>
      <c r="AR26" s="675"/>
      <c r="AS26" s="319"/>
      <c r="AT26" s="214"/>
      <c r="AU26" s="214"/>
      <c r="AV26" s="214"/>
      <c r="AW26" s="214"/>
      <c r="AX26" s="214"/>
      <c r="AY26" s="214"/>
      <c r="AZ26" s="313"/>
      <c r="BA26" s="213"/>
      <c r="BB26" s="213"/>
      <c r="BC26" s="316"/>
      <c r="BD26" s="211"/>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hidden="1" customHeight="1">
      <c r="D27" s="255">
        <v>7</v>
      </c>
      <c r="E27" s="257"/>
      <c r="F27" s="257"/>
      <c r="G27" s="257"/>
      <c r="H27" s="257"/>
      <c r="I27" s="253"/>
      <c r="J27" s="307"/>
      <c r="K27" s="307"/>
      <c r="L27" s="307"/>
      <c r="M27" s="307"/>
      <c r="N27" s="307"/>
      <c r="O27" s="307"/>
      <c r="P27" s="653" t="str">
        <f t="shared" ref="P27:P31" si="16">IF(O27&lt;=0,"",IF(O27&lt;=2,"Muy Baja",IF(O27&lt;=24,"Baja",IF(O27&lt;=500,"Media",IF(O27&lt;=5000,"Alta","Muy Alta")))))</f>
        <v/>
      </c>
      <c r="Q27" s="654" t="str">
        <f t="shared" ref="Q27" si="17">IF(P27="","",IF(P27="Muy Baja",0.2,IF(P27="Baja",0.4,IF(P27="Media",0.6,IF(P27="Alta",0.8,IF(P27="Muy Alta",1,))))))</f>
        <v/>
      </c>
      <c r="R27" s="655"/>
      <c r="S27" s="653" t="str">
        <f>IFERROR(VLOOKUP(R27,Criterios[],2,FALSE),"")</f>
        <v/>
      </c>
      <c r="T27" s="654" t="str">
        <f t="shared" ref="T27" si="18">IF(S27="","",IF(S27="Leve",0.2,IF(S27="Menor",0.4,IF(S27="Moderado",0.6,IF(S27="Mayor",0.8,IF(S27="Catastrófico",1,))))))</f>
        <v/>
      </c>
      <c r="U27" s="653" t="str">
        <f>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664">
        <v>1</v>
      </c>
      <c r="W27" s="677"/>
      <c r="X27" s="676"/>
      <c r="Y27" s="673" t="str">
        <f t="shared" si="1"/>
        <v/>
      </c>
      <c r="Z27" s="658"/>
      <c r="AA27" s="658"/>
      <c r="AB27" s="659" t="str">
        <f t="shared" si="2"/>
        <v/>
      </c>
      <c r="AC27" s="658"/>
      <c r="AD27" s="658"/>
      <c r="AE27" s="658"/>
      <c r="AF27" s="660"/>
      <c r="AG27" s="661" t="str">
        <f>IFERROR(IF(Y27="Probabilidad",(Q27-(+Q27*AB27)),IF(Y27="Impacto",Q27,"")),"")</f>
        <v/>
      </c>
      <c r="AH27" s="662" t="str">
        <f t="shared" si="3"/>
        <v/>
      </c>
      <c r="AI27" s="659" t="str">
        <f t="shared" si="4"/>
        <v/>
      </c>
      <c r="AJ27" s="662" t="str">
        <f t="shared" si="5"/>
        <v/>
      </c>
      <c r="AK27" s="659" t="str">
        <f>IFERROR(IF(Y27="Impacto",(T27-(+T27*AB27)),IF(Y27="Probabilidad",T27,"")),"")</f>
        <v/>
      </c>
      <c r="AL27" s="662" t="str">
        <f t="shared" si="6"/>
        <v/>
      </c>
      <c r="AM27" s="663" t="s">
        <v>125</v>
      </c>
      <c r="AN27" s="664">
        <v>1</v>
      </c>
      <c r="AO27" s="307"/>
      <c r="AP27" s="665"/>
      <c r="AQ27" s="665"/>
      <c r="AR27" s="665"/>
      <c r="AS27" s="319"/>
      <c r="AT27" s="214"/>
      <c r="AU27" s="214"/>
      <c r="AV27" s="214"/>
      <c r="AW27" s="214"/>
      <c r="AX27" s="214"/>
      <c r="AY27" s="214"/>
      <c r="AZ27" s="313"/>
      <c r="BA27" s="213"/>
      <c r="BB27" s="213"/>
      <c r="BC27" s="316"/>
      <c r="BD27" s="211"/>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hidden="1" customHeight="1">
      <c r="D28" s="256"/>
      <c r="E28" s="258"/>
      <c r="F28" s="258"/>
      <c r="G28" s="258"/>
      <c r="H28" s="258"/>
      <c r="I28" s="254"/>
      <c r="J28" s="666"/>
      <c r="K28" s="666"/>
      <c r="L28" s="666"/>
      <c r="M28" s="666"/>
      <c r="N28" s="666"/>
      <c r="O28" s="666"/>
      <c r="P28" s="667"/>
      <c r="Q28" s="668"/>
      <c r="R28" s="669"/>
      <c r="S28" s="667"/>
      <c r="T28" s="668"/>
      <c r="U28" s="667"/>
      <c r="V28" s="670">
        <v>2</v>
      </c>
      <c r="W28" s="677"/>
      <c r="X28" s="676"/>
      <c r="Y28" s="673" t="str">
        <f t="shared" si="1"/>
        <v/>
      </c>
      <c r="Z28" s="658"/>
      <c r="AA28" s="658"/>
      <c r="AB28" s="659" t="str">
        <f t="shared" si="2"/>
        <v/>
      </c>
      <c r="AC28" s="658"/>
      <c r="AD28" s="658"/>
      <c r="AE28" s="658"/>
      <c r="AF28" s="660"/>
      <c r="AG28" s="661" t="str">
        <f>IFERROR(IF(Y28="Probabilidad",(Q27-(+Q28*AB28)),IF(Y28="Impacto",Q28,"")),"")</f>
        <v/>
      </c>
      <c r="AH28" s="662" t="str">
        <f t="shared" si="3"/>
        <v/>
      </c>
      <c r="AI28" s="659" t="str">
        <f t="shared" si="4"/>
        <v/>
      </c>
      <c r="AJ28" s="662" t="str">
        <f t="shared" si="5"/>
        <v/>
      </c>
      <c r="AK28" s="659" t="str">
        <f t="shared" si="11"/>
        <v/>
      </c>
      <c r="AL28" s="662" t="str">
        <f t="shared" si="6"/>
        <v/>
      </c>
      <c r="AM28" s="674"/>
      <c r="AN28" s="670">
        <v>2</v>
      </c>
      <c r="AO28" s="666"/>
      <c r="AP28" s="675"/>
      <c r="AQ28" s="675"/>
      <c r="AR28" s="675"/>
      <c r="AS28" s="319"/>
      <c r="AT28" s="214"/>
      <c r="AU28" s="214"/>
      <c r="AV28" s="214"/>
      <c r="AW28" s="214"/>
      <c r="AX28" s="214"/>
      <c r="AY28" s="214"/>
      <c r="AZ28" s="313"/>
      <c r="BA28" s="213"/>
      <c r="BB28" s="213"/>
      <c r="BC28" s="316"/>
      <c r="BD28" s="211"/>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hidden="1" customHeight="1">
      <c r="D29" s="310">
        <v>8</v>
      </c>
      <c r="E29" s="257"/>
      <c r="F29" s="257"/>
      <c r="G29" s="257"/>
      <c r="H29" s="257"/>
      <c r="I29" s="253"/>
      <c r="J29" s="253"/>
      <c r="K29" s="253"/>
      <c r="L29" s="253"/>
      <c r="M29" s="253"/>
      <c r="N29" s="253"/>
      <c r="O29" s="253"/>
      <c r="P29" s="261" t="str">
        <f t="shared" si="16"/>
        <v/>
      </c>
      <c r="Q29" s="291" t="str">
        <f t="shared" ref="Q29" si="19">IF(P29="","",IF(P29="Muy Baja",0.2,IF(P29="Baja",0.4,IF(P29="Media",0.6,IF(P29="Alta",0.8,IF(P29="Muy Alta",1,))))))</f>
        <v/>
      </c>
      <c r="R29" s="301"/>
      <c r="S29" s="261" t="str">
        <f>IFERROR(VLOOKUP(R29,Criterios[],2,FALSE),"")</f>
        <v/>
      </c>
      <c r="T29" s="291" t="str">
        <f t="shared" ref="T29" si="20">IF(S29="","",IF(S29="Leve",0.2,IF(S29="Menor",0.4,IF(S29="Moderado",0.6,IF(S29="Mayor",0.8,IF(S29="Catastrófico",1,))))))</f>
        <v/>
      </c>
      <c r="U29" s="261" t="str">
        <f>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2">
        <v>1</v>
      </c>
      <c r="W29" s="237"/>
      <c r="X29" s="236"/>
      <c r="Y29" s="193" t="str">
        <f t="shared" si="1"/>
        <v/>
      </c>
      <c r="Z29" s="194"/>
      <c r="AA29" s="194"/>
      <c r="AB29" s="195" t="str">
        <f t="shared" si="2"/>
        <v/>
      </c>
      <c r="AC29" s="194"/>
      <c r="AD29" s="194"/>
      <c r="AE29" s="184"/>
      <c r="AF29" s="207"/>
      <c r="AG29" s="196" t="str">
        <f>IFERROR(IF(Y29="Probabilidad",(Q29-(+Q29*AB29)),IF(Y29="Impacto",Q29,"")),"")</f>
        <v/>
      </c>
      <c r="AH29" s="197" t="str">
        <f t="shared" si="3"/>
        <v/>
      </c>
      <c r="AI29" s="195" t="str">
        <f t="shared" si="4"/>
        <v/>
      </c>
      <c r="AJ29" s="197" t="str">
        <f t="shared" si="5"/>
        <v/>
      </c>
      <c r="AK29" s="195" t="str">
        <f>IFERROR(IF(Y29="Impacto",(T29-(+T29*AB29)),IF(Y29="Probabilidad",T29,"")),"")</f>
        <v/>
      </c>
      <c r="AL29" s="197" t="str">
        <f t="shared" si="6"/>
        <v/>
      </c>
      <c r="AM29" s="305" t="s">
        <v>125</v>
      </c>
      <c r="AN29" s="192">
        <v>1</v>
      </c>
      <c r="AO29" s="253"/>
      <c r="AP29" s="303"/>
      <c r="AQ29" s="303"/>
      <c r="AR29" s="303"/>
      <c r="AS29" s="319"/>
      <c r="AT29" s="214"/>
      <c r="AU29" s="214"/>
      <c r="AV29" s="214"/>
      <c r="AW29" s="214"/>
      <c r="AX29" s="214"/>
      <c r="AY29" s="214"/>
      <c r="AZ29" s="313"/>
      <c r="BA29" s="213"/>
      <c r="BB29" s="213"/>
      <c r="BC29" s="316"/>
      <c r="BD29" s="211"/>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hidden="1" customHeight="1">
      <c r="D30" s="311"/>
      <c r="E30" s="258"/>
      <c r="F30" s="258"/>
      <c r="G30" s="258"/>
      <c r="H30" s="258"/>
      <c r="I30" s="254"/>
      <c r="J30" s="254"/>
      <c r="K30" s="254"/>
      <c r="L30" s="254"/>
      <c r="M30" s="254"/>
      <c r="N30" s="254"/>
      <c r="O30" s="254"/>
      <c r="P30" s="262"/>
      <c r="Q30" s="292"/>
      <c r="R30" s="302"/>
      <c r="S30" s="262"/>
      <c r="T30" s="292"/>
      <c r="U30" s="262"/>
      <c r="V30" s="232">
        <v>2</v>
      </c>
      <c r="W30" s="237"/>
      <c r="X30" s="236"/>
      <c r="Y30" s="193" t="str">
        <f t="shared" si="1"/>
        <v/>
      </c>
      <c r="Z30" s="194"/>
      <c r="AA30" s="194"/>
      <c r="AB30" s="195" t="str">
        <f t="shared" si="2"/>
        <v/>
      </c>
      <c r="AC30" s="194"/>
      <c r="AD30" s="194"/>
      <c r="AE30" s="184"/>
      <c r="AF30" s="207"/>
      <c r="AG30" s="196" t="str">
        <f>IFERROR(IF(Y30="Probabilidad",(Q29-(+Q30*AB30)),IF(Y30="Impacto",Q30,"")),"")</f>
        <v/>
      </c>
      <c r="AH30" s="197" t="str">
        <f t="shared" si="3"/>
        <v/>
      </c>
      <c r="AI30" s="195" t="str">
        <f t="shared" si="4"/>
        <v/>
      </c>
      <c r="AJ30" s="197" t="str">
        <f t="shared" si="5"/>
        <v/>
      </c>
      <c r="AK30" s="195" t="str">
        <f t="shared" si="11"/>
        <v/>
      </c>
      <c r="AL30" s="197" t="str">
        <f t="shared" si="6"/>
        <v/>
      </c>
      <c r="AM30" s="306"/>
      <c r="AN30" s="232">
        <v>2</v>
      </c>
      <c r="AO30" s="254"/>
      <c r="AP30" s="304"/>
      <c r="AQ30" s="304"/>
      <c r="AR30" s="304"/>
      <c r="AS30" s="319"/>
      <c r="AT30" s="214"/>
      <c r="AU30" s="214"/>
      <c r="AV30" s="214"/>
      <c r="AW30" s="214"/>
      <c r="AX30" s="214"/>
      <c r="AY30" s="214"/>
      <c r="AZ30" s="313"/>
      <c r="BA30" s="213"/>
      <c r="BB30" s="213"/>
      <c r="BC30" s="316"/>
      <c r="BD30" s="211"/>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hidden="1" customHeight="1">
      <c r="D31" s="308">
        <v>9</v>
      </c>
      <c r="E31" s="257"/>
      <c r="F31" s="257"/>
      <c r="G31" s="257"/>
      <c r="H31" s="257"/>
      <c r="I31" s="253"/>
      <c r="J31" s="253"/>
      <c r="K31" s="253"/>
      <c r="L31" s="253"/>
      <c r="M31" s="253"/>
      <c r="N31" s="253"/>
      <c r="O31" s="253"/>
      <c r="P31" s="261" t="str">
        <f t="shared" si="16"/>
        <v/>
      </c>
      <c r="Q31" s="291" t="str">
        <f t="shared" ref="Q31" si="21">IF(P31="","",IF(P31="Muy Baja",0.2,IF(P31="Baja",0.4,IF(P31="Media",0.6,IF(P31="Alta",0.8,IF(P31="Muy Alta",1,))))))</f>
        <v/>
      </c>
      <c r="R31" s="301"/>
      <c r="S31" s="261" t="str">
        <f>IFERROR(VLOOKUP(R31,Criterios[],2,FALSE),"")</f>
        <v/>
      </c>
      <c r="T31" s="291" t="str">
        <f t="shared" ref="T31" si="22">IF(S31="","",IF(S31="Leve",0.2,IF(S31="Menor",0.4,IF(S31="Moderado",0.6,IF(S31="Mayor",0.8,IF(S31="Catastrófico",1,))))))</f>
        <v/>
      </c>
      <c r="U31" s="261" t="str">
        <f>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237"/>
      <c r="X31" s="236"/>
      <c r="Y31" s="193" t="str">
        <f t="shared" si="1"/>
        <v/>
      </c>
      <c r="Z31" s="194"/>
      <c r="AA31" s="194"/>
      <c r="AB31" s="195" t="str">
        <f t="shared" si="2"/>
        <v/>
      </c>
      <c r="AC31" s="194"/>
      <c r="AD31" s="194"/>
      <c r="AE31" s="184"/>
      <c r="AF31" s="207"/>
      <c r="AG31" s="196" t="str">
        <f>IFERROR(IF(Y31="Probabilidad",(Q31-(+Q31*AB31)),IF(Y31="Impacto",Q31,"")),"")</f>
        <v/>
      </c>
      <c r="AH31" s="197" t="str">
        <f t="shared" si="3"/>
        <v/>
      </c>
      <c r="AI31" s="195" t="str">
        <f t="shared" si="4"/>
        <v/>
      </c>
      <c r="AJ31" s="197" t="str">
        <f t="shared" si="5"/>
        <v/>
      </c>
      <c r="AK31" s="195" t="str">
        <f>IFERROR(IF(Y31="Impacto",(T31-(+T31*AB31)),IF(Y31="Probabilidad",T31,"")),"")</f>
        <v/>
      </c>
      <c r="AL31" s="197" t="str">
        <f t="shared" si="6"/>
        <v/>
      </c>
      <c r="AM31" s="305" t="s">
        <v>125</v>
      </c>
      <c r="AN31" s="192">
        <v>1</v>
      </c>
      <c r="AO31" s="253"/>
      <c r="AP31" s="303"/>
      <c r="AQ31" s="303"/>
      <c r="AR31" s="303"/>
      <c r="AS31" s="319"/>
      <c r="AT31" s="214"/>
      <c r="AU31" s="214"/>
      <c r="AV31" s="214"/>
      <c r="AW31" s="214"/>
      <c r="AX31" s="214"/>
      <c r="AY31" s="214"/>
      <c r="AZ31" s="313"/>
      <c r="BA31" s="213"/>
      <c r="BB31" s="213"/>
      <c r="BC31" s="316"/>
      <c r="BD31" s="211"/>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hidden="1" customHeight="1">
      <c r="D32" s="309"/>
      <c r="E32" s="258"/>
      <c r="F32" s="258"/>
      <c r="G32" s="258"/>
      <c r="H32" s="258"/>
      <c r="I32" s="254"/>
      <c r="J32" s="254"/>
      <c r="K32" s="254"/>
      <c r="L32" s="254"/>
      <c r="M32" s="254"/>
      <c r="N32" s="254"/>
      <c r="O32" s="254"/>
      <c r="P32" s="262"/>
      <c r="Q32" s="292"/>
      <c r="R32" s="302"/>
      <c r="S32" s="262"/>
      <c r="T32" s="292"/>
      <c r="U32" s="262"/>
      <c r="V32" s="232">
        <v>2</v>
      </c>
      <c r="W32" s="237"/>
      <c r="X32" s="236"/>
      <c r="Y32" s="193" t="str">
        <f t="shared" si="1"/>
        <v/>
      </c>
      <c r="Z32" s="194"/>
      <c r="AA32" s="194"/>
      <c r="AB32" s="195" t="str">
        <f t="shared" si="2"/>
        <v/>
      </c>
      <c r="AC32" s="194"/>
      <c r="AD32" s="194"/>
      <c r="AE32" s="184"/>
      <c r="AF32" s="209"/>
      <c r="AG32" s="196" t="str">
        <f>IFERROR(IF(Y32="Probabilidad",(Q31-(+Q32*AB32)),IF(Y32="Impacto",Q32,"")),"")</f>
        <v/>
      </c>
      <c r="AH32" s="197" t="str">
        <f t="shared" si="3"/>
        <v/>
      </c>
      <c r="AI32" s="195" t="str">
        <f t="shared" si="4"/>
        <v/>
      </c>
      <c r="AJ32" s="197" t="str">
        <f t="shared" si="5"/>
        <v/>
      </c>
      <c r="AK32" s="195" t="str">
        <f t="shared" si="11"/>
        <v/>
      </c>
      <c r="AL32" s="197" t="str">
        <f t="shared" si="6"/>
        <v/>
      </c>
      <c r="AM32" s="306"/>
      <c r="AN32" s="232">
        <v>2</v>
      </c>
      <c r="AO32" s="254"/>
      <c r="AP32" s="304"/>
      <c r="AQ32" s="304"/>
      <c r="AR32" s="304"/>
      <c r="AS32" s="320"/>
      <c r="AT32" s="214"/>
      <c r="AU32" s="214"/>
      <c r="AV32" s="214"/>
      <c r="AW32" s="214"/>
      <c r="AX32" s="214"/>
      <c r="AY32" s="214"/>
      <c r="AZ32" s="314"/>
      <c r="BA32" s="213"/>
      <c r="BB32" s="213"/>
      <c r="BC32" s="317"/>
      <c r="BD32" s="211"/>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242" t="s">
        <v>171</v>
      </c>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298" t="s">
        <v>172</v>
      </c>
      <c r="E36" s="298"/>
      <c r="F36" s="298"/>
      <c r="G36" s="298"/>
      <c r="H36" s="298"/>
      <c r="I36" s="298"/>
      <c r="J36" s="298"/>
      <c r="K36" s="298"/>
      <c r="L36" s="169"/>
      <c r="M36" s="169"/>
      <c r="N36" s="169"/>
      <c r="O36" s="295"/>
      <c r="P36" s="296"/>
      <c r="Q36" s="296"/>
      <c r="R36" s="297"/>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173</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Y37" s="189"/>
      <c r="AZ37" s="189"/>
      <c r="BH37" s="169" t="s">
        <v>174</v>
      </c>
    </row>
    <row r="38" spans="4:60" ht="17.649999999999999" customHeight="1" thickTop="1" thickBot="1">
      <c r="D38" s="240" t="s">
        <v>175</v>
      </c>
      <c r="E38" s="240"/>
      <c r="F38" s="240"/>
      <c r="G38" s="240"/>
      <c r="H38" s="240"/>
      <c r="I38" s="240"/>
      <c r="J38" s="240"/>
      <c r="K38" s="220" t="s">
        <v>176</v>
      </c>
      <c r="L38" s="240" t="s">
        <v>177</v>
      </c>
      <c r="M38" s="240"/>
      <c r="N38" s="240"/>
      <c r="O38" s="240"/>
      <c r="P38" s="240"/>
      <c r="Q38" s="240"/>
      <c r="R38" s="240"/>
      <c r="S38" s="241" t="s">
        <v>178</v>
      </c>
      <c r="T38" s="241"/>
      <c r="U38" s="241"/>
      <c r="V38" s="240" t="s">
        <v>179</v>
      </c>
      <c r="W38" s="240"/>
      <c r="X38" s="240"/>
      <c r="Y38" s="240"/>
      <c r="Z38" s="241">
        <v>1</v>
      </c>
      <c r="AA38" s="241"/>
      <c r="AB38" s="241"/>
      <c r="AC38" s="241"/>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180</v>
      </c>
    </row>
    <row r="39" spans="4:60" ht="13.5" customHeight="1" thickTop="1">
      <c r="D39" s="243" t="s">
        <v>181</v>
      </c>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BH39" s="169" t="s">
        <v>182</v>
      </c>
    </row>
  </sheetData>
  <sheetProtection formatCells="0" formatColumns="0" formatRows="0" selectLockedCells="1"/>
  <protectedRanges>
    <protectedRange sqref="P1:P1048576" name="Rango1"/>
  </protectedRanges>
  <dataConsolidate/>
  <mergeCells count="283">
    <mergeCell ref="AZ15:AZ32"/>
    <mergeCell ref="BC15:BC32"/>
    <mergeCell ref="AS15:AS32"/>
    <mergeCell ref="AR25:AR26"/>
    <mergeCell ref="AP27:AP28"/>
    <mergeCell ref="AQ27:AQ28"/>
    <mergeCell ref="AR27:AR28"/>
    <mergeCell ref="AP29:AP30"/>
    <mergeCell ref="AQ29:AQ30"/>
    <mergeCell ref="AR29:AR30"/>
    <mergeCell ref="AP31:AP32"/>
    <mergeCell ref="AQ31:AQ32"/>
    <mergeCell ref="AR31:AR32"/>
    <mergeCell ref="AR17:AR18"/>
    <mergeCell ref="AP19:AP20"/>
    <mergeCell ref="AQ19:AQ20"/>
    <mergeCell ref="AR19:AR20"/>
    <mergeCell ref="AP21:AP22"/>
    <mergeCell ref="AQ21:AQ22"/>
    <mergeCell ref="AR21:AR22"/>
    <mergeCell ref="AP23:AP24"/>
    <mergeCell ref="AQ23:AQ24"/>
    <mergeCell ref="AR23:AR24"/>
    <mergeCell ref="AQ15:AQ16"/>
    <mergeCell ref="AO19:AO20"/>
    <mergeCell ref="AO21:AO22"/>
    <mergeCell ref="AO23:AO24"/>
    <mergeCell ref="AO25:AO26"/>
    <mergeCell ref="AO27:AO28"/>
    <mergeCell ref="AO29:AO30"/>
    <mergeCell ref="AO31:AO32"/>
    <mergeCell ref="AP17:AP18"/>
    <mergeCell ref="AQ17:AQ18"/>
    <mergeCell ref="AP25:AP26"/>
    <mergeCell ref="AQ25:AQ26"/>
    <mergeCell ref="AO17:AO18"/>
    <mergeCell ref="U19:U20"/>
    <mergeCell ref="U21:U22"/>
    <mergeCell ref="U23:U24"/>
    <mergeCell ref="U25:U26"/>
    <mergeCell ref="U27:U28"/>
    <mergeCell ref="U29:U30"/>
    <mergeCell ref="U31:U32"/>
    <mergeCell ref="AM17:AM18"/>
    <mergeCell ref="AM19:AM20"/>
    <mergeCell ref="AM21:AM22"/>
    <mergeCell ref="AM23:AM24"/>
    <mergeCell ref="AM25:AM26"/>
    <mergeCell ref="AM27:AM28"/>
    <mergeCell ref="AM29:AM30"/>
    <mergeCell ref="AM31:AM32"/>
    <mergeCell ref="S23:S24"/>
    <mergeCell ref="S25:S26"/>
    <mergeCell ref="S27:S28"/>
    <mergeCell ref="S29:S30"/>
    <mergeCell ref="S31:S32"/>
    <mergeCell ref="T17:T18"/>
    <mergeCell ref="T19:T20"/>
    <mergeCell ref="T21:T22"/>
    <mergeCell ref="T23:T24"/>
    <mergeCell ref="T25:T26"/>
    <mergeCell ref="T27:T28"/>
    <mergeCell ref="T29:T30"/>
    <mergeCell ref="T31:T32"/>
    <mergeCell ref="S19:S20"/>
    <mergeCell ref="S21:S22"/>
    <mergeCell ref="O23:O24"/>
    <mergeCell ref="O27:O28"/>
    <mergeCell ref="O29:O30"/>
    <mergeCell ref="O31:O32"/>
    <mergeCell ref="R23:R24"/>
    <mergeCell ref="R25:R26"/>
    <mergeCell ref="R27:R28"/>
    <mergeCell ref="R29:R30"/>
    <mergeCell ref="R31:R32"/>
    <mergeCell ref="P23:P24"/>
    <mergeCell ref="P25:P26"/>
    <mergeCell ref="P27:P28"/>
    <mergeCell ref="P29:P30"/>
    <mergeCell ref="P31:P32"/>
    <mergeCell ref="Q23:Q24"/>
    <mergeCell ref="Q25:Q26"/>
    <mergeCell ref="Q27:Q28"/>
    <mergeCell ref="Q29:Q30"/>
    <mergeCell ref="Q31:Q32"/>
    <mergeCell ref="M23:M24"/>
    <mergeCell ref="M25:M26"/>
    <mergeCell ref="M27:M28"/>
    <mergeCell ref="M29:M30"/>
    <mergeCell ref="M31:M32"/>
    <mergeCell ref="N23:N24"/>
    <mergeCell ref="N25:N26"/>
    <mergeCell ref="N27:N28"/>
    <mergeCell ref="N29:N30"/>
    <mergeCell ref="N31:N32"/>
    <mergeCell ref="E23:E24"/>
    <mergeCell ref="D23:D24"/>
    <mergeCell ref="D25:D26"/>
    <mergeCell ref="E25:E26"/>
    <mergeCell ref="F25:F26"/>
    <mergeCell ref="G25:G26"/>
    <mergeCell ref="H25:H26"/>
    <mergeCell ref="D31:D32"/>
    <mergeCell ref="E31:E32"/>
    <mergeCell ref="D27:D28"/>
    <mergeCell ref="E27:E28"/>
    <mergeCell ref="F27:F28"/>
    <mergeCell ref="G27:G28"/>
    <mergeCell ref="H27:H28"/>
    <mergeCell ref="D29:D30"/>
    <mergeCell ref="E29:E30"/>
    <mergeCell ref="F29:F30"/>
    <mergeCell ref="G29:G30"/>
    <mergeCell ref="H29:H30"/>
    <mergeCell ref="F31:F32"/>
    <mergeCell ref="G31:G32"/>
    <mergeCell ref="H31:H32"/>
    <mergeCell ref="E17:E18"/>
    <mergeCell ref="D17:D18"/>
    <mergeCell ref="F17:F18"/>
    <mergeCell ref="G17:G18"/>
    <mergeCell ref="H17:H18"/>
    <mergeCell ref="J17:J18"/>
    <mergeCell ref="L17:L18"/>
    <mergeCell ref="N17:N18"/>
    <mergeCell ref="P17:P18"/>
    <mergeCell ref="I17:I18"/>
    <mergeCell ref="O17:O18"/>
    <mergeCell ref="K17:K18"/>
    <mergeCell ref="M17:M18"/>
    <mergeCell ref="AO13:AO14"/>
    <mergeCell ref="AG12:AM12"/>
    <mergeCell ref="Z13:AE13"/>
    <mergeCell ref="AO12:AR12"/>
    <mergeCell ref="R17:R18"/>
    <mergeCell ref="S17:S18"/>
    <mergeCell ref="U17:U18"/>
    <mergeCell ref="AN13:AN14"/>
    <mergeCell ref="G15:G16"/>
    <mergeCell ref="H15:H16"/>
    <mergeCell ref="AR15:AR16"/>
    <mergeCell ref="AM15:AM16"/>
    <mergeCell ref="S15:S16"/>
    <mergeCell ref="T15:T16"/>
    <mergeCell ref="N15:N16"/>
    <mergeCell ref="Q15:Q16"/>
    <mergeCell ref="R15:R16"/>
    <mergeCell ref="AO15:AO16"/>
    <mergeCell ref="AP15:AP16"/>
    <mergeCell ref="I23:I24"/>
    <mergeCell ref="I25:I26"/>
    <mergeCell ref="I27:I28"/>
    <mergeCell ref="I29:I30"/>
    <mergeCell ref="I31:I32"/>
    <mergeCell ref="J23:J24"/>
    <mergeCell ref="J25:J26"/>
    <mergeCell ref="J27:J28"/>
    <mergeCell ref="J29:J30"/>
    <mergeCell ref="J31:J32"/>
    <mergeCell ref="K25:K26"/>
    <mergeCell ref="K27:K28"/>
    <mergeCell ref="K29:K30"/>
    <mergeCell ref="K31:K32"/>
    <mergeCell ref="L23:L24"/>
    <mergeCell ref="L25:L26"/>
    <mergeCell ref="L27:L28"/>
    <mergeCell ref="L29:L30"/>
    <mergeCell ref="L31:L32"/>
    <mergeCell ref="D38:J38"/>
    <mergeCell ref="O36:R36"/>
    <mergeCell ref="L38:R38"/>
    <mergeCell ref="S38:U38"/>
    <mergeCell ref="D36:K36"/>
    <mergeCell ref="I15:I16"/>
    <mergeCell ref="J15:J16"/>
    <mergeCell ref="K15:K16"/>
    <mergeCell ref="F15:F16"/>
    <mergeCell ref="D19:D20"/>
    <mergeCell ref="E19:E20"/>
    <mergeCell ref="F19:F20"/>
    <mergeCell ref="G19:G20"/>
    <mergeCell ref="H19:H20"/>
    <mergeCell ref="E21:E22"/>
    <mergeCell ref="F21:F22"/>
    <mergeCell ref="G21:G22"/>
    <mergeCell ref="H21:H22"/>
    <mergeCell ref="F23:F24"/>
    <mergeCell ref="D21:D22"/>
    <mergeCell ref="K21:K22"/>
    <mergeCell ref="I19:I20"/>
    <mergeCell ref="I21:I22"/>
    <mergeCell ref="K23:K24"/>
    <mergeCell ref="J19:J20"/>
    <mergeCell ref="J21:J22"/>
    <mergeCell ref="L19:L20"/>
    <mergeCell ref="L21:L22"/>
    <mergeCell ref="N19:N20"/>
    <mergeCell ref="N21:N22"/>
    <mergeCell ref="P19:P20"/>
    <mergeCell ref="P21:P22"/>
    <mergeCell ref="M19:M20"/>
    <mergeCell ref="K19:K20"/>
    <mergeCell ref="R19:R20"/>
    <mergeCell ref="R21:R22"/>
    <mergeCell ref="Q17:Q18"/>
    <mergeCell ref="Q19:Q20"/>
    <mergeCell ref="Q21:Q22"/>
    <mergeCell ref="O19:O20"/>
    <mergeCell ref="O21:O22"/>
    <mergeCell ref="O15:O16"/>
    <mergeCell ref="M21:M22"/>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H9:BD9"/>
    <mergeCell ref="H8:BD8"/>
    <mergeCell ref="D13:D14"/>
    <mergeCell ref="AZ11:BB12"/>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S11:AY12"/>
    <mergeCell ref="V38:Y38"/>
    <mergeCell ref="Z38:AC38"/>
    <mergeCell ref="I33:AY33"/>
    <mergeCell ref="D39:AC39"/>
    <mergeCell ref="M13:N13"/>
    <mergeCell ref="AF12:AF14"/>
    <mergeCell ref="A11:C11"/>
    <mergeCell ref="F13:F14"/>
    <mergeCell ref="G13:G14"/>
    <mergeCell ref="AH13:AH14"/>
    <mergeCell ref="AI13:AI14"/>
    <mergeCell ref="O13:O14"/>
    <mergeCell ref="P13:P14"/>
    <mergeCell ref="Q13:Q14"/>
    <mergeCell ref="S13:S14"/>
    <mergeCell ref="T13:T14"/>
    <mergeCell ref="L15:L16"/>
    <mergeCell ref="M15:M16"/>
    <mergeCell ref="D15:D16"/>
    <mergeCell ref="E15:E16"/>
    <mergeCell ref="G23:G24"/>
    <mergeCell ref="H23:H24"/>
    <mergeCell ref="U15:U16"/>
    <mergeCell ref="P15:P16"/>
  </mergeCells>
  <conditionalFormatting sqref="P15 AH15:AH32 P17 P19 P21 P25 P27 P29 P31 P23">
    <cfRule type="cellIs" dxfId="22" priority="51" operator="equal">
      <formula>"Muy Alta"</formula>
    </cfRule>
    <cfRule type="cellIs" dxfId="21" priority="52" operator="equal">
      <formula>"Alta"</formula>
    </cfRule>
    <cfRule type="cellIs" dxfId="20" priority="53" operator="equal">
      <formula>"Media"</formula>
    </cfRule>
    <cfRule type="cellIs" dxfId="19" priority="54" operator="equal">
      <formula>"Baja"</formula>
    </cfRule>
    <cfRule type="cellIs" dxfId="18" priority="55" operator="equal">
      <formula>"Muy Baja"</formula>
    </cfRule>
  </conditionalFormatting>
  <conditionalFormatting sqref="S15 AJ15:AJ32 S17 S19 S21 S23 S25 S27 S29 S31">
    <cfRule type="cellIs" dxfId="17" priority="46" operator="equal">
      <formula>"Catastrófico"</formula>
    </cfRule>
    <cfRule type="cellIs" dxfId="16" priority="47" operator="equal">
      <formula>"Mayor"</formula>
    </cfRule>
    <cfRule type="cellIs" dxfId="15" priority="48" operator="equal">
      <formula>"Moderado"</formula>
    </cfRule>
    <cfRule type="cellIs" dxfId="14" priority="49" operator="equal">
      <formula>"Menor"</formula>
    </cfRule>
    <cfRule type="cellIs" dxfId="13" priority="50" operator="equal">
      <formula>"Leve"</formula>
    </cfRule>
  </conditionalFormatting>
  <conditionalFormatting sqref="U15 AL15:AL32 U17 U19 U21 U23 U25 U27 U29 U31">
    <cfRule type="cellIs" dxfId="12" priority="42" operator="equal">
      <formula>"Extremo"</formula>
    </cfRule>
    <cfRule type="cellIs" dxfId="11" priority="43" operator="equal">
      <formula>"Alto"</formula>
    </cfRule>
    <cfRule type="cellIs" dxfId="10" priority="44" operator="equal">
      <formula>"Moderado"</formula>
    </cfRule>
    <cfRule type="cellIs" dxfId="9" priority="45" operator="equal">
      <formula>"Bajo"</formula>
    </cfRule>
  </conditionalFormatting>
  <conditionalFormatting sqref="AI35:AI37">
    <cfRule type="cellIs" dxfId="8" priority="16" operator="equal">
      <formula>#REF!</formula>
    </cfRule>
    <cfRule type="cellIs" dxfId="7" priority="17" operator="equal">
      <formula>#REF!</formula>
    </cfRule>
  </conditionalFormatting>
  <conditionalFormatting sqref="AI35:AJ37">
    <cfRule type="cellIs" dxfId="6" priority="15" stopIfTrue="1" operator="equal">
      <formula>#REF!</formula>
    </cfRule>
  </conditionalFormatting>
  <conditionalFormatting sqref="AJ35:AJ37">
    <cfRule type="cellIs" dxfId="5" priority="19" stopIfTrue="1" operator="equal">
      <formula>#REF!</formula>
    </cfRule>
    <cfRule type="cellIs" dxfId="4" priority="20" stopIfTrue="1" operator="equal">
      <formula>#REF!</formula>
    </cfRule>
  </conditionalFormatting>
  <dataValidations count="9">
    <dataValidation type="list" allowBlank="1" showInputMessage="1" showErrorMessage="1" sqref="K35" xr:uid="{408C691E-A947-4B4C-BE58-973B3DFA4E33}">
      <formula1>$K$192:$K$201</formula1>
    </dataValidation>
    <dataValidation type="list" allowBlank="1" showInputMessage="1" showErrorMessage="1" sqref="K37 AI37:AJ37" xr:uid="{39A642B1-C04B-4016-B1BC-C4CFF8FA7E81}">
      <formula1>#REF!</formula1>
    </dataValidation>
    <dataValidation type="list" allowBlank="1" showInputMessage="1" showErrorMessage="1" sqref="Y37" xr:uid="{9031228E-6A05-4898-A3ED-E14D91674E3A}">
      <formula1>$R$192:$R$193</formula1>
    </dataValidation>
    <dataValidation type="list" allowBlank="1" showInputMessage="1" showErrorMessage="1" sqref="O37" xr:uid="{F68FA3A0-3EF8-4997-AFE0-C34BE62DB6B5}">
      <formula1>$O$192:$O$196</formula1>
    </dataValidation>
    <dataValidation type="list" allowBlank="1" showInputMessage="1" showErrorMessage="1" sqref="L37:N37" xr:uid="{CB040AC8-6957-47C6-BBAB-4DF853D5DAC9}">
      <formula1>$L$192:$L$196</formula1>
    </dataValidation>
    <dataValidation type="list" allowBlank="1" showInputMessage="1" showErrorMessage="1" sqref="AB37:AH37 Z37 AQ37 AY37:AZ37" xr:uid="{DB8A6FF8-0458-4656-B40B-428CCA62DA01}">
      <formula1>$AQ$192:$AQ$199</formula1>
    </dataValidation>
    <dataValidation type="list" allowBlank="1" showInputMessage="1" showErrorMessage="1" error="Recuerde que las acciones se generan bajo la medida de mitigar el riesgo" sqref="AY15:AY20" xr:uid="{82762F92-CDEE-4FA6-AA53-0F4C1131C622}">
      <formula1>$BH$36:$BH$39</formula1>
    </dataValidation>
    <dataValidation type="custom" allowBlank="1" showInputMessage="1" showErrorMessage="1" error="Recuerde que las acciones se generan bajo la medida de mitigar el riesgo" sqref="AP15 AP31 AP29 AP27 AP25 AP23 AP21 AP19 AP17" xr:uid="{CDD03ADF-1C60-48D1-BA7E-193749E76C57}"/>
    <dataValidation type="list" allowBlank="1" showInputMessage="1" showErrorMessage="1" sqref="R15:R32" xr:uid="{FF6BA293-5A59-4796-AEDE-FC47CBA82030}">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364D01BD-2838-4A6F-AD0C-568881239CC1}">
          <x14:formula1>
            <xm:f>'Opciones Tratamiento'!$B$9:$B$10</xm:f>
          </x14:formula1>
          <xm:sqref>BB21:BB32</xm:sqref>
        </x14:dataValidation>
        <x14:dataValidation type="list" allowBlank="1" showInputMessage="1" showErrorMessage="1" xr:uid="{DDC43149-4C4D-47B0-B668-03BACAFE245A}">
          <x14:formula1>
            <xm:f>'Opciones Tratamiento'!$B$13:$B$19</xm:f>
          </x14:formula1>
          <xm:sqref>L17:L32 L15</xm:sqref>
        </x14:dataValidation>
        <x14:dataValidation type="list" allowBlank="1" showInputMessage="1" showErrorMessage="1" xr:uid="{E012B887-2472-4459-AE52-63DE8627A4CE}">
          <x14:formula1>
            <xm:f>'Opciones Tratamiento'!$B$2:$B$5</xm:f>
          </x14:formula1>
          <xm:sqref>AM27 AM25 AM23 AM21 AM19 AM17 AM31 AM29 AM15</xm:sqref>
        </x14:dataValidation>
        <x14:dataValidation type="custom" allowBlank="1" showInputMessage="1" showErrorMessage="1" error="Recuerde que las acciones se generan bajo la medida de mitigar el riesgo" xr:uid="{01478FEC-95D9-4F9E-B29D-A2AA1B7BF8E6}">
          <x14:formula1>
            <xm:f>IF(OR(AM21='Opciones Tratamiento'!$B$2,AM21='Opciones Tratamiento'!$B$3,AM21='Opciones Tratamiento'!$B$4),ISBLANK(AM21),ISTEXT(AM21))</xm:f>
          </x14:formula1>
          <xm:sqref>AY21:AY32</xm:sqref>
        </x14:dataValidation>
        <x14:dataValidation type="list" allowBlank="1" showInputMessage="1" showErrorMessage="1" xr:uid="{6CA67B73-B6D4-42D4-A6D0-84C46E695EA9}">
          <x14:formula1>
            <xm:f>Listas!$B$2:$B$7</xm:f>
          </x14:formula1>
          <xm:sqref>H15 H17:H32</xm:sqref>
        </x14:dataValidation>
        <x14:dataValidation type="list" allowBlank="1" showInputMessage="1" showErrorMessage="1" xr:uid="{249D73BB-A511-4CAA-B899-DDA0ECB15505}">
          <x14:formula1>
            <xm:f>Listas!$C$2:$C$6</xm:f>
          </x14:formula1>
          <xm:sqref>M17:M32 M15</xm:sqref>
        </x14:dataValidation>
        <x14:dataValidation type="list" allowBlank="1" showInputMessage="1" showErrorMessage="1" xr:uid="{0B8C5EC2-A48B-4027-8C65-16247C0B39B6}">
          <x14:formula1>
            <xm:f>Listas!$D$2:$D$5</xm:f>
          </x14:formula1>
          <xm:sqref>N17:N32 N15</xm:sqref>
        </x14:dataValidation>
        <x14:dataValidation type="list" allowBlank="1" showInputMessage="1" showErrorMessage="1" xr:uid="{639293B1-C8B7-42F8-B0D3-E13E2631DB11}">
          <x14:formula1>
            <xm:f>Formulas!$B$3:$B$18</xm:f>
          </x14:formula1>
          <xm:sqref>E17:E32</xm:sqref>
        </x14:dataValidation>
        <x14:dataValidation type="list" allowBlank="1" showInputMessage="1" showErrorMessage="1" xr:uid="{3DABCBE8-1CD2-4D35-96EB-A6EE798407CE}">
          <x14:formula1>
            <xm:f>Formulas!$E$3:$E$23</xm:f>
          </x14:formula1>
          <xm:sqref>G17:G32</xm:sqref>
        </x14:dataValidation>
        <x14:dataValidation type="custom" allowBlank="1" showInputMessage="1" showErrorMessage="1" error="Recuerde que las acciones se generan bajo la medida de mitigar el riesgo" xr:uid="{0822A178-6867-4BC5-9CE2-958A9D04389C}">
          <x14:formula1>
            <xm:f>IF(OR(AQ17='Opciones Tratamiento'!$B$2,AQ17='Opciones Tratamiento'!$B$3,AQ17='Opciones Tratamiento'!$B$4),ISBLANK(AQ17),ISTEXT(AQ17))</xm:f>
          </x14:formula1>
          <xm:sqref>AV17:AX32</xm:sqref>
        </x14:dataValidation>
        <x14:dataValidation type="custom" allowBlank="1" showInputMessage="1" showErrorMessage="1" error="Recuerde que las acciones se generan bajo la medida de mitigar el riesgo" xr:uid="{3B3282AD-8AAB-4172-81D4-4723DA6440EC}">
          <x14:formula1>
            <xm:f>IF(OR(AM16='Opciones Tratamiento'!$B$2,AM16='Opciones Tratamiento'!$B$3,AM16='Opciones Tratamiento'!$B$4),ISBLANK(AM16),ISTEXT(AM16))</xm:f>
          </x14:formula1>
          <xm:sqref>AU16 AU18 AU20 AU22 AU24 AU26 AU28 AU30 AU32 AU15:AX15 AR31 AR29 AR27 AR25 AR23 AR21 AR17 AR15:AS15 AR19</xm:sqref>
        </x14:dataValidation>
        <x14:dataValidation type="list" allowBlank="1" showInputMessage="1" showErrorMessage="1" xr:uid="{3184CEB9-307A-4941-8783-811E15E82246}">
          <x14:formula1>
            <xm:f>'Tabla Valoración controles'!$D$4:$D$6</xm:f>
          </x14:formula1>
          <xm:sqref>Z15:Z32</xm:sqref>
        </x14:dataValidation>
        <x14:dataValidation type="list" allowBlank="1" showInputMessage="1" showErrorMessage="1" xr:uid="{CB1D46A3-D42A-4715-B5F2-E74EC9B922FD}">
          <x14:formula1>
            <xm:f>'Tabla Valoración controles'!$D$7:$D$8</xm:f>
          </x14:formula1>
          <xm:sqref>AA15:AA32</xm:sqref>
        </x14:dataValidation>
        <x14:dataValidation type="list" allowBlank="1" showInputMessage="1" showErrorMessage="1" xr:uid="{6B01B280-5073-4EC5-A313-ADD1B14A1AE3}">
          <x14:formula1>
            <xm:f>'Tabla Valoración controles'!$D$9:$D$10</xm:f>
          </x14:formula1>
          <xm:sqref>AC15:AC32</xm:sqref>
        </x14:dataValidation>
        <x14:dataValidation type="list" allowBlank="1" showInputMessage="1" showErrorMessage="1" xr:uid="{D338F724-66DD-4764-AEF2-CBF09314BF2B}">
          <x14:formula1>
            <xm:f>'Tabla Valoración controles'!$D$11:$D$12</xm:f>
          </x14:formula1>
          <xm:sqref>AD15:AD32</xm:sqref>
        </x14:dataValidation>
        <x14:dataValidation type="list" allowBlank="1" showInputMessage="1" showErrorMessage="1" xr:uid="{FB52A918-2871-4987-B7C9-0AE85A06004B}">
          <x14:formula1>
            <xm:f>'Tabla Valoración controles'!$D$13:$D$14</xm:f>
          </x14:formula1>
          <xm:sqref>AE15:AE32</xm:sqref>
        </x14:dataValidation>
        <x14:dataValidation type="custom" allowBlank="1" showInputMessage="1" showErrorMessage="1" error="Recuerde que las acciones se generan bajo la medida de mitigar el riesgo" xr:uid="{26D01BA2-59B4-464B-AB76-30529392A755}">
          <x14:formula1>
            <xm:f>IF(OR(#REF!='Opciones Tratamiento'!$B$2,#REF!='Opciones Tratamiento'!$B$3,#REF!='Opciones Tratamiento'!$B$4),ISBLANK(#REF!),ISTEXT(#REF!))</xm:f>
          </x14:formula1>
          <xm:sqref>BD15:BD32 BC15</xm:sqref>
        </x14:dataValidation>
        <x14:dataValidation type="custom" allowBlank="1" showInputMessage="1" showErrorMessage="1" error="Recuerde que las acciones se generan bajo la medida de mitigar el riesgo" xr:uid="{EE7BB833-9764-41FF-B007-3926648232E1}">
          <x14:formula1>
            <xm:f>IF(OR(AQ21='Opciones Tratamiento'!$B$2,AQ21='Opciones Tratamiento'!$B$3,AQ21='Opciones Tratamiento'!$B$4),ISBLANK(AQ21),ISTEXT(AQ21))</xm:f>
          </x14:formula1>
          <xm:sqref>BA21:BA32</xm:sqref>
        </x14:dataValidation>
        <x14:dataValidation type="list" allowBlank="1" showInputMessage="1" showErrorMessage="1" xr:uid="{AB1C5DE4-2203-4588-B629-0786D5138E5A}">
          <x14:formula1>
            <xm:f>Formulas!$B$3:$B$6</xm:f>
          </x14:formula1>
          <xm:sqref>E15:E16</xm:sqref>
        </x14:dataValidation>
        <x14:dataValidation type="list" allowBlank="1" showInputMessage="1" showErrorMessage="1" xr:uid="{5A455F28-5F2F-4215-8B34-E64C7C7848E5}">
          <x14:formula1>
            <xm:f>Formulas!$D$3:$D$6</xm:f>
          </x14:formula1>
          <xm:sqref>F15:F32</xm:sqref>
        </x14:dataValidation>
        <x14:dataValidation type="list" allowBlank="1" showInputMessage="1" showErrorMessage="1" xr:uid="{D1A28E82-EAA3-4F72-B29A-B3F8D1BA5B31}">
          <x14:formula1>
            <xm:f>Formulas!$E$3:$E$5</xm:f>
          </x14:formula1>
          <xm:sqref>G15:G16</xm:sqref>
        </x14:dataValidation>
        <x14:dataValidation type="custom" allowBlank="1" showInputMessage="1" showErrorMessage="1" error="Recuerde que las acciones se generan bajo la medida de mitigar el riesgo" xr:uid="{CB80FB53-FB6D-4A7C-BD42-99639A62552D}">
          <x14:formula1>
            <xm:f>IF(OR(AM16='Opciones Tratamiento'!$B$2,AM16='Opciones Tratamiento'!$B$3,AM16='Opciones Tratamiento'!$B$4),ISBLANK(AM16),ISTEXT(AM16))</xm:f>
          </x14:formula1>
          <xm:sqref>AQ15 AQ31 AQ29 AQ27 AQ25 AQ23 AQ21 AQ19 AQ17 AU17 AU19 AU21 AU23 AU25 AU27 AU29 AU31</xm:sqref>
        </x14:dataValidation>
        <x14:dataValidation type="list" allowBlank="1" showInputMessage="1" showErrorMessage="1" error="Recuerde que las acciones se generan bajo la medida de mitigar el riesgo" xr:uid="{25768860-97A5-4932-93B1-97F70B0EC9FE}">
          <x14:formula1>
            <xm:f>Formulas!$H$3:$H$4</xm:f>
          </x14:formula1>
          <xm:sqref>AT15:AT32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D8156-F146-46A6-9BAB-A1AE85BB8A43}">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5EAFC-75D6-47F1-A088-9ED0BBE9F008}">
  <dimension ref="Q11:Q12"/>
  <sheetViews>
    <sheetView workbookViewId="0">
      <selection activeCell="Q11" sqref="Q11"/>
    </sheetView>
  </sheetViews>
  <sheetFormatPr defaultColWidth="9.140625" defaultRowHeight="15"/>
  <cols>
    <col min="17" max="17" width="52.7109375" customWidth="1"/>
  </cols>
  <sheetData>
    <row r="11" spans="17:17">
      <c r="Q11" s="222"/>
    </row>
    <row r="12" spans="17:17" ht="15.75">
      <c r="Q12" s="2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defaultColWidth="11.42578125" defaultRowHeight="15"/>
  <cols>
    <col min="1" max="1" width="129.7109375" bestFit="1" customWidth="1"/>
  </cols>
  <sheetData>
    <row r="1" spans="1:2">
      <c r="A1" t="s">
        <v>183</v>
      </c>
      <c r="B1" t="s">
        <v>104</v>
      </c>
    </row>
    <row r="2" spans="1:2">
      <c r="A2" t="s">
        <v>184</v>
      </c>
      <c r="B2" t="s">
        <v>185</v>
      </c>
    </row>
    <row r="3" spans="1:2">
      <c r="A3" t="s">
        <v>186</v>
      </c>
      <c r="B3" t="s">
        <v>187</v>
      </c>
    </row>
    <row r="4" spans="1:2">
      <c r="A4" t="s">
        <v>188</v>
      </c>
      <c r="B4" t="s">
        <v>189</v>
      </c>
    </row>
    <row r="5" spans="1:2">
      <c r="A5" t="s">
        <v>190</v>
      </c>
      <c r="B5" t="s">
        <v>191</v>
      </c>
    </row>
    <row r="6" spans="1:2">
      <c r="A6" t="s">
        <v>192</v>
      </c>
      <c r="B6" t="s">
        <v>193</v>
      </c>
    </row>
    <row r="7" spans="1:2">
      <c r="A7" t="s">
        <v>194</v>
      </c>
      <c r="B7" t="s">
        <v>185</v>
      </c>
    </row>
    <row r="8" spans="1:2">
      <c r="A8" t="s">
        <v>195</v>
      </c>
      <c r="B8" t="s">
        <v>187</v>
      </c>
    </row>
    <row r="9" spans="1:2">
      <c r="A9" t="s">
        <v>135</v>
      </c>
      <c r="B9" t="s">
        <v>189</v>
      </c>
    </row>
    <row r="10" spans="1:2">
      <c r="A10" t="s">
        <v>196</v>
      </c>
      <c r="B10" t="s">
        <v>191</v>
      </c>
    </row>
    <row r="11" spans="1:2">
      <c r="A11" t="s">
        <v>162</v>
      </c>
      <c r="B11" t="s">
        <v>193</v>
      </c>
    </row>
    <row r="12" spans="1:2">
      <c r="A12" t="s">
        <v>116</v>
      </c>
      <c r="B12" t="s">
        <v>189</v>
      </c>
    </row>
    <row r="13" spans="1:2">
      <c r="A13" t="s">
        <v>197</v>
      </c>
      <c r="B13" t="s">
        <v>191</v>
      </c>
    </row>
    <row r="14" spans="1:2">
      <c r="A14" t="s">
        <v>198</v>
      </c>
      <c r="B14" t="s">
        <v>193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defaultColWidth="11.42578125" defaultRowHeight="15"/>
  <cols>
    <col min="1" max="1" width="4" customWidth="1"/>
    <col min="2" max="3" width="31.28515625" customWidth="1"/>
    <col min="4" max="4" width="30.42578125" customWidth="1"/>
    <col min="5" max="5" width="24.42578125" customWidth="1"/>
    <col min="6" max="6" width="22.7109375" customWidth="1"/>
    <col min="7" max="7" width="37" customWidth="1"/>
    <col min="8" max="8" width="21.28515625" customWidth="1"/>
    <col min="9" max="9" width="13.7109375" customWidth="1"/>
    <col min="10" max="10" width="17.28515625" customWidth="1"/>
    <col min="13" max="13" width="15.7109375" customWidth="1"/>
    <col min="14" max="14" width="14.7109375" customWidth="1"/>
    <col min="17" max="17" width="24.7109375" customWidth="1"/>
    <col min="18" max="18" width="29.5703125" customWidth="1"/>
  </cols>
  <sheetData>
    <row r="1" spans="2:18">
      <c r="B1" s="367" t="s">
        <v>52</v>
      </c>
      <c r="C1" s="367"/>
      <c r="D1" s="367"/>
      <c r="E1" s="367"/>
      <c r="F1" s="367"/>
      <c r="G1" s="367"/>
      <c r="H1" s="367"/>
      <c r="I1" s="367"/>
      <c r="J1" s="367"/>
      <c r="L1" s="367" t="s">
        <v>54</v>
      </c>
      <c r="M1" s="367"/>
      <c r="N1" s="367"/>
      <c r="O1" s="367"/>
      <c r="P1" s="367"/>
      <c r="Q1" s="367"/>
      <c r="R1" s="367"/>
    </row>
    <row r="2" spans="2:18" ht="50.25" customHeight="1">
      <c r="B2" s="167" t="s">
        <v>199</v>
      </c>
      <c r="C2" s="167" t="s">
        <v>200</v>
      </c>
      <c r="D2" s="166" t="s">
        <v>60</v>
      </c>
      <c r="E2" s="166" t="s">
        <v>201</v>
      </c>
      <c r="F2" s="166" t="s">
        <v>202</v>
      </c>
      <c r="G2" s="167" t="s">
        <v>203</v>
      </c>
      <c r="H2" s="167" t="s">
        <v>204</v>
      </c>
      <c r="I2" s="167" t="s">
        <v>205</v>
      </c>
      <c r="J2" s="166" t="s">
        <v>206</v>
      </c>
      <c r="L2" s="165" t="s">
        <v>102</v>
      </c>
      <c r="M2" s="165" t="s">
        <v>103</v>
      </c>
      <c r="N2" s="165" t="s">
        <v>55</v>
      </c>
      <c r="O2" s="165" t="s">
        <v>105</v>
      </c>
      <c r="P2" s="165" t="s">
        <v>106</v>
      </c>
      <c r="Q2" s="165" t="s">
        <v>83</v>
      </c>
      <c r="R2" s="168" t="s">
        <v>207</v>
      </c>
    </row>
    <row r="3" spans="2:18" ht="25.5">
      <c r="B3" s="18" t="s">
        <v>129</v>
      </c>
      <c r="C3" s="18" t="s">
        <v>208</v>
      </c>
      <c r="D3" s="111" t="s">
        <v>209</v>
      </c>
      <c r="E3" s="111" t="s">
        <v>210</v>
      </c>
      <c r="F3" t="s">
        <v>211</v>
      </c>
      <c r="G3" s="111" t="s">
        <v>212</v>
      </c>
      <c r="H3" t="s">
        <v>14</v>
      </c>
      <c r="I3" t="s">
        <v>213</v>
      </c>
      <c r="J3" t="s">
        <v>161</v>
      </c>
      <c r="L3" s="2" t="s">
        <v>119</v>
      </c>
      <c r="M3" s="2" t="s">
        <v>214</v>
      </c>
      <c r="N3" s="2" t="s">
        <v>121</v>
      </c>
      <c r="O3" s="2" t="s">
        <v>122</v>
      </c>
      <c r="P3" s="2" t="s">
        <v>215</v>
      </c>
      <c r="Q3" s="2" t="s">
        <v>216</v>
      </c>
      <c r="R3" t="s">
        <v>217</v>
      </c>
    </row>
    <row r="4" spans="2:18" ht="31.5" customHeight="1">
      <c r="B4" s="18" t="s">
        <v>107</v>
      </c>
      <c r="C4" s="18" t="s">
        <v>218</v>
      </c>
      <c r="D4" s="111" t="s">
        <v>108</v>
      </c>
      <c r="E4" s="111" t="s">
        <v>219</v>
      </c>
      <c r="F4" t="s">
        <v>220</v>
      </c>
      <c r="G4" s="111" t="s">
        <v>113</v>
      </c>
      <c r="H4" t="s">
        <v>15</v>
      </c>
      <c r="I4" t="s">
        <v>221</v>
      </c>
      <c r="J4" t="s">
        <v>222</v>
      </c>
      <c r="L4" s="2" t="s">
        <v>223</v>
      </c>
      <c r="M4" s="2" t="s">
        <v>120</v>
      </c>
      <c r="N4" s="2" t="s">
        <v>224</v>
      </c>
      <c r="O4" s="2" t="s">
        <v>225</v>
      </c>
      <c r="P4" s="2" t="s">
        <v>226</v>
      </c>
      <c r="Q4" s="2" t="s">
        <v>227</v>
      </c>
      <c r="R4" t="s">
        <v>228</v>
      </c>
    </row>
    <row r="5" spans="2:18" ht="26.25" customHeight="1">
      <c r="B5" s="18" t="s">
        <v>229</v>
      </c>
      <c r="C5" s="18" t="s">
        <v>230</v>
      </c>
      <c r="D5" s="111" t="s">
        <v>231</v>
      </c>
      <c r="E5" s="111" t="s">
        <v>232</v>
      </c>
      <c r="F5" t="s">
        <v>233</v>
      </c>
      <c r="G5" s="111" t="s">
        <v>234</v>
      </c>
      <c r="I5" t="s">
        <v>235</v>
      </c>
      <c r="J5" t="s">
        <v>115</v>
      </c>
      <c r="L5" s="2" t="s">
        <v>236</v>
      </c>
      <c r="P5" s="2" t="s">
        <v>237</v>
      </c>
      <c r="Q5" s="2" t="s">
        <v>238</v>
      </c>
    </row>
    <row r="6" spans="2:18" ht="24.75" customHeight="1">
      <c r="B6" s="18" t="s">
        <v>67</v>
      </c>
      <c r="C6" s="18" t="s">
        <v>239</v>
      </c>
      <c r="D6" s="111"/>
      <c r="F6" t="s">
        <v>109</v>
      </c>
      <c r="G6" s="111" t="s">
        <v>240</v>
      </c>
      <c r="I6" t="s">
        <v>241</v>
      </c>
      <c r="J6" t="s">
        <v>242</v>
      </c>
      <c r="Q6" s="2" t="s">
        <v>125</v>
      </c>
    </row>
    <row r="7" spans="2:18" ht="26.25" customHeight="1">
      <c r="B7" s="18"/>
      <c r="C7" s="18" t="s">
        <v>243</v>
      </c>
      <c r="D7" s="111"/>
      <c r="F7" t="s">
        <v>130</v>
      </c>
      <c r="G7" s="111" t="s">
        <v>244</v>
      </c>
      <c r="I7" t="s">
        <v>245</v>
      </c>
      <c r="Q7" s="2" t="s">
        <v>246</v>
      </c>
    </row>
    <row r="8" spans="2:18" ht="30">
      <c r="B8" s="18"/>
      <c r="C8" s="18"/>
      <c r="D8" s="111"/>
      <c r="F8" t="s">
        <v>247</v>
      </c>
      <c r="G8" s="111" t="s">
        <v>248</v>
      </c>
      <c r="I8" s="111" t="s">
        <v>249</v>
      </c>
    </row>
    <row r="9" spans="2:18" ht="31.5" customHeight="1">
      <c r="B9" s="18"/>
      <c r="C9" s="18"/>
      <c r="D9" s="111"/>
      <c r="G9" s="111" t="s">
        <v>250</v>
      </c>
      <c r="I9" t="s">
        <v>251</v>
      </c>
    </row>
    <row r="10" spans="2:18">
      <c r="B10" s="18"/>
      <c r="C10" s="18"/>
      <c r="D10" s="111"/>
      <c r="I10" t="s">
        <v>252</v>
      </c>
    </row>
    <row r="11" spans="2:18">
      <c r="B11" s="18"/>
      <c r="C11" s="18"/>
      <c r="D11" s="111"/>
    </row>
    <row r="12" spans="2:18">
      <c r="B12" s="18"/>
      <c r="C12" s="18"/>
      <c r="I12" t="s">
        <v>252</v>
      </c>
    </row>
    <row r="13" spans="2:18">
      <c r="B13" s="18"/>
      <c r="C13" s="18"/>
    </row>
  </sheetData>
  <mergeCells count="2">
    <mergeCell ref="B1:J1"/>
    <mergeCell ref="L1:R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defaultColWidth="11.42578125" defaultRowHeight="15"/>
  <sheetData>
    <row r="2" spans="2:2">
      <c r="B2" t="s">
        <v>253</v>
      </c>
    </row>
    <row r="30" spans="2:2">
      <c r="B30" t="s">
        <v>254</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defaultColWidth="11.42578125" defaultRowHeight="15"/>
  <cols>
    <col min="3" max="3" width="119" customWidth="1"/>
    <col min="4" max="4" width="33.28515625" customWidth="1"/>
  </cols>
  <sheetData>
    <row r="1" spans="3:4" ht="15.75" thickBot="1"/>
    <row r="2" spans="3:4">
      <c r="C2" s="368" t="s">
        <v>255</v>
      </c>
      <c r="D2" s="369"/>
    </row>
    <row r="3" spans="3:4">
      <c r="C3" s="370"/>
      <c r="D3" s="371"/>
    </row>
    <row r="4" spans="3:4" ht="15.75" thickBot="1">
      <c r="C4" s="150" t="s">
        <v>256</v>
      </c>
      <c r="D4" s="151" t="s">
        <v>257</v>
      </c>
    </row>
    <row r="5" spans="3:4" ht="30" customHeight="1">
      <c r="C5" s="152" t="s">
        <v>258</v>
      </c>
      <c r="D5" s="153">
        <v>1</v>
      </c>
    </row>
    <row r="6" spans="3:4" ht="28.5" customHeight="1">
      <c r="C6" s="154" t="s">
        <v>259</v>
      </c>
      <c r="D6" s="155">
        <v>1</v>
      </c>
    </row>
    <row r="7" spans="3:4" ht="28.5" customHeight="1">
      <c r="C7" s="156" t="s">
        <v>260</v>
      </c>
      <c r="D7" s="155">
        <v>1</v>
      </c>
    </row>
    <row r="8" spans="3:4" ht="28.5" customHeight="1">
      <c r="C8" s="156" t="s">
        <v>261</v>
      </c>
      <c r="D8" s="155">
        <v>1</v>
      </c>
    </row>
    <row r="9" spans="3:4" ht="18.600000000000001" customHeight="1">
      <c r="C9" s="156" t="s">
        <v>262</v>
      </c>
      <c r="D9" s="155">
        <v>1</v>
      </c>
    </row>
    <row r="10" spans="3:4" ht="28.5" customHeight="1">
      <c r="C10" s="156" t="s">
        <v>263</v>
      </c>
      <c r="D10" s="155">
        <v>1</v>
      </c>
    </row>
    <row r="11" spans="3:4" ht="21" customHeight="1">
      <c r="C11" s="154" t="s">
        <v>264</v>
      </c>
      <c r="D11" s="155">
        <v>1</v>
      </c>
    </row>
    <row r="12" spans="3:4" ht="21" customHeight="1">
      <c r="C12" s="154" t="s">
        <v>265</v>
      </c>
      <c r="D12" s="155">
        <v>1</v>
      </c>
    </row>
    <row r="13" spans="3:4" ht="21.6" customHeight="1">
      <c r="C13" s="154" t="s">
        <v>266</v>
      </c>
      <c r="D13" s="155">
        <v>1</v>
      </c>
    </row>
    <row r="14" spans="3:4" ht="28.5" customHeight="1">
      <c r="C14" s="154" t="s">
        <v>267</v>
      </c>
      <c r="D14" s="155">
        <v>1</v>
      </c>
    </row>
    <row r="15" spans="3:4" ht="22.5" customHeight="1">
      <c r="C15" s="157"/>
      <c r="D15" s="155">
        <v>1</v>
      </c>
    </row>
    <row r="16" spans="3:4" ht="28.5" customHeight="1">
      <c r="C16" s="158" t="s">
        <v>268</v>
      </c>
      <c r="D16" s="159"/>
    </row>
    <row r="17" spans="3:4" ht="28.5" customHeight="1">
      <c r="C17" s="152" t="s">
        <v>269</v>
      </c>
      <c r="D17" s="155">
        <v>1</v>
      </c>
    </row>
    <row r="18" spans="3:4" ht="28.5" customHeight="1">
      <c r="C18" s="152" t="s">
        <v>270</v>
      </c>
      <c r="D18" s="155">
        <v>1</v>
      </c>
    </row>
    <row r="19" spans="3:4" ht="28.5" customHeight="1">
      <c r="C19" s="152" t="s">
        <v>271</v>
      </c>
      <c r="D19" s="155">
        <v>1</v>
      </c>
    </row>
    <row r="20" spans="3:4" ht="28.5" customHeight="1">
      <c r="C20" s="154" t="s">
        <v>272</v>
      </c>
      <c r="D20" s="155">
        <v>1</v>
      </c>
    </row>
    <row r="21" spans="3:4" ht="28.5" customHeight="1">
      <c r="C21" s="152" t="s">
        <v>273</v>
      </c>
      <c r="D21" s="155">
        <v>1</v>
      </c>
    </row>
    <row r="22" spans="3:4" ht="28.5" customHeight="1">
      <c r="C22" s="160" t="s">
        <v>274</v>
      </c>
      <c r="D22" s="155">
        <v>1</v>
      </c>
    </row>
    <row r="23" spans="3:4" ht="28.5" customHeight="1">
      <c r="C23" s="152" t="s">
        <v>275</v>
      </c>
      <c r="D23" s="155">
        <v>1</v>
      </c>
    </row>
    <row r="24" spans="3:4" ht="28.5" customHeight="1">
      <c r="C24" s="152" t="s">
        <v>276</v>
      </c>
      <c r="D24" s="155">
        <v>1</v>
      </c>
    </row>
    <row r="25" spans="3:4" ht="28.5" customHeight="1">
      <c r="C25" s="157"/>
      <c r="D25" s="155">
        <v>1</v>
      </c>
    </row>
    <row r="26" spans="3:4" ht="28.5" customHeight="1">
      <c r="C26" s="157"/>
      <c r="D26" s="155">
        <v>1</v>
      </c>
    </row>
    <row r="27" spans="3:4" ht="28.5" customHeight="1">
      <c r="C27" s="158" t="s">
        <v>277</v>
      </c>
      <c r="D27" s="161"/>
    </row>
    <row r="28" spans="3:4" ht="28.5" customHeight="1">
      <c r="C28" s="156" t="s">
        <v>278</v>
      </c>
      <c r="D28" s="155">
        <v>1</v>
      </c>
    </row>
    <row r="29" spans="3:4" ht="28.5" customHeight="1">
      <c r="C29" s="156" t="s">
        <v>279</v>
      </c>
      <c r="D29" s="155">
        <v>1</v>
      </c>
    </row>
    <row r="30" spans="3:4" ht="28.5" customHeight="1">
      <c r="C30" s="156" t="s">
        <v>280</v>
      </c>
      <c r="D30" s="155">
        <v>1</v>
      </c>
    </row>
    <row r="31" spans="3:4" ht="28.5" customHeight="1">
      <c r="C31" s="156" t="s">
        <v>281</v>
      </c>
      <c r="D31" s="155">
        <v>1</v>
      </c>
    </row>
    <row r="32" spans="3:4" ht="28.5" customHeight="1">
      <c r="C32" s="156" t="s">
        <v>282</v>
      </c>
      <c r="D32" s="155">
        <v>1</v>
      </c>
    </row>
    <row r="33" spans="3:4" ht="28.5" customHeight="1">
      <c r="C33" s="162" t="s">
        <v>283</v>
      </c>
      <c r="D33" s="155">
        <v>1</v>
      </c>
    </row>
    <row r="34" spans="3:4" ht="28.5" customHeight="1">
      <c r="C34" s="154" t="s">
        <v>284</v>
      </c>
      <c r="D34" s="155">
        <v>1</v>
      </c>
    </row>
    <row r="35" spans="3:4" ht="28.5" customHeight="1">
      <c r="C35" s="156" t="s">
        <v>285</v>
      </c>
      <c r="D35" s="155">
        <v>1</v>
      </c>
    </row>
    <row r="36" spans="3:4" ht="28.5" customHeight="1">
      <c r="C36" s="156" t="s">
        <v>286</v>
      </c>
      <c r="D36" s="155">
        <v>1</v>
      </c>
    </row>
    <row r="37" spans="3:4" ht="28.5" customHeight="1">
      <c r="C37" s="156" t="s">
        <v>287</v>
      </c>
      <c r="D37" s="155">
        <v>1</v>
      </c>
    </row>
    <row r="38" spans="3:4" ht="28.5" customHeight="1">
      <c r="C38" s="154" t="s">
        <v>288</v>
      </c>
      <c r="D38" s="155">
        <v>1</v>
      </c>
    </row>
    <row r="39" spans="3:4" ht="28.5" customHeight="1">
      <c r="C39" s="162" t="s">
        <v>289</v>
      </c>
      <c r="D39" s="155">
        <v>1</v>
      </c>
    </row>
    <row r="40" spans="3:4" ht="28.5" customHeight="1">
      <c r="C40" s="162" t="s">
        <v>290</v>
      </c>
      <c r="D40" s="155">
        <v>1</v>
      </c>
    </row>
    <row r="41" spans="3:4" ht="28.5" customHeight="1">
      <c r="C41" s="162" t="s">
        <v>291</v>
      </c>
      <c r="D41" s="155">
        <v>1</v>
      </c>
    </row>
    <row r="42" spans="3:4" ht="28.5" customHeight="1">
      <c r="C42" s="162" t="s">
        <v>292</v>
      </c>
      <c r="D42" s="155">
        <v>1</v>
      </c>
    </row>
    <row r="43" spans="3:4" ht="28.5" customHeight="1">
      <c r="C43" s="163"/>
      <c r="D43" s="155"/>
    </row>
    <row r="44" spans="3:4" ht="28.5" customHeight="1">
      <c r="C44" s="163"/>
      <c r="D44" s="155"/>
    </row>
    <row r="45" spans="3:4" ht="28.5" customHeight="1">
      <c r="C45" s="158" t="s">
        <v>293</v>
      </c>
      <c r="D45" s="161"/>
    </row>
    <row r="46" spans="3:4" ht="28.5" customHeight="1">
      <c r="C46" s="162" t="s">
        <v>294</v>
      </c>
      <c r="D46" s="155">
        <v>1</v>
      </c>
    </row>
    <row r="47" spans="3:4" ht="28.5" customHeight="1">
      <c r="C47" s="162" t="s">
        <v>295</v>
      </c>
      <c r="D47" s="155">
        <v>1</v>
      </c>
    </row>
    <row r="48" spans="3:4" ht="28.5" customHeight="1">
      <c r="C48" s="162" t="s">
        <v>296</v>
      </c>
      <c r="D48" s="155">
        <v>1</v>
      </c>
    </row>
    <row r="49" spans="3:4" ht="28.5" customHeight="1">
      <c r="C49" s="162" t="s">
        <v>297</v>
      </c>
      <c r="D49" s="155">
        <v>1</v>
      </c>
    </row>
    <row r="50" spans="3:4" ht="28.5" customHeight="1">
      <c r="C50" s="164" t="s">
        <v>298</v>
      </c>
      <c r="D50" s="155">
        <v>1</v>
      </c>
    </row>
    <row r="51" spans="3:4" ht="28.5" customHeight="1">
      <c r="C51" s="164" t="s">
        <v>299</v>
      </c>
      <c r="D51" s="155">
        <v>1</v>
      </c>
    </row>
    <row r="52" spans="3:4" ht="28.5" customHeight="1">
      <c r="C52" s="164" t="s">
        <v>300</v>
      </c>
      <c r="D52" s="155">
        <v>1</v>
      </c>
    </row>
    <row r="53" spans="3:4" ht="28.5" customHeight="1">
      <c r="C53" s="152" t="s">
        <v>301</v>
      </c>
      <c r="D53" s="155">
        <v>1</v>
      </c>
    </row>
    <row r="54" spans="3:4" ht="28.5" customHeight="1">
      <c r="C54" s="152" t="s">
        <v>302</v>
      </c>
      <c r="D54" s="155">
        <v>1</v>
      </c>
    </row>
    <row r="55" spans="3:4" ht="28.5" customHeight="1"/>
    <row r="56" spans="3:4" ht="11.1" customHeight="1"/>
    <row r="57" spans="3:4" ht="11.1" customHeight="1"/>
    <row r="58" spans="3:4" ht="11.1" customHeight="1"/>
    <row r="59" spans="3:4" ht="11.1" customHeight="1"/>
    <row r="60" spans="3:4" ht="11.1" customHeight="1"/>
    <row r="61" spans="3:4" ht="11.1" customHeight="1"/>
    <row r="62" spans="3:4" ht="11.1" customHeight="1"/>
    <row r="63" spans="3:4" ht="11.1" customHeight="1"/>
    <row r="64" spans="3: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Calidad ETITC</cp:lastModifiedBy>
  <cp:revision/>
  <dcterms:created xsi:type="dcterms:W3CDTF">2020-03-24T23:12:47Z</dcterms:created>
  <dcterms:modified xsi:type="dcterms:W3CDTF">2026-08-28T21:50:35Z</dcterms:modified>
  <cp:category/>
  <cp:contentStatus/>
</cp:coreProperties>
</file>