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H:\CONTRATOS\ETITC\2025\Riesgos 2025\"/>
    </mc:Choice>
  </mc:AlternateContent>
  <xr:revisionPtr revIDLastSave="0" documentId="13_ncr:1_{A4837080-A37A-43D1-BB7B-35F59EF4A1C2}" xr6:coauthVersionLast="36" xr6:coauthVersionMax="36" xr10:uidLastSave="{00000000-0000-0000-0000-000000000000}"/>
  <bookViews>
    <workbookView showSheetTabs="0" xWindow="0" yWindow="0" windowWidth="3390" windowHeight="5385"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59" r:id="rId24"/>
  </pivotCaches>
</workbook>
</file>

<file path=xl/calcChain.xml><?xml version="1.0" encoding="utf-8"?>
<calcChain xmlns="http://schemas.openxmlformats.org/spreadsheetml/2006/main">
  <c r="N19" i="18" l="1"/>
  <c r="N27" i="18"/>
  <c r="AD21" i="1"/>
  <c r="AA21" i="1"/>
  <c r="Q21" i="1"/>
  <c r="AD20" i="1"/>
  <c r="AA20" i="1"/>
  <c r="Q20" i="1"/>
  <c r="R20" i="1" s="1"/>
  <c r="AD19" i="1"/>
  <c r="AA19" i="1"/>
  <c r="Q19" i="1"/>
  <c r="R19" i="1" s="1"/>
  <c r="AD18" i="1"/>
  <c r="AA18" i="1"/>
  <c r="Q18" i="1"/>
  <c r="AI20" i="1" l="1"/>
  <c r="AK20" i="1" s="1"/>
  <c r="AI19" i="1"/>
  <c r="AJ19" i="1" s="1"/>
  <c r="R18" i="1"/>
  <c r="AI18" i="1" s="1"/>
  <c r="AK18" i="1" s="1"/>
  <c r="R21" i="1"/>
  <c r="AI21" i="1" s="1"/>
  <c r="AJ20" i="1" l="1"/>
  <c r="AK19" i="1"/>
  <c r="AJ18" i="1"/>
  <c r="AK21" i="1"/>
  <c r="AJ21" i="1"/>
  <c r="Q16" i="1" l="1"/>
  <c r="R16" i="1" s="1"/>
  <c r="AA16" i="1"/>
  <c r="AI16" i="1" s="1"/>
  <c r="AD16" i="1"/>
  <c r="Q17" i="1"/>
  <c r="R17" i="1" s="1"/>
  <c r="AA17" i="1"/>
  <c r="AD17" i="1"/>
  <c r="Q22" i="1"/>
  <c r="AA22" i="1"/>
  <c r="AD22" i="1"/>
  <c r="AD15" i="1"/>
  <c r="AA15" i="1"/>
  <c r="Q15" i="1"/>
  <c r="AM22" i="1" l="1"/>
  <c r="AL22" i="1" s="1"/>
  <c r="AI22" i="1"/>
  <c r="AI17" i="1"/>
  <c r="AI15" i="1"/>
  <c r="AJ16" i="1"/>
  <c r="AK16" i="1"/>
  <c r="R22" i="1"/>
  <c r="R15" i="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L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49" i="18"/>
  <c r="N49" i="18"/>
  <c r="P49" i="18"/>
  <c r="R49" i="18"/>
  <c r="T49" i="18"/>
  <c r="V49" i="18"/>
  <c r="X49" i="18"/>
  <c r="Z49" i="18"/>
  <c r="AB49" i="18"/>
  <c r="AD49" i="18"/>
  <c r="AF49" i="18"/>
  <c r="AH49" i="18"/>
  <c r="AJ49" i="18"/>
  <c r="AL49" i="18"/>
  <c r="AN49" i="18"/>
  <c r="AN47" i="18"/>
  <c r="AH47" i="18"/>
  <c r="AB47" i="18"/>
  <c r="V47" i="18"/>
  <c r="P47" i="18"/>
  <c r="N47" i="18"/>
  <c r="N45" i="18"/>
  <c r="P45" i="18"/>
  <c r="L41" i="18"/>
  <c r="N41" i="18"/>
  <c r="P41" i="18"/>
  <c r="R41" i="18"/>
  <c r="T41" i="18"/>
  <c r="V41" i="18"/>
  <c r="X41" i="18"/>
  <c r="Z41" i="18"/>
  <c r="AB41" i="18"/>
  <c r="AD41" i="18"/>
  <c r="AF41" i="18"/>
  <c r="AH41" i="18"/>
  <c r="AJ41" i="18"/>
  <c r="AL41" i="18"/>
  <c r="AN41" i="18"/>
  <c r="AN39" i="18"/>
  <c r="AH39" i="18"/>
  <c r="AB39" i="18"/>
  <c r="V39" i="18"/>
  <c r="P39" i="18"/>
  <c r="N39" i="18"/>
  <c r="N37" i="18"/>
  <c r="P37" i="18"/>
  <c r="AN33" i="18"/>
  <c r="AL33" i="18"/>
  <c r="AJ33" i="18"/>
  <c r="AH33" i="18"/>
  <c r="AF33" i="18"/>
  <c r="AD33" i="18"/>
  <c r="AB33" i="18"/>
  <c r="Z33" i="18"/>
  <c r="X33" i="18"/>
  <c r="V33" i="18"/>
  <c r="T33" i="18"/>
  <c r="R33" i="18"/>
  <c r="P33" i="18"/>
  <c r="N33" i="18"/>
  <c r="L33" i="18"/>
  <c r="N31" i="18"/>
  <c r="P31" i="18"/>
  <c r="V31" i="18"/>
  <c r="AB31" i="18"/>
  <c r="AH31" i="18"/>
  <c r="AN31" i="18"/>
  <c r="P29" i="18"/>
  <c r="P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K17" i="1" l="1"/>
  <c r="AJ17" i="1"/>
  <c r="AJ22" i="1"/>
  <c r="AN22" i="1" s="1"/>
  <c r="AK22" i="1"/>
  <c r="AK15" i="1"/>
  <c r="AJ15" i="1"/>
  <c r="AN13" i="18"/>
  <c r="AN29" i="18"/>
  <c r="AN37" i="18"/>
  <c r="AN21" i="18"/>
  <c r="AN45" i="18"/>
  <c r="H10" i="27" l="1"/>
  <c r="G29" i="27" s="1"/>
  <c r="H9" i="27"/>
  <c r="H8" i="27"/>
  <c r="F29" i="27"/>
  <c r="E29" i="27"/>
  <c r="Q27" i="1" l="1"/>
  <c r="F221" i="13" l="1"/>
  <c r="F211" i="13"/>
  <c r="F212" i="13"/>
  <c r="F213" i="13"/>
  <c r="F214" i="13"/>
  <c r="F215" i="13"/>
  <c r="F216" i="13"/>
  <c r="F217" i="13"/>
  <c r="F218" i="13"/>
  <c r="F219" i="13"/>
  <c r="F220" i="13"/>
  <c r="F210" i="13"/>
  <c r="B221" i="13" a="1"/>
  <c r="B221" i="13" l="1"/>
  <c r="H210" i="13" l="1"/>
  <c r="B223" i="13" l="1"/>
  <c r="B222" i="13"/>
  <c r="AD53" i="19" l="1"/>
  <c r="X23" i="19"/>
  <c r="AJ13" i="19"/>
  <c r="X13" i="19"/>
  <c r="R43" i="19"/>
  <c r="R33" i="19"/>
  <c r="R53" i="19"/>
  <c r="R23" i="19"/>
  <c r="AD13" i="19"/>
  <c r="X53" i="19"/>
  <c r="AJ43" i="19"/>
  <c r="L43" i="19"/>
  <c r="L33" i="19"/>
  <c r="L53" i="19"/>
  <c r="AJ33" i="19"/>
  <c r="AJ23" i="19"/>
  <c r="L23" i="19"/>
  <c r="X33" i="19"/>
  <c r="AD43" i="19"/>
  <c r="AD33" i="19"/>
  <c r="AJ53" i="19"/>
  <c r="AD23" i="19"/>
  <c r="X43" i="19"/>
  <c r="R13" i="19"/>
  <c r="L13" i="19"/>
  <c r="T20" i="1" l="1"/>
  <c r="U20" i="1" s="1"/>
  <c r="T22" i="1"/>
  <c r="U22" i="1" s="1"/>
  <c r="T21" i="1"/>
  <c r="U21" i="1" s="1"/>
  <c r="T18" i="1"/>
  <c r="U18" i="1" s="1"/>
  <c r="T19" i="1"/>
  <c r="U19" i="1" s="1"/>
  <c r="T16" i="1"/>
  <c r="U16" i="1" s="1"/>
  <c r="T17" i="1"/>
  <c r="U17" i="1" s="1"/>
  <c r="T15" i="1"/>
  <c r="U15" i="1" s="1"/>
  <c r="R27" i="18" l="1"/>
  <c r="X35" i="18"/>
  <c r="R19" i="18"/>
  <c r="R11" i="18"/>
  <c r="W15" i="1"/>
  <c r="AJ11" i="18"/>
  <c r="AD11" i="18"/>
  <c r="X43" i="18"/>
  <c r="R43" i="18"/>
  <c r="L35" i="18"/>
  <c r="AD27" i="18"/>
  <c r="L27" i="18"/>
  <c r="AD43" i="18"/>
  <c r="AD19" i="18"/>
  <c r="L19" i="18"/>
  <c r="X11" i="18"/>
  <c r="AJ43" i="18"/>
  <c r="X27" i="18"/>
  <c r="V15" i="1"/>
  <c r="AM15" i="1" s="1"/>
  <c r="AL15" i="1" s="1"/>
  <c r="AJ35" i="18"/>
  <c r="L11" i="18"/>
  <c r="X19" i="18"/>
  <c r="L43" i="18"/>
  <c r="R35" i="18"/>
  <c r="AD35" i="18"/>
  <c r="AJ19" i="18"/>
  <c r="AJ27" i="18"/>
  <c r="P35" i="18"/>
  <c r="V35" i="18"/>
  <c r="AN27" i="18"/>
  <c r="AH19" i="18"/>
  <c r="AN19" i="18"/>
  <c r="V19" i="18"/>
  <c r="P43" i="18"/>
  <c r="AH11" i="18"/>
  <c r="AB27" i="18"/>
  <c r="AH43" i="18"/>
  <c r="AB11" i="18"/>
  <c r="AN43" i="18"/>
  <c r="AN35" i="18"/>
  <c r="V43" i="18"/>
  <c r="AH35" i="18"/>
  <c r="AB35" i="18"/>
  <c r="AB43" i="18"/>
  <c r="V17" i="1"/>
  <c r="AM17" i="1" s="1"/>
  <c r="AL17" i="1" s="1"/>
  <c r="AN11" i="18"/>
  <c r="AB19" i="18"/>
  <c r="V11" i="18"/>
  <c r="V27" i="18"/>
  <c r="W17" i="1"/>
  <c r="AH27" i="18"/>
  <c r="N29" i="18"/>
  <c r="W19" i="1"/>
  <c r="AL21" i="18"/>
  <c r="Z21" i="18"/>
  <c r="T37" i="18"/>
  <c r="AL13" i="18"/>
  <c r="Z37" i="18"/>
  <c r="AF21" i="18"/>
  <c r="T21" i="18"/>
  <c r="AL29" i="18"/>
  <c r="AL37" i="18"/>
  <c r="Z29" i="18"/>
  <c r="Z13" i="18"/>
  <c r="T45" i="18"/>
  <c r="V19" i="1"/>
  <c r="AM19" i="1" s="1"/>
  <c r="AL19" i="1" s="1"/>
  <c r="AF37" i="18"/>
  <c r="T29" i="18"/>
  <c r="AL45" i="18"/>
  <c r="Z45" i="18"/>
  <c r="AF13" i="18"/>
  <c r="AF29" i="18"/>
  <c r="AF45" i="18"/>
  <c r="T13" i="18"/>
  <c r="L29" i="18"/>
  <c r="R21" i="18"/>
  <c r="R29" i="18"/>
  <c r="AJ13" i="18"/>
  <c r="L45" i="18"/>
  <c r="L37" i="18"/>
  <c r="AD21" i="18"/>
  <c r="R37" i="18"/>
  <c r="X21" i="18"/>
  <c r="R13" i="18"/>
  <c r="AJ29" i="18"/>
  <c r="X29" i="18"/>
  <c r="AD37" i="18"/>
  <c r="AD13" i="18"/>
  <c r="L21" i="18"/>
  <c r="W18" i="1"/>
  <c r="X45" i="18"/>
  <c r="AD45" i="18"/>
  <c r="X37" i="18"/>
  <c r="AJ45" i="18"/>
  <c r="AJ37" i="18"/>
  <c r="X13" i="18"/>
  <c r="AJ21" i="18"/>
  <c r="L13" i="18"/>
  <c r="AD29" i="18"/>
  <c r="R45" i="18"/>
  <c r="V18" i="1"/>
  <c r="AM18" i="1" s="1"/>
  <c r="AL18" i="1" s="1"/>
  <c r="L23" i="18"/>
  <c r="X31" i="18"/>
  <c r="L47" i="18"/>
  <c r="AD31" i="18"/>
  <c r="AJ47" i="18"/>
  <c r="V21" i="1"/>
  <c r="AM21" i="1" s="1"/>
  <c r="AL21" i="1" s="1"/>
  <c r="R31" i="18"/>
  <c r="AD23" i="18"/>
  <c r="X15" i="18"/>
  <c r="AJ39" i="18"/>
  <c r="X23" i="18"/>
  <c r="AD47" i="18"/>
  <c r="W21" i="1"/>
  <c r="R15" i="18"/>
  <c r="AJ31" i="18"/>
  <c r="R47" i="18"/>
  <c r="X39" i="18"/>
  <c r="AJ23" i="18"/>
  <c r="R39" i="18"/>
  <c r="L31" i="18"/>
  <c r="L39" i="18"/>
  <c r="X47" i="18"/>
  <c r="AD39" i="18"/>
  <c r="R23" i="18"/>
  <c r="AJ15" i="18"/>
  <c r="L15" i="18"/>
  <c r="AD15" i="18"/>
  <c r="V22" i="1"/>
  <c r="T31" i="18"/>
  <c r="AL15" i="18"/>
  <c r="Z23" i="18"/>
  <c r="Z31" i="18"/>
  <c r="T39" i="18"/>
  <c r="AL23" i="18"/>
  <c r="T47" i="18"/>
  <c r="Z47" i="18"/>
  <c r="AF47" i="18"/>
  <c r="W22" i="1"/>
  <c r="AL47" i="18"/>
  <c r="AF39" i="18"/>
  <c r="AF15" i="18"/>
  <c r="Z15" i="18"/>
  <c r="AF31" i="18"/>
  <c r="T15" i="18"/>
  <c r="AF23" i="18"/>
  <c r="Z39" i="18"/>
  <c r="AL39" i="18"/>
  <c r="T23" i="18"/>
  <c r="AL31" i="18"/>
  <c r="AF35" i="18"/>
  <c r="T43" i="18"/>
  <c r="AL43" i="18"/>
  <c r="AL19" i="18"/>
  <c r="Z43" i="18"/>
  <c r="AF11" i="18"/>
  <c r="Z11" i="18"/>
  <c r="AF19" i="18"/>
  <c r="N35" i="18"/>
  <c r="Z27" i="18"/>
  <c r="T19" i="18"/>
  <c r="AF27" i="18"/>
  <c r="N43" i="18"/>
  <c r="V16" i="1"/>
  <c r="AM16" i="1" s="1"/>
  <c r="AL16" i="1" s="1"/>
  <c r="AL27" i="18"/>
  <c r="T35" i="18"/>
  <c r="AL11" i="18"/>
  <c r="AL35" i="18"/>
  <c r="Z35" i="18"/>
  <c r="T11" i="18"/>
  <c r="W16" i="1"/>
  <c r="T27" i="18"/>
  <c r="Z19" i="18"/>
  <c r="AF43" i="18"/>
  <c r="AB29" i="18"/>
  <c r="AH37" i="18"/>
  <c r="AB37" i="18"/>
  <c r="AB21" i="18"/>
  <c r="V37" i="18"/>
  <c r="AB13" i="18"/>
  <c r="AH13" i="18"/>
  <c r="V29" i="18"/>
  <c r="AH21" i="18"/>
  <c r="V45" i="18"/>
  <c r="V20" i="1"/>
  <c r="AM20" i="1" s="1"/>
  <c r="AL20" i="1" s="1"/>
  <c r="AH45" i="18"/>
  <c r="V13" i="18"/>
  <c r="W20" i="1"/>
  <c r="AB45" i="18"/>
  <c r="V21" i="18"/>
  <c r="AH29" i="18"/>
  <c r="N42" i="19" l="1"/>
  <c r="N52" i="19"/>
  <c r="Z32" i="19"/>
  <c r="T32" i="19"/>
  <c r="AF22" i="19"/>
  <c r="AL12" i="19"/>
  <c r="AL52" i="19"/>
  <c r="AL22" i="19"/>
  <c r="AL42" i="19"/>
  <c r="Z12" i="19"/>
  <c r="T22" i="19"/>
  <c r="T52" i="19"/>
  <c r="AF32" i="19"/>
  <c r="N32" i="19"/>
  <c r="AF42" i="19"/>
  <c r="AN18" i="1"/>
  <c r="AF12" i="19"/>
  <c r="Z52" i="19"/>
  <c r="Z22" i="19"/>
  <c r="Z42" i="19"/>
  <c r="N12" i="19"/>
  <c r="AF52" i="19"/>
  <c r="T42" i="19"/>
  <c r="N22" i="19"/>
  <c r="T12" i="19"/>
  <c r="AL32" i="19"/>
  <c r="L42" i="19"/>
  <c r="AN16" i="1"/>
  <c r="X42" i="19"/>
  <c r="AJ12" i="19"/>
  <c r="L22" i="19"/>
  <c r="AJ42" i="19"/>
  <c r="X12" i="19"/>
  <c r="AJ52" i="19"/>
  <c r="AD32" i="19"/>
  <c r="AD52" i="19"/>
  <c r="R32" i="19"/>
  <c r="R42" i="19"/>
  <c r="L32" i="19"/>
  <c r="R12" i="19"/>
  <c r="X32" i="19"/>
  <c r="X52" i="19"/>
  <c r="R22" i="19"/>
  <c r="AJ32" i="19"/>
  <c r="AD22" i="19"/>
  <c r="AJ22" i="19"/>
  <c r="R52" i="19"/>
  <c r="L12" i="19"/>
  <c r="AD12" i="19"/>
  <c r="L52" i="19"/>
  <c r="AD42" i="19"/>
  <c r="X22" i="19"/>
  <c r="M42" i="19"/>
  <c r="M12" i="19"/>
  <c r="M32" i="19"/>
  <c r="S52" i="19"/>
  <c r="S32" i="19"/>
  <c r="AK12" i="19"/>
  <c r="AE42" i="19"/>
  <c r="S42" i="19"/>
  <c r="AK52" i="19"/>
  <c r="AE22" i="19"/>
  <c r="S22" i="19"/>
  <c r="AE12" i="19"/>
  <c r="M22" i="19"/>
  <c r="AE52" i="19"/>
  <c r="AE32" i="19"/>
  <c r="AK22" i="19"/>
  <c r="S12" i="19"/>
  <c r="AN17" i="1"/>
  <c r="AK42" i="19"/>
  <c r="M52" i="19"/>
  <c r="AK32" i="19"/>
  <c r="K33" i="19"/>
  <c r="AN21" i="1"/>
  <c r="K13" i="19"/>
  <c r="W33" i="19"/>
  <c r="AI13" i="19"/>
  <c r="Q33" i="19"/>
  <c r="K53" i="19"/>
  <c r="Q23" i="19"/>
  <c r="AC33" i="19"/>
  <c r="AC53" i="19"/>
  <c r="K23" i="19"/>
  <c r="AI53" i="19"/>
  <c r="AI23" i="19"/>
  <c r="Q53" i="19"/>
  <c r="AI43" i="19"/>
  <c r="W53" i="19"/>
  <c r="Q13" i="19"/>
  <c r="AC23" i="19"/>
  <c r="AC13" i="19"/>
  <c r="W23" i="19"/>
  <c r="AC43" i="19"/>
  <c r="Q43" i="19"/>
  <c r="AI33" i="19"/>
  <c r="W43" i="19"/>
  <c r="W13" i="19"/>
  <c r="K43" i="19"/>
  <c r="K52" i="19"/>
  <c r="Q42" i="19"/>
  <c r="AI22" i="19"/>
  <c r="W22" i="19"/>
  <c r="AI12" i="19"/>
  <c r="AI42" i="19"/>
  <c r="W12" i="19"/>
  <c r="K32" i="19"/>
  <c r="AN15" i="1"/>
  <c r="Q32" i="19"/>
  <c r="AC52" i="19"/>
  <c r="AC42" i="19"/>
  <c r="AC32" i="19"/>
  <c r="AI52" i="19"/>
  <c r="AC12" i="19"/>
  <c r="K22" i="19"/>
  <c r="W42" i="19"/>
  <c r="W32" i="19"/>
  <c r="K12" i="19"/>
  <c r="Q22" i="19"/>
  <c r="AC22" i="19"/>
  <c r="Q12" i="19"/>
  <c r="Q52" i="19"/>
  <c r="W52" i="19"/>
  <c r="AI32" i="19"/>
  <c r="K42" i="19"/>
  <c r="O42" i="19"/>
  <c r="U42" i="19"/>
  <c r="O32" i="19"/>
  <c r="O12" i="19"/>
  <c r="AA52" i="19"/>
  <c r="U12" i="19"/>
  <c r="AM42" i="19"/>
  <c r="AA42" i="19"/>
  <c r="O52" i="19"/>
  <c r="AM32" i="19"/>
  <c r="AN19" i="1"/>
  <c r="AG52" i="19"/>
  <c r="AM22" i="19"/>
  <c r="AA22" i="19"/>
  <c r="AA12" i="19"/>
  <c r="U52" i="19"/>
  <c r="AG32" i="19"/>
  <c r="O22" i="19"/>
  <c r="AA32" i="19"/>
  <c r="U22" i="19"/>
  <c r="AG22" i="19"/>
  <c r="AG42" i="19"/>
  <c r="U32" i="19"/>
  <c r="AM12" i="19"/>
  <c r="AG12" i="19"/>
  <c r="AM52" i="19"/>
  <c r="AB42" i="19"/>
  <c r="P32" i="19"/>
  <c r="V52" i="19"/>
  <c r="AB12" i="19"/>
  <c r="V22" i="19"/>
  <c r="AB52" i="19"/>
  <c r="AN22" i="19"/>
  <c r="AN20" i="1"/>
  <c r="AB22" i="19"/>
  <c r="AH42" i="19"/>
  <c r="P12" i="19"/>
  <c r="AH22" i="19"/>
  <c r="AN12" i="19"/>
  <c r="AN42" i="19"/>
  <c r="P42" i="19"/>
  <c r="V32" i="19"/>
  <c r="P22" i="19"/>
  <c r="AB32" i="19"/>
  <c r="AN32" i="19"/>
  <c r="V12" i="19"/>
  <c r="AH32" i="19"/>
  <c r="V42" i="19"/>
  <c r="P52" i="19"/>
  <c r="AN52" i="19"/>
  <c r="AH12" i="19"/>
  <c r="AH5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<sst xmlns="http://schemas.openxmlformats.org/spreadsheetml/2006/main" count="764" uniqueCount="448">
  <si>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</si>
  <si>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</si>
  <si>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</si>
  <si>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</si>
  <si>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</si>
  <si>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</si>
  <si>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</si>
  <si>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</si>
  <si>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</si>
  <si>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</si>
  <si>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</si>
  <si>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</si>
  <si>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</si>
  <si>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</si>
  <si>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</si>
  <si>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</si>
  <si>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</si>
  <si>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</si>
  <si>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</si>
  <si>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</si>
  <si>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</si>
  <si>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</si>
  <si>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</si>
  <si>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</si>
  <si>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</si>
  <si>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</si>
  <si>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</si>
  <si>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</si>
  <si>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</si>
  <si>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</si>
  <si>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</si>
  <si>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</si>
  <si>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</si>
  <si>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</si>
  <si>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</si>
  <si>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</si>
  <si>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</si>
  <si>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</si>
  <si>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</si>
  <si>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</si>
  <si>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</si>
  <si>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</si>
  <si>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</si>
  <si>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</si>
  <si>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</si>
  <si>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</si>
  <si>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</si>
  <si>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</si>
  <si>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</si>
  <si>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</si>
  <si>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</si>
  <si>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</si>
  <si>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</si>
  <si>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</si>
  <si>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</si>
  <si>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</si>
  <si>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</si>
  <si>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</si>
  <si>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</si>
  <si>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</si>
  <si>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</si>
  <si>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</si>
  <si>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</si>
  <si>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</si>
  <si>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</si>
  <si>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</si>
  <si>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</si>
  <si>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</si>
  <si>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</si>
  <si>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</si>
  <si>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</si>
  <si>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</si>
  <si>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</si>
  <si>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</si>
  <si>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</si>
  <si>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</si>
  <si>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</si>
  <si>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</si>
  <si>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</si>
  <si>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</si>
  <si>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</si>
  <si>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</si>
  <si>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</si>
  <si>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</si>
  <si>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</si>
  <si>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</si>
  <si>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</si>
  <si>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</si>
  <si>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</si>
  <si>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</si>
  <si>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</si>
  <si>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</si>
  <si>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</si>
  <si>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</si>
  <si>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</si>
  <si>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</si>
  <si>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</si>
  <si>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</si>
  <si>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</si>
  <si>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</si>
  <si>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</si>
  <si>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</si>
  <si>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</si>
  <si>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</si>
  <si>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</si>
  <si>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</si>
  <si>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</si>
  <si>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</si>
  <si>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</si>
  <si>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</si>
  <si>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</si>
  <si>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</si>
  <si>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</si>
  <si>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</si>
  <si>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</si>
  <si>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</si>
  <si>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</si>
  <si>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</si>
  <si>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</si>
  <si>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</si>
  <si>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</si>
  <si>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</si>
  <si>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</si>
  <si>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</si>
  <si>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</si>
  <si>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</si>
  <si>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</si>
  <si>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</si>
  <si>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</si>
  <si>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</si>
  <si>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</si>
  <si>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</si>
  <si>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</si>
  <si>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</si>
  <si>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</si>
  <si>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</si>
  <si>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</si>
  <si>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</si>
  <si>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</si>
  <si>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</si>
  <si>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</si>
  <si>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</si>
  <si>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</si>
  <si>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</si>
  <si>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</si>
  <si>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</si>
  <si>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</si>
  <si>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</si>
  <si>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</si>
  <si>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</si>
  <si>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</si>
  <si>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</si>
  <si>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</si>
  <si>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</si>
  <si>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</si>
  <si>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</si>
  <si>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</si>
  <si>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</si>
  <si>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</si>
  <si>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</si>
  <si>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</si>
  <si>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</si>
  <si>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</si>
  <si>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</si>
  <si>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</si>
  <si>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</si>
  <si>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</si>
  <si>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</si>
  <si>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</si>
  <si>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</si>
  <si>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</si>
  <si>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</si>
  <si>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</si>
  <si>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</si>
  <si>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</si>
  <si>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</si>
  <si>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</si>
  <si>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</si>
  <si>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</si>
  <si>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</si>
  <si>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</si>
  <si>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</si>
  <si>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</si>
  <si>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</si>
  <si>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</si>
  <si>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</si>
  <si>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</si>
  <si>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</si>
  <si>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</si>
  <si>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</si>
  <si>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</si>
  <si>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</si>
  <si>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</si>
  <si>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</si>
  <si>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</si>
  <si>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</si>
  <si>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</si>
  <si>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</si>
  <si>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</si>
  <si>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</si>
  <si>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</si>
  <si>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</si>
  <si>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</si>
  <si>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</si>
  <si>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</si>
  <si>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</si>
  <si>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</si>
  <si>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</si>
  <si>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</si>
  <si>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</si>
  <si>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</si>
  <si>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</si>
  <si>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</si>
  <si>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</si>
  <si>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</si>
  <si>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</si>
  <si>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</si>
  <si>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</si>
  <si>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</si>
  <si>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</si>
  <si>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</si>
  <si>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</si>
  <si>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</si>
  <si>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</si>
  <si>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</si>
  <si>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</si>
  <si>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</si>
  <si>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</si>
  <si>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</si>
  <si>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</si>
  <si>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</si>
  <si>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</si>
  <si>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</si>
  <si>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</si>
  <si>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</si>
  <si>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</si>
  <si>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</si>
  <si>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</si>
  <si>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</si>
  <si>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</si>
  <si>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</si>
  <si>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</si>
  <si>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</si>
  <si>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</si>
  <si>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</si>
  <si>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</si>
  <si>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</si>
  <si>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</si>
  <si>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</si>
  <si>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</si>
  <si>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</si>
  <si>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</si>
  <si>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</si>
  <si>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</si>
  <si>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</si>
  <si>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</si>
  <si>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</si>
  <si>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</si>
  <si>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</si>
  <si>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</si>
  <si>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</si>
  <si>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</si>
  <si>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</si>
  <si>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</si>
  <si>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</si>
  <si>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</si>
  <si>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</si>
  <si>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</si>
  <si>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</si>
  <si>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</si>
  <si>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</si>
  <si>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</si>
  <si>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</si>
  <si>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</si>
  <si>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</si>
  <si>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</si>
  <si>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</si>
  <si>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</si>
  <si>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</si>
  <si>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</si>
  <si>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</si>
  <si>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</si>
  <si>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</si>
  <si>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</si>
  <si>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</si>
  <si>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</si>
  <si>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</si>
  <si>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</si>
  <si>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</si>
  <si>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</si>
  <si>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</si>
  <si>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</si>
  <si>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</si>
  <si>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</si>
  <si>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</si>
  <si>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</si>
  <si>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</si>
  <si>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</si>
  <si>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</si>
  <si>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</si>
  <si>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</si>
  <si>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</si>
  <si>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</si>
  <si>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</si>
  <si>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</si>
  <si>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</si>
  <si>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</si>
  <si>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</si>
  <si>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</si>
  <si>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</si>
  <si>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</si>
  <si>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</si>
  <si>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</si>
  <si>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</si>
  <si>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</si>
  <si>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</si>
  <si>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</si>
  <si>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</si>
  <si>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</si>
  <si>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</si>
  <si>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</si>
  <si>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</si>
  <si>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</si>
  <si>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</si>
  <si>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</si>
  <si>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</si>
  <si>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</si>
  <si>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</si>
  <si>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</si>
  <si>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</si>
  <si>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</si>
  <si>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</si>
  <si>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</si>
  <si>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</si>
  <si>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</si>
  <si>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</si>
  <si>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</si>
  <si>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</si>
  <si>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</si>
  <si>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</si>
  <si>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</si>
  <si>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</si>
  <si>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</si>
  <si>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</si>
  <si>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</si>
  <si>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</si>
  <si>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</si>
  <si>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</si>
  <si>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</si>
  <si>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</si>
  <si>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</si>
  <si>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</si>
  <si>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</si>
  <si>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</si>
  <si>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</si>
  <si>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</si>
  <si>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</si>
  <si>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</si>
  <si>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</si>
  <si>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</si>
  <si>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</si>
  <si>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</si>
  <si>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</si>
  <si>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</si>
  <si>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</si>
  <si>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</si>
  <si>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</si>
  <si>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</si>
  <si>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</si>
  <si>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</si>
  <si>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</si>
  <si>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</si>
  <si>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</si>
  <si>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</si>
  <si>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</si>
  <si>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</si>
  <si>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</si>
  <si>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</si>
  <si>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</si>
  <si>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</si>
  <si>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</si>
  <si>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</si>
  <si>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</si>
  <si>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</si>
  <si>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</si>
  <si>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</si>
  <si>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</si>
  <si>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</si>
  <si>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</si>
  <si>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</si>
  <si>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</si>
  <si>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</si>
  <si>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</si>
  <si>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</si>
  <si>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</si>
  <si>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Jurídico - Disciplinario</t>
  </si>
  <si>
    <t>DOCENCIA PROGRAMAS DE EDUCACIÓN SUPERIOR (DOCENCIA PES)</t>
  </si>
  <si>
    <t xml:space="preserve">Formar personas integrales, creativas y competentes en los niveles técnico, tecnológica y de ingeniería, capaces de solucionar problemas a través de la investigación aplicada </t>
  </si>
  <si>
    <t>Inicia con el diseño curricular y finaliza con la graduación de los estudiantes en los respectivos niveles.</t>
  </si>
  <si>
    <r>
      <rPr>
        <b/>
        <sz val="14"/>
        <rFont val="Arial"/>
        <family val="2"/>
      </rPr>
      <t>LIDER DEL PROCESO:</t>
    </r>
    <r>
      <rPr>
        <sz val="14"/>
        <rFont val="Arial"/>
        <family val="2"/>
      </rPr>
      <t xml:space="preserve"> HERMANO JORGE ENRIQUE FONSECA SÁNCHEZ</t>
    </r>
  </si>
  <si>
    <t>Crear necesidades que no concuerdan con la realidad institucional.</t>
  </si>
  <si>
    <t>Procesos y procedimientos desactualizados o faltantes</t>
  </si>
  <si>
    <t>Desactualización del “Compendio” de definición de los perfiles docentes requeridos por la academia, con base en las necesidades cualitativas y cuantitativas por áreas académicas y de la proyección académica de la ETITC.</t>
  </si>
  <si>
    <t>Carencia de un "Plan Maestro de Talleres y Laboratorios" tendiente a la actualización del inventario, revisión y optimización de los espacios físicos.</t>
  </si>
  <si>
    <t>Carencia de un procedimiento para la medicion del Valor Académico Agregado</t>
  </si>
  <si>
    <t>Imposibilidad de demostar o sustentar el cumlimiento delos diferentes factores, carcterísticas y aspectos correspondientes a la función misional de docencia</t>
  </si>
  <si>
    <t>1. Deficiente conttrol de acceso y  salida de la Biblioteca
2. Falta de cultura de devolución oportuna de los libros</t>
  </si>
  <si>
    <t>Posibilidad de afectación económica y reputacional al presentar necesidades del área que no responden a los objetivos de la Escuela con el fin de que se formulen proyectos en favorecimiento propio o de terceros</t>
  </si>
  <si>
    <t>Posibilidad de afectación reputacional por deterioro de la calidad en la prestación del servicio educativo debido a desactualización o inexistencia de procesos y procedimientos.</t>
  </si>
  <si>
    <t>Posibilidad de afectación reputacional por contratación de docentes que no cumplen con el perfil requerido debido a desactualización de los perfiles docentes requeridos por la academia.</t>
  </si>
  <si>
    <t>Posibilidad de afectación económica por adqusiciones no asertivas en equipamiento y difcultades para  distribuir los espacios locativos debido a débil rigurosidad en el control de inventarios.</t>
  </si>
  <si>
    <t xml:space="preserve">Posibilidad de afectación reputacional debido a que no se logre la renovación de un registro calificado o de acreditación de alta calidad por la Carencia de un procedimiento para la medición del Valor Académico Agregado
</t>
  </si>
  <si>
    <t>Posibilidad de afectación reputacional por no lograr la acreditacón institucional de Alta Calidad debido a dificultades en demostar o sustentar el cumplimiento de los factores, características y aspectos correspondientes a la función misional de docencia.</t>
  </si>
  <si>
    <t>Posibilidad de afectación económica por deterioro o pérdida de material bibliográfico debido a falta de rigurosidad en el proceso de préstamo y consulta de material bibliográfico.</t>
  </si>
  <si>
    <t>El Vicerrector Académico, cada vez que se requiera iniciar un nuevo proceso contractual, verificará y dará visto bueno a los estudios previos que presenten los líderes de proceso que compone la Vicerrectoría Académica, con el fin de establecer un filtro adicional a las necesidades presentadas por esas áreas.
Si el Vicerrector Académico identifica alguna falencia en los documentos precontractuales, enviará las observaciones pertinentes al profesional responsable para su ajuste previo al inicio de la estructuración del proceso contractual con el área de Contratación.</t>
  </si>
  <si>
    <t>Formato de estudios previos con firma del Vicerrector Académico para cada proceso contractual de la Vicerrectoría Académica.</t>
  </si>
  <si>
    <t>El profesional de Gestión Estratégica cuatrimestralmente verifica la información del proceso de Docencia PES frente a la actualización de: procedimientos, formatos, acuerdos y circulares publicados en la página web de la ETITC, con el fin de garantizar su actualización periódica.
Si el profesional de Gestión Estratégica identifica que la información está desactualizada, procederá a actualizar lo pertinente, y enviar al área de Calidad para su revisión, y posterior actualización en la página web de la ETITC.</t>
  </si>
  <si>
    <t>Procedimientos y formatos publicados y actualizados en la  pàgina web de la ETITC.
Secreenshot de revisión de la documentación del proceso Docencia PES.</t>
  </si>
  <si>
    <t>El Vicerrector Académico cada vez que se requiera la vinculación de docentes nuevos, verificará los formatos DES-FO-14 Selección Profesor Ocasional y/o DES-FO-15 Perfil Selección Profesor Hora Cátedra, diligenciados previamente por el Decano responsable, con el fin de validar los perfiles requeridos.
Si el Vicerrector Académico identifica alguna falencia en los formatos diligenciados, enviará las observaciones pertinentes al Decano responsable para su ajuste.</t>
  </si>
  <si>
    <t>Formatos DES-FO-14 Selección Profesor Ocasional y/o DES-FO-15 Perfil Selección Profesor Hora Cátedra firmados por el Vicerrector Académico</t>
  </si>
  <si>
    <t>El coordinador del área de Talleres y Laboratorios, cada vez que se requiera, verifica la actualización de los inventarios institucionales, así como su registro en el Sistema Mantum, con el fin de garantizar la actualización oportuna de los inventarios institucionales.
Si el coordinador del área de Talleres y Laboratorios identifica que la información en el Sistema Mantum se encuentra desactualizada, solicitará al tallerista y laboratorista responsable la actualización pertinente.</t>
  </si>
  <si>
    <t>Inventario y registros en el sistema Mantum</t>
  </si>
  <si>
    <t xml:space="preserve">El profesional de apoyo de Vicerrectoría Académica semestralmente  monitorea los resultados de pruebas TyT y Saber Pro a partir de las bases de datos publicadas por el ICFES con el fin de analizar los resultados obtenidos por los estudiantes frente a la media nacional.
Si se identifica que los resultados obtenidos por los estudiantes no es satisfactorio el Vicerrector Académico presentará la información en el Consejo Académico para que se tomen las medidas pertinentes.
</t>
  </si>
  <si>
    <t>Informe de análisis de los resultados de pruebas de estado</t>
  </si>
  <si>
    <t>El Vicerrector Académico, cada vez que se presenten reuniones de acreditación institucional, verificará el trabajo conjunto con el área de Autoevaluación para desarrollar los requerimientos del factor 5, características y aspectos para la acreditación institucional.
Debido a la naturaleza de este control, no aplica decisión sobre la desviación.</t>
  </si>
  <si>
    <t>Correos y documentos desarrollados en las reuniones de trabajo.</t>
  </si>
  <si>
    <t>El responsable de biblioteca debe monitorear el adecuado funcionamiento y disponibilidad de la plataforma Koha, y gestionar con Metablibioteca (proveedor) el respectivo soporte de la plataforma
Los acuerdos de servicio con el proveedor establecen que en caso de indisponibilidad, el soporte se prestará inmediatamente, por tal motivo, no aplica decisión de desviación para este control.</t>
  </si>
  <si>
    <t>Registros de soporte de la plataforma</t>
  </si>
  <si>
    <t xml:space="preserve">GAD-PC-02 Procedimiento para Adquisiciones </t>
  </si>
  <si>
    <t xml:space="preserve">DIE-PC-09 Administración del Portal Web y las Redes Sociales </t>
  </si>
  <si>
    <t xml:space="preserve">Procedimientos:
DES-PC-09 Selección de Profesores Hora Cátedra 
DES-PC-10 Selección de Profesores Ocasionales 
</t>
  </si>
  <si>
    <t>GRF-MA-01 Administración de Bienes de la ETITC</t>
  </si>
  <si>
    <t>Realizar anualmente actividades de capacitaciones, apoyadas por el área de talento humano, en donde se socialicen y traten de fondo temas de anticorrupción, así como su impacto y posibles consecuencias.</t>
  </si>
  <si>
    <t>Vicerrectoría Académica</t>
  </si>
  <si>
    <t>Revisar, actualizar o crear los procedimientos o mecanismos para el sistema de gestión de procesos académicos y curriculares con base en competencias y resultados de aprendizaje.</t>
  </si>
  <si>
    <t>Elaborar el “Compendio” de definición de los perfiles docentes requeridos por la academia, con base en las necesidades cualitativas y cuantitativas por áreas académicas y de la proyección académica de la ETITC.</t>
  </si>
  <si>
    <t>Vicerrectorìa Académica y Decanaturas</t>
  </si>
  <si>
    <t>Revisar y optimizar los espacios físicos, especialmente de talleres y laboratorios de la ETITC, generando un "Plan Maestro de infraestructura física y tecnológica”.</t>
  </si>
  <si>
    <t>Vicerrectorìa Académica</t>
  </si>
  <si>
    <t xml:space="preserve">Aplicar las medidas aprobadas en el Consejo Académico para mejorar los resultados obtenidos por los estudiantes </t>
  </si>
  <si>
    <t>Incorporar un profesional de apoyo al Despacho de la VAC para aseguramiento de la calidad académica</t>
  </si>
  <si>
    <t xml:space="preserve">Oficina de Autoevaluación y Autorregulación y Vicerrectorìa Académica </t>
  </si>
  <si>
    <t>Iniciar la formulación de un proyecto para adquirir el sistema de seguridad bibliográfica.
Acordar con el área de Registro y Control un mecanismo para asegurar que los estudiantes estén a paz y salvo con la biblioteca</t>
  </si>
  <si>
    <t>Profesional de Biblioteca y Medios Educativos</t>
  </si>
  <si>
    <t xml:space="preserve">Por identificar 
</t>
  </si>
  <si>
    <t xml:space="preserve">Se actualizo a la versión 9 del formato mapa de riesgos </t>
  </si>
  <si>
    <t>HERMANO JORGE ENRIQUE FONSECA SÁNCHEZ</t>
  </si>
  <si>
    <t xml:space="preserve">Vicerrector Académico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</si>
</sst>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1"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4"/>
      <name val="Arial"/>
      <family val="2"/>
    </font>
    <font>
      <b/>
      <sz val="14"/>
      <name val="Arial"/>
      <family val="2"/>
    </font>
    <font>
      <b/>
      <sz val="12"/>
      <color theme="0"/>
      <name val="Arial Black"/>
      <family val="2"/>
    </font>
    <font>
      <sz val="12"/>
      <color theme="0"/>
      <name val="Arial Black"/>
      <family val="2"/>
    </font>
    <font>
      <sz val="11"/>
      <color theme="9"/>
      <name val="Arial"/>
      <family val="2"/>
    </font>
    <font>
      <sz val="10"/>
      <color theme="1"/>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35">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17" fillId="11" borderId="0" xfId="0" applyFont="1" applyFill="1" applyBorder="1" applyAlignment="1" applyProtection="1">
      <alignment horizontal="center" vertical="center" wrapText="1" readingOrder="1"/>
      <protection hidden="1"/>
    </xf>
    <xf numFmtId="0" fontId="17" fillId="13" borderId="0" xfId="0" applyFont="1" applyFill="1" applyBorder="1" applyAlignment="1" applyProtection="1">
      <alignment horizontal="center" wrapText="1" readingOrder="1"/>
      <protection hidden="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7" fillId="16" borderId="21" xfId="0" applyFont="1" applyFill="1" applyBorder="1" applyAlignment="1">
      <alignment horizontal="center" vertical="center" wrapText="1"/>
    </xf>
    <xf numFmtId="0" fontId="66" fillId="0" borderId="21" xfId="0" applyFont="1" applyBorder="1" applyAlignment="1">
      <alignment vertical="center" wrapText="1"/>
    </xf>
    <xf numFmtId="0" fontId="66" fillId="0" borderId="21" xfId="0" applyFont="1" applyBorder="1" applyAlignment="1" applyProtection="1">
      <alignment vertical="center" wrapText="1"/>
      <protection locked="0"/>
    </xf>
    <xf numFmtId="0" fontId="77" fillId="0" borderId="110" xfId="0" applyFont="1" applyBorder="1" applyAlignment="1" applyProtection="1">
      <alignment vertical="center" wrapText="1"/>
      <protection hidden="1"/>
    </xf>
    <xf numFmtId="164" fontId="66" fillId="0" borderId="21" xfId="1" applyNumberFormat="1" applyFont="1" applyBorder="1" applyAlignment="1">
      <alignment horizontal="center" vertical="top" wrapText="1"/>
    </xf>
    <xf numFmtId="0" fontId="100" fillId="0" borderId="110" xfId="0" applyFont="1" applyBorder="1" applyAlignment="1" applyProtection="1">
      <alignment horizontal="left" vertical="center" wrapText="1"/>
      <protection locked="0"/>
    </xf>
    <xf numFmtId="0" fontId="100" fillId="0" borderId="21" xfId="0" applyFont="1" applyBorder="1" applyAlignment="1" applyProtection="1">
      <alignment horizontal="left" vertical="center" wrapText="1"/>
      <protection locked="0"/>
    </xf>
    <xf numFmtId="0" fontId="100" fillId="0" borderId="21" xfId="0" applyFont="1" applyBorder="1" applyAlignment="1" applyProtection="1">
      <alignment vertical="center" wrapText="1"/>
      <protection locked="0"/>
    </xf>
    <xf numFmtId="0" fontId="100" fillId="0" borderId="21" xfId="0" applyFont="1" applyBorder="1" applyAlignment="1" applyProtection="1">
      <alignment horizontal="center" vertical="center" wrapText="1"/>
      <protection locked="0"/>
    </xf>
    <xf numFmtId="0" fontId="46" fillId="0" borderId="110" xfId="0" applyFont="1" applyBorder="1" applyAlignment="1" applyProtection="1">
      <alignment horizontal="left" vertical="center" wrapText="1"/>
      <protection locked="0"/>
    </xf>
    <xf numFmtId="0" fontId="46" fillId="0" borderId="21" xfId="0" applyFont="1" applyBorder="1" applyAlignment="1" applyProtection="1">
      <alignment horizontal="left" vertical="center" wrapText="1"/>
      <protection locked="0"/>
    </xf>
    <xf numFmtId="0" fontId="46" fillId="0" borderId="21" xfId="0" applyFont="1" applyBorder="1" applyAlignment="1" applyProtection="1">
      <alignment horizontal="center" vertical="center" wrapText="1"/>
      <protection locked="0"/>
    </xf>
    <xf numFmtId="0" fontId="100" fillId="0" borderId="110" xfId="0" applyFont="1" applyBorder="1" applyAlignment="1" applyProtection="1">
      <alignment horizontal="center" vertical="center"/>
      <protection locked="0"/>
    </xf>
    <xf numFmtId="0" fontId="100" fillId="0" borderId="21" xfId="0" applyFont="1" applyBorder="1" applyAlignment="1" applyProtection="1">
      <alignment horizontal="center" vertical="center"/>
      <protection locked="0"/>
    </xf>
    <xf numFmtId="0" fontId="100" fillId="0" borderId="21" xfId="0" applyFont="1" applyBorder="1" applyAlignment="1">
      <alignment horizontal="center" vertical="center"/>
    </xf>
    <xf numFmtId="0" fontId="100" fillId="0" borderId="21" xfId="0" quotePrefix="1" applyFont="1" applyBorder="1" applyAlignment="1" applyProtection="1">
      <alignment horizontal="justify" vertical="center" wrapText="1"/>
      <protection locked="0"/>
    </xf>
    <xf numFmtId="0" fontId="100" fillId="0" borderId="110" xfId="0" quotePrefix="1" applyFont="1" applyBorder="1" applyAlignment="1" applyProtection="1">
      <alignment horizontal="left" vertical="center" wrapText="1"/>
      <protection locked="0"/>
    </xf>
    <xf numFmtId="0" fontId="100" fillId="0" borderId="110" xfId="0" applyFont="1" applyBorder="1" applyAlignment="1" applyProtection="1">
      <alignment horizontal="center" vertical="center" wrapText="1"/>
      <protection locked="0"/>
    </xf>
    <xf numFmtId="0" fontId="100" fillId="0" borderId="21" xfId="0" quotePrefix="1" applyFont="1" applyBorder="1" applyAlignment="1" applyProtection="1">
      <alignment vertical="top" wrapText="1"/>
      <protection locked="0"/>
    </xf>
    <xf numFmtId="0" fontId="100" fillId="0" borderId="110" xfId="0" quotePrefix="1" applyFont="1" applyBorder="1" applyAlignment="1" applyProtection="1">
      <alignment vertical="center" wrapText="1"/>
      <protection locked="0"/>
    </xf>
    <xf numFmtId="0" fontId="100" fillId="0" borderId="110" xfId="0" applyFont="1" applyBorder="1" applyAlignment="1">
      <alignment horizontal="center" vertical="center"/>
    </xf>
    <xf numFmtId="0" fontId="100" fillId="0" borderId="33" xfId="0" applyFont="1" applyBorder="1" applyAlignment="1">
      <alignment horizontal="center" vertical="center"/>
    </xf>
    <xf numFmtId="0" fontId="100" fillId="0" borderId="33" xfId="0" quotePrefix="1" applyFont="1" applyBorder="1" applyAlignment="1" applyProtection="1">
      <alignment vertical="top" wrapText="1"/>
      <protection locked="0"/>
    </xf>
    <xf numFmtId="0" fontId="100" fillId="0" borderId="33" xfId="0" quotePrefix="1" applyFont="1" applyBorder="1" applyAlignment="1" applyProtection="1">
      <alignment vertical="center" wrapText="1"/>
      <protection locked="0"/>
    </xf>
    <xf numFmtId="0" fontId="100" fillId="0" borderId="21" xfId="0" applyFont="1" applyBorder="1" applyAlignment="1" applyProtection="1">
      <alignment horizontal="center" vertical="center" wrapText="1"/>
      <protection hidden="1"/>
    </xf>
    <xf numFmtId="0" fontId="100" fillId="0" borderId="110" xfId="0" applyFont="1" applyBorder="1" applyAlignment="1" applyProtection="1">
      <alignment horizontal="center" vertical="center" wrapText="1"/>
      <protection hidden="1"/>
    </xf>
    <xf numFmtId="0" fontId="100" fillId="0" borderId="33" xfId="0" applyFont="1" applyBorder="1" applyAlignment="1" applyProtection="1">
      <alignment horizontal="center" vertical="center"/>
      <protection hidden="1"/>
    </xf>
    <xf numFmtId="0" fontId="46" fillId="0" borderId="21" xfId="0" quotePrefix="1" applyFont="1" applyBorder="1" applyAlignment="1" applyProtection="1">
      <alignment horizontal="left" vertical="center" wrapText="1"/>
      <protection locked="0"/>
    </xf>
    <xf numFmtId="0" fontId="100" fillId="0" borderId="21" xfId="0" quotePrefix="1" applyFont="1" applyBorder="1" applyAlignment="1" applyProtection="1">
      <alignment horizontal="center" vertical="center" wrapText="1"/>
      <protection locked="0"/>
    </xf>
    <xf numFmtId="0" fontId="100" fillId="0" borderId="21" xfId="0" quotePrefix="1" applyFont="1" applyBorder="1" applyAlignment="1" applyProtection="1">
      <alignment horizontal="left" vertical="center" wrapText="1"/>
      <protection locked="0"/>
    </xf>
    <xf numFmtId="0" fontId="100" fillId="3" borderId="21" xfId="0" applyFont="1" applyFill="1" applyBorder="1" applyAlignment="1">
      <alignment horizontal="center" vertical="center" wrapText="1"/>
    </xf>
    <xf numFmtId="0" fontId="46" fillId="0" borderId="110" xfId="0" quotePrefix="1" applyFont="1" applyBorder="1" applyAlignment="1" applyProtection="1">
      <alignment horizontal="left" vertical="center" wrapText="1"/>
      <protection locked="0"/>
    </xf>
    <xf numFmtId="0" fontId="100" fillId="3" borderId="110" xfId="0" applyFont="1" applyFill="1" applyBorder="1" applyAlignment="1">
      <alignment horizontal="center" vertical="center" wrapText="1"/>
    </xf>
    <xf numFmtId="0" fontId="46" fillId="0" borderId="33" xfId="0" applyFont="1" applyBorder="1" applyAlignment="1" applyProtection="1">
      <alignment horizontal="left" vertical="center" wrapText="1"/>
      <protection locked="0"/>
    </xf>
    <xf numFmtId="0" fontId="100" fillId="3" borderId="33" xfId="0" applyFont="1" applyFill="1" applyBorder="1" applyAlignment="1">
      <alignment horizontal="center" vertical="center" wrapText="1"/>
    </xf>
    <xf numFmtId="0" fontId="100" fillId="0" borderId="110" xfId="0" applyFont="1" applyBorder="1" applyAlignment="1" applyProtection="1">
      <alignment vertical="center" wrapText="1"/>
      <protection locked="0"/>
    </xf>
    <xf numFmtId="0" fontId="100" fillId="0" borderId="110" xfId="0" applyFont="1" applyBorder="1" applyAlignment="1">
      <alignment vertical="center" wrapText="1"/>
    </xf>
    <xf numFmtId="0" fontId="100" fillId="0" borderId="110" xfId="0" applyFont="1" applyBorder="1" applyAlignment="1" applyProtection="1">
      <alignment vertical="center" wrapText="1"/>
      <protection hidden="1"/>
    </xf>
    <xf numFmtId="0" fontId="100" fillId="3" borderId="110" xfId="0" applyFont="1" applyFill="1" applyBorder="1" applyAlignment="1">
      <alignment vertical="center" wrapText="1"/>
    </xf>
    <xf numFmtId="0" fontId="100" fillId="0" borderId="110" xfId="0" applyFont="1" applyBorder="1" applyAlignment="1">
      <alignment vertical="center"/>
    </xf>
    <xf numFmtId="0" fontId="100" fillId="0" borderId="111" xfId="0" applyFont="1" applyBorder="1" applyAlignment="1">
      <alignment vertical="center"/>
    </xf>
    <xf numFmtId="0" fontId="77" fillId="0" borderId="21" xfId="0" applyFont="1" applyBorder="1" applyAlignment="1" applyProtection="1">
      <alignment vertical="center" wrapText="1"/>
      <protection hidden="1"/>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0" fillId="0" borderId="112" xfId="0" applyBorder="1" applyAlignment="1">
      <alignment horizontal="left" wrapText="1"/>
    </xf>
    <xf numFmtId="0" fontId="0" fillId="0" borderId="112" xfId="0" applyBorder="1" applyAlignment="1">
      <alignment horizontal="left"/>
    </xf>
    <xf numFmtId="0" fontId="98" fillId="19" borderId="68" xfId="0" applyFont="1" applyFill="1" applyBorder="1" applyAlignment="1">
      <alignment horizontal="center" vertical="center" wrapText="1"/>
    </xf>
    <xf numFmtId="0" fontId="98" fillId="19" borderId="69"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88" fillId="16" borderId="21" xfId="0" applyFont="1" applyFill="1" applyBorder="1" applyAlignment="1">
      <alignment horizontal="center" vertical="center" textRotation="90"/>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88" fillId="19" borderId="21" xfId="0" applyFont="1" applyFill="1" applyBorder="1" applyAlignment="1">
      <alignment horizontal="center" vertical="center" wrapText="1"/>
    </xf>
    <xf numFmtId="0" fontId="88" fillId="16" borderId="21" xfId="0" applyFont="1" applyFill="1" applyBorder="1" applyAlignment="1">
      <alignment horizontal="center" vertical="center" wrapText="1"/>
    </xf>
    <xf numFmtId="0" fontId="88" fillId="16" borderId="21" xfId="0" applyFont="1" applyFill="1" applyBorder="1" applyAlignment="1">
      <alignment horizontal="center" vertical="center"/>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55" fillId="0" borderId="68"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6" borderId="64" xfId="0" applyFont="1" applyFill="1" applyBorder="1" applyAlignment="1">
      <alignment horizontal="center" vertical="center"/>
    </xf>
    <xf numFmtId="0" fontId="88" fillId="16" borderId="57" xfId="0" applyFont="1" applyFill="1" applyBorder="1" applyAlignment="1">
      <alignment horizontal="center" vertical="center"/>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2" fillId="0" borderId="21" xfId="0" applyFont="1" applyBorder="1" applyAlignment="1" applyProtection="1">
      <alignment horizontal="center" vertical="center"/>
      <protection locked="0"/>
    </xf>
    <xf numFmtId="0" fontId="88" fillId="16" borderId="21" xfId="0" applyFont="1" applyFill="1" applyBorder="1" applyAlignment="1">
      <alignment horizontal="center" vertical="center" textRotation="90" wrapText="1"/>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22" xfId="0" applyFont="1" applyFill="1" applyBorder="1" applyAlignment="1">
      <alignment horizontal="center" vertical="center"/>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59" fillId="0" borderId="70" xfId="0" applyFont="1" applyBorder="1" applyAlignment="1">
      <alignment horizontal="center" vertical="center" wrapText="1"/>
    </xf>
    <xf numFmtId="0" fontId="60" fillId="0" borderId="70" xfId="0" applyFont="1" applyBorder="1" applyAlignment="1">
      <alignment horizontal="center" vertical="center" wrapText="1"/>
    </xf>
    <xf numFmtId="0" fontId="96" fillId="0" borderId="68" xfId="0" applyFont="1" applyBorder="1" applyAlignment="1">
      <alignment horizontal="left" vertical="center" wrapText="1"/>
    </xf>
    <xf numFmtId="0" fontId="96" fillId="0" borderId="67" xfId="0" applyFont="1" applyBorder="1" applyAlignment="1">
      <alignment horizontal="left" vertical="center" wrapText="1"/>
    </xf>
    <xf numFmtId="0" fontId="96" fillId="0" borderId="69" xfId="0" applyFont="1" applyBorder="1" applyAlignment="1">
      <alignment horizontal="left" vertical="center" wrapText="1"/>
    </xf>
    <xf numFmtId="0" fontId="95" fillId="0" borderId="21" xfId="0" applyFont="1" applyBorder="1" applyAlignment="1">
      <alignment horizontal="left" vertical="center" wrapText="1"/>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23" fillId="0" borderId="0" xfId="0" applyFont="1" applyAlignment="1">
      <alignment horizontal="center" vertical="center" wrapText="1"/>
    </xf>
    <xf numFmtId="0" fontId="18" fillId="5" borderId="0"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5" fillId="0" borderId="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7" xfId="0" applyFont="1" applyBorder="1" applyAlignment="1">
      <alignment horizontal="center" vertical="center" wrapText="1"/>
    </xf>
    <xf numFmtId="0" fontId="15" fillId="0" borderId="0" xfId="0" applyFont="1" applyBorder="1" applyAlignment="1">
      <alignment horizontal="center" vertical="center"/>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6" fillId="25" borderId="0" xfId="0" applyFont="1" applyFill="1" applyAlignment="1">
      <alignment horizontal="center" vertical="center" wrapText="1" readingOrder="1"/>
    </xf>
    <xf numFmtId="0" fontId="62" fillId="0" borderId="0" xfId="0" applyFont="1" applyAlignment="1">
      <alignment horizontal="center"/>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wrapText="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40" fillId="0" borderId="0" xfId="0" applyFont="1" applyBorder="1" applyAlignment="1">
      <alignment horizontal="center" vertical="center"/>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52">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6</xdr:col>
      <xdr:colOff>104774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9</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MapadeRiesgosCalidad.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apaderiesgodocenciapes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5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66" t="s">
        <v>267</v>
      </c>
      <c r="C2" s="267"/>
      <c r="D2" s="257" t="s">
        <v>205</v>
      </c>
      <c r="E2" s="258"/>
      <c r="F2" s="258"/>
      <c r="G2" s="258"/>
      <c r="H2" s="258"/>
      <c r="I2" s="258"/>
      <c r="J2" s="258"/>
      <c r="K2" s="258"/>
      <c r="L2" s="259"/>
      <c r="M2" s="272" t="s">
        <v>390</v>
      </c>
      <c r="N2" s="273"/>
    </row>
    <row r="3" spans="2:14" ht="29.25" customHeight="1" x14ac:dyDescent="0.25">
      <c r="B3" s="268"/>
      <c r="C3" s="269"/>
      <c r="D3" s="260"/>
      <c r="E3" s="261"/>
      <c r="F3" s="261"/>
      <c r="G3" s="261"/>
      <c r="H3" s="261"/>
      <c r="I3" s="261"/>
      <c r="J3" s="261"/>
      <c r="K3" s="261"/>
      <c r="L3" s="262"/>
      <c r="M3" s="274" t="s">
        <v>264</v>
      </c>
      <c r="N3" s="275"/>
    </row>
    <row r="4" spans="2:14" ht="29.25" customHeight="1" x14ac:dyDescent="0.25">
      <c r="B4" s="268"/>
      <c r="C4" s="269"/>
      <c r="D4" s="260"/>
      <c r="E4" s="261"/>
      <c r="F4" s="261"/>
      <c r="G4" s="261"/>
      <c r="H4" s="261"/>
      <c r="I4" s="261"/>
      <c r="J4" s="261"/>
      <c r="K4" s="261"/>
      <c r="L4" s="262"/>
      <c r="M4" s="274" t="s">
        <v>389</v>
      </c>
      <c r="N4" s="275"/>
    </row>
    <row r="5" spans="2:14" ht="29.25" customHeight="1" thickBot="1" x14ac:dyDescent="0.3">
      <c r="B5" s="270"/>
      <c r="C5" s="271"/>
      <c r="D5" s="263"/>
      <c r="E5" s="264"/>
      <c r="F5" s="264"/>
      <c r="G5" s="264"/>
      <c r="H5" s="264"/>
      <c r="I5" s="264"/>
      <c r="J5" s="264"/>
      <c r="K5" s="264"/>
      <c r="L5" s="265"/>
      <c r="M5" s="276" t="s">
        <v>245</v>
      </c>
      <c r="N5" s="277"/>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56" t="s">
        <v>309</v>
      </c>
      <c r="E31" s="256"/>
      <c r="N31" s="138"/>
    </row>
    <row r="32" spans="2:14" x14ac:dyDescent="0.25">
      <c r="B32" s="137"/>
      <c r="D32" s="256"/>
      <c r="E32" s="256"/>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38" t="s">
        <v>162</v>
      </c>
      <c r="C2" s="539"/>
      <c r="D2" s="539"/>
      <c r="E2" s="539"/>
      <c r="F2" s="539"/>
      <c r="G2" s="539"/>
      <c r="H2" s="540"/>
      <c r="J2" s="151" t="s">
        <v>274</v>
      </c>
    </row>
    <row r="3" spans="2:10" ht="20.25" x14ac:dyDescent="0.25">
      <c r="B3" s="70"/>
      <c r="C3" s="71"/>
      <c r="D3" s="71"/>
      <c r="E3" s="71"/>
      <c r="F3" s="71"/>
      <c r="G3" s="71"/>
      <c r="H3" s="72"/>
      <c r="J3" s="151"/>
    </row>
    <row r="4" spans="2:10" ht="63" customHeight="1" x14ac:dyDescent="0.25">
      <c r="B4" s="541" t="s">
        <v>305</v>
      </c>
      <c r="C4" s="542"/>
      <c r="D4" s="542"/>
      <c r="E4" s="542"/>
      <c r="F4" s="542"/>
      <c r="G4" s="542"/>
      <c r="H4" s="543"/>
    </row>
    <row r="5" spans="2:10" ht="63" customHeight="1" x14ac:dyDescent="0.25">
      <c r="B5" s="544"/>
      <c r="C5" s="545"/>
      <c r="D5" s="545"/>
      <c r="E5" s="545"/>
      <c r="F5" s="545"/>
      <c r="G5" s="545"/>
      <c r="H5" s="546"/>
    </row>
    <row r="6" spans="2:10" ht="16.5" x14ac:dyDescent="0.25">
      <c r="B6" s="547" t="s">
        <v>160</v>
      </c>
      <c r="C6" s="548"/>
      <c r="D6" s="548"/>
      <c r="E6" s="548"/>
      <c r="F6" s="548"/>
      <c r="G6" s="548"/>
      <c r="H6" s="549"/>
    </row>
    <row r="7" spans="2:10" ht="95.25" customHeight="1" x14ac:dyDescent="0.25">
      <c r="B7" s="557" t="s">
        <v>165</v>
      </c>
      <c r="C7" s="558"/>
      <c r="D7" s="558"/>
      <c r="E7" s="558"/>
      <c r="F7" s="558"/>
      <c r="G7" s="558"/>
      <c r="H7" s="559"/>
    </row>
    <row r="8" spans="2:10" ht="16.5" x14ac:dyDescent="0.25">
      <c r="B8" s="106"/>
      <c r="C8" s="107"/>
      <c r="D8" s="107"/>
      <c r="E8" s="107"/>
      <c r="F8" s="107"/>
      <c r="G8" s="107"/>
      <c r="H8" s="108"/>
    </row>
    <row r="9" spans="2:10" ht="16.5" customHeight="1" x14ac:dyDescent="0.25">
      <c r="B9" s="550" t="s">
        <v>293</v>
      </c>
      <c r="C9" s="551"/>
      <c r="D9" s="551"/>
      <c r="E9" s="551"/>
      <c r="F9" s="551"/>
      <c r="G9" s="551"/>
      <c r="H9" s="552"/>
    </row>
    <row r="10" spans="2:10" ht="44.25" customHeight="1" x14ac:dyDescent="0.25">
      <c r="B10" s="550"/>
      <c r="C10" s="551"/>
      <c r="D10" s="551"/>
      <c r="E10" s="551"/>
      <c r="F10" s="551"/>
      <c r="G10" s="551"/>
      <c r="H10" s="552"/>
    </row>
    <row r="11" spans="2:10" ht="15.75" thickBot="1" x14ac:dyDescent="0.3">
      <c r="B11" s="95"/>
      <c r="C11" s="98"/>
      <c r="D11" s="103"/>
      <c r="E11" s="104"/>
      <c r="F11" s="104"/>
      <c r="G11" s="105"/>
      <c r="H11" s="99"/>
    </row>
    <row r="12" spans="2:10" ht="15.75" thickTop="1" x14ac:dyDescent="0.25">
      <c r="B12" s="95"/>
      <c r="C12" s="553" t="s">
        <v>161</v>
      </c>
      <c r="D12" s="554"/>
      <c r="E12" s="555" t="s">
        <v>198</v>
      </c>
      <c r="F12" s="556"/>
      <c r="G12" s="98"/>
      <c r="H12" s="99"/>
    </row>
    <row r="13" spans="2:10" ht="35.25" customHeight="1" x14ac:dyDescent="0.25">
      <c r="B13" s="95"/>
      <c r="C13" s="560" t="s">
        <v>192</v>
      </c>
      <c r="D13" s="561"/>
      <c r="E13" s="562" t="s">
        <v>197</v>
      </c>
      <c r="F13" s="563"/>
      <c r="G13" s="98"/>
      <c r="H13" s="99"/>
    </row>
    <row r="14" spans="2:10" ht="17.25" customHeight="1" x14ac:dyDescent="0.25">
      <c r="B14" s="95"/>
      <c r="C14" s="560" t="s">
        <v>193</v>
      </c>
      <c r="D14" s="561"/>
      <c r="E14" s="562" t="s">
        <v>195</v>
      </c>
      <c r="F14" s="563"/>
      <c r="G14" s="98"/>
      <c r="H14" s="99"/>
    </row>
    <row r="15" spans="2:10" ht="19.5" customHeight="1" x14ac:dyDescent="0.25">
      <c r="B15" s="95"/>
      <c r="C15" s="560" t="s">
        <v>194</v>
      </c>
      <c r="D15" s="561"/>
      <c r="E15" s="562" t="s">
        <v>196</v>
      </c>
      <c r="F15" s="563"/>
      <c r="G15" s="98"/>
      <c r="H15" s="99"/>
    </row>
    <row r="16" spans="2:10" ht="69.75" customHeight="1" x14ac:dyDescent="0.25">
      <c r="B16" s="95"/>
      <c r="C16" s="560" t="s">
        <v>163</v>
      </c>
      <c r="D16" s="561"/>
      <c r="E16" s="562" t="s">
        <v>164</v>
      </c>
      <c r="F16" s="563"/>
      <c r="G16" s="98"/>
      <c r="H16" s="99"/>
    </row>
    <row r="17" spans="2:8" ht="34.5" customHeight="1" x14ac:dyDescent="0.25">
      <c r="B17" s="95"/>
      <c r="C17" s="564" t="s">
        <v>2</v>
      </c>
      <c r="D17" s="565"/>
      <c r="E17" s="566" t="s">
        <v>199</v>
      </c>
      <c r="F17" s="567"/>
      <c r="G17" s="98"/>
      <c r="H17" s="99"/>
    </row>
    <row r="18" spans="2:8" ht="27.75" customHeight="1" x14ac:dyDescent="0.25">
      <c r="B18" s="95"/>
      <c r="C18" s="564" t="s">
        <v>3</v>
      </c>
      <c r="D18" s="565"/>
      <c r="E18" s="566" t="s">
        <v>200</v>
      </c>
      <c r="F18" s="567"/>
      <c r="G18" s="98"/>
      <c r="H18" s="99"/>
    </row>
    <row r="19" spans="2:8" ht="28.5" customHeight="1" x14ac:dyDescent="0.25">
      <c r="B19" s="95"/>
      <c r="C19" s="564" t="s">
        <v>41</v>
      </c>
      <c r="D19" s="565"/>
      <c r="E19" s="566" t="s">
        <v>201</v>
      </c>
      <c r="F19" s="567"/>
      <c r="G19" s="98"/>
      <c r="H19" s="99"/>
    </row>
    <row r="20" spans="2:8" ht="72.75" customHeight="1" x14ac:dyDescent="0.25">
      <c r="B20" s="95"/>
      <c r="C20" s="564" t="s">
        <v>1</v>
      </c>
      <c r="D20" s="565"/>
      <c r="E20" s="566" t="s">
        <v>202</v>
      </c>
      <c r="F20" s="567"/>
      <c r="G20" s="98"/>
      <c r="H20" s="99"/>
    </row>
    <row r="21" spans="2:8" ht="64.5" customHeight="1" x14ac:dyDescent="0.25">
      <c r="B21" s="95"/>
      <c r="C21" s="564" t="s">
        <v>49</v>
      </c>
      <c r="D21" s="565"/>
      <c r="E21" s="566" t="s">
        <v>167</v>
      </c>
      <c r="F21" s="567"/>
      <c r="G21" s="98"/>
      <c r="H21" s="99"/>
    </row>
    <row r="22" spans="2:8" ht="71.25" customHeight="1" x14ac:dyDescent="0.25">
      <c r="B22" s="95"/>
      <c r="C22" s="564" t="s">
        <v>166</v>
      </c>
      <c r="D22" s="565"/>
      <c r="E22" s="566" t="s">
        <v>168</v>
      </c>
      <c r="F22" s="567"/>
      <c r="G22" s="98"/>
      <c r="H22" s="99"/>
    </row>
    <row r="23" spans="2:8" ht="55.5" customHeight="1" x14ac:dyDescent="0.25">
      <c r="B23" s="95"/>
      <c r="C23" s="571" t="s">
        <v>169</v>
      </c>
      <c r="D23" s="572"/>
      <c r="E23" s="566" t="s">
        <v>170</v>
      </c>
      <c r="F23" s="567"/>
      <c r="G23" s="98"/>
      <c r="H23" s="99"/>
    </row>
    <row r="24" spans="2:8" ht="42" customHeight="1" x14ac:dyDescent="0.25">
      <c r="B24" s="95"/>
      <c r="C24" s="571" t="s">
        <v>47</v>
      </c>
      <c r="D24" s="572"/>
      <c r="E24" s="566" t="s">
        <v>171</v>
      </c>
      <c r="F24" s="567"/>
      <c r="G24" s="98"/>
      <c r="H24" s="99"/>
    </row>
    <row r="25" spans="2:8" ht="59.25" customHeight="1" x14ac:dyDescent="0.25">
      <c r="B25" s="95"/>
      <c r="C25" s="571" t="s">
        <v>159</v>
      </c>
      <c r="D25" s="572"/>
      <c r="E25" s="566" t="s">
        <v>172</v>
      </c>
      <c r="F25" s="567"/>
      <c r="G25" s="98"/>
      <c r="H25" s="99"/>
    </row>
    <row r="26" spans="2:8" ht="23.25" customHeight="1" x14ac:dyDescent="0.25">
      <c r="B26" s="95"/>
      <c r="C26" s="571" t="s">
        <v>12</v>
      </c>
      <c r="D26" s="572"/>
      <c r="E26" s="566" t="s">
        <v>173</v>
      </c>
      <c r="F26" s="567"/>
      <c r="G26" s="98"/>
      <c r="H26" s="99"/>
    </row>
    <row r="27" spans="2:8" ht="30.75" customHeight="1" x14ac:dyDescent="0.25">
      <c r="B27" s="95"/>
      <c r="C27" s="571" t="s">
        <v>177</v>
      </c>
      <c r="D27" s="572"/>
      <c r="E27" s="566" t="s">
        <v>174</v>
      </c>
      <c r="F27" s="567"/>
      <c r="G27" s="98"/>
      <c r="H27" s="99"/>
    </row>
    <row r="28" spans="2:8" ht="35.25" customHeight="1" x14ac:dyDescent="0.25">
      <c r="B28" s="95"/>
      <c r="C28" s="571" t="s">
        <v>178</v>
      </c>
      <c r="D28" s="572"/>
      <c r="E28" s="566" t="s">
        <v>175</v>
      </c>
      <c r="F28" s="567"/>
      <c r="G28" s="98"/>
      <c r="H28" s="99"/>
    </row>
    <row r="29" spans="2:8" ht="33" customHeight="1" x14ac:dyDescent="0.25">
      <c r="B29" s="95"/>
      <c r="C29" s="571" t="s">
        <v>178</v>
      </c>
      <c r="D29" s="572"/>
      <c r="E29" s="566" t="s">
        <v>175</v>
      </c>
      <c r="F29" s="567"/>
      <c r="G29" s="98"/>
      <c r="H29" s="99"/>
    </row>
    <row r="30" spans="2:8" ht="30" customHeight="1" x14ac:dyDescent="0.25">
      <c r="B30" s="95"/>
      <c r="C30" s="571" t="s">
        <v>179</v>
      </c>
      <c r="D30" s="572"/>
      <c r="E30" s="566" t="s">
        <v>176</v>
      </c>
      <c r="F30" s="567"/>
      <c r="G30" s="98"/>
      <c r="H30" s="99"/>
    </row>
    <row r="31" spans="2:8" ht="35.25" customHeight="1" x14ac:dyDescent="0.25">
      <c r="B31" s="95"/>
      <c r="C31" s="571" t="s">
        <v>180</v>
      </c>
      <c r="D31" s="572"/>
      <c r="E31" s="566" t="s">
        <v>181</v>
      </c>
      <c r="F31" s="567"/>
      <c r="G31" s="98"/>
      <c r="H31" s="99"/>
    </row>
    <row r="32" spans="2:8" ht="31.5" customHeight="1" x14ac:dyDescent="0.25">
      <c r="B32" s="95"/>
      <c r="C32" s="571" t="s">
        <v>182</v>
      </c>
      <c r="D32" s="572"/>
      <c r="E32" s="566" t="s">
        <v>183</v>
      </c>
      <c r="F32" s="567"/>
      <c r="G32" s="98"/>
      <c r="H32" s="99"/>
    </row>
    <row r="33" spans="2:8" ht="35.25" customHeight="1" x14ac:dyDescent="0.25">
      <c r="B33" s="95"/>
      <c r="C33" s="571" t="s">
        <v>184</v>
      </c>
      <c r="D33" s="572"/>
      <c r="E33" s="566" t="s">
        <v>185</v>
      </c>
      <c r="F33" s="567"/>
      <c r="G33" s="98"/>
      <c r="H33" s="99"/>
    </row>
    <row r="34" spans="2:8" ht="59.25" customHeight="1" x14ac:dyDescent="0.25">
      <c r="B34" s="95"/>
      <c r="C34" s="571" t="s">
        <v>186</v>
      </c>
      <c r="D34" s="572"/>
      <c r="E34" s="566" t="s">
        <v>187</v>
      </c>
      <c r="F34" s="567"/>
      <c r="G34" s="98"/>
      <c r="H34" s="99"/>
    </row>
    <row r="35" spans="2:8" ht="29.25" customHeight="1" x14ac:dyDescent="0.25">
      <c r="B35" s="95"/>
      <c r="C35" s="571" t="s">
        <v>29</v>
      </c>
      <c r="D35" s="572"/>
      <c r="E35" s="566" t="s">
        <v>188</v>
      </c>
      <c r="F35" s="567"/>
      <c r="G35" s="98"/>
      <c r="H35" s="99"/>
    </row>
    <row r="36" spans="2:8" ht="82.5" customHeight="1" x14ac:dyDescent="0.25">
      <c r="B36" s="95"/>
      <c r="C36" s="571" t="s">
        <v>190</v>
      </c>
      <c r="D36" s="572"/>
      <c r="E36" s="566" t="s">
        <v>189</v>
      </c>
      <c r="F36" s="567"/>
      <c r="G36" s="98"/>
      <c r="H36" s="99"/>
    </row>
    <row r="37" spans="2:8" ht="46.5" customHeight="1" x14ac:dyDescent="0.25">
      <c r="B37" s="95"/>
      <c r="C37" s="571" t="s">
        <v>38</v>
      </c>
      <c r="D37" s="572"/>
      <c r="E37" s="566" t="s">
        <v>191</v>
      </c>
      <c r="F37" s="567"/>
      <c r="G37" s="98"/>
      <c r="H37" s="99"/>
    </row>
    <row r="38" spans="2:8" ht="6.75" customHeight="1" thickBot="1" x14ac:dyDescent="0.3">
      <c r="B38" s="95"/>
      <c r="C38" s="573"/>
      <c r="D38" s="574"/>
      <c r="E38" s="575"/>
      <c r="F38" s="576"/>
      <c r="G38" s="98"/>
      <c r="H38" s="99"/>
    </row>
    <row r="39" spans="2:8" ht="15.75" thickTop="1" x14ac:dyDescent="0.25">
      <c r="B39" s="95"/>
      <c r="C39" s="96"/>
      <c r="D39" s="96"/>
      <c r="E39" s="97"/>
      <c r="F39" s="97"/>
      <c r="G39" s="98"/>
      <c r="H39" s="99"/>
    </row>
    <row r="40" spans="2:8" ht="21" customHeight="1" x14ac:dyDescent="0.25">
      <c r="B40" s="568" t="s">
        <v>294</v>
      </c>
      <c r="C40" s="569"/>
      <c r="D40" s="569"/>
      <c r="E40" s="569"/>
      <c r="F40" s="569"/>
      <c r="G40" s="569"/>
      <c r="H40" s="570"/>
    </row>
    <row r="41" spans="2:8" ht="20.25" customHeight="1" x14ac:dyDescent="0.25">
      <c r="B41" s="568" t="s">
        <v>295</v>
      </c>
      <c r="C41" s="569"/>
      <c r="D41" s="569"/>
      <c r="E41" s="569"/>
      <c r="F41" s="569"/>
      <c r="G41" s="569"/>
      <c r="H41" s="570"/>
    </row>
    <row r="42" spans="2:8" ht="20.25" customHeight="1" x14ac:dyDescent="0.25">
      <c r="B42" s="568" t="s">
        <v>296</v>
      </c>
      <c r="C42" s="569"/>
      <c r="D42" s="569"/>
      <c r="E42" s="569"/>
      <c r="F42" s="569"/>
      <c r="G42" s="569"/>
      <c r="H42" s="570"/>
    </row>
    <row r="43" spans="2:8" ht="20.25" customHeight="1" x14ac:dyDescent="0.25">
      <c r="B43" s="568" t="s">
        <v>297</v>
      </c>
      <c r="C43" s="569"/>
      <c r="D43" s="569"/>
      <c r="E43" s="569"/>
      <c r="F43" s="569"/>
      <c r="G43" s="569"/>
      <c r="H43" s="570"/>
    </row>
    <row r="44" spans="2:8" ht="15" customHeight="1" x14ac:dyDescent="0.25">
      <c r="B44" s="568" t="s">
        <v>298</v>
      </c>
      <c r="C44" s="569"/>
      <c r="D44" s="569"/>
      <c r="E44" s="569"/>
      <c r="F44" s="569"/>
      <c r="G44" s="569"/>
      <c r="H44" s="570"/>
    </row>
    <row r="45" spans="2:8" ht="15.75" thickBot="1" x14ac:dyDescent="0.3">
      <c r="B45" s="100"/>
      <c r="C45" s="101"/>
      <c r="D45" s="101"/>
      <c r="E45" s="101"/>
      <c r="F45" s="101"/>
      <c r="G45" s="101"/>
      <c r="H45" s="102"/>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577" t="s">
        <v>251</v>
      </c>
      <c r="C2" s="578" t="s">
        <v>205</v>
      </c>
      <c r="D2" s="579"/>
      <c r="E2" s="579"/>
      <c r="F2" s="579"/>
      <c r="G2" s="579"/>
      <c r="H2" s="579"/>
      <c r="I2" s="579"/>
      <c r="J2" s="284" t="s">
        <v>250</v>
      </c>
      <c r="K2" s="273"/>
    </row>
    <row r="3" spans="2:11" ht="15" customHeight="1" x14ac:dyDescent="0.25">
      <c r="B3" s="531"/>
      <c r="C3" s="580"/>
      <c r="D3" s="581"/>
      <c r="E3" s="581"/>
      <c r="F3" s="581"/>
      <c r="G3" s="581"/>
      <c r="H3" s="581"/>
      <c r="I3" s="581"/>
      <c r="J3" s="285" t="s">
        <v>264</v>
      </c>
      <c r="K3" s="275"/>
    </row>
    <row r="4" spans="2:11" ht="15" customHeight="1" x14ac:dyDescent="0.25">
      <c r="B4" s="531"/>
      <c r="C4" s="580"/>
      <c r="D4" s="581"/>
      <c r="E4" s="581"/>
      <c r="F4" s="581"/>
      <c r="G4" s="581"/>
      <c r="H4" s="581"/>
      <c r="I4" s="581"/>
      <c r="J4" s="285" t="s">
        <v>263</v>
      </c>
      <c r="K4" s="275" t="s">
        <v>263</v>
      </c>
    </row>
    <row r="5" spans="2:11" ht="15" customHeight="1" thickBot="1" x14ac:dyDescent="0.3">
      <c r="B5" s="532"/>
      <c r="C5" s="582"/>
      <c r="D5" s="583"/>
      <c r="E5" s="583"/>
      <c r="F5" s="583"/>
      <c r="G5" s="583"/>
      <c r="H5" s="583"/>
      <c r="I5" s="583"/>
      <c r="J5" s="286" t="s">
        <v>245</v>
      </c>
      <c r="K5" s="277" t="s">
        <v>245</v>
      </c>
    </row>
    <row r="6" spans="2:11" ht="15.75" thickBot="1" x14ac:dyDescent="0.3"/>
    <row r="7" spans="2:11" customFormat="1" ht="15.75" thickBot="1" x14ac:dyDescent="0.3">
      <c r="B7" s="584" t="s">
        <v>246</v>
      </c>
      <c r="C7" s="585"/>
      <c r="D7" s="586" t="s">
        <v>252</v>
      </c>
      <c r="E7" s="587"/>
      <c r="F7" s="586" t="s">
        <v>253</v>
      </c>
      <c r="G7" s="588"/>
      <c r="H7" s="588"/>
      <c r="I7" s="588"/>
      <c r="J7" s="588"/>
      <c r="K7" s="589"/>
    </row>
    <row r="8" spans="2:11" customFormat="1" ht="18" customHeight="1" thickBot="1" x14ac:dyDescent="0.3">
      <c r="B8" s="590"/>
      <c r="C8" s="591"/>
      <c r="D8" s="592">
        <v>1</v>
      </c>
      <c r="E8" s="593"/>
      <c r="F8" s="594"/>
      <c r="G8" s="594"/>
      <c r="H8" s="594"/>
      <c r="I8" s="594"/>
      <c r="J8" s="594"/>
      <c r="K8" s="595"/>
    </row>
    <row r="9" spans="2:11" customFormat="1" ht="18" customHeight="1" thickBot="1" x14ac:dyDescent="0.3">
      <c r="B9" s="590"/>
      <c r="C9" s="591"/>
      <c r="D9" s="592">
        <v>2</v>
      </c>
      <c r="E9" s="593"/>
      <c r="F9" s="594"/>
      <c r="G9" s="594"/>
      <c r="H9" s="594"/>
      <c r="I9" s="594"/>
      <c r="J9" s="594"/>
      <c r="K9" s="595"/>
    </row>
    <row r="10" spans="2:11" customFormat="1" ht="18" customHeight="1" thickBot="1" x14ac:dyDescent="0.3">
      <c r="B10" s="590"/>
      <c r="C10" s="591"/>
      <c r="D10" s="592">
        <v>3</v>
      </c>
      <c r="E10" s="593"/>
      <c r="F10" s="594"/>
      <c r="G10" s="594"/>
      <c r="H10" s="594"/>
      <c r="I10" s="594"/>
      <c r="J10" s="594"/>
      <c r="K10" s="595"/>
    </row>
    <row r="11" spans="2:11" customFormat="1" ht="18" customHeight="1" thickBot="1" x14ac:dyDescent="0.3">
      <c r="B11" s="590"/>
      <c r="C11" s="591"/>
      <c r="D11" s="592">
        <v>4</v>
      </c>
      <c r="E11" s="593"/>
      <c r="F11" s="594"/>
      <c r="G11" s="594"/>
      <c r="H11" s="594"/>
      <c r="I11" s="594"/>
      <c r="J11" s="594"/>
      <c r="K11" s="595"/>
    </row>
    <row r="12" spans="2:11" customFormat="1" ht="18" customHeight="1" thickBot="1" x14ac:dyDescent="0.3">
      <c r="B12" s="590"/>
      <c r="C12" s="591"/>
      <c r="D12" s="592">
        <v>5</v>
      </c>
      <c r="E12" s="593"/>
      <c r="F12" s="594"/>
      <c r="G12" s="594"/>
      <c r="H12" s="594"/>
      <c r="I12" s="594"/>
      <c r="J12" s="594"/>
      <c r="K12" s="595"/>
    </row>
    <row r="13" spans="2:11" customFormat="1" ht="18" customHeight="1" thickBot="1" x14ac:dyDescent="0.3">
      <c r="B13" s="590"/>
      <c r="C13" s="591"/>
      <c r="D13" s="592">
        <v>6</v>
      </c>
      <c r="E13" s="593"/>
      <c r="F13" s="594"/>
      <c r="G13" s="594"/>
      <c r="H13" s="594"/>
      <c r="I13" s="594"/>
      <c r="J13" s="594"/>
      <c r="K13" s="595"/>
    </row>
    <row r="14" spans="2:11" customFormat="1" ht="18" customHeight="1" thickBot="1" x14ac:dyDescent="0.3">
      <c r="B14" s="590"/>
      <c r="C14" s="591"/>
      <c r="D14" s="592">
        <v>7</v>
      </c>
      <c r="E14" s="593"/>
      <c r="F14" s="594"/>
      <c r="G14" s="594"/>
      <c r="H14" s="594"/>
      <c r="I14" s="594"/>
      <c r="J14" s="594"/>
      <c r="K14" s="595"/>
    </row>
    <row r="15" spans="2:11" customFormat="1" ht="18" customHeight="1" thickBot="1" x14ac:dyDescent="0.3">
      <c r="B15" s="590">
        <v>45352</v>
      </c>
      <c r="C15" s="591"/>
      <c r="D15" s="592">
        <v>8</v>
      </c>
      <c r="E15" s="593"/>
      <c r="F15" s="594" t="s">
        <v>265</v>
      </c>
      <c r="G15" s="594"/>
      <c r="H15" s="594"/>
      <c r="I15" s="594"/>
      <c r="J15" s="594"/>
      <c r="K15" s="595"/>
    </row>
    <row r="16" spans="2:11" customFormat="1" ht="15.75" customHeight="1" thickBot="1" x14ac:dyDescent="0.3">
      <c r="B16" s="596"/>
      <c r="C16" s="596"/>
      <c r="D16" s="596"/>
      <c r="E16" s="596"/>
      <c r="F16" s="596"/>
      <c r="G16" s="596"/>
      <c r="H16" s="596"/>
      <c r="I16" s="596"/>
      <c r="J16" s="596"/>
      <c r="K16" s="596"/>
    </row>
    <row r="17" spans="2:12" customFormat="1" ht="15.75" customHeight="1" thickBot="1" x14ac:dyDescent="0.3">
      <c r="B17" s="597" t="s">
        <v>254</v>
      </c>
      <c r="C17" s="598"/>
      <c r="D17" s="598"/>
      <c r="E17" s="599"/>
      <c r="F17" s="600" t="s">
        <v>255</v>
      </c>
      <c r="G17" s="601"/>
      <c r="H17" s="602"/>
      <c r="I17" s="603" t="s">
        <v>256</v>
      </c>
      <c r="J17" s="604"/>
      <c r="K17" s="599"/>
    </row>
    <row r="18" spans="2:12" customFormat="1" ht="27" customHeight="1" x14ac:dyDescent="0.25">
      <c r="B18" s="605"/>
      <c r="C18" s="606"/>
      <c r="D18" s="606"/>
      <c r="E18" s="606"/>
      <c r="F18" s="606"/>
      <c r="G18" s="606"/>
      <c r="H18" s="606"/>
      <c r="I18" s="607"/>
      <c r="J18" s="607"/>
      <c r="K18" s="608"/>
    </row>
    <row r="19" spans="2:12" customFormat="1" ht="15" customHeight="1" x14ac:dyDescent="0.25">
      <c r="B19" s="610" t="s">
        <v>257</v>
      </c>
      <c r="C19" s="611"/>
      <c r="D19" s="611"/>
      <c r="E19" s="611"/>
      <c r="F19" s="612" t="s">
        <v>258</v>
      </c>
      <c r="G19" s="612"/>
      <c r="H19" s="613"/>
      <c r="I19" s="612" t="s">
        <v>258</v>
      </c>
      <c r="J19" s="612"/>
      <c r="K19" s="613"/>
    </row>
    <row r="20" spans="2:12" customFormat="1" ht="22.5" customHeight="1" thickBot="1" x14ac:dyDescent="0.3">
      <c r="B20" s="614" t="s">
        <v>259</v>
      </c>
      <c r="C20" s="615"/>
      <c r="D20" s="615"/>
      <c r="E20" s="615"/>
      <c r="F20" s="615" t="s">
        <v>260</v>
      </c>
      <c r="G20" s="615"/>
      <c r="H20" s="616"/>
      <c r="I20" s="615" t="s">
        <v>260</v>
      </c>
      <c r="J20" s="615"/>
      <c r="K20" s="616"/>
    </row>
    <row r="21" spans="2:12" customFormat="1" ht="9" customHeight="1" thickBot="1" x14ac:dyDescent="0.3">
      <c r="B21" s="617"/>
      <c r="C21" s="617"/>
      <c r="D21" s="617"/>
      <c r="E21" s="617"/>
      <c r="F21" s="617"/>
      <c r="G21" s="617"/>
      <c r="H21" s="617"/>
      <c r="I21" s="617"/>
      <c r="J21" s="617"/>
      <c r="K21" s="617"/>
    </row>
    <row r="22" spans="2:12" customFormat="1" ht="15.75" thickBot="1" x14ac:dyDescent="0.3">
      <c r="B22" s="618" t="s">
        <v>207</v>
      </c>
      <c r="C22" s="619"/>
      <c r="D22" s="620"/>
      <c r="E22" s="131" t="s">
        <v>208</v>
      </c>
      <c r="F22" s="618" t="s">
        <v>209</v>
      </c>
      <c r="G22" s="620"/>
      <c r="H22" s="132" t="s">
        <v>210</v>
      </c>
      <c r="I22" s="618" t="s">
        <v>211</v>
      </c>
      <c r="J22" s="620"/>
      <c r="K22" s="133">
        <v>1</v>
      </c>
    </row>
    <row r="23" spans="2:12" ht="8.25" customHeight="1" x14ac:dyDescent="0.25"/>
    <row r="24" spans="2:12" x14ac:dyDescent="0.25">
      <c r="B24" s="609" t="s">
        <v>261</v>
      </c>
      <c r="C24" s="609"/>
      <c r="D24" s="609"/>
      <c r="E24" s="609"/>
      <c r="F24" s="609"/>
      <c r="G24" s="609"/>
      <c r="H24" s="609"/>
      <c r="I24" s="609"/>
      <c r="J24" s="609"/>
      <c r="K24" s="609"/>
      <c r="L24" s="609"/>
    </row>
    <row r="25" spans="2:12" x14ac:dyDescent="0.25">
      <c r="B25" s="609" t="s">
        <v>262</v>
      </c>
      <c r="C25" s="609"/>
      <c r="D25" s="609"/>
      <c r="E25" s="609"/>
      <c r="F25" s="609"/>
      <c r="G25" s="609"/>
      <c r="H25" s="609"/>
      <c r="I25" s="609"/>
      <c r="J25" s="609"/>
      <c r="K25" s="609"/>
      <c r="L25" s="609"/>
    </row>
    <row r="26" spans="2:12" ht="9" customHeight="1" x14ac:dyDescent="0.25"/>
  </sheetData>
  <mergeCells count="52">
    <mergeCell ref="F11:K11"/>
    <mergeCell ref="B12:C12"/>
    <mergeCell ref="D12:E12"/>
    <mergeCell ref="F12:K12"/>
    <mergeCell ref="B14:C14"/>
    <mergeCell ref="D14:E14"/>
    <mergeCell ref="F14:K14"/>
    <mergeCell ref="D13:E13"/>
    <mergeCell ref="F13:K13"/>
    <mergeCell ref="B11:C11"/>
    <mergeCell ref="D11:E11"/>
    <mergeCell ref="B25:L25"/>
    <mergeCell ref="B19:E19"/>
    <mergeCell ref="F19:H19"/>
    <mergeCell ref="I19:K19"/>
    <mergeCell ref="B20:E20"/>
    <mergeCell ref="F20:H20"/>
    <mergeCell ref="I20:K20"/>
    <mergeCell ref="B21:K21"/>
    <mergeCell ref="B22:D22"/>
    <mergeCell ref="F22:G22"/>
    <mergeCell ref="I22:J22"/>
    <mergeCell ref="B24:L24"/>
    <mergeCell ref="B16:K16"/>
    <mergeCell ref="B17:E17"/>
    <mergeCell ref="F17:H17"/>
    <mergeCell ref="I17:K17"/>
    <mergeCell ref="B18:E18"/>
    <mergeCell ref="F18:H18"/>
    <mergeCell ref="I18:K18"/>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2:B5"/>
    <mergeCell ref="C2:I5"/>
    <mergeCell ref="J2:K2"/>
    <mergeCell ref="J3:K3"/>
    <mergeCell ref="J4:K4"/>
    <mergeCell ref="J5:K5"/>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621" t="s">
        <v>54</v>
      </c>
      <c r="C1" s="621"/>
      <c r="D1" s="621"/>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622" t="s">
        <v>62</v>
      </c>
      <c r="C1" s="622"/>
      <c r="D1" s="622"/>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67.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e" cm="1">
        <f t="array" aca="1" ref="B221:B223" ca="1">_xlfn.UNIQUE(Tabla1[[#All],[Criterios]])</f>
        <v>#NAME?</v>
      </c>
      <c r="C221" s="18"/>
      <c r="E221" t="s">
        <v>117</v>
      </c>
      <c r="F221" t="str">
        <f t="shared" si="0"/>
        <v xml:space="preserve">     El riesgo afecta la imagen de la entidad a nivel nacional, con efecto publicitarios sostenible a nivel país</v>
      </c>
    </row>
    <row r="222" spans="1:8" x14ac:dyDescent="0.25">
      <c r="A222" s="69"/>
      <c r="B222" s="18" t="e">
        <f ca="1"/>
        <v>#NAME?</v>
      </c>
      <c r="C222" s="18"/>
    </row>
    <row r="223" spans="1:8" x14ac:dyDescent="0.25">
      <c r="B223" s="18" t="e">
        <f ca="1"/>
        <v>#NAME?</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623" t="s">
        <v>77</v>
      </c>
      <c r="C1" s="624"/>
      <c r="D1" s="624"/>
      <c r="E1" s="624"/>
      <c r="F1" s="625"/>
    </row>
    <row r="2" spans="2:6" ht="16.5" thickBot="1" x14ac:dyDescent="0.3">
      <c r="B2" s="75"/>
      <c r="C2" s="75"/>
      <c r="D2" s="75"/>
      <c r="E2" s="75"/>
      <c r="F2" s="75"/>
    </row>
    <row r="3" spans="2:6" ht="16.5" thickBot="1" x14ac:dyDescent="0.25">
      <c r="B3" s="627" t="s">
        <v>63</v>
      </c>
      <c r="C3" s="628"/>
      <c r="D3" s="628"/>
      <c r="E3" s="87" t="s">
        <v>64</v>
      </c>
      <c r="F3" s="88" t="s">
        <v>65</v>
      </c>
    </row>
    <row r="4" spans="2:6" ht="31.5" x14ac:dyDescent="0.2">
      <c r="B4" s="629" t="s">
        <v>66</v>
      </c>
      <c r="C4" s="631" t="s">
        <v>13</v>
      </c>
      <c r="D4" s="76" t="s">
        <v>14</v>
      </c>
      <c r="E4" s="77" t="s">
        <v>67</v>
      </c>
      <c r="F4" s="78">
        <v>0.25</v>
      </c>
    </row>
    <row r="5" spans="2:6" ht="47.25" x14ac:dyDescent="0.2">
      <c r="B5" s="630"/>
      <c r="C5" s="632"/>
      <c r="D5" s="79" t="s">
        <v>15</v>
      </c>
      <c r="E5" s="80" t="s">
        <v>68</v>
      </c>
      <c r="F5" s="81">
        <v>0.15</v>
      </c>
    </row>
    <row r="6" spans="2:6" ht="47.25" x14ac:dyDescent="0.2">
      <c r="B6" s="630"/>
      <c r="C6" s="632"/>
      <c r="D6" s="79" t="s">
        <v>16</v>
      </c>
      <c r="E6" s="80" t="s">
        <v>69</v>
      </c>
      <c r="F6" s="81">
        <v>0.1</v>
      </c>
    </row>
    <row r="7" spans="2:6" ht="63" x14ac:dyDescent="0.2">
      <c r="B7" s="630"/>
      <c r="C7" s="632" t="s">
        <v>17</v>
      </c>
      <c r="D7" s="79" t="s">
        <v>10</v>
      </c>
      <c r="E7" s="80" t="s">
        <v>70</v>
      </c>
      <c r="F7" s="81">
        <v>0.25</v>
      </c>
    </row>
    <row r="8" spans="2:6" ht="31.5" x14ac:dyDescent="0.2">
      <c r="B8" s="630"/>
      <c r="C8" s="632"/>
      <c r="D8" s="79" t="s">
        <v>9</v>
      </c>
      <c r="E8" s="80" t="s">
        <v>71</v>
      </c>
      <c r="F8" s="81">
        <v>0.15</v>
      </c>
    </row>
    <row r="9" spans="2:6" ht="47.25" x14ac:dyDescent="0.2">
      <c r="B9" s="630" t="s">
        <v>158</v>
      </c>
      <c r="C9" s="632" t="s">
        <v>18</v>
      </c>
      <c r="D9" s="79" t="s">
        <v>19</v>
      </c>
      <c r="E9" s="80" t="s">
        <v>72</v>
      </c>
      <c r="F9" s="82" t="s">
        <v>73</v>
      </c>
    </row>
    <row r="10" spans="2:6" ht="63" x14ac:dyDescent="0.2">
      <c r="B10" s="630"/>
      <c r="C10" s="632"/>
      <c r="D10" s="79" t="s">
        <v>20</v>
      </c>
      <c r="E10" s="80" t="s">
        <v>74</v>
      </c>
      <c r="F10" s="82" t="s">
        <v>73</v>
      </c>
    </row>
    <row r="11" spans="2:6" ht="47.25" x14ac:dyDescent="0.2">
      <c r="B11" s="630"/>
      <c r="C11" s="632" t="s">
        <v>21</v>
      </c>
      <c r="D11" s="79" t="s">
        <v>22</v>
      </c>
      <c r="E11" s="80" t="s">
        <v>75</v>
      </c>
      <c r="F11" s="82" t="s">
        <v>73</v>
      </c>
    </row>
    <row r="12" spans="2:6" ht="47.25" x14ac:dyDescent="0.2">
      <c r="B12" s="630"/>
      <c r="C12" s="632"/>
      <c r="D12" s="79" t="s">
        <v>23</v>
      </c>
      <c r="E12" s="80" t="s">
        <v>76</v>
      </c>
      <c r="F12" s="82" t="s">
        <v>73</v>
      </c>
    </row>
    <row r="13" spans="2:6" ht="31.5" x14ac:dyDescent="0.2">
      <c r="B13" s="630"/>
      <c r="C13" s="632" t="s">
        <v>24</v>
      </c>
      <c r="D13" s="79" t="s">
        <v>118</v>
      </c>
      <c r="E13" s="80" t="s">
        <v>121</v>
      </c>
      <c r="F13" s="82" t="s">
        <v>73</v>
      </c>
    </row>
    <row r="14" spans="2:6" ht="32.25" thickBot="1" x14ac:dyDescent="0.25">
      <c r="B14" s="633"/>
      <c r="C14" s="634"/>
      <c r="D14" s="83" t="s">
        <v>119</v>
      </c>
      <c r="E14" s="84" t="s">
        <v>120</v>
      </c>
      <c r="F14" s="85" t="s">
        <v>73</v>
      </c>
    </row>
    <row r="15" spans="2:6" ht="49.5" customHeight="1" x14ac:dyDescent="0.2">
      <c r="B15" s="626" t="s">
        <v>155</v>
      </c>
      <c r="C15" s="626"/>
      <c r="D15" s="626"/>
      <c r="E15" s="626"/>
      <c r="F15" s="626"/>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99" t="s">
        <v>244</v>
      </c>
      <c r="C2" s="300"/>
      <c r="D2" s="287" t="s">
        <v>300</v>
      </c>
      <c r="E2" s="284" t="s">
        <v>377</v>
      </c>
      <c r="F2" s="273"/>
    </row>
    <row r="3" spans="1:8" ht="19.5" customHeight="1" x14ac:dyDescent="0.25">
      <c r="B3" s="268"/>
      <c r="C3" s="301"/>
      <c r="D3" s="288"/>
      <c r="E3" s="285" t="s">
        <v>264</v>
      </c>
      <c r="F3" s="275"/>
    </row>
    <row r="4" spans="1:8" ht="19.5" customHeight="1" x14ac:dyDescent="0.25">
      <c r="B4" s="268"/>
      <c r="C4" s="301"/>
      <c r="D4" s="288"/>
      <c r="E4" s="285" t="s">
        <v>389</v>
      </c>
      <c r="F4" s="275"/>
    </row>
    <row r="5" spans="1:8" ht="19.5" customHeight="1" thickBot="1" x14ac:dyDescent="0.3">
      <c r="A5" t="s">
        <v>266</v>
      </c>
      <c r="B5" s="270"/>
      <c r="C5" s="302"/>
      <c r="D5" s="289"/>
      <c r="E5" s="286" t="s">
        <v>245</v>
      </c>
      <c r="F5" s="277"/>
    </row>
    <row r="6" spans="1:8" ht="15.75" thickBot="1" x14ac:dyDescent="0.3"/>
    <row r="7" spans="1:8" x14ac:dyDescent="0.25">
      <c r="B7" s="290" t="s">
        <v>299</v>
      </c>
      <c r="C7" s="293" t="s">
        <v>268</v>
      </c>
      <c r="D7" s="294"/>
      <c r="E7" s="280" t="s">
        <v>270</v>
      </c>
      <c r="F7" s="281"/>
    </row>
    <row r="8" spans="1:8" ht="15.75" thickBot="1" x14ac:dyDescent="0.3">
      <c r="B8" s="291"/>
      <c r="C8" s="295"/>
      <c r="D8" s="296"/>
      <c r="E8" s="282"/>
      <c r="F8" s="283"/>
      <c r="H8" s="156">
        <f>+COUNTA($E$10:$E$28)</f>
        <v>0</v>
      </c>
    </row>
    <row r="9" spans="1:8" ht="15.75" thickBot="1" x14ac:dyDescent="0.3">
      <c r="B9" s="292"/>
      <c r="C9" s="297" t="s">
        <v>269</v>
      </c>
      <c r="D9" s="298"/>
      <c r="E9" s="153" t="s">
        <v>271</v>
      </c>
      <c r="F9" s="153" t="s">
        <v>272</v>
      </c>
      <c r="H9" s="156">
        <f>+COUNTA($F$10:$F$28)</f>
        <v>0</v>
      </c>
    </row>
    <row r="10" spans="1:8" ht="15.75" thickBot="1" x14ac:dyDescent="0.3">
      <c r="B10" s="152">
        <v>1</v>
      </c>
      <c r="C10" s="278" t="s">
        <v>273</v>
      </c>
      <c r="D10" s="279"/>
      <c r="E10" s="148"/>
      <c r="F10" s="149"/>
      <c r="H10" s="156">
        <f>+COUNTA($E$10:$E$28)-COUNTA(F10:F28)</f>
        <v>0</v>
      </c>
    </row>
    <row r="11" spans="1:8" ht="15.75" thickBot="1" x14ac:dyDescent="0.3">
      <c r="B11" s="152">
        <v>2</v>
      </c>
      <c r="C11" s="278" t="s">
        <v>275</v>
      </c>
      <c r="D11" s="279" t="s">
        <v>275</v>
      </c>
      <c r="E11" s="148"/>
      <c r="F11" s="149"/>
      <c r="H11" s="157"/>
    </row>
    <row r="12" spans="1:8" ht="15.75" thickBot="1" x14ac:dyDescent="0.3">
      <c r="B12" s="152">
        <v>3</v>
      </c>
      <c r="C12" s="278" t="s">
        <v>276</v>
      </c>
      <c r="D12" s="279" t="s">
        <v>276</v>
      </c>
      <c r="E12" s="148"/>
      <c r="F12" s="149"/>
    </row>
    <row r="13" spans="1:8" ht="15.75" thickBot="1" x14ac:dyDescent="0.3">
      <c r="B13" s="152">
        <v>4</v>
      </c>
      <c r="C13" s="278" t="s">
        <v>388</v>
      </c>
      <c r="D13" s="279" t="s">
        <v>277</v>
      </c>
      <c r="E13" s="148"/>
      <c r="F13" s="149"/>
    </row>
    <row r="14" spans="1:8" ht="15.75" thickBot="1" x14ac:dyDescent="0.3">
      <c r="B14" s="152">
        <v>5</v>
      </c>
      <c r="C14" s="278" t="s">
        <v>278</v>
      </c>
      <c r="D14" s="279" t="s">
        <v>278</v>
      </c>
      <c r="E14" s="148"/>
      <c r="F14" s="149"/>
    </row>
    <row r="15" spans="1:8" ht="15.75" thickBot="1" x14ac:dyDescent="0.3">
      <c r="B15" s="152">
        <v>6</v>
      </c>
      <c r="C15" s="278" t="s">
        <v>279</v>
      </c>
      <c r="D15" s="279" t="s">
        <v>279</v>
      </c>
      <c r="E15" s="148"/>
      <c r="F15" s="149"/>
    </row>
    <row r="16" spans="1:8" ht="15.75" thickBot="1" x14ac:dyDescent="0.3">
      <c r="B16" s="152">
        <v>7</v>
      </c>
      <c r="C16" s="278" t="s">
        <v>280</v>
      </c>
      <c r="D16" s="279" t="s">
        <v>280</v>
      </c>
      <c r="E16" s="148"/>
      <c r="F16" s="149"/>
    </row>
    <row r="17" spans="2:7" ht="28.5" customHeight="1" thickBot="1" x14ac:dyDescent="0.3">
      <c r="B17" s="152">
        <v>8</v>
      </c>
      <c r="C17" s="278" t="s">
        <v>281</v>
      </c>
      <c r="D17" s="279" t="s">
        <v>281</v>
      </c>
      <c r="E17" s="148"/>
      <c r="F17" s="149"/>
    </row>
    <row r="18" spans="2:7" ht="18.75" customHeight="1" thickBot="1" x14ac:dyDescent="0.3">
      <c r="B18" s="152">
        <v>9</v>
      </c>
      <c r="C18" s="278" t="s">
        <v>282</v>
      </c>
      <c r="D18" s="279" t="s">
        <v>282</v>
      </c>
      <c r="E18" s="148"/>
      <c r="F18" s="149"/>
    </row>
    <row r="19" spans="2:7" ht="15.75" thickBot="1" x14ac:dyDescent="0.3">
      <c r="B19" s="152">
        <v>10</v>
      </c>
      <c r="C19" s="278" t="s">
        <v>283</v>
      </c>
      <c r="D19" s="279" t="s">
        <v>283</v>
      </c>
      <c r="E19" s="148"/>
      <c r="F19" s="149"/>
    </row>
    <row r="20" spans="2:7" ht="15.75" thickBot="1" x14ac:dyDescent="0.3">
      <c r="B20" s="152">
        <v>11</v>
      </c>
      <c r="C20" s="278" t="s">
        <v>284</v>
      </c>
      <c r="D20" s="279" t="s">
        <v>284</v>
      </c>
      <c r="E20" s="148"/>
      <c r="F20" s="149"/>
    </row>
    <row r="21" spans="2:7" ht="15.75" thickBot="1" x14ac:dyDescent="0.3">
      <c r="B21" s="152">
        <v>12</v>
      </c>
      <c r="C21" s="278" t="s">
        <v>285</v>
      </c>
      <c r="D21" s="279" t="s">
        <v>285</v>
      </c>
      <c r="E21" s="148"/>
      <c r="F21" s="149"/>
    </row>
    <row r="22" spans="2:7" ht="15.75" thickBot="1" x14ac:dyDescent="0.3">
      <c r="B22" s="152">
        <v>13</v>
      </c>
      <c r="C22" s="278" t="s">
        <v>286</v>
      </c>
      <c r="D22" s="279" t="s">
        <v>286</v>
      </c>
      <c r="E22" s="148"/>
      <c r="F22" s="149"/>
    </row>
    <row r="23" spans="2:7" ht="15.75" thickBot="1" x14ac:dyDescent="0.3">
      <c r="B23" s="152">
        <v>14</v>
      </c>
      <c r="C23" s="278" t="s">
        <v>287</v>
      </c>
      <c r="D23" s="279" t="s">
        <v>287</v>
      </c>
      <c r="E23" s="148"/>
      <c r="F23" s="149"/>
    </row>
    <row r="24" spans="2:7" ht="15.75" thickBot="1" x14ac:dyDescent="0.3">
      <c r="B24" s="152">
        <v>15</v>
      </c>
      <c r="C24" s="278" t="s">
        <v>288</v>
      </c>
      <c r="D24" s="279" t="s">
        <v>288</v>
      </c>
      <c r="E24" s="148"/>
      <c r="F24" s="149"/>
    </row>
    <row r="25" spans="2:7" ht="15.75" thickBot="1" x14ac:dyDescent="0.3">
      <c r="B25" s="152">
        <v>16</v>
      </c>
      <c r="C25" s="278" t="s">
        <v>289</v>
      </c>
      <c r="D25" s="279" t="s">
        <v>289</v>
      </c>
      <c r="E25" s="148"/>
      <c r="F25" s="149"/>
    </row>
    <row r="26" spans="2:7" ht="15.75" thickBot="1" x14ac:dyDescent="0.3">
      <c r="B26" s="152">
        <v>17</v>
      </c>
      <c r="C26" s="278" t="s">
        <v>290</v>
      </c>
      <c r="D26" s="279" t="s">
        <v>290</v>
      </c>
      <c r="E26" s="148"/>
      <c r="F26" s="149"/>
    </row>
    <row r="27" spans="2:7" ht="15.75" thickBot="1" x14ac:dyDescent="0.3">
      <c r="B27" s="152">
        <v>18</v>
      </c>
      <c r="C27" s="278" t="s">
        <v>291</v>
      </c>
      <c r="D27" s="279" t="s">
        <v>291</v>
      </c>
      <c r="E27" s="148"/>
      <c r="F27" s="149"/>
    </row>
    <row r="28" spans="2:7" ht="15.75" thickBot="1" x14ac:dyDescent="0.3">
      <c r="B28" s="152">
        <v>19</v>
      </c>
      <c r="C28" s="278" t="s">
        <v>292</v>
      </c>
      <c r="D28" s="279"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2:D12"/>
    <mergeCell ref="D2:D5"/>
    <mergeCell ref="B7:B9"/>
    <mergeCell ref="C7:D8"/>
    <mergeCell ref="C9:D9"/>
    <mergeCell ref="C11:D11"/>
    <mergeCell ref="B2:C5"/>
    <mergeCell ref="C10:D10"/>
    <mergeCell ref="E7:F8"/>
    <mergeCell ref="E2:F2"/>
    <mergeCell ref="E3:F3"/>
    <mergeCell ref="E4:F4"/>
    <mergeCell ref="E5:F5"/>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s>
  <conditionalFormatting sqref="G29">
    <cfRule type="cellIs" dxfId="51" priority="1" stopIfTrue="1" operator="equal">
      <formula>"Catastrófico"</formula>
    </cfRule>
    <cfRule type="cellIs" dxfId="50" priority="2" stopIfTrue="1" operator="equal">
      <formula>"Moderado"</formula>
    </cfRule>
    <cfRule type="cellIs" dxfId="49"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29"/>
  <sheetViews>
    <sheetView showGridLines="0" zoomScale="60" zoomScaleNormal="60" workbookViewId="0">
      <pane ySplit="10" topLeftCell="A11" activePane="bottomLeft" state="frozen"/>
      <selection pane="bottomLeft" activeCell="D26" sqref="D26:L26"/>
    </sheetView>
  </sheetViews>
  <sheetFormatPr baseColWidth="10" defaultColWidth="11.42578125" defaultRowHeight="14.25" x14ac:dyDescent="0.2"/>
  <cols>
    <col min="1" max="1" width="11.42578125" style="181"/>
    <col min="2" max="2" width="3" style="181" customWidth="1"/>
    <col min="3" max="3" width="2.5703125" style="181" customWidth="1"/>
    <col min="4" max="4" width="4.7109375" style="182" customWidth="1"/>
    <col min="5" max="5" width="14.7109375" style="182" customWidth="1"/>
    <col min="6" max="8" width="12" style="182" customWidth="1"/>
    <col min="9" max="9" width="31" style="182" customWidth="1"/>
    <col min="10" max="10" width="16.28515625" style="182" hidden="1" customWidth="1"/>
    <col min="11" max="11" width="25.5703125" style="182" hidden="1" customWidth="1"/>
    <col min="12" max="12" width="32.42578125" style="181" customWidth="1"/>
    <col min="13" max="15" width="19" style="183" customWidth="1"/>
    <col min="16" max="16" width="17.7109375" style="181" customWidth="1"/>
    <col min="17" max="17" width="16.42578125" style="181" customWidth="1"/>
    <col min="18" max="18" width="6.28515625" style="181" bestFit="1" customWidth="1"/>
    <col min="19" max="19" width="27.28515625" style="181" bestFit="1" customWidth="1"/>
    <col min="20" max="20" width="17" style="181" customWidth="1"/>
    <col min="21" max="21" width="17.42578125" style="181" customWidth="1"/>
    <col min="22" max="22" width="6.28515625" style="181" bestFit="1" customWidth="1"/>
    <col min="23" max="23" width="16" style="181" customWidth="1"/>
    <col min="24" max="24" width="5.7109375" style="181" customWidth="1"/>
    <col min="25" max="25" width="62.140625" style="181" customWidth="1"/>
    <col min="26" max="26" width="57.28515625" style="181" customWidth="1"/>
    <col min="27" max="27" width="9.7109375" style="181" customWidth="1"/>
    <col min="28" max="28" width="6.7109375" style="181" customWidth="1"/>
    <col min="29" max="29" width="5" style="181" customWidth="1"/>
    <col min="30" max="30" width="5.42578125" style="181" customWidth="1"/>
    <col min="31" max="31" width="7.140625" style="181" customWidth="1"/>
    <col min="32" max="32" width="6.7109375" style="181" customWidth="1"/>
    <col min="33" max="33" width="7.42578125" style="181" customWidth="1"/>
    <col min="34" max="34" width="24" style="181" customWidth="1"/>
    <col min="35" max="35" width="13.7109375" style="181" customWidth="1"/>
    <col min="36" max="36" width="8.7109375" style="181" customWidth="1"/>
    <col min="37" max="37" width="10.42578125" style="181" customWidth="1"/>
    <col min="38" max="38" width="9.28515625" style="181" customWidth="1"/>
    <col min="39" max="39" width="9.140625" style="181" customWidth="1"/>
    <col min="40" max="40" width="8.42578125" style="181" customWidth="1"/>
    <col min="41" max="41" width="7.28515625" style="181" customWidth="1"/>
    <col min="42" max="42" width="33.85546875" style="181" customWidth="1"/>
    <col min="43" max="43" width="18.7109375" style="181" customWidth="1"/>
    <col min="44" max="44" width="16.7109375" style="181" customWidth="1"/>
    <col min="45" max="45" width="14.7109375" style="181" customWidth="1"/>
    <col min="46" max="46" width="18.42578125" style="181" customWidth="1"/>
    <col min="47" max="47" width="21" style="181" customWidth="1"/>
    <col min="48" max="48" width="14.140625" style="181" customWidth="1"/>
    <col min="49" max="49" width="17.7109375" style="181" customWidth="1"/>
    <col min="50" max="51" width="20.7109375" style="181" customWidth="1"/>
    <col min="52" max="52" width="15.42578125" style="181" customWidth="1"/>
    <col min="53" max="53" width="19.5703125" style="181" customWidth="1"/>
    <col min="54" max="54" width="17.28515625" style="181" customWidth="1"/>
    <col min="55" max="16384" width="11.42578125" style="181"/>
  </cols>
  <sheetData>
    <row r="1" spans="1:80" ht="15" thickBot="1" x14ac:dyDescent="0.25"/>
    <row r="2" spans="1:80" ht="27.75" customHeight="1" x14ac:dyDescent="0.2">
      <c r="D2" s="341" t="s">
        <v>301</v>
      </c>
      <c r="E2" s="342"/>
      <c r="F2" s="342"/>
      <c r="G2" s="342"/>
      <c r="H2" s="342"/>
      <c r="I2" s="347" t="s">
        <v>205</v>
      </c>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c r="AS2" s="347"/>
      <c r="AT2" s="347"/>
      <c r="AU2" s="347"/>
      <c r="AV2" s="347"/>
      <c r="AW2" s="347"/>
      <c r="AX2" s="347"/>
      <c r="AY2" s="347"/>
      <c r="AZ2" s="347"/>
      <c r="BA2" s="332" t="s">
        <v>377</v>
      </c>
      <c r="BB2" s="333"/>
    </row>
    <row r="3" spans="1:80" ht="27.75" customHeight="1" x14ac:dyDescent="0.2">
      <c r="D3" s="343"/>
      <c r="E3" s="344"/>
      <c r="F3" s="344"/>
      <c r="G3" s="344"/>
      <c r="H3" s="344"/>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7"/>
      <c r="AR3" s="347"/>
      <c r="AS3" s="347"/>
      <c r="AT3" s="347"/>
      <c r="AU3" s="347"/>
      <c r="AV3" s="347"/>
      <c r="AW3" s="347"/>
      <c r="AX3" s="347"/>
      <c r="AY3" s="347"/>
      <c r="AZ3" s="347"/>
      <c r="BA3" s="334" t="s">
        <v>242</v>
      </c>
      <c r="BB3" s="334"/>
    </row>
    <row r="4" spans="1:80" ht="27.75" customHeight="1" x14ac:dyDescent="0.2">
      <c r="D4" s="343"/>
      <c r="E4" s="344"/>
      <c r="F4" s="344"/>
      <c r="G4" s="344"/>
      <c r="H4" s="344"/>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347"/>
      <c r="AU4" s="347"/>
      <c r="AV4" s="347"/>
      <c r="AW4" s="347"/>
      <c r="AX4" s="347"/>
      <c r="AY4" s="347"/>
      <c r="AZ4" s="347"/>
      <c r="BA4" s="334" t="s">
        <v>389</v>
      </c>
      <c r="BB4" s="334"/>
    </row>
    <row r="5" spans="1:80" ht="27.75" customHeight="1" thickBot="1" x14ac:dyDescent="0.25">
      <c r="D5" s="345"/>
      <c r="E5" s="346"/>
      <c r="F5" s="346"/>
      <c r="G5" s="346"/>
      <c r="H5" s="346"/>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O5" s="347"/>
      <c r="AP5" s="347"/>
      <c r="AQ5" s="347"/>
      <c r="AR5" s="347"/>
      <c r="AS5" s="347"/>
      <c r="AT5" s="347"/>
      <c r="AU5" s="347"/>
      <c r="AV5" s="347"/>
      <c r="AW5" s="347"/>
      <c r="AX5" s="347"/>
      <c r="AY5" s="347"/>
      <c r="AZ5" s="347"/>
      <c r="BA5" s="334" t="s">
        <v>206</v>
      </c>
      <c r="BB5" s="334"/>
    </row>
    <row r="6" spans="1:80" ht="13.9" customHeight="1" x14ac:dyDescent="0.25">
      <c r="D6" s="119"/>
      <c r="E6" s="120"/>
      <c r="F6" s="120"/>
      <c r="G6" s="120"/>
      <c r="H6" s="120"/>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22"/>
      <c r="BB6" s="121"/>
    </row>
    <row r="7" spans="1:80" ht="26.25" customHeight="1" x14ac:dyDescent="0.2">
      <c r="D7" s="312" t="s">
        <v>42</v>
      </c>
      <c r="E7" s="313"/>
      <c r="F7" s="313"/>
      <c r="G7" s="314"/>
      <c r="H7" s="315" t="s">
        <v>396</v>
      </c>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316"/>
      <c r="AQ7" s="316"/>
      <c r="AR7" s="316"/>
      <c r="AS7" s="316"/>
      <c r="AT7" s="316"/>
      <c r="AU7" s="316"/>
      <c r="AV7" s="316"/>
      <c r="AW7" s="316"/>
      <c r="AX7" s="316"/>
      <c r="AY7" s="316"/>
      <c r="AZ7" s="316"/>
      <c r="BA7" s="316"/>
      <c r="BB7" s="317"/>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row>
    <row r="8" spans="1:80" ht="30" customHeight="1" x14ac:dyDescent="0.2">
      <c r="D8" s="312" t="s">
        <v>129</v>
      </c>
      <c r="E8" s="313"/>
      <c r="F8" s="313"/>
      <c r="G8" s="314"/>
      <c r="H8" s="315" t="s">
        <v>397</v>
      </c>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7"/>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row>
    <row r="9" spans="1:80" ht="24" customHeight="1" x14ac:dyDescent="0.2">
      <c r="D9" s="312" t="s">
        <v>43</v>
      </c>
      <c r="E9" s="313"/>
      <c r="F9" s="313"/>
      <c r="G9" s="314"/>
      <c r="H9" s="315" t="s">
        <v>398</v>
      </c>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c r="AP9" s="316"/>
      <c r="AQ9" s="316"/>
      <c r="AR9" s="316"/>
      <c r="AS9" s="316"/>
      <c r="AT9" s="316"/>
      <c r="AU9" s="316"/>
      <c r="AV9" s="316"/>
      <c r="AW9" s="316"/>
      <c r="AX9" s="316"/>
      <c r="AY9" s="316"/>
      <c r="AZ9" s="316"/>
      <c r="BA9" s="316"/>
      <c r="BB9" s="317"/>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row>
    <row r="10" spans="1:80" s="186" customFormat="1" ht="24" customHeight="1" x14ac:dyDescent="0.2">
      <c r="D10" s="187"/>
      <c r="E10" s="188"/>
      <c r="F10" s="189"/>
      <c r="G10" s="189"/>
      <c r="H10" s="187"/>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1"/>
      <c r="AW10" s="191"/>
      <c r="AX10" s="191"/>
      <c r="AY10" s="191"/>
      <c r="AZ10" s="191"/>
      <c r="BA10" s="191"/>
      <c r="BB10" s="191"/>
    </row>
    <row r="11" spans="1:80" s="186" customFormat="1" ht="24" customHeight="1" x14ac:dyDescent="0.25">
      <c r="A11" s="310" t="s">
        <v>266</v>
      </c>
      <c r="B11" s="310"/>
      <c r="C11" s="311"/>
      <c r="D11" s="319" t="s">
        <v>304</v>
      </c>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320"/>
      <c r="AP11" s="320"/>
      <c r="AQ11" s="320"/>
      <c r="AR11" s="320"/>
      <c r="AS11" s="320"/>
      <c r="AT11" s="320"/>
      <c r="AU11" s="320"/>
      <c r="AV11" s="321" t="s">
        <v>302</v>
      </c>
      <c r="AW11" s="322"/>
      <c r="AX11" s="322"/>
      <c r="AY11" s="323"/>
      <c r="AZ11" s="324" t="s">
        <v>303</v>
      </c>
      <c r="BA11" s="325"/>
      <c r="BB11" s="326"/>
    </row>
    <row r="12" spans="1:80" ht="15.75" x14ac:dyDescent="0.2">
      <c r="D12" s="329" t="s">
        <v>137</v>
      </c>
      <c r="E12" s="329"/>
      <c r="F12" s="329"/>
      <c r="G12" s="329"/>
      <c r="H12" s="329"/>
      <c r="I12" s="351"/>
      <c r="J12" s="351"/>
      <c r="K12" s="351"/>
      <c r="L12" s="351"/>
      <c r="M12" s="351"/>
      <c r="N12" s="351"/>
      <c r="O12" s="351"/>
      <c r="P12" s="351"/>
      <c r="Q12" s="351" t="s">
        <v>138</v>
      </c>
      <c r="R12" s="351"/>
      <c r="S12" s="351"/>
      <c r="T12" s="351"/>
      <c r="U12" s="351"/>
      <c r="V12" s="351"/>
      <c r="W12" s="351"/>
      <c r="X12" s="351" t="s">
        <v>139</v>
      </c>
      <c r="Y12" s="351"/>
      <c r="Z12" s="351"/>
      <c r="AA12" s="351"/>
      <c r="AB12" s="351"/>
      <c r="AC12" s="351"/>
      <c r="AD12" s="351"/>
      <c r="AE12" s="351"/>
      <c r="AF12" s="351"/>
      <c r="AG12" s="351"/>
      <c r="AH12" s="307" t="s">
        <v>18</v>
      </c>
      <c r="AI12" s="351" t="s">
        <v>140</v>
      </c>
      <c r="AJ12" s="351"/>
      <c r="AK12" s="351"/>
      <c r="AL12" s="351"/>
      <c r="AM12" s="351"/>
      <c r="AN12" s="351"/>
      <c r="AO12" s="351"/>
      <c r="AP12" s="337" t="s">
        <v>34</v>
      </c>
      <c r="AQ12" s="338"/>
      <c r="AR12" s="338"/>
      <c r="AS12" s="338"/>
      <c r="AT12" s="338"/>
      <c r="AU12" s="338"/>
      <c r="AV12" s="338"/>
      <c r="AW12" s="338"/>
      <c r="AX12" s="338"/>
      <c r="AY12" s="338"/>
      <c r="AZ12" s="338"/>
      <c r="BA12" s="338"/>
      <c r="BB12" s="338"/>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row>
    <row r="13" spans="1:80" ht="16.5" customHeight="1" x14ac:dyDescent="0.2">
      <c r="D13" s="318" t="s">
        <v>0</v>
      </c>
      <c r="E13" s="328" t="s">
        <v>311</v>
      </c>
      <c r="F13" s="192"/>
      <c r="G13" s="192"/>
      <c r="H13" s="329" t="s">
        <v>224</v>
      </c>
      <c r="I13" s="328" t="s">
        <v>307</v>
      </c>
      <c r="J13" s="193"/>
      <c r="K13" s="328" t="s">
        <v>308</v>
      </c>
      <c r="L13" s="329" t="s">
        <v>1</v>
      </c>
      <c r="M13" s="349" t="s">
        <v>49</v>
      </c>
      <c r="N13" s="305" t="s">
        <v>392</v>
      </c>
      <c r="O13" s="306"/>
      <c r="P13" s="328" t="s">
        <v>133</v>
      </c>
      <c r="Q13" s="328" t="s">
        <v>33</v>
      </c>
      <c r="R13" s="329" t="s">
        <v>5</v>
      </c>
      <c r="S13" s="328" t="s">
        <v>86</v>
      </c>
      <c r="T13" s="328" t="s">
        <v>91</v>
      </c>
      <c r="U13" s="328" t="s">
        <v>44</v>
      </c>
      <c r="V13" s="329" t="s">
        <v>5</v>
      </c>
      <c r="W13" s="328" t="s">
        <v>47</v>
      </c>
      <c r="X13" s="348" t="s">
        <v>11</v>
      </c>
      <c r="Y13" s="328" t="s">
        <v>159</v>
      </c>
      <c r="Z13" s="328" t="s">
        <v>204</v>
      </c>
      <c r="AA13" s="328" t="s">
        <v>12</v>
      </c>
      <c r="AB13" s="328" t="s">
        <v>8</v>
      </c>
      <c r="AC13" s="328"/>
      <c r="AD13" s="328"/>
      <c r="AE13" s="328"/>
      <c r="AF13" s="328"/>
      <c r="AG13" s="328"/>
      <c r="AH13" s="308"/>
      <c r="AI13" s="348" t="s">
        <v>136</v>
      </c>
      <c r="AJ13" s="348" t="s">
        <v>45</v>
      </c>
      <c r="AK13" s="348" t="s">
        <v>5</v>
      </c>
      <c r="AL13" s="348" t="s">
        <v>46</v>
      </c>
      <c r="AM13" s="348" t="s">
        <v>5</v>
      </c>
      <c r="AN13" s="348" t="s">
        <v>48</v>
      </c>
      <c r="AO13" s="348" t="s">
        <v>29</v>
      </c>
      <c r="AP13" s="328" t="s">
        <v>34</v>
      </c>
      <c r="AQ13" s="328" t="s">
        <v>35</v>
      </c>
      <c r="AR13" s="328" t="s">
        <v>36</v>
      </c>
      <c r="AS13" s="328" t="s">
        <v>37</v>
      </c>
      <c r="AT13" s="328" t="s">
        <v>212</v>
      </c>
      <c r="AU13" s="328" t="s">
        <v>38</v>
      </c>
      <c r="AV13" s="339" t="s">
        <v>37</v>
      </c>
      <c r="AW13" s="330" t="s">
        <v>213</v>
      </c>
      <c r="AX13" s="330" t="s">
        <v>38</v>
      </c>
      <c r="AY13" s="335" t="s">
        <v>243</v>
      </c>
      <c r="AZ13" s="327" t="s">
        <v>37</v>
      </c>
      <c r="BA13" s="327" t="s">
        <v>214</v>
      </c>
      <c r="BB13" s="327" t="s">
        <v>38</v>
      </c>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row>
    <row r="14" spans="1:80" s="197" customFormat="1" ht="94.5" customHeight="1" x14ac:dyDescent="0.25">
      <c r="A14" s="194"/>
      <c r="B14" s="194"/>
      <c r="C14" s="194"/>
      <c r="D14" s="318"/>
      <c r="E14" s="328"/>
      <c r="F14" s="192" t="s">
        <v>2</v>
      </c>
      <c r="G14" s="193" t="s">
        <v>317</v>
      </c>
      <c r="H14" s="329"/>
      <c r="I14" s="328"/>
      <c r="J14" s="193" t="s">
        <v>367</v>
      </c>
      <c r="K14" s="328"/>
      <c r="L14" s="329"/>
      <c r="M14" s="350"/>
      <c r="N14" s="214" t="s">
        <v>240</v>
      </c>
      <c r="O14" s="214" t="s">
        <v>241</v>
      </c>
      <c r="P14" s="328"/>
      <c r="Q14" s="328"/>
      <c r="R14" s="329"/>
      <c r="S14" s="328"/>
      <c r="T14" s="328"/>
      <c r="U14" s="329"/>
      <c r="V14" s="329"/>
      <c r="W14" s="328"/>
      <c r="X14" s="348"/>
      <c r="Y14" s="328"/>
      <c r="Z14" s="328"/>
      <c r="AA14" s="328"/>
      <c r="AB14" s="195" t="s">
        <v>13</v>
      </c>
      <c r="AC14" s="195" t="s">
        <v>17</v>
      </c>
      <c r="AD14" s="195" t="s">
        <v>28</v>
      </c>
      <c r="AE14" s="195" t="s">
        <v>18</v>
      </c>
      <c r="AF14" s="195" t="s">
        <v>21</v>
      </c>
      <c r="AG14" s="195" t="s">
        <v>24</v>
      </c>
      <c r="AH14" s="309"/>
      <c r="AI14" s="348"/>
      <c r="AJ14" s="348"/>
      <c r="AK14" s="348"/>
      <c r="AL14" s="348"/>
      <c r="AM14" s="348"/>
      <c r="AN14" s="348"/>
      <c r="AO14" s="348"/>
      <c r="AP14" s="328"/>
      <c r="AQ14" s="328"/>
      <c r="AR14" s="328"/>
      <c r="AS14" s="328"/>
      <c r="AT14" s="328"/>
      <c r="AU14" s="328"/>
      <c r="AV14" s="340"/>
      <c r="AW14" s="331"/>
      <c r="AX14" s="331"/>
      <c r="AY14" s="336"/>
      <c r="AZ14" s="327"/>
      <c r="BA14" s="327"/>
      <c r="BB14" s="327"/>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row>
    <row r="15" spans="1:80" s="198" customFormat="1" ht="240" customHeight="1" x14ac:dyDescent="0.25">
      <c r="D15" s="215">
        <v>1</v>
      </c>
      <c r="E15" s="215" t="s">
        <v>216</v>
      </c>
      <c r="F15" s="215" t="s">
        <v>132</v>
      </c>
      <c r="G15" s="215" t="s">
        <v>313</v>
      </c>
      <c r="H15" s="199" t="s">
        <v>228</v>
      </c>
      <c r="I15" s="219" t="s">
        <v>400</v>
      </c>
      <c r="J15" s="200"/>
      <c r="K15" s="200"/>
      <c r="L15" s="223" t="s">
        <v>407</v>
      </c>
      <c r="M15" s="216" t="s">
        <v>124</v>
      </c>
      <c r="N15" s="200" t="s">
        <v>233</v>
      </c>
      <c r="O15" s="200" t="s">
        <v>238</v>
      </c>
      <c r="P15" s="226">
        <v>2</v>
      </c>
      <c r="Q15" s="201" t="str">
        <f>IF(P15&lt;=0,"",IF(P15&lt;=2,"Muy Baja",IF(P15&lt;=24,"Baja",IF(P15&lt;=500,"Media",IF(P15&lt;=5000,"Alta","Muy Alta")))))</f>
        <v>Muy Baja</v>
      </c>
      <c r="R15" s="202">
        <f>IF(Q15="","",IF(Q15="Muy Baja",0.2,IF(Q15="Baja",0.4,IF(Q15="Media",0.6,IF(Q15="Alta",0.8,IF(Q15="Muy Alta",1,))))))</f>
        <v>0.2</v>
      </c>
      <c r="S15" s="203" t="s">
        <v>149</v>
      </c>
      <c r="T15" s="202" t="str">
        <f ca="1">IF(NOT(ISERROR(MATCH(S15,'[2]Tabla Impacto'!$B$221:$B$223,0))),'[2]Tabla Impacto'!$F$223&amp;"Por favor no seleccionar los criterios de impacto(Afectación Económica o presupuestal y Pérdida Reputacional)",S15)</f>
        <v xml:space="preserve">     El riesgo afecta la imagen de alguna área de la organización</v>
      </c>
      <c r="U15" s="217" t="str">
        <f ca="1">IF(OR(T15='[2]Tabla Impacto'!$C$11,T15='[2]Tabla Impacto'!$D$11),"Leve",IF(OR(T15='[2]Tabla Impacto'!$C$12,T15='[2]Tabla Impacto'!$D$12),"Menor",IF(OR(T15='[2]Tabla Impacto'!$C$13,T15='[2]Tabla Impacto'!$D$13),"Moderado",IF(OR(T15='[2]Tabla Impacto'!$C$14,T15='[2]Tabla Impacto'!$D$14),"Mayor",IF(OR(T15='[2]Tabla Impacto'!$C$15,T15='[2]Tabla Impacto'!$D$15),"Catastrófico","")))))</f>
        <v>Leve</v>
      </c>
      <c r="V15" s="202">
        <f ca="1">IF(U15="","",IF(U15="Leve",0.2,IF(U15="Menor",0.4,IF(U15="Moderado",0.6,IF(U15="Mayor",0.8,IF(U15="Catastrófico",1,))))))</f>
        <v>0.2</v>
      </c>
      <c r="W15" s="201"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Bajo</v>
      </c>
      <c r="X15" s="228">
        <v>1</v>
      </c>
      <c r="Y15" s="229" t="s">
        <v>414</v>
      </c>
      <c r="Z15" s="220" t="s">
        <v>415</v>
      </c>
      <c r="AA15" s="204" t="str">
        <f>IF(OR(AB15="Preventivo",AB15="Detectivo"),"Probabilidad",IF(AB15="Correctivo","Impacto",""))</f>
        <v>Probabilidad</v>
      </c>
      <c r="AB15" s="205" t="s">
        <v>14</v>
      </c>
      <c r="AC15" s="205" t="s">
        <v>9</v>
      </c>
      <c r="AD15" s="202" t="str">
        <f>IF(AND(AB15="Preventivo",AC15="Automático"),"50%",IF(AND(AB15="Preventivo",AC15="Manual"),"40%",IF(AND(AB15="Detectivo",AC15="Automático"),"40%",IF(AND(AB15="Detectivo",AC15="Manual"),"30%",IF(AND(AB15="Correctivo",AC15="Automático"),"35%",IF(AND(AB15="Correctivo",AC15="Manual"),"25%",""))))))</f>
        <v>40%</v>
      </c>
      <c r="AE15" s="205" t="s">
        <v>19</v>
      </c>
      <c r="AF15" s="205" t="s">
        <v>22</v>
      </c>
      <c r="AG15" s="205" t="s">
        <v>118</v>
      </c>
      <c r="AH15" s="238" t="s">
        <v>428</v>
      </c>
      <c r="AI15" s="218">
        <f>IFERROR(IF(AA15="Probabilidad",(R15-(+R15*AD15)),IF(AA15="Impacto",R15,"")),"")</f>
        <v>0.12</v>
      </c>
      <c r="AJ15" s="206" t="str">
        <f>IFERROR(IF(AI15="","",IF(AI15&lt;=0.2,"Muy Baja",IF(AI15&lt;=0.4,"Baja",IF(AI15&lt;=0.6,"Media",IF(AI15&lt;=0.8,"Alta","Muy Alta"))))),"")</f>
        <v>Muy Baja</v>
      </c>
      <c r="AK15" s="202">
        <f t="shared" ref="AK15" si="0">+AI15</f>
        <v>0.12</v>
      </c>
      <c r="AL15" s="206" t="str">
        <f ca="1">IFERROR(IF(AM15="","",IF(AM15&lt;=0.2,"Leve",IF(AM15&lt;=0.4,"Menor",IF(AM15&lt;=0.6,"Moderado",IF(AM15&lt;=0.8,"Mayor","Catastrófico"))))),"")</f>
        <v>Leve</v>
      </c>
      <c r="AM15" s="202">
        <f ca="1">IFERROR(IF(AA15="Impacto",(V15-(+V15*AD15)),IF(AA15="Probabilidad",V15,"")),"")</f>
        <v>0.2</v>
      </c>
      <c r="AN15" s="206" t="str">
        <f t="shared" ref="AN15" ca="1" si="1">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Bajo</v>
      </c>
      <c r="AO15" s="205" t="s">
        <v>31</v>
      </c>
      <c r="AP15" s="241" t="s">
        <v>432</v>
      </c>
      <c r="AQ15" s="242" t="s">
        <v>433</v>
      </c>
      <c r="AR15" s="207">
        <v>45687</v>
      </c>
      <c r="AS15" s="207"/>
      <c r="AT15" s="200"/>
      <c r="AU15" s="200"/>
      <c r="AV15" s="207"/>
      <c r="AW15" s="200"/>
      <c r="AX15" s="200"/>
      <c r="AY15" s="200"/>
      <c r="AZ15" s="207"/>
      <c r="BA15" s="200"/>
      <c r="BB15" s="200"/>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row>
    <row r="16" spans="1:80" s="198" customFormat="1" ht="196.5" customHeight="1" x14ac:dyDescent="0.25">
      <c r="D16" s="215">
        <v>2</v>
      </c>
      <c r="E16" s="215" t="s">
        <v>219</v>
      </c>
      <c r="F16" s="215" t="s">
        <v>130</v>
      </c>
      <c r="G16" s="215" t="s">
        <v>313</v>
      </c>
      <c r="H16" s="199" t="s">
        <v>227</v>
      </c>
      <c r="I16" s="220" t="s">
        <v>401</v>
      </c>
      <c r="J16" s="200"/>
      <c r="K16" s="200"/>
      <c r="L16" s="223" t="s">
        <v>408</v>
      </c>
      <c r="M16" s="216" t="s">
        <v>122</v>
      </c>
      <c r="N16" s="200" t="s">
        <v>233</v>
      </c>
      <c r="O16" s="200" t="s">
        <v>238</v>
      </c>
      <c r="P16" s="226">
        <v>10</v>
      </c>
      <c r="Q16" s="201" t="str">
        <f t="shared" ref="Q16:Q22" si="2">IF(P16&lt;=0,"",IF(P16&lt;=2,"Muy Baja",IF(P16&lt;=24,"Baja",IF(P16&lt;=500,"Media",IF(P16&lt;=5000,"Alta","Muy Alta")))))</f>
        <v>Baja</v>
      </c>
      <c r="R16" s="202">
        <f t="shared" ref="R16:R22" si="3">IF(Q16="","",IF(Q16="Muy Baja",0.2,IF(Q16="Baja",0.4,IF(Q16="Media",0.6,IF(Q16="Alta",0.8,IF(Q16="Muy Alta",1,))))))</f>
        <v>0.4</v>
      </c>
      <c r="S16" s="203" t="s">
        <v>149</v>
      </c>
      <c r="T16" s="202" t="str">
        <f ca="1">IF(NOT(ISERROR(MATCH(S16,'[2]Tabla Impacto'!$B$221:$B$223,0))),'[2]Tabla Impacto'!$F$223&amp;"Por favor no seleccionar los criterios de impacto(Afectación Económica o presupuestal y Pérdida Reputacional)",S16)</f>
        <v xml:space="preserve">     El riesgo afecta la imagen de alguna área de la organización</v>
      </c>
      <c r="U16" s="217" t="str">
        <f ca="1">IF(OR(T16='[2]Tabla Impacto'!$C$11,T16='[2]Tabla Impacto'!$D$11),"Leve",IF(OR(T16='[2]Tabla Impacto'!$C$12,T16='[2]Tabla Impacto'!$D$12),"Menor",IF(OR(T16='[2]Tabla Impacto'!$C$13,T16='[2]Tabla Impacto'!$D$13),"Moderado",IF(OR(T16='[2]Tabla Impacto'!$C$14,T16='[2]Tabla Impacto'!$D$14),"Mayor",IF(OR(T16='[2]Tabla Impacto'!$C$15,T16='[2]Tabla Impacto'!$D$15),"Catastrófico","")))))</f>
        <v>Leve</v>
      </c>
      <c r="V16" s="202">
        <f t="shared" ref="V16:V22" ca="1" si="4">IF(U16="","",IF(U16="Leve",0.2,IF(U16="Menor",0.4,IF(U16="Moderado",0.6,IF(U16="Mayor",0.8,IF(U16="Catastrófico",1,))))))</f>
        <v>0.2</v>
      </c>
      <c r="W16" s="201" t="str">
        <f t="shared" ref="W16:W22" ca="1" si="5">IF(OR(AND(Q16="Muy Baja",U16="Leve"),AND(Q16="Muy Baja",U16="Menor"),AND(Q16="Baja",U16="Leve")),"Bajo",IF(OR(AND(Q16="Muy baja",U16="Moderado"),AND(Q16="Baja",U16="Menor"),AND(Q16="Baja",U16="Moderado"),AND(Q16="Media",U16="Leve"),AND(Q16="Media",U16="Menor"),AND(Q16="Media",U16="Moderado"),AND(Q16="Alta",U16="Leve"),AND(Q16="Alta",U16="Menor")),"Moderado",IF(OR(AND(Q16="Muy Baja",U16="Mayor"),AND(Q16="Baja",U16="Mayor"),AND(Q16="Media",U16="Mayor"),AND(Q16="Alta",U16="Moderado"),AND(Q16="Alta",U16="Mayor"),AND(Q16="Muy Alta",U16="Leve"),AND(Q16="Muy Alta",U16="Menor"),AND(Q16="Muy Alta",U16="Moderado"),AND(Q16="Muy Alta",U16="Mayor")),"Alto",IF(OR(AND(Q16="Muy Baja",U16="Catastrófico"),AND(Q16="Baja",U16="Catastrófico"),AND(Q16="Media",U16="Catastrófico"),AND(Q16="Alta",U16="Catastrófico"),AND(Q16="Muy Alta",U16="Catastrófico")),"Extremo",""))))</f>
        <v>Bajo</v>
      </c>
      <c r="X16" s="228">
        <v>1</v>
      </c>
      <c r="Y16" s="230" t="s">
        <v>416</v>
      </c>
      <c r="Z16" s="231" t="s">
        <v>417</v>
      </c>
      <c r="AA16" s="204" t="str">
        <f t="shared" ref="AA16:AA22" si="6">IF(OR(AB16="Preventivo",AB16="Detectivo"),"Probabilidad",IF(AB16="Correctivo","Impacto",""))</f>
        <v>Probabilidad</v>
      </c>
      <c r="AB16" s="205" t="s">
        <v>14</v>
      </c>
      <c r="AC16" s="205" t="s">
        <v>9</v>
      </c>
      <c r="AD16" s="202" t="str">
        <f t="shared" ref="AD16:AD22" si="7">IF(AND(AB16="Preventivo",AC16="Automático"),"50%",IF(AND(AB16="Preventivo",AC16="Manual"),"40%",IF(AND(AB16="Detectivo",AC16="Automático"),"40%",IF(AND(AB16="Detectivo",AC16="Manual"),"30%",IF(AND(AB16="Correctivo",AC16="Automático"),"35%",IF(AND(AB16="Correctivo",AC16="Manual"),"25%",""))))))</f>
        <v>40%</v>
      </c>
      <c r="AE16" s="205" t="s">
        <v>19</v>
      </c>
      <c r="AF16" s="205" t="s">
        <v>22</v>
      </c>
      <c r="AG16" s="205" t="s">
        <v>118</v>
      </c>
      <c r="AH16" s="239" t="s">
        <v>429</v>
      </c>
      <c r="AI16" s="218">
        <f t="shared" ref="AI16:AI22" si="8">IFERROR(IF(AA16="Probabilidad",(R16-(+R16*AD16)),IF(AA16="Impacto",R16,"")),"")</f>
        <v>0.24</v>
      </c>
      <c r="AJ16" s="206" t="str">
        <f t="shared" ref="AJ16:AJ22" si="9">IFERROR(IF(AI16="","",IF(AI16&lt;=0.2,"Muy Baja",IF(AI16&lt;=0.4,"Baja",IF(AI16&lt;=0.6,"Media",IF(AI16&lt;=0.8,"Alta","Muy Alta"))))),"")</f>
        <v>Baja</v>
      </c>
      <c r="AK16" s="202">
        <f t="shared" ref="AK16:AK22" si="10">+AI16</f>
        <v>0.24</v>
      </c>
      <c r="AL16" s="206" t="str">
        <f t="shared" ref="AL16:AL22" ca="1" si="11">IFERROR(IF(AM16="","",IF(AM16&lt;=0.2,"Leve",IF(AM16&lt;=0.4,"Menor",IF(AM16&lt;=0.6,"Moderado",IF(AM16&lt;=0.8,"Mayor","Catastrófico"))))),"")</f>
        <v>Leve</v>
      </c>
      <c r="AM16" s="202">
        <f t="shared" ref="AM16:AM22" ca="1" si="12">IFERROR(IF(AA16="Impacto",(V16-(+V16*AD16)),IF(AA16="Probabilidad",V16,"")),"")</f>
        <v>0.2</v>
      </c>
      <c r="AN16" s="206" t="str">
        <f t="shared" ref="AN16:AN22" ca="1" si="13">IFERROR(IF(OR(AND(AJ16="Muy Baja",AL16="Leve"),AND(AJ16="Muy Baja",AL16="Menor"),AND(AJ16="Baja",AL16="Leve")),"Bajo",IF(OR(AND(AJ16="Muy baja",AL16="Moderado"),AND(AJ16="Baja",AL16="Menor"),AND(AJ16="Baja",AL16="Moderado"),AND(AJ16="Media",AL16="Leve"),AND(AJ16="Media",AL16="Menor"),AND(AJ16="Media",AL16="Moderado"),AND(AJ16="Alta",AL16="Leve"),AND(AJ16="Alta",AL16="Menor")),"Moderado",IF(OR(AND(AJ16="Muy Baja",AL16="Mayor"),AND(AJ16="Baja",AL16="Mayor"),AND(AJ16="Media",AL16="Mayor"),AND(AJ16="Alta",AL16="Moderado"),AND(AJ16="Alta",AL16="Mayor"),AND(AJ16="Muy Alta",AL16="Leve"),AND(AJ16="Muy Alta",AL16="Menor"),AND(AJ16="Muy Alta",AL16="Moderado"),AND(AJ16="Muy Alta",AL16="Mayor")),"Alto",IF(OR(AND(AJ16="Muy Baja",AL16="Catastrófico"),AND(AJ16="Baja",AL16="Catastrófico"),AND(AJ16="Media",AL16="Catastrófico"),AND(AJ16="Alta",AL16="Catastrófico"),AND(AJ16="Muy Alta",AL16="Catastrófico")),"Extremo","")))),"")</f>
        <v>Bajo</v>
      </c>
      <c r="AO16" s="205" t="s">
        <v>31</v>
      </c>
      <c r="AP16" s="243" t="s">
        <v>434</v>
      </c>
      <c r="AQ16" s="231" t="s">
        <v>433</v>
      </c>
      <c r="AR16" s="207">
        <v>45687</v>
      </c>
      <c r="AS16" s="207"/>
      <c r="AT16" s="200"/>
      <c r="AU16" s="200"/>
      <c r="AV16" s="207"/>
      <c r="AW16" s="200"/>
      <c r="AX16" s="200"/>
      <c r="AY16" s="200"/>
      <c r="AZ16" s="207"/>
      <c r="BA16" s="200"/>
      <c r="BB16" s="200"/>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row>
    <row r="17" spans="4:80" s="198" customFormat="1" ht="172.9" customHeight="1" x14ac:dyDescent="0.25">
      <c r="D17" s="215">
        <v>3</v>
      </c>
      <c r="E17" s="215" t="s">
        <v>219</v>
      </c>
      <c r="F17" s="215" t="s">
        <v>130</v>
      </c>
      <c r="G17" s="215" t="s">
        <v>313</v>
      </c>
      <c r="H17" s="199" t="s">
        <v>227</v>
      </c>
      <c r="I17" s="249" t="s">
        <v>402</v>
      </c>
      <c r="J17" s="200"/>
      <c r="K17" s="200"/>
      <c r="L17" s="250" t="s">
        <v>409</v>
      </c>
      <c r="M17" s="216" t="s">
        <v>127</v>
      </c>
      <c r="N17" s="200" t="s">
        <v>233</v>
      </c>
      <c r="O17" s="200" t="s">
        <v>238</v>
      </c>
      <c r="P17" s="250">
        <v>10</v>
      </c>
      <c r="Q17" s="201" t="str">
        <f t="shared" si="2"/>
        <v>Baja</v>
      </c>
      <c r="R17" s="202">
        <f t="shared" si="3"/>
        <v>0.4</v>
      </c>
      <c r="S17" s="203" t="s">
        <v>149</v>
      </c>
      <c r="T17" s="202" t="str">
        <f ca="1">IF(NOT(ISERROR(MATCH(S17,'[2]Tabla Impacto'!$B$221:$B$223,0))),'[2]Tabla Impacto'!$F$223&amp;"Por favor no seleccionar los criterios de impacto(Afectación Económica o presupuestal y Pérdida Reputacional)",S17)</f>
        <v xml:space="preserve">     El riesgo afecta la imagen de alguna área de la organización</v>
      </c>
      <c r="U17" s="217" t="str">
        <f ca="1">IF(OR(T17='[2]Tabla Impacto'!$C$11,T17='[2]Tabla Impacto'!$D$11),"Leve",IF(OR(T17='[2]Tabla Impacto'!$C$12,T17='[2]Tabla Impacto'!$D$12),"Menor",IF(OR(T17='[2]Tabla Impacto'!$C$13,T17='[2]Tabla Impacto'!$D$13),"Moderado",IF(OR(T17='[2]Tabla Impacto'!$C$14,T17='[2]Tabla Impacto'!$D$14),"Mayor",IF(OR(T17='[2]Tabla Impacto'!$C$15,T17='[2]Tabla Impacto'!$D$15),"Catastrófico","")))))</f>
        <v>Leve</v>
      </c>
      <c r="V17" s="202">
        <f t="shared" ca="1" si="4"/>
        <v>0.2</v>
      </c>
      <c r="W17" s="201" t="str">
        <f t="shared" ca="1" si="5"/>
        <v>Bajo</v>
      </c>
      <c r="X17" s="253">
        <v>1</v>
      </c>
      <c r="Y17" s="233" t="s">
        <v>418</v>
      </c>
      <c r="Z17" s="233" t="s">
        <v>419</v>
      </c>
      <c r="AA17" s="204" t="str">
        <f t="shared" si="6"/>
        <v>Probabilidad</v>
      </c>
      <c r="AB17" s="205" t="s">
        <v>14</v>
      </c>
      <c r="AC17" s="205" t="s">
        <v>9</v>
      </c>
      <c r="AD17" s="202" t="str">
        <f t="shared" si="7"/>
        <v>40%</v>
      </c>
      <c r="AE17" s="205" t="s">
        <v>19</v>
      </c>
      <c r="AF17" s="205" t="s">
        <v>22</v>
      </c>
      <c r="AG17" s="205" t="s">
        <v>118</v>
      </c>
      <c r="AH17" s="251" t="s">
        <v>430</v>
      </c>
      <c r="AI17" s="218">
        <f t="shared" si="8"/>
        <v>0.24</v>
      </c>
      <c r="AJ17" s="206" t="str">
        <f t="shared" si="9"/>
        <v>Baja</v>
      </c>
      <c r="AK17" s="202">
        <f t="shared" si="10"/>
        <v>0.24</v>
      </c>
      <c r="AL17" s="206" t="str">
        <f t="shared" ca="1" si="11"/>
        <v>Leve</v>
      </c>
      <c r="AM17" s="202">
        <f t="shared" ca="1" si="12"/>
        <v>0.2</v>
      </c>
      <c r="AN17" s="206" t="str">
        <f t="shared" ca="1" si="13"/>
        <v>Bajo</v>
      </c>
      <c r="AO17" s="205"/>
      <c r="AP17" s="252" t="s">
        <v>435</v>
      </c>
      <c r="AQ17" s="244" t="s">
        <v>436</v>
      </c>
      <c r="AR17" s="207">
        <v>45687</v>
      </c>
      <c r="AS17" s="207"/>
      <c r="AT17" s="200"/>
      <c r="AU17" s="200"/>
      <c r="AV17" s="207"/>
      <c r="AW17" s="200"/>
      <c r="AX17" s="200"/>
      <c r="AY17" s="200"/>
      <c r="AZ17" s="207"/>
      <c r="BA17" s="200"/>
      <c r="BB17" s="200"/>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row>
    <row r="18" spans="4:80" s="198" customFormat="1" ht="172.9" customHeight="1" x14ac:dyDescent="0.25">
      <c r="D18" s="199">
        <v>4</v>
      </c>
      <c r="E18" s="215" t="s">
        <v>219</v>
      </c>
      <c r="F18" s="215" t="s">
        <v>130</v>
      </c>
      <c r="G18" s="215" t="s">
        <v>313</v>
      </c>
      <c r="H18" s="199" t="s">
        <v>226</v>
      </c>
      <c r="I18" s="221" t="s">
        <v>403</v>
      </c>
      <c r="J18" s="200"/>
      <c r="K18" s="200"/>
      <c r="L18" s="224" t="s">
        <v>410</v>
      </c>
      <c r="M18" s="216" t="s">
        <v>122</v>
      </c>
      <c r="N18" s="200" t="s">
        <v>234</v>
      </c>
      <c r="O18" s="200" t="s">
        <v>238</v>
      </c>
      <c r="P18" s="226">
        <v>50</v>
      </c>
      <c r="Q18" s="201" t="str">
        <f t="shared" ref="Q18:Q21" si="14">IF(P18&lt;=0,"",IF(P18&lt;=2,"Muy Baja",IF(P18&lt;=24,"Baja",IF(P18&lt;=500,"Media",IF(P18&lt;=5000,"Alta","Muy Alta")))))</f>
        <v>Media</v>
      </c>
      <c r="R18" s="202">
        <f t="shared" ref="R18:R21" si="15">IF(Q18="","",IF(Q18="Muy Baja",0.2,IF(Q18="Baja",0.4,IF(Q18="Media",0.6,IF(Q18="Alta",0.8,IF(Q18="Muy Alta",1,))))))</f>
        <v>0.6</v>
      </c>
      <c r="S18" s="203" t="s">
        <v>149</v>
      </c>
      <c r="T18" s="202" t="str">
        <f ca="1">IF(NOT(ISERROR(MATCH(S18,'[2]Tabla Impacto'!$B$221:$B$223,0))),'[2]Tabla Impacto'!$F$223&amp;"Por favor no seleccionar los criterios de impacto(Afectación Económica o presupuestal y Pérdida Reputacional)",S18)</f>
        <v xml:space="preserve">     El riesgo afecta la imagen de alguna área de la organización</v>
      </c>
      <c r="U18" s="217" t="str">
        <f ca="1">IF(OR(T18='[2]Tabla Impacto'!$C$11,T18='[2]Tabla Impacto'!$D$11),"Leve",IF(OR(T18='[2]Tabla Impacto'!$C$12,T18='[2]Tabla Impacto'!$D$12),"Menor",IF(OR(T18='[2]Tabla Impacto'!$C$13,T18='[2]Tabla Impacto'!$D$13),"Moderado",IF(OR(T18='[2]Tabla Impacto'!$C$14,T18='[2]Tabla Impacto'!$D$14),"Mayor",IF(OR(T18='[2]Tabla Impacto'!$C$15,T18='[2]Tabla Impacto'!$D$15),"Catastrófico","")))))</f>
        <v>Leve</v>
      </c>
      <c r="V18" s="202">
        <f t="shared" ref="V18" ca="1" si="16">IF(U18="","",IF(U18="Leve",0.2,IF(U18="Menor",0.4,IF(U18="Moderado",0.6,IF(U18="Mayor",0.8,IF(U18="Catastrófico",1,))))))</f>
        <v>0.2</v>
      </c>
      <c r="W18" s="201" t="str">
        <f t="shared" ref="W18" ca="1" si="17">IF(OR(AND(Q18="Muy Baja",U18="Leve"),AND(Q18="Muy Baja",U18="Menor"),AND(Q18="Baja",U18="Leve")),"Bajo",IF(OR(AND(Q18="Muy baja",U18="Moderado"),AND(Q18="Baja",U18="Menor"),AND(Q18="Baja",U18="Moderado"),AND(Q18="Media",U18="Leve"),AND(Q18="Media",U18="Menor"),AND(Q18="Media",U18="Moderado"),AND(Q18="Alta",U18="Leve"),AND(Q18="Alta",U18="Menor")),"Moderado",IF(OR(AND(Q18="Muy Baja",U18="Mayor"),AND(Q18="Baja",U18="Mayor"),AND(Q18="Media",U18="Mayor"),AND(Q18="Alta",U18="Moderado"),AND(Q18="Alta",U18="Mayor"),AND(Q18="Muy Alta",U18="Leve"),AND(Q18="Muy Alta",U18="Menor"),AND(Q18="Muy Alta",U18="Moderado"),AND(Q18="Muy Alta",U18="Mayor")),"Alto",IF(OR(AND(Q18="Muy Baja",U18="Catastrófico"),AND(Q18="Baja",U18="Catastrófico"),AND(Q18="Media",U18="Catastrófico"),AND(Q18="Alta",U18="Catastrófico"),AND(Q18="Muy Alta",U18="Catastrófico")),"Extremo",""))))</f>
        <v>Moderado</v>
      </c>
      <c r="X18" s="254">
        <v>1</v>
      </c>
      <c r="Y18" s="232" t="s">
        <v>420</v>
      </c>
      <c r="Z18" s="233" t="s">
        <v>421</v>
      </c>
      <c r="AA18" s="204" t="str">
        <f t="shared" ref="AA18:AA21" si="18">IF(OR(AB18="Preventivo",AB18="Detectivo"),"Probabilidad",IF(AB18="Correctivo","Impacto",""))</f>
        <v>Probabilidad</v>
      </c>
      <c r="AB18" s="205" t="s">
        <v>14</v>
      </c>
      <c r="AC18" s="205" t="s">
        <v>9</v>
      </c>
      <c r="AD18" s="202" t="str">
        <f t="shared" ref="AD18:AD21" si="19">IF(AND(AB18="Preventivo",AC18="Automático"),"50%",IF(AND(AB18="Preventivo",AC18="Manual"),"40%",IF(AND(AB18="Detectivo",AC18="Automático"),"40%",IF(AND(AB18="Detectivo",AC18="Manual"),"30%",IF(AND(AB18="Correctivo",AC18="Automático"),"35%",IF(AND(AB18="Correctivo",AC18="Manual"),"25%",""))))))</f>
        <v>40%</v>
      </c>
      <c r="AE18" s="205" t="s">
        <v>19</v>
      </c>
      <c r="AF18" s="205" t="s">
        <v>22</v>
      </c>
      <c r="AG18" s="205" t="s">
        <v>118</v>
      </c>
      <c r="AH18" s="238" t="s">
        <v>431</v>
      </c>
      <c r="AI18" s="218">
        <f t="shared" ref="AI18:AI21" si="20">IFERROR(IF(AA18="Probabilidad",(R18-(+R18*AD18)),IF(AA18="Impacto",R18,"")),"")</f>
        <v>0.36</v>
      </c>
      <c r="AJ18" s="206" t="str">
        <f t="shared" ref="AJ18:AJ21" si="21">IFERROR(IF(AI18="","",IF(AI18&lt;=0.2,"Muy Baja",IF(AI18&lt;=0.4,"Baja",IF(AI18&lt;=0.6,"Media",IF(AI18&lt;=0.8,"Alta","Muy Alta"))))),"")</f>
        <v>Baja</v>
      </c>
      <c r="AK18" s="202">
        <f t="shared" ref="AK18:AK21" si="22">+AI18</f>
        <v>0.36</v>
      </c>
      <c r="AL18" s="206" t="str">
        <f t="shared" ref="AL18:AL21" ca="1" si="23">IFERROR(IF(AM18="","",IF(AM18&lt;=0.2,"Leve",IF(AM18&lt;=0.4,"Menor",IF(AM18&lt;=0.6,"Moderado",IF(AM18&lt;=0.8,"Mayor","Catastrófico"))))),"")</f>
        <v>Leve</v>
      </c>
      <c r="AM18" s="202">
        <f t="shared" ref="AM18:AM21" ca="1" si="24">IFERROR(IF(AA18="Impacto",(V18-(+V18*AD18)),IF(AA18="Probabilidad",V18,"")),"")</f>
        <v>0.2</v>
      </c>
      <c r="AN18" s="206" t="str">
        <f t="shared" ref="AN18:AN21" ca="1" si="25">IFERROR(IF(OR(AND(AJ18="Muy Baja",AL18="Leve"),AND(AJ18="Muy Baja",AL18="Menor"),AND(AJ18="Baja",AL18="Leve")),"Bajo",IF(OR(AND(AJ18="Muy baja",AL18="Moderado"),AND(AJ18="Baja",AL18="Menor"),AND(AJ18="Baja",AL18="Moderado"),AND(AJ18="Media",AL18="Leve"),AND(AJ18="Media",AL18="Menor"),AND(AJ18="Media",AL18="Moderado"),AND(AJ18="Alta",AL18="Leve"),AND(AJ18="Alta",AL18="Menor")),"Moderado",IF(OR(AND(AJ18="Muy Baja",AL18="Mayor"),AND(AJ18="Baja",AL18="Mayor"),AND(AJ18="Media",AL18="Mayor"),AND(AJ18="Alta",AL18="Moderado"),AND(AJ18="Alta",AL18="Mayor"),AND(AJ18="Muy Alta",AL18="Leve"),AND(AJ18="Muy Alta",AL18="Menor"),AND(AJ18="Muy Alta",AL18="Moderado"),AND(AJ18="Muy Alta",AL18="Mayor")),"Alto",IF(OR(AND(AJ18="Muy Baja",AL18="Catastrófico"),AND(AJ18="Baja",AL18="Catastrófico"),AND(AJ18="Media",AL18="Catastrófico"),AND(AJ18="Alta",AL18="Catastrófico"),AND(AJ18="Muy Alta",AL18="Catastrófico")),"Extremo","")))),"")</f>
        <v>Bajo</v>
      </c>
      <c r="AO18" s="205"/>
      <c r="AP18" s="224" t="s">
        <v>437</v>
      </c>
      <c r="AQ18" s="244" t="s">
        <v>438</v>
      </c>
      <c r="AR18" s="207">
        <v>45687</v>
      </c>
      <c r="AS18" s="207"/>
      <c r="AT18" s="200"/>
      <c r="AU18" s="200"/>
      <c r="AV18" s="207"/>
      <c r="AW18" s="200"/>
      <c r="AX18" s="200"/>
      <c r="AY18" s="200"/>
      <c r="AZ18" s="207"/>
      <c r="BA18" s="200"/>
      <c r="BB18" s="200"/>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row>
    <row r="19" spans="4:80" s="198" customFormat="1" ht="172.9" customHeight="1" x14ac:dyDescent="0.25">
      <c r="D19" s="199">
        <v>5</v>
      </c>
      <c r="E19" s="215" t="s">
        <v>217</v>
      </c>
      <c r="F19" s="215" t="s">
        <v>130</v>
      </c>
      <c r="G19" s="215" t="s">
        <v>313</v>
      </c>
      <c r="H19" s="199" t="s">
        <v>227</v>
      </c>
      <c r="I19" s="221" t="s">
        <v>404</v>
      </c>
      <c r="J19" s="200"/>
      <c r="K19" s="200"/>
      <c r="L19" s="224" t="s">
        <v>411</v>
      </c>
      <c r="M19" s="216" t="s">
        <v>127</v>
      </c>
      <c r="N19" s="200" t="s">
        <v>233</v>
      </c>
      <c r="O19" s="200" t="s">
        <v>238</v>
      </c>
      <c r="P19" s="226">
        <v>50</v>
      </c>
      <c r="Q19" s="201" t="str">
        <f t="shared" si="14"/>
        <v>Media</v>
      </c>
      <c r="R19" s="202">
        <f t="shared" si="15"/>
        <v>0.6</v>
      </c>
      <c r="S19" s="203" t="s">
        <v>149</v>
      </c>
      <c r="T19" s="202" t="str">
        <f ca="1">IF(NOT(ISERROR(MATCH(S19,'[2]Tabla Impacto'!$B$221:$B$223,0))),'[2]Tabla Impacto'!$F$223&amp;"Por favor no seleccionar los criterios de impacto(Afectación Económica o presupuestal y Pérdida Reputacional)",S19)</f>
        <v xml:space="preserve">     El riesgo afecta la imagen de alguna área de la organización</v>
      </c>
      <c r="U19" s="217" t="str">
        <f ca="1">IF(OR(T19='[2]Tabla Impacto'!$C$11,T19='[2]Tabla Impacto'!$D$11),"Leve",IF(OR(T19='[2]Tabla Impacto'!$C$12,T19='[2]Tabla Impacto'!$D$12),"Menor",IF(OR(T19='[2]Tabla Impacto'!$C$13,T19='[2]Tabla Impacto'!$D$13),"Moderado",IF(OR(T19='[2]Tabla Impacto'!$C$14,T19='[2]Tabla Impacto'!$D$14),"Mayor",IF(OR(T19='[2]Tabla Impacto'!$C$15,T19='[2]Tabla Impacto'!$D$15),"Catastrófico","")))))</f>
        <v>Leve</v>
      </c>
      <c r="V19" s="202">
        <f t="shared" ref="V19:V21" ca="1" si="26">IF(U19="","",IF(U19="Leve",0.2,IF(U19="Menor",0.4,IF(U19="Moderado",0.6,IF(U19="Mayor",0.8,IF(U19="Catastrófico",1,))))))</f>
        <v>0.2</v>
      </c>
      <c r="W19" s="201" t="str">
        <f t="shared" ref="W19:W21" ca="1" si="27">IF(OR(AND(Q19="Muy Baja",U19="Leve"),AND(Q19="Muy Baja",U19="Menor"),AND(Q19="Baja",U19="Leve")),"Bajo",IF(OR(AND(Q19="Muy baja",U19="Moderado"),AND(Q19="Baja",U19="Menor"),AND(Q19="Baja",U19="Moderado"),AND(Q19="Media",U19="Leve"),AND(Q19="Media",U19="Menor"),AND(Q19="Media",U19="Moderado"),AND(Q19="Alta",U19="Leve"),AND(Q19="Alta",U19="Menor")),"Moderado",IF(OR(AND(Q19="Muy Baja",U19="Mayor"),AND(Q19="Baja",U19="Mayor"),AND(Q19="Media",U19="Mayor"),AND(Q19="Alta",U19="Moderado"),AND(Q19="Alta",U19="Mayor"),AND(Q19="Muy Alta",U19="Leve"),AND(Q19="Muy Alta",U19="Menor"),AND(Q19="Muy Alta",U19="Moderado"),AND(Q19="Muy Alta",U19="Mayor")),"Alto",IF(OR(AND(Q19="Muy Baja",U19="Catastrófico"),AND(Q19="Baja",U19="Catastrófico"),AND(Q19="Media",U19="Catastrófico"),AND(Q19="Alta",U19="Catastrófico"),AND(Q19="Muy Alta",U19="Catastrófico")),"Extremo",""))))</f>
        <v>Moderado</v>
      </c>
      <c r="X19" s="228">
        <v>5</v>
      </c>
      <c r="Y19" s="232" t="s">
        <v>422</v>
      </c>
      <c r="Z19" s="233" t="s">
        <v>423</v>
      </c>
      <c r="AA19" s="204" t="str">
        <f t="shared" si="18"/>
        <v>Probabilidad</v>
      </c>
      <c r="AB19" s="205" t="s">
        <v>14</v>
      </c>
      <c r="AC19" s="205" t="s">
        <v>9</v>
      </c>
      <c r="AD19" s="202" t="str">
        <f t="shared" si="19"/>
        <v>40%</v>
      </c>
      <c r="AE19" s="205" t="s">
        <v>19</v>
      </c>
      <c r="AF19" s="205" t="s">
        <v>22</v>
      </c>
      <c r="AG19" s="205" t="s">
        <v>118</v>
      </c>
      <c r="AH19" s="238" t="s">
        <v>444</v>
      </c>
      <c r="AI19" s="218">
        <f t="shared" si="20"/>
        <v>0.36</v>
      </c>
      <c r="AJ19" s="206" t="str">
        <f t="shared" si="21"/>
        <v>Baja</v>
      </c>
      <c r="AK19" s="202">
        <f t="shared" si="22"/>
        <v>0.36</v>
      </c>
      <c r="AL19" s="206" t="str">
        <f t="shared" ca="1" si="23"/>
        <v>Leve</v>
      </c>
      <c r="AM19" s="202">
        <f t="shared" ca="1" si="24"/>
        <v>0.2</v>
      </c>
      <c r="AN19" s="206" t="str">
        <f t="shared" ca="1" si="25"/>
        <v>Bajo</v>
      </c>
      <c r="AO19" s="205"/>
      <c r="AP19" s="224" t="s">
        <v>439</v>
      </c>
      <c r="AQ19" s="244" t="s">
        <v>436</v>
      </c>
      <c r="AR19" s="207">
        <v>45687</v>
      </c>
      <c r="AS19" s="207"/>
      <c r="AT19" s="200"/>
      <c r="AU19" s="200"/>
      <c r="AV19" s="207"/>
      <c r="AW19" s="200"/>
      <c r="AX19" s="200"/>
      <c r="AY19" s="200"/>
      <c r="AZ19" s="207"/>
      <c r="BA19" s="200"/>
      <c r="BB19" s="200"/>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row>
    <row r="20" spans="4:80" s="198" customFormat="1" ht="172.9" customHeight="1" thickBot="1" x14ac:dyDescent="0.3">
      <c r="D20" s="199">
        <v>6</v>
      </c>
      <c r="E20" s="215" t="s">
        <v>217</v>
      </c>
      <c r="F20" s="215" t="s">
        <v>130</v>
      </c>
      <c r="G20" s="215" t="s">
        <v>313</v>
      </c>
      <c r="H20" s="199" t="s">
        <v>227</v>
      </c>
      <c r="I20" s="221" t="s">
        <v>405</v>
      </c>
      <c r="J20" s="200"/>
      <c r="K20" s="200"/>
      <c r="L20" s="224" t="s">
        <v>412</v>
      </c>
      <c r="M20" s="216" t="s">
        <v>122</v>
      </c>
      <c r="N20" s="200" t="s">
        <v>234</v>
      </c>
      <c r="O20" s="200" t="s">
        <v>238</v>
      </c>
      <c r="P20" s="227">
        <v>50</v>
      </c>
      <c r="Q20" s="201" t="str">
        <f t="shared" si="14"/>
        <v>Media</v>
      </c>
      <c r="R20" s="202">
        <f t="shared" si="15"/>
        <v>0.6</v>
      </c>
      <c r="S20" s="203" t="s">
        <v>151</v>
      </c>
      <c r="T20" s="202" t="str">
        <f ca="1">IF(NOT(ISERROR(MATCH(S20,'[2]Tabla Impacto'!$B$221:$B$223,0))),'[2]Tabla Impacto'!$F$223&amp;"Por favor no seleccionar los criterios de impacto(Afectación Económica o presupuestal y Pérdida Reputacional)",S20)</f>
        <v xml:space="preserve">     El riesgo afecta la imagen de la entidad con algunos usuarios de relevancia frente al logro de los objetivos</v>
      </c>
      <c r="U20" s="217" t="str">
        <f ca="1">IF(OR(T20='[2]Tabla Impacto'!$C$11,T20='[2]Tabla Impacto'!$D$11),"Leve",IF(OR(T20='[2]Tabla Impacto'!$C$12,T20='[2]Tabla Impacto'!$D$12),"Menor",IF(OR(T20='[2]Tabla Impacto'!$C$13,T20='[2]Tabla Impacto'!$D$13),"Moderado",IF(OR(T20='[2]Tabla Impacto'!$C$14,T20='[2]Tabla Impacto'!$D$14),"Mayor",IF(OR(T20='[2]Tabla Impacto'!$C$15,T20='[2]Tabla Impacto'!$D$15),"Catastrófico","")))))</f>
        <v>Moderado</v>
      </c>
      <c r="V20" s="202">
        <f t="shared" ca="1" si="26"/>
        <v>0.6</v>
      </c>
      <c r="W20" s="201" t="str">
        <f t="shared" ca="1" si="27"/>
        <v>Moderado</v>
      </c>
      <c r="X20" s="234">
        <v>6</v>
      </c>
      <c r="Y20" s="233" t="s">
        <v>424</v>
      </c>
      <c r="Z20" s="233" t="s">
        <v>425</v>
      </c>
      <c r="AA20" s="204" t="str">
        <f t="shared" si="18"/>
        <v>Probabilidad</v>
      </c>
      <c r="AB20" s="205" t="s">
        <v>14</v>
      </c>
      <c r="AC20" s="205" t="s">
        <v>9</v>
      </c>
      <c r="AD20" s="202" t="str">
        <f t="shared" si="19"/>
        <v>40%</v>
      </c>
      <c r="AE20" s="205" t="s">
        <v>19</v>
      </c>
      <c r="AF20" s="205" t="s">
        <v>22</v>
      </c>
      <c r="AG20" s="205"/>
      <c r="AH20" s="238" t="s">
        <v>444</v>
      </c>
      <c r="AI20" s="218">
        <f t="shared" si="20"/>
        <v>0.36</v>
      </c>
      <c r="AJ20" s="206" t="str">
        <f t="shared" si="21"/>
        <v>Baja</v>
      </c>
      <c r="AK20" s="202">
        <f t="shared" si="22"/>
        <v>0.36</v>
      </c>
      <c r="AL20" s="206" t="str">
        <f t="shared" ca="1" si="23"/>
        <v>Moderado</v>
      </c>
      <c r="AM20" s="202">
        <f t="shared" ca="1" si="24"/>
        <v>0.6</v>
      </c>
      <c r="AN20" s="206" t="str">
        <f t="shared" ca="1" si="25"/>
        <v>Moderado</v>
      </c>
      <c r="AO20" s="205"/>
      <c r="AP20" s="245" t="s">
        <v>440</v>
      </c>
      <c r="AQ20" s="246" t="s">
        <v>441</v>
      </c>
      <c r="AR20" s="207">
        <v>45687</v>
      </c>
      <c r="AS20" s="207"/>
      <c r="AT20" s="200"/>
      <c r="AU20" s="200"/>
      <c r="AV20" s="207"/>
      <c r="AW20" s="200"/>
      <c r="AX20" s="200"/>
      <c r="AY20" s="200"/>
      <c r="AZ20" s="207"/>
      <c r="BA20" s="200"/>
      <c r="BB20" s="200"/>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row>
    <row r="21" spans="4:80" s="198" customFormat="1" ht="172.9" customHeight="1" thickBot="1" x14ac:dyDescent="0.3">
      <c r="D21" s="199">
        <v>7</v>
      </c>
      <c r="E21" s="215" t="s">
        <v>219</v>
      </c>
      <c r="F21" s="215" t="s">
        <v>131</v>
      </c>
      <c r="G21" s="215" t="s">
        <v>313</v>
      </c>
      <c r="H21" s="199" t="s">
        <v>227</v>
      </c>
      <c r="I21" s="222" t="s">
        <v>406</v>
      </c>
      <c r="J21" s="200"/>
      <c r="K21" s="200"/>
      <c r="L21" s="225" t="s">
        <v>413</v>
      </c>
      <c r="M21" s="216" t="s">
        <v>128</v>
      </c>
      <c r="N21" s="200" t="s">
        <v>233</v>
      </c>
      <c r="O21" s="200" t="s">
        <v>237</v>
      </c>
      <c r="P21" s="227">
        <v>550</v>
      </c>
      <c r="Q21" s="201" t="str">
        <f t="shared" si="14"/>
        <v>Alta</v>
      </c>
      <c r="R21" s="202">
        <f t="shared" si="15"/>
        <v>0.8</v>
      </c>
      <c r="S21" s="203" t="s">
        <v>142</v>
      </c>
      <c r="T21" s="202" t="str">
        <f ca="1">IF(NOT(ISERROR(MATCH(S21,'[2]Tabla Impacto'!$B$221:$B$223,0))),'[2]Tabla Impacto'!$F$223&amp;"Por favor no seleccionar los criterios de impacto(Afectación Económica o presupuestal y Pérdida Reputacional)",S21)</f>
        <v xml:space="preserve">     Afectación menor a 10 SMLMV .</v>
      </c>
      <c r="U21" s="217" t="str">
        <f ca="1">IF(OR(T21='[2]Tabla Impacto'!$C$11,T21='[2]Tabla Impacto'!$D$11),"Leve",IF(OR(T21='[2]Tabla Impacto'!$C$12,T21='[2]Tabla Impacto'!$D$12),"Menor",IF(OR(T21='[2]Tabla Impacto'!$C$13,T21='[2]Tabla Impacto'!$D$13),"Moderado",IF(OR(T21='[2]Tabla Impacto'!$C$14,T21='[2]Tabla Impacto'!$D$14),"Mayor",IF(OR(T21='[2]Tabla Impacto'!$C$15,T21='[2]Tabla Impacto'!$D$15),"Catastrófico","")))))</f>
        <v>Leve</v>
      </c>
      <c r="V21" s="202">
        <f t="shared" ca="1" si="26"/>
        <v>0.2</v>
      </c>
      <c r="W21" s="201" t="str">
        <f t="shared" ca="1" si="27"/>
        <v>Moderado</v>
      </c>
      <c r="X21" s="235">
        <v>7</v>
      </c>
      <c r="Y21" s="236" t="s">
        <v>426</v>
      </c>
      <c r="Z21" s="237" t="s">
        <v>427</v>
      </c>
      <c r="AA21" s="204" t="str">
        <f t="shared" si="18"/>
        <v>Probabilidad</v>
      </c>
      <c r="AB21" s="205" t="s">
        <v>14</v>
      </c>
      <c r="AC21" s="205" t="s">
        <v>9</v>
      </c>
      <c r="AD21" s="202" t="str">
        <f t="shared" si="19"/>
        <v>40%</v>
      </c>
      <c r="AE21" s="205" t="s">
        <v>19</v>
      </c>
      <c r="AF21" s="205" t="s">
        <v>22</v>
      </c>
      <c r="AG21" s="205" t="s">
        <v>118</v>
      </c>
      <c r="AH21" s="238" t="s">
        <v>444</v>
      </c>
      <c r="AI21" s="218">
        <f t="shared" si="20"/>
        <v>0.48</v>
      </c>
      <c r="AJ21" s="206" t="str">
        <f t="shared" si="21"/>
        <v>Media</v>
      </c>
      <c r="AK21" s="202">
        <f t="shared" si="22"/>
        <v>0.48</v>
      </c>
      <c r="AL21" s="206" t="str">
        <f t="shared" ca="1" si="23"/>
        <v>Leve</v>
      </c>
      <c r="AM21" s="202">
        <f t="shared" ca="1" si="24"/>
        <v>0.2</v>
      </c>
      <c r="AN21" s="206" t="str">
        <f t="shared" ca="1" si="25"/>
        <v>Moderado</v>
      </c>
      <c r="AO21" s="205"/>
      <c r="AP21" s="247" t="s">
        <v>442</v>
      </c>
      <c r="AQ21" s="248" t="s">
        <v>443</v>
      </c>
      <c r="AR21" s="207">
        <v>45687</v>
      </c>
      <c r="AS21" s="207"/>
      <c r="AT21" s="200"/>
      <c r="AU21" s="200"/>
      <c r="AV21" s="207"/>
      <c r="AW21" s="200"/>
      <c r="AX21" s="200"/>
      <c r="AY21" s="200"/>
      <c r="AZ21" s="207"/>
      <c r="BA21" s="200"/>
      <c r="BB21" s="200"/>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row>
    <row r="22" spans="4:80" s="198" customFormat="1" ht="172.9" customHeight="1" thickBot="1" x14ac:dyDescent="0.3">
      <c r="D22" s="199">
        <v>8</v>
      </c>
      <c r="E22" s="215"/>
      <c r="F22" s="215"/>
      <c r="G22" s="215"/>
      <c r="H22" s="199"/>
      <c r="I22" s="222"/>
      <c r="J22" s="200"/>
      <c r="K22" s="200"/>
      <c r="L22" s="225"/>
      <c r="M22" s="216"/>
      <c r="N22" s="200"/>
      <c r="O22" s="200"/>
      <c r="P22" s="227"/>
      <c r="Q22" s="201" t="str">
        <f t="shared" si="2"/>
        <v/>
      </c>
      <c r="R22" s="202" t="str">
        <f t="shared" si="3"/>
        <v/>
      </c>
      <c r="S22" s="203"/>
      <c r="T22" s="202">
        <f ca="1">IF(NOT(ISERROR(MATCH(S22,'[2]Tabla Impacto'!$B$221:$B$223,0))),'[2]Tabla Impacto'!$F$223&amp;"Por favor no seleccionar los criterios de impacto(Afectación Económica o presupuestal y Pérdida Reputacional)",S22)</f>
        <v>0</v>
      </c>
      <c r="U22" s="255" t="str">
        <f ca="1">IF(OR(T22='[2]Tabla Impacto'!$C$11,T22='[2]Tabla Impacto'!$D$11),"Leve",IF(OR(T22='[2]Tabla Impacto'!$C$12,T22='[2]Tabla Impacto'!$D$12),"Menor",IF(OR(T22='[2]Tabla Impacto'!$C$13,T22='[2]Tabla Impacto'!$D$13),"Moderado",IF(OR(T22='[2]Tabla Impacto'!$C$14,T22='[2]Tabla Impacto'!$D$14),"Mayor",IF(OR(T22='[2]Tabla Impacto'!$C$15,T22='[2]Tabla Impacto'!$D$15),"Catastrófico","")))))</f>
        <v/>
      </c>
      <c r="V22" s="202" t="str">
        <f t="shared" ca="1" si="4"/>
        <v/>
      </c>
      <c r="W22" s="201" t="str">
        <f t="shared" ca="1" si="5"/>
        <v/>
      </c>
      <c r="X22" s="235"/>
      <c r="Y22" s="236"/>
      <c r="Z22" s="237"/>
      <c r="AA22" s="204" t="str">
        <f t="shared" si="6"/>
        <v/>
      </c>
      <c r="AB22" s="205"/>
      <c r="AC22" s="205"/>
      <c r="AD22" s="202" t="str">
        <f t="shared" si="7"/>
        <v/>
      </c>
      <c r="AE22" s="205"/>
      <c r="AF22" s="205"/>
      <c r="AG22" s="205"/>
      <c r="AH22" s="240"/>
      <c r="AI22" s="218" t="str">
        <f t="shared" si="8"/>
        <v/>
      </c>
      <c r="AJ22" s="206" t="str">
        <f t="shared" si="9"/>
        <v/>
      </c>
      <c r="AK22" s="202" t="str">
        <f t="shared" si="10"/>
        <v/>
      </c>
      <c r="AL22" s="206" t="str">
        <f t="shared" si="11"/>
        <v/>
      </c>
      <c r="AM22" s="202" t="str">
        <f t="shared" si="12"/>
        <v/>
      </c>
      <c r="AN22" s="206" t="str">
        <f t="shared" si="13"/>
        <v/>
      </c>
      <c r="AO22" s="205"/>
      <c r="AP22" s="247"/>
      <c r="AQ22" s="248"/>
      <c r="AR22" s="207"/>
      <c r="AS22" s="207"/>
      <c r="AT22" s="200"/>
      <c r="AU22" s="200"/>
      <c r="AV22" s="207"/>
      <c r="AW22" s="200"/>
      <c r="AX22" s="200"/>
      <c r="AY22" s="200"/>
      <c r="AZ22" s="207"/>
      <c r="BA22" s="200"/>
      <c r="BB22" s="200"/>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row>
    <row r="23" spans="4:80" ht="49.5" customHeight="1" x14ac:dyDescent="0.2">
      <c r="D23" s="209"/>
      <c r="E23" s="210"/>
      <c r="F23" s="210"/>
      <c r="G23" s="210"/>
      <c r="H23" s="210"/>
      <c r="I23" s="352" t="s">
        <v>393</v>
      </c>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2"/>
      <c r="AM23" s="352"/>
      <c r="AN23" s="352"/>
      <c r="AO23" s="352"/>
      <c r="AP23" s="352"/>
      <c r="AQ23" s="352"/>
      <c r="AR23" s="352"/>
      <c r="AS23" s="352"/>
      <c r="AT23" s="352"/>
      <c r="AU23" s="353"/>
    </row>
    <row r="25" spans="4:80" ht="15.75" x14ac:dyDescent="0.2">
      <c r="D25" s="109"/>
      <c r="E25" s="110"/>
      <c r="F25" s="110"/>
      <c r="G25" s="110"/>
      <c r="H25" s="110"/>
      <c r="I25" s="110"/>
      <c r="J25" s="110"/>
      <c r="K25" s="110"/>
      <c r="L25" s="110"/>
      <c r="M25" s="181"/>
      <c r="N25" s="181"/>
      <c r="O25" s="181"/>
      <c r="Q25" s="111"/>
      <c r="R25" s="110"/>
      <c r="S25" s="110"/>
      <c r="T25" s="110"/>
      <c r="U25" s="110"/>
      <c r="V25" s="110"/>
      <c r="W25" s="110"/>
      <c r="X25" s="110"/>
      <c r="Y25" s="110"/>
      <c r="Z25" s="110"/>
      <c r="AA25" s="112"/>
      <c r="AB25" s="112"/>
      <c r="AC25" s="110"/>
      <c r="AD25" s="110"/>
      <c r="AE25" s="110"/>
      <c r="AF25" s="110"/>
      <c r="AG25" s="110"/>
      <c r="AH25" s="110"/>
      <c r="AI25" s="110"/>
      <c r="AJ25" s="110"/>
      <c r="AK25" s="110"/>
      <c r="AL25" s="110"/>
      <c r="AM25" s="110"/>
      <c r="AN25" s="110"/>
      <c r="AO25" s="113"/>
      <c r="AP25" s="113"/>
      <c r="AQ25" s="110"/>
      <c r="AR25" s="110"/>
      <c r="AS25" s="110"/>
      <c r="AT25" s="110"/>
      <c r="AU25" s="110"/>
      <c r="AV25" s="110"/>
      <c r="AW25" s="110"/>
    </row>
    <row r="26" spans="4:80" ht="18" x14ac:dyDescent="0.2">
      <c r="D26" s="359" t="s">
        <v>399</v>
      </c>
      <c r="E26" s="359"/>
      <c r="F26" s="359"/>
      <c r="G26" s="359"/>
      <c r="H26" s="359"/>
      <c r="I26" s="359"/>
      <c r="J26" s="359"/>
      <c r="K26" s="359"/>
      <c r="L26" s="359"/>
      <c r="M26" s="181"/>
      <c r="N26" s="181"/>
      <c r="O26" s="181"/>
      <c r="P26" s="356" t="s">
        <v>391</v>
      </c>
      <c r="Q26" s="357"/>
      <c r="R26" s="357"/>
      <c r="S26" s="358"/>
      <c r="T26" s="110"/>
      <c r="U26" s="110"/>
      <c r="V26" s="110"/>
      <c r="W26" s="110"/>
      <c r="X26" s="110"/>
      <c r="Y26" s="110"/>
      <c r="Z26" s="113"/>
      <c r="AA26" s="112"/>
      <c r="AB26" s="112"/>
      <c r="AC26" s="110"/>
      <c r="AD26" s="112"/>
      <c r="AE26" s="112"/>
      <c r="AF26" s="110"/>
      <c r="AG26" s="110"/>
      <c r="AH26" s="110"/>
      <c r="AI26" s="110"/>
      <c r="AJ26" s="110"/>
      <c r="AK26" s="110"/>
      <c r="AL26" s="110"/>
      <c r="AM26" s="110"/>
      <c r="AN26" s="110"/>
      <c r="AO26" s="110"/>
      <c r="AP26" s="110"/>
      <c r="AQ26" s="110"/>
      <c r="AR26" s="110"/>
      <c r="AS26" s="110"/>
      <c r="AT26" s="110"/>
      <c r="AU26" s="110"/>
      <c r="AV26" s="110"/>
      <c r="AW26" s="110"/>
    </row>
    <row r="27" spans="4:80" ht="15" thickBot="1" x14ac:dyDescent="0.25">
      <c r="D27" s="181"/>
      <c r="E27" s="181"/>
      <c r="F27" s="181"/>
      <c r="G27" s="181"/>
      <c r="H27" s="181"/>
      <c r="I27" s="181"/>
      <c r="J27" s="181"/>
      <c r="K27" s="181"/>
      <c r="M27" s="181"/>
      <c r="N27" s="181"/>
      <c r="O27" s="181"/>
      <c r="Q27" s="183" t="str">
        <f>+IFERROR(VLOOKUP(M27,$M$182:$Q$186,3,FALSE)*VLOOKUP(P27,$P$182:$Q$186,3,FALSE),"")</f>
        <v/>
      </c>
      <c r="AA27" s="183"/>
      <c r="AB27" s="211"/>
      <c r="AD27" s="211"/>
      <c r="AE27" s="211"/>
      <c r="AF27" s="212"/>
      <c r="AG27" s="212"/>
      <c r="AH27" s="212"/>
      <c r="AI27" s="212"/>
      <c r="AJ27" s="212"/>
      <c r="AK27" s="114"/>
      <c r="AL27" s="114"/>
      <c r="AM27" s="212"/>
      <c r="AN27" s="213"/>
      <c r="AR27" s="212"/>
      <c r="AT27" s="212"/>
      <c r="AV27" s="212"/>
    </row>
    <row r="28" spans="4:80" ht="17.45" customHeight="1" thickTop="1" thickBot="1" x14ac:dyDescent="0.25">
      <c r="D28" s="354" t="s">
        <v>207</v>
      </c>
      <c r="E28" s="354"/>
      <c r="F28" s="354"/>
      <c r="G28" s="354"/>
      <c r="H28" s="354"/>
      <c r="I28" s="354"/>
      <c r="J28" s="354"/>
      <c r="K28" s="354"/>
      <c r="L28" s="180" t="s">
        <v>208</v>
      </c>
      <c r="M28" s="354" t="s">
        <v>209</v>
      </c>
      <c r="N28" s="354"/>
      <c r="O28" s="354"/>
      <c r="P28" s="354"/>
      <c r="Q28" s="354"/>
      <c r="R28" s="354"/>
      <c r="S28" s="354"/>
      <c r="T28" s="118"/>
      <c r="U28" s="355" t="s">
        <v>210</v>
      </c>
      <c r="V28" s="355"/>
      <c r="W28" s="355"/>
      <c r="X28" s="354" t="s">
        <v>211</v>
      </c>
      <c r="Y28" s="354"/>
      <c r="Z28" s="354"/>
      <c r="AA28" s="354"/>
      <c r="AB28" s="355">
        <v>1</v>
      </c>
      <c r="AC28" s="355"/>
      <c r="AD28" s="355"/>
      <c r="AE28" s="355"/>
      <c r="AF28" s="117"/>
      <c r="AG28" s="117"/>
      <c r="AH28" s="117"/>
      <c r="AI28" s="117"/>
      <c r="AJ28" s="117"/>
      <c r="AK28" s="117"/>
      <c r="AL28" s="117"/>
      <c r="AM28" s="117"/>
      <c r="AN28" s="117"/>
      <c r="AO28" s="117"/>
      <c r="AP28" s="117"/>
      <c r="AQ28" s="117"/>
      <c r="AR28" s="117"/>
      <c r="AS28" s="117"/>
      <c r="AT28" s="117"/>
      <c r="AU28" s="117"/>
      <c r="AV28" s="117"/>
      <c r="AW28" s="115"/>
    </row>
    <row r="29" spans="4:80" ht="36.75" customHeight="1" thickTop="1" x14ac:dyDescent="0.25">
      <c r="D29" s="303" t="s">
        <v>394</v>
      </c>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row>
  </sheetData>
  <dataConsolidate/>
  <mergeCells count="72">
    <mergeCell ref="X12:AG12"/>
    <mergeCell ref="X13:X14"/>
    <mergeCell ref="Y13:Y14"/>
    <mergeCell ref="AP13:AP14"/>
    <mergeCell ref="AI12:AO12"/>
    <mergeCell ref="AB13:AG13"/>
    <mergeCell ref="X28:AA28"/>
    <mergeCell ref="AB28:AE28"/>
    <mergeCell ref="D28:K28"/>
    <mergeCell ref="P26:S26"/>
    <mergeCell ref="M28:S28"/>
    <mergeCell ref="U28:W28"/>
    <mergeCell ref="D26:L26"/>
    <mergeCell ref="D7:G7"/>
    <mergeCell ref="I23:AU23"/>
    <mergeCell ref="W13:W14"/>
    <mergeCell ref="AU13:AU14"/>
    <mergeCell ref="AT13:AT14"/>
    <mergeCell ref="AS13:AS14"/>
    <mergeCell ref="AR13:AR14"/>
    <mergeCell ref="AQ13:AQ14"/>
    <mergeCell ref="AL13:AL14"/>
    <mergeCell ref="AJ13:AJ14"/>
    <mergeCell ref="AK13:AK14"/>
    <mergeCell ref="P13:P14"/>
    <mergeCell ref="Q13:Q14"/>
    <mergeCell ref="R13:R14"/>
    <mergeCell ref="U13:U14"/>
    <mergeCell ref="V13:V14"/>
    <mergeCell ref="D2:H5"/>
    <mergeCell ref="I2:AZ5"/>
    <mergeCell ref="H7:BB7"/>
    <mergeCell ref="AO13:AO14"/>
    <mergeCell ref="AN13:AN14"/>
    <mergeCell ref="AM13:AM14"/>
    <mergeCell ref="AI13:AI14"/>
    <mergeCell ref="Z13:Z14"/>
    <mergeCell ref="M13:M14"/>
    <mergeCell ref="D12:P12"/>
    <mergeCell ref="Q12:W12"/>
    <mergeCell ref="L13:L14"/>
    <mergeCell ref="K13:K14"/>
    <mergeCell ref="I13:I14"/>
    <mergeCell ref="S13:S14"/>
    <mergeCell ref="T13:T14"/>
    <mergeCell ref="AX13:AX14"/>
    <mergeCell ref="BA2:BB2"/>
    <mergeCell ref="BA3:BB3"/>
    <mergeCell ref="BA4:BB4"/>
    <mergeCell ref="BA5:BB5"/>
    <mergeCell ref="AY13:AY14"/>
    <mergeCell ref="AP12:BB12"/>
    <mergeCell ref="BA13:BA14"/>
    <mergeCell ref="BB13:BB14"/>
    <mergeCell ref="AV13:AV14"/>
    <mergeCell ref="AW13:AW14"/>
    <mergeCell ref="D29:AE29"/>
    <mergeCell ref="N13:O13"/>
    <mergeCell ref="AH12:AH14"/>
    <mergeCell ref="A11:C11"/>
    <mergeCell ref="D8:G8"/>
    <mergeCell ref="D9:G9"/>
    <mergeCell ref="H9:BB9"/>
    <mergeCell ref="H8:BB8"/>
    <mergeCell ref="D13:D14"/>
    <mergeCell ref="D11:AU11"/>
    <mergeCell ref="AV11:AY11"/>
    <mergeCell ref="AZ11:BB11"/>
    <mergeCell ref="AZ13:AZ14"/>
    <mergeCell ref="E13:E14"/>
    <mergeCell ref="AA13:AA14"/>
    <mergeCell ref="H13:H14"/>
  </mergeCells>
  <conditionalFormatting sqref="Q15:Q22">
    <cfRule type="cellIs" dxfId="48" priority="52" operator="equal">
      <formula>"Muy Alta"</formula>
    </cfRule>
    <cfRule type="cellIs" dxfId="47" priority="53" operator="equal">
      <formula>"Alta"</formula>
    </cfRule>
    <cfRule type="cellIs" dxfId="46" priority="54" operator="equal">
      <formula>"Media"</formula>
    </cfRule>
    <cfRule type="cellIs" dxfId="45" priority="55" operator="equal">
      <formula>"Baja"</formula>
    </cfRule>
    <cfRule type="cellIs" dxfId="44" priority="56" operator="equal">
      <formula>"Muy Baja"</formula>
    </cfRule>
  </conditionalFormatting>
  <conditionalFormatting sqref="T15:T22">
    <cfRule type="containsText" dxfId="43" priority="28" operator="containsText" text="❌">
      <formula>NOT(ISERROR(SEARCH("❌",T15)))</formula>
    </cfRule>
  </conditionalFormatting>
  <conditionalFormatting sqref="W15:W22">
    <cfRule type="cellIs" dxfId="42" priority="43" operator="equal">
      <formula>"Extremo"</formula>
    </cfRule>
    <cfRule type="cellIs" dxfId="41" priority="44" operator="equal">
      <formula>"Alto"</formula>
    </cfRule>
    <cfRule type="cellIs" dxfId="40" priority="45" operator="equal">
      <formula>"Moderado"</formula>
    </cfRule>
    <cfRule type="cellIs" dxfId="39" priority="46" operator="equal">
      <formula>"Bajo"</formula>
    </cfRule>
  </conditionalFormatting>
  <conditionalFormatting sqref="AJ15:AJ22">
    <cfRule type="cellIs" dxfId="38" priority="38" operator="equal">
      <formula>"Muy Alta"</formula>
    </cfRule>
    <cfRule type="cellIs" dxfId="37" priority="39" operator="equal">
      <formula>"Alta"</formula>
    </cfRule>
    <cfRule type="cellIs" dxfId="36" priority="40" operator="equal">
      <formula>"Media"</formula>
    </cfRule>
    <cfRule type="cellIs" dxfId="35" priority="41" operator="equal">
      <formula>"Baja"</formula>
    </cfRule>
    <cfRule type="cellIs" dxfId="34" priority="42" operator="equal">
      <formula>"Muy Baja"</formula>
    </cfRule>
  </conditionalFormatting>
  <conditionalFormatting sqref="AK25:AK27">
    <cfRule type="cellIs" dxfId="33" priority="16" stopIfTrue="1" operator="equal">
      <formula>#REF!</formula>
    </cfRule>
    <cfRule type="cellIs" dxfId="32" priority="17" operator="equal">
      <formula>#REF!</formula>
    </cfRule>
    <cfRule type="cellIs" dxfId="31" priority="18" operator="equal">
      <formula>#REF!</formula>
    </cfRule>
  </conditionalFormatting>
  <conditionalFormatting sqref="AL15:AL22">
    <cfRule type="cellIs" dxfId="30" priority="33" operator="equal">
      <formula>"Catastrófico"</formula>
    </cfRule>
    <cfRule type="cellIs" dxfId="29" priority="34" operator="equal">
      <formula>"Mayor"</formula>
    </cfRule>
    <cfRule type="cellIs" dxfId="28" priority="35" operator="equal">
      <formula>"Moderado"</formula>
    </cfRule>
    <cfRule type="cellIs" dxfId="27" priority="36" operator="equal">
      <formula>"Menor"</formula>
    </cfRule>
    <cfRule type="cellIs" dxfId="26" priority="37" operator="equal">
      <formula>"Leve"</formula>
    </cfRule>
  </conditionalFormatting>
  <conditionalFormatting sqref="AL25:AL27">
    <cfRule type="cellIs" dxfId="25" priority="19" stopIfTrue="1" operator="equal">
      <formula>#REF!</formula>
    </cfRule>
    <cfRule type="cellIs" dxfId="24" priority="20" stopIfTrue="1" operator="equal">
      <formula>#REF!</formula>
    </cfRule>
    <cfRule type="cellIs" dxfId="23" priority="21" stopIfTrue="1" operator="equal">
      <formula>#REF!</formula>
    </cfRule>
  </conditionalFormatting>
  <conditionalFormatting sqref="AN15:AN22">
    <cfRule type="cellIs" dxfId="22" priority="29" operator="equal">
      <formula>"Extremo"</formula>
    </cfRule>
    <cfRule type="cellIs" dxfId="21" priority="30" operator="equal">
      <formula>"Alto"</formula>
    </cfRule>
    <cfRule type="cellIs" dxfId="20" priority="31" operator="equal">
      <formula>"Moderado"</formula>
    </cfRule>
    <cfRule type="cellIs" dxfId="19" priority="32" operator="equal">
      <formula>"Bajo"</formula>
    </cfRule>
  </conditionalFormatting>
  <conditionalFormatting sqref="U17:U22">
    <cfRule type="cellIs" dxfId="18" priority="11" operator="equal">
      <formula>"Catastrófico"</formula>
    </cfRule>
    <cfRule type="cellIs" dxfId="17" priority="12" operator="equal">
      <formula>"Mayor"</formula>
    </cfRule>
    <cfRule type="cellIs" dxfId="16" priority="13" operator="equal">
      <formula>"Moderado"</formula>
    </cfRule>
    <cfRule type="cellIs" dxfId="15" priority="14" operator="equal">
      <formula>"Menor"</formula>
    </cfRule>
    <cfRule type="cellIs" dxfId="14" priority="15" operator="equal">
      <formula>"Leve"</formula>
    </cfRule>
  </conditionalFormatting>
  <conditionalFormatting sqref="U15">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U16">
    <cfRule type="cellIs" dxfId="8" priority="1" operator="equal">
      <formula>"Catastrófico"</formula>
    </cfRule>
    <cfRule type="cellIs" dxfId="7" priority="2" operator="equal">
      <formula>"Mayor"</formula>
    </cfRule>
    <cfRule type="cellIs" dxfId="6" priority="3" operator="equal">
      <formula>"Moderado"</formula>
    </cfRule>
    <cfRule type="cellIs" dxfId="5" priority="4" operator="equal">
      <formula>"Menor"</formula>
    </cfRule>
    <cfRule type="cellIs" dxfId="4" priority="5" operator="equal">
      <formula>"Leve"</formula>
    </cfRule>
  </conditionalFormatting>
  <dataValidations count="7">
    <dataValidation type="list" allowBlank="1" showInputMessage="1" showErrorMessage="1" sqref="L25" xr:uid="{61DF7E04-DE5E-4FE1-A38F-8A138AA87D58}">
      <formula1>$L$182:$L$191</formula1>
    </dataValidation>
    <dataValidation type="list" allowBlank="1" showInputMessage="1" showErrorMessage="1" sqref="L27 AK27:AL27" xr:uid="{66A41BD7-B090-4403-937D-0435537D31DA}">
      <formula1>#REF!</formula1>
    </dataValidation>
    <dataValidation type="list" allowBlank="1" showInputMessage="1" showErrorMessage="1" sqref="AA27" xr:uid="{3BD557FD-BAB0-4660-A45C-D7AACD9880D7}">
      <formula1>$S$182:$S$183</formula1>
    </dataValidation>
    <dataValidation type="list" allowBlank="1" showInputMessage="1" showErrorMessage="1" sqref="P27" xr:uid="{6EC8CB42-9310-43CD-8FAB-388F6EFE7B5E}">
      <formula1>$P$182:$P$186</formula1>
    </dataValidation>
    <dataValidation type="list" allowBlank="1" showInputMessage="1" showErrorMessage="1" sqref="M27:O27" xr:uid="{681E5490-2B09-494D-9B90-359A2E8F22F3}">
      <formula1>$M$182:$M$186</formula1>
    </dataValidation>
    <dataValidation type="list" allowBlank="1" showInputMessage="1" showErrorMessage="1" sqref="AV27 AD27:AJ27 AB27 AR27 AT27" xr:uid="{208EF431-1729-4D5C-B151-F6757CBBD462}">
      <formula1>$AR$182:$AR$189</formula1>
    </dataValidation>
    <dataValidation allowBlank="1" showInputMessage="1" showErrorMessage="1" error="Recuerde que las acciones se generan bajo la medida de mitigar el riesgo" sqref="AP18:AP22" xr:uid="{86230B01-F1FD-49E3-8779-F86C72D3EC36}"/>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9">
        <x14:dataValidation type="list" allowBlank="1" showInputMessage="1" showErrorMessage="1" xr:uid="{FFA9F3EB-8AAC-4371-8BA9-EA5BFF31F870}">
          <x14:formula1>
            <xm:f>'Opciones Tratamiento'!$B$9:$B$10</xm:f>
          </x14:formula1>
          <xm:sqref>AU15:AU22 BB15:BB22 AX15:AY22</xm:sqref>
        </x14:dataValidation>
        <x14:dataValidation type="list" allowBlank="1" showInputMessage="1" showErrorMessage="1" xr:uid="{2F8B922F-A596-4F43-8DB5-EB88E0211184}">
          <x14:formula1>
            <xm:f>'Tabla Valoración controles'!$D$4:$D$6</xm:f>
          </x14:formula1>
          <xm:sqref>AB15:AB22</xm:sqref>
        </x14:dataValidation>
        <x14:dataValidation type="list" allowBlank="1" showInputMessage="1" showErrorMessage="1" xr:uid="{DC38EDB2-F7BD-4E7B-9DDA-3C58EAD78CC5}">
          <x14:formula1>
            <xm:f>'Tabla Valoración controles'!$D$7:$D$8</xm:f>
          </x14:formula1>
          <xm:sqref>AC15:AC22</xm:sqref>
        </x14:dataValidation>
        <x14:dataValidation type="list" allowBlank="1" showInputMessage="1" showErrorMessage="1" xr:uid="{D75AC793-23AB-4ECB-AA93-972ACC7C18B9}">
          <x14:formula1>
            <xm:f>'Tabla Valoración controles'!$D$9:$D$10</xm:f>
          </x14:formula1>
          <xm:sqref>AE15:AE22</xm:sqref>
        </x14:dataValidation>
        <x14:dataValidation type="list" allowBlank="1" showInputMessage="1" showErrorMessage="1" xr:uid="{7CEE6D34-E894-4B07-9738-58E7887FE090}">
          <x14:formula1>
            <xm:f>'Tabla Valoración controles'!$D$11:$D$12</xm:f>
          </x14:formula1>
          <xm:sqref>AF15:AF22</xm:sqref>
        </x14:dataValidation>
        <x14:dataValidation type="list" allowBlank="1" showInputMessage="1" showErrorMessage="1" xr:uid="{B39FB738-8E70-4C89-BE00-31B6F6BC10CA}">
          <x14:formula1>
            <xm:f>'Tabla Valoración controles'!$D$13:$D$14</xm:f>
          </x14:formula1>
          <xm:sqref>AG15:AG22</xm:sqref>
        </x14:dataValidation>
        <x14:dataValidation type="list" allowBlank="1" showInputMessage="1" showErrorMessage="1" xr:uid="{5E056D49-2A01-4844-9657-EAFD8E3B5A80}">
          <x14:formula1>
            <xm:f>'Opciones Tratamiento'!$B$13:$B$19</xm:f>
          </x14:formula1>
          <xm:sqref>M15:M22</xm:sqref>
        </x14:dataValidation>
        <x14:dataValidation type="list" allowBlank="1" showInputMessage="1" showErrorMessage="1" xr:uid="{BCC5CE02-71F3-4D30-B2B6-0BC8D084AB56}">
          <x14:formula1>
            <xm:f>'Opciones Tratamiento'!$B$2:$B$5</xm:f>
          </x14:formula1>
          <xm:sqref>AO15:AO22</xm:sqref>
        </x14:dataValidation>
        <x14:dataValidation type="list" allowBlank="1" showInputMessage="1" showErrorMessage="1" xr:uid="{EF0C0067-1765-4F11-A967-1A801D325D81}">
          <x14:formula1>
            <xm:f>'Tabla Impacto'!$F$210:$F$221</xm:f>
          </x14:formula1>
          <xm:sqref>S15:S22</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AS15:AS22 AV15:AV22</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AT15:AT22 AZ15:AZ22 AW15:AW22</xm:sqref>
        </x14:dataValidation>
        <x14:dataValidation type="list" allowBlank="1" showInputMessage="1" showErrorMessage="1" xr:uid="{9E41A0A5-9033-48F4-A523-E78EEE31291B}">
          <x14:formula1>
            <xm:f>Listas!$B$2:$B$7</xm:f>
          </x14:formula1>
          <xm:sqref>H15:H22</xm:sqref>
        </x14:dataValidation>
        <x14:dataValidation type="list" allowBlank="1" showInputMessage="1" showErrorMessage="1" xr:uid="{E1211B7A-6A4E-4A48-9C6D-50DFE53A34CF}">
          <x14:formula1>
            <xm:f>Listas!$C$2:$C$6</xm:f>
          </x14:formula1>
          <xm:sqref>N15:N22</xm:sqref>
        </x14:dataValidation>
        <x14:dataValidation type="list" allowBlank="1" showInputMessage="1" showErrorMessage="1" xr:uid="{B88BA28A-2600-4BF8-8D1C-1591DFA3694A}">
          <x14:formula1>
            <xm:f>Listas!$D$2:$D$5</xm:f>
          </x14:formula1>
          <xm:sqref>O15:O22</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BA15:BA22</xm:sqref>
        </x14:dataValidation>
        <x14:dataValidation type="list" allowBlank="1" showInputMessage="1" showErrorMessage="1" xr:uid="{C1C18457-6497-4468-A0EC-5756D2A505AB}">
          <x14:formula1>
            <xm:f>Hoja2!$B$3:$B$18</xm:f>
          </x14:formula1>
          <xm:sqref>E15:E22</xm:sqref>
        </x14:dataValidation>
        <x14:dataValidation type="list" allowBlank="1" showInputMessage="1" showErrorMessage="1" xr:uid="{30B1B799-4F7E-4DF0-8163-3420DCED9D9B}">
          <x14:formula1>
            <xm:f>Hoja2!$D$3:$D$21</xm:f>
          </x14:formula1>
          <xm:sqref>F15:F22</xm:sqref>
        </x14:dataValidation>
        <x14:dataValidation type="list" allowBlank="1" showInputMessage="1" showErrorMessage="1" xr:uid="{4543C4BE-F1CB-4CCC-8B32-CEE48E0F43C3}">
          <x14:formula1>
            <xm:f>Hoja2!$E$3:$E$23</xm:f>
          </x14:formula1>
          <xm:sqref>G15:G22</xm:sqref>
        </x14:dataValidation>
        <x14:dataValidation type="custom" allowBlank="1" showInputMessage="1" showErrorMessage="1" error="Recuerde que las acciones se generan bajo la medida de mitigar el riesgo" xr:uid="{628A2F6E-636E-4B34-9BA0-D3752CA371B0}">
          <x14:formula1>
            <xm:f>IF(OR(AO16='[mapaderiesgodocenciapes24.xlsx]Opciones Tratamiento'!#REF!,AO16='[mapaderiesgodocenciapes24.xlsx]Opciones Tratamiento'!#REF!,AO16='[mapaderiesgodocenciapes24.xlsx]Opciones Tratamiento'!#REF!),ISBLANK(AO16),ISTEXT(AO16))</xm:f>
          </x14:formula1>
          <xm:sqref>AQ16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8" sqref="D8"/>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60" t="s">
        <v>137</v>
      </c>
      <c r="C1" s="360"/>
      <c r="D1" s="360"/>
      <c r="E1" s="360"/>
      <c r="F1" s="360"/>
      <c r="G1" s="360"/>
      <c r="H1" s="360"/>
      <c r="I1" s="360"/>
      <c r="J1" s="360"/>
      <c r="L1" s="360" t="s">
        <v>139</v>
      </c>
      <c r="M1" s="360"/>
      <c r="N1" s="360"/>
      <c r="O1" s="360"/>
      <c r="P1" s="360"/>
      <c r="Q1" s="360"/>
      <c r="R1" s="360"/>
    </row>
    <row r="2" spans="2:18" ht="50.25" customHeight="1" x14ac:dyDescent="0.25">
      <c r="B2" s="175" t="s">
        <v>378</v>
      </c>
      <c r="C2" s="175" t="s">
        <v>382</v>
      </c>
      <c r="D2" s="174" t="s">
        <v>2</v>
      </c>
      <c r="E2" s="174" t="s">
        <v>317</v>
      </c>
      <c r="F2" s="174" t="s">
        <v>366</v>
      </c>
      <c r="G2" s="175" t="s">
        <v>368</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383</v>
      </c>
      <c r="D3" s="116" t="s">
        <v>131</v>
      </c>
      <c r="E3" s="116" t="s">
        <v>313</v>
      </c>
      <c r="F3" t="s">
        <v>225</v>
      </c>
      <c r="G3" s="116"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6" t="s">
        <v>130</v>
      </c>
      <c r="E4" s="116" t="s">
        <v>314</v>
      </c>
      <c r="F4" t="s">
        <v>218</v>
      </c>
      <c r="G4" s="116"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6" t="s">
        <v>132</v>
      </c>
      <c r="E5" s="116" t="s">
        <v>315</v>
      </c>
      <c r="F5" t="s">
        <v>226</v>
      </c>
      <c r="G5" s="116" t="s">
        <v>125</v>
      </c>
      <c r="I5" t="s">
        <v>231</v>
      </c>
      <c r="J5" t="s">
        <v>238</v>
      </c>
      <c r="L5" s="2" t="s">
        <v>16</v>
      </c>
      <c r="P5" s="2" t="s">
        <v>27</v>
      </c>
      <c r="Q5" s="2" t="s">
        <v>30</v>
      </c>
    </row>
    <row r="6" spans="2:18" ht="24.75" customHeight="1" x14ac:dyDescent="0.25">
      <c r="B6" s="18" t="s">
        <v>218</v>
      </c>
      <c r="C6" s="18" t="s">
        <v>386</v>
      </c>
      <c r="D6" s="116" t="s">
        <v>312</v>
      </c>
      <c r="E6" t="s">
        <v>374</v>
      </c>
      <c r="F6" t="s">
        <v>227</v>
      </c>
      <c r="G6" s="116" t="s">
        <v>123</v>
      </c>
      <c r="I6" t="s">
        <v>233</v>
      </c>
      <c r="J6" t="s">
        <v>316</v>
      </c>
      <c r="Q6" s="2" t="s">
        <v>134</v>
      </c>
    </row>
    <row r="7" spans="2:18" ht="26.25" customHeight="1" x14ac:dyDescent="0.25">
      <c r="B7" s="18" t="s">
        <v>222</v>
      </c>
      <c r="C7" s="18" t="s">
        <v>387</v>
      </c>
      <c r="D7" s="116" t="s">
        <v>395</v>
      </c>
      <c r="F7" t="s">
        <v>228</v>
      </c>
      <c r="G7" s="116" t="s">
        <v>124</v>
      </c>
      <c r="I7" t="s">
        <v>371</v>
      </c>
      <c r="Q7" s="2" t="s">
        <v>135</v>
      </c>
    </row>
    <row r="8" spans="2:18" ht="30" x14ac:dyDescent="0.25">
      <c r="B8" s="18" t="s">
        <v>310</v>
      </c>
      <c r="C8" s="18"/>
      <c r="D8" s="116"/>
      <c r="F8" t="s">
        <v>229</v>
      </c>
      <c r="G8" s="116" t="s">
        <v>126</v>
      </c>
      <c r="I8" s="116" t="s">
        <v>372</v>
      </c>
    </row>
    <row r="9" spans="2:18" ht="31.5" customHeight="1" x14ac:dyDescent="0.25">
      <c r="B9" s="18" t="s">
        <v>381</v>
      </c>
      <c r="C9" s="18"/>
      <c r="D9" s="116"/>
      <c r="G9" s="116" t="s">
        <v>127</v>
      </c>
      <c r="I9" t="s">
        <v>373</v>
      </c>
    </row>
    <row r="10" spans="2:18" x14ac:dyDescent="0.25">
      <c r="B10" s="18" t="s">
        <v>220</v>
      </c>
      <c r="C10" s="18"/>
      <c r="D10" s="116"/>
      <c r="I10" t="s">
        <v>374</v>
      </c>
    </row>
    <row r="11" spans="2:18" x14ac:dyDescent="0.25">
      <c r="B11" s="18" t="s">
        <v>379</v>
      </c>
      <c r="C11" s="18"/>
      <c r="D11" s="116"/>
    </row>
    <row r="12" spans="2:18" x14ac:dyDescent="0.25">
      <c r="B12" s="18" t="s">
        <v>380</v>
      </c>
      <c r="C12" s="18"/>
      <c r="I12" t="s">
        <v>374</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61" t="s">
        <v>318</v>
      </c>
      <c r="D2" s="362"/>
    </row>
    <row r="3" spans="3:4" x14ac:dyDescent="0.25">
      <c r="C3" s="363"/>
      <c r="D3" s="364"/>
    </row>
    <row r="4" spans="3:4" ht="15.75" thickBot="1" x14ac:dyDescent="0.3">
      <c r="C4" s="158" t="s">
        <v>319</v>
      </c>
      <c r="D4" s="159" t="s">
        <v>320</v>
      </c>
    </row>
    <row r="5" spans="3:4" ht="30" customHeight="1" x14ac:dyDescent="0.25">
      <c r="C5" s="160" t="s">
        <v>321</v>
      </c>
      <c r="D5" s="161">
        <v>1</v>
      </c>
    </row>
    <row r="6" spans="3:4" ht="28.5" customHeight="1" x14ac:dyDescent="0.25">
      <c r="C6" s="162" t="s">
        <v>322</v>
      </c>
      <c r="D6" s="163">
        <v>1</v>
      </c>
    </row>
    <row r="7" spans="3:4" ht="28.5" customHeight="1" x14ac:dyDescent="0.25">
      <c r="C7" s="164" t="s">
        <v>323</v>
      </c>
      <c r="D7" s="163">
        <v>1</v>
      </c>
    </row>
    <row r="8" spans="3:4" ht="28.5" customHeight="1" x14ac:dyDescent="0.25">
      <c r="C8" s="164" t="s">
        <v>324</v>
      </c>
      <c r="D8" s="163">
        <v>1</v>
      </c>
    </row>
    <row r="9" spans="3:4" ht="18.600000000000001" customHeight="1" x14ac:dyDescent="0.25">
      <c r="C9" s="164" t="s">
        <v>325</v>
      </c>
      <c r="D9" s="163">
        <v>1</v>
      </c>
    </row>
    <row r="10" spans="3:4" ht="28.5" customHeight="1" x14ac:dyDescent="0.25">
      <c r="C10" s="164" t="s">
        <v>326</v>
      </c>
      <c r="D10" s="163">
        <v>1</v>
      </c>
    </row>
    <row r="11" spans="3:4" ht="21" customHeight="1" x14ac:dyDescent="0.25">
      <c r="C11" s="162" t="s">
        <v>327</v>
      </c>
      <c r="D11" s="163">
        <v>1</v>
      </c>
    </row>
    <row r="12" spans="3:4" ht="21" customHeight="1" x14ac:dyDescent="0.25">
      <c r="C12" s="162" t="s">
        <v>328</v>
      </c>
      <c r="D12" s="163">
        <v>1</v>
      </c>
    </row>
    <row r="13" spans="3:4" ht="21.6" customHeight="1" x14ac:dyDescent="0.25">
      <c r="C13" s="162" t="s">
        <v>329</v>
      </c>
      <c r="D13" s="163">
        <v>1</v>
      </c>
    </row>
    <row r="14" spans="3:4" ht="28.5" customHeight="1" x14ac:dyDescent="0.25">
      <c r="C14" s="162" t="s">
        <v>330</v>
      </c>
      <c r="D14" s="163">
        <v>1</v>
      </c>
    </row>
    <row r="15" spans="3:4" ht="22.5" customHeight="1" x14ac:dyDescent="0.25">
      <c r="C15" s="165"/>
      <c r="D15" s="163">
        <v>1</v>
      </c>
    </row>
    <row r="16" spans="3:4" ht="28.5" customHeight="1" x14ac:dyDescent="0.25">
      <c r="C16" s="166" t="s">
        <v>331</v>
      </c>
      <c r="D16" s="167"/>
    </row>
    <row r="17" spans="3:4" ht="28.5" customHeight="1" x14ac:dyDescent="0.25">
      <c r="C17" s="160" t="s">
        <v>332</v>
      </c>
      <c r="D17" s="163">
        <v>1</v>
      </c>
    </row>
    <row r="18" spans="3:4" ht="28.5" customHeight="1" x14ac:dyDescent="0.25">
      <c r="C18" s="160" t="s">
        <v>333</v>
      </c>
      <c r="D18" s="163">
        <v>1</v>
      </c>
    </row>
    <row r="19" spans="3:4" ht="28.5" customHeight="1" x14ac:dyDescent="0.25">
      <c r="C19" s="160" t="s">
        <v>334</v>
      </c>
      <c r="D19" s="163">
        <v>1</v>
      </c>
    </row>
    <row r="20" spans="3:4" ht="28.5" customHeight="1" x14ac:dyDescent="0.25">
      <c r="C20" s="162" t="s">
        <v>335</v>
      </c>
      <c r="D20" s="163">
        <v>1</v>
      </c>
    </row>
    <row r="21" spans="3:4" ht="28.5" customHeight="1" x14ac:dyDescent="0.25">
      <c r="C21" s="160" t="s">
        <v>336</v>
      </c>
      <c r="D21" s="163">
        <v>1</v>
      </c>
    </row>
    <row r="22" spans="3:4" ht="28.5" customHeight="1" x14ac:dyDescent="0.25">
      <c r="C22" s="168" t="s">
        <v>337</v>
      </c>
      <c r="D22" s="163">
        <v>1</v>
      </c>
    </row>
    <row r="23" spans="3:4" ht="28.5" customHeight="1" x14ac:dyDescent="0.25">
      <c r="C23" s="160" t="s">
        <v>338</v>
      </c>
      <c r="D23" s="163">
        <v>1</v>
      </c>
    </row>
    <row r="24" spans="3:4" ht="28.5" customHeight="1" x14ac:dyDescent="0.25">
      <c r="C24" s="160" t="s">
        <v>339</v>
      </c>
      <c r="D24" s="163">
        <v>1</v>
      </c>
    </row>
    <row r="25" spans="3:4" ht="28.5" customHeight="1" x14ac:dyDescent="0.25">
      <c r="C25" s="165"/>
      <c r="D25" s="163">
        <v>1</v>
      </c>
    </row>
    <row r="26" spans="3:4" ht="28.5" customHeight="1" x14ac:dyDescent="0.25">
      <c r="C26" s="165"/>
      <c r="D26" s="163">
        <v>1</v>
      </c>
    </row>
    <row r="27" spans="3:4" ht="28.5" customHeight="1" x14ac:dyDescent="0.25">
      <c r="C27" s="166" t="s">
        <v>340</v>
      </c>
      <c r="D27" s="169"/>
    </row>
    <row r="28" spans="3:4" ht="28.5" customHeight="1" x14ac:dyDescent="0.25">
      <c r="C28" s="164" t="s">
        <v>341</v>
      </c>
      <c r="D28" s="163">
        <v>1</v>
      </c>
    </row>
    <row r="29" spans="3:4" ht="28.5" customHeight="1" x14ac:dyDescent="0.25">
      <c r="C29" s="164" t="s">
        <v>342</v>
      </c>
      <c r="D29" s="163">
        <v>1</v>
      </c>
    </row>
    <row r="30" spans="3:4" ht="28.5" customHeight="1" x14ac:dyDescent="0.25">
      <c r="C30" s="164" t="s">
        <v>343</v>
      </c>
      <c r="D30" s="163">
        <v>1</v>
      </c>
    </row>
    <row r="31" spans="3:4" ht="28.5" customHeight="1" x14ac:dyDescent="0.25">
      <c r="C31" s="164" t="s">
        <v>344</v>
      </c>
      <c r="D31" s="163">
        <v>1</v>
      </c>
    </row>
    <row r="32" spans="3:4" ht="28.5" customHeight="1" x14ac:dyDescent="0.25">
      <c r="C32" s="164" t="s">
        <v>345</v>
      </c>
      <c r="D32" s="163">
        <v>1</v>
      </c>
    </row>
    <row r="33" spans="3:4" ht="28.5" customHeight="1" x14ac:dyDescent="0.25">
      <c r="C33" s="170" t="s">
        <v>346</v>
      </c>
      <c r="D33" s="163">
        <v>1</v>
      </c>
    </row>
    <row r="34" spans="3:4" ht="28.5" customHeight="1" x14ac:dyDescent="0.25">
      <c r="C34" s="162" t="s">
        <v>347</v>
      </c>
      <c r="D34" s="163">
        <v>1</v>
      </c>
    </row>
    <row r="35" spans="3:4" ht="28.5" customHeight="1" x14ac:dyDescent="0.25">
      <c r="C35" s="164" t="s">
        <v>348</v>
      </c>
      <c r="D35" s="163">
        <v>1</v>
      </c>
    </row>
    <row r="36" spans="3:4" ht="28.5" customHeight="1" x14ac:dyDescent="0.25">
      <c r="C36" s="164" t="s">
        <v>349</v>
      </c>
      <c r="D36" s="163">
        <v>1</v>
      </c>
    </row>
    <row r="37" spans="3:4" ht="28.5" customHeight="1" x14ac:dyDescent="0.25">
      <c r="C37" s="164" t="s">
        <v>350</v>
      </c>
      <c r="D37" s="163">
        <v>1</v>
      </c>
    </row>
    <row r="38" spans="3:4" ht="28.5" customHeight="1" x14ac:dyDescent="0.25">
      <c r="C38" s="162" t="s">
        <v>351</v>
      </c>
      <c r="D38" s="163">
        <v>1</v>
      </c>
    </row>
    <row r="39" spans="3:4" ht="28.5" customHeight="1" x14ac:dyDescent="0.25">
      <c r="C39" s="170" t="s">
        <v>352</v>
      </c>
      <c r="D39" s="163">
        <v>1</v>
      </c>
    </row>
    <row r="40" spans="3:4" ht="28.5" customHeight="1" x14ac:dyDescent="0.25">
      <c r="C40" s="170" t="s">
        <v>353</v>
      </c>
      <c r="D40" s="163">
        <v>1</v>
      </c>
    </row>
    <row r="41" spans="3:4" ht="28.5" customHeight="1" x14ac:dyDescent="0.25">
      <c r="C41" s="170" t="s">
        <v>354</v>
      </c>
      <c r="D41" s="163">
        <v>1</v>
      </c>
    </row>
    <row r="42" spans="3:4" ht="28.5" customHeight="1" x14ac:dyDescent="0.25">
      <c r="C42" s="170" t="s">
        <v>355</v>
      </c>
      <c r="D42" s="163">
        <v>1</v>
      </c>
    </row>
    <row r="43" spans="3:4" ht="28.5" customHeight="1" x14ac:dyDescent="0.25">
      <c r="C43" s="171"/>
      <c r="D43" s="163"/>
    </row>
    <row r="44" spans="3:4" ht="28.5" customHeight="1" x14ac:dyDescent="0.25">
      <c r="C44" s="171"/>
      <c r="D44" s="163"/>
    </row>
    <row r="45" spans="3:4" ht="28.5" customHeight="1" x14ac:dyDescent="0.25">
      <c r="C45" s="166" t="s">
        <v>356</v>
      </c>
      <c r="D45" s="169"/>
    </row>
    <row r="46" spans="3:4" ht="28.5" customHeight="1" x14ac:dyDescent="0.25">
      <c r="C46" s="170" t="s">
        <v>357</v>
      </c>
      <c r="D46" s="163">
        <v>1</v>
      </c>
    </row>
    <row r="47" spans="3:4" ht="28.5" customHeight="1" x14ac:dyDescent="0.25">
      <c r="C47" s="170" t="s">
        <v>358</v>
      </c>
      <c r="D47" s="163">
        <v>1</v>
      </c>
    </row>
    <row r="48" spans="3:4" ht="28.5" customHeight="1" x14ac:dyDescent="0.25">
      <c r="C48" s="170" t="s">
        <v>359</v>
      </c>
      <c r="D48" s="163">
        <v>1</v>
      </c>
    </row>
    <row r="49" spans="3:4" ht="28.5" customHeight="1" x14ac:dyDescent="0.25">
      <c r="C49" s="170" t="s">
        <v>360</v>
      </c>
      <c r="D49" s="163">
        <v>1</v>
      </c>
    </row>
    <row r="50" spans="3:4" ht="28.5" customHeight="1" x14ac:dyDescent="0.25">
      <c r="C50" s="172" t="s">
        <v>361</v>
      </c>
      <c r="D50" s="163">
        <v>1</v>
      </c>
    </row>
    <row r="51" spans="3:4" ht="28.5" customHeight="1" x14ac:dyDescent="0.25">
      <c r="C51" s="172" t="s">
        <v>362</v>
      </c>
      <c r="D51" s="163">
        <v>1</v>
      </c>
    </row>
    <row r="52" spans="3:4" ht="28.5" customHeight="1" x14ac:dyDescent="0.25">
      <c r="C52" s="172" t="s">
        <v>363</v>
      </c>
      <c r="D52" s="163">
        <v>1</v>
      </c>
    </row>
    <row r="53" spans="3:4" ht="28.5" customHeight="1" x14ac:dyDescent="0.25">
      <c r="C53" s="160" t="s">
        <v>364</v>
      </c>
      <c r="D53" s="163">
        <v>1</v>
      </c>
    </row>
    <row r="54" spans="3:4" ht="28.5" customHeight="1" x14ac:dyDescent="0.25">
      <c r="C54" s="160" t="s">
        <v>365</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17" activePane="bottomLeft" state="frozen"/>
      <selection pane="bottomLeft" activeCell="AZ36" sqref="AZ36"/>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430" t="s">
        <v>251</v>
      </c>
      <c r="E2" s="431"/>
      <c r="F2" s="431"/>
      <c r="G2" s="431"/>
      <c r="H2" s="431"/>
      <c r="I2" s="431"/>
      <c r="J2" s="431"/>
      <c r="K2" s="432"/>
      <c r="L2" s="421" t="s">
        <v>205</v>
      </c>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3"/>
      <c r="AP2" s="284" t="s">
        <v>250</v>
      </c>
      <c r="AQ2" s="418"/>
      <c r="AR2" s="418"/>
      <c r="AS2" s="418"/>
      <c r="AT2" s="418"/>
      <c r="AU2" s="418"/>
      <c r="AV2" s="273"/>
    </row>
    <row r="3" spans="1:101" x14ac:dyDescent="0.25">
      <c r="D3" s="433"/>
      <c r="E3" s="434"/>
      <c r="F3" s="434"/>
      <c r="G3" s="434"/>
      <c r="H3" s="434"/>
      <c r="I3" s="434"/>
      <c r="J3" s="434"/>
      <c r="K3" s="435"/>
      <c r="L3" s="424"/>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6"/>
      <c r="AP3" s="285" t="s">
        <v>264</v>
      </c>
      <c r="AQ3" s="419"/>
      <c r="AR3" s="419"/>
      <c r="AS3" s="419"/>
      <c r="AT3" s="419"/>
      <c r="AU3" s="419"/>
      <c r="AV3" s="275"/>
    </row>
    <row r="4" spans="1:101" x14ac:dyDescent="0.25">
      <c r="D4" s="433"/>
      <c r="E4" s="434"/>
      <c r="F4" s="434"/>
      <c r="G4" s="434"/>
      <c r="H4" s="434"/>
      <c r="I4" s="434"/>
      <c r="J4" s="434"/>
      <c r="K4" s="435"/>
      <c r="L4" s="424"/>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6"/>
      <c r="AP4" s="285" t="s">
        <v>389</v>
      </c>
      <c r="AQ4" s="419" t="s">
        <v>263</v>
      </c>
      <c r="AR4" s="419"/>
      <c r="AS4" s="419"/>
      <c r="AT4" s="419"/>
      <c r="AU4" s="419"/>
      <c r="AV4" s="275"/>
    </row>
    <row r="5" spans="1:101" ht="15.75" thickBot="1" x14ac:dyDescent="0.3">
      <c r="D5" s="436"/>
      <c r="E5" s="437"/>
      <c r="F5" s="437"/>
      <c r="G5" s="437"/>
      <c r="H5" s="437"/>
      <c r="I5" s="437"/>
      <c r="J5" s="437"/>
      <c r="K5" s="438"/>
      <c r="L5" s="427"/>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428"/>
      <c r="AO5" s="429"/>
      <c r="AP5" s="286" t="s">
        <v>245</v>
      </c>
      <c r="AQ5" s="420" t="s">
        <v>245</v>
      </c>
      <c r="AR5" s="420"/>
      <c r="AS5" s="420"/>
      <c r="AT5" s="420"/>
      <c r="AU5" s="420"/>
      <c r="AV5" s="277"/>
    </row>
    <row r="7" spans="1:101" ht="18" customHeight="1" x14ac:dyDescent="0.25">
      <c r="C7" s="69"/>
      <c r="D7" s="365" t="s">
        <v>157</v>
      </c>
      <c r="E7" s="365"/>
      <c r="F7" s="365"/>
      <c r="G7" s="365"/>
      <c r="H7" s="365"/>
      <c r="I7" s="365"/>
      <c r="J7" s="365"/>
      <c r="K7" s="365"/>
      <c r="L7" s="477" t="s">
        <v>2</v>
      </c>
      <c r="M7" s="477"/>
      <c r="N7" s="477"/>
      <c r="O7" s="477"/>
      <c r="P7" s="477"/>
      <c r="Q7" s="477"/>
      <c r="R7" s="477"/>
      <c r="S7" s="477"/>
      <c r="T7" s="477"/>
      <c r="U7" s="477"/>
      <c r="V7" s="477"/>
      <c r="W7" s="477"/>
      <c r="X7" s="477"/>
      <c r="Y7" s="477"/>
      <c r="Z7" s="477"/>
      <c r="AA7" s="477"/>
      <c r="AB7" s="477"/>
      <c r="AC7" s="477"/>
      <c r="AD7" s="477"/>
      <c r="AE7" s="477"/>
      <c r="AF7" s="477"/>
      <c r="AG7" s="477"/>
      <c r="AH7" s="477"/>
      <c r="AI7" s="477"/>
      <c r="AJ7" s="477"/>
      <c r="AK7" s="477"/>
      <c r="AL7" s="477"/>
      <c r="AM7" s="477"/>
      <c r="AN7" s="477"/>
      <c r="AO7" s="477"/>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310" t="s">
        <v>266</v>
      </c>
      <c r="B8" s="310"/>
      <c r="C8" s="311"/>
      <c r="D8" s="365"/>
      <c r="E8" s="365"/>
      <c r="F8" s="365"/>
      <c r="G8" s="365"/>
      <c r="H8" s="365"/>
      <c r="I8" s="365"/>
      <c r="J8" s="365"/>
      <c r="K8" s="365"/>
      <c r="L8" s="477"/>
      <c r="M8" s="477"/>
      <c r="N8" s="477"/>
      <c r="O8" s="477"/>
      <c r="P8" s="477"/>
      <c r="Q8" s="477"/>
      <c r="R8" s="477"/>
      <c r="S8" s="477"/>
      <c r="T8" s="477"/>
      <c r="U8" s="477"/>
      <c r="V8" s="477"/>
      <c r="W8" s="477"/>
      <c r="X8" s="477"/>
      <c r="Y8" s="477"/>
      <c r="Z8" s="477"/>
      <c r="AA8" s="477"/>
      <c r="AB8" s="477"/>
      <c r="AC8" s="477"/>
      <c r="AD8" s="477"/>
      <c r="AE8" s="477"/>
      <c r="AF8" s="477"/>
      <c r="AG8" s="477"/>
      <c r="AH8" s="477"/>
      <c r="AI8" s="477"/>
      <c r="AJ8" s="477"/>
      <c r="AK8" s="477"/>
      <c r="AL8" s="477"/>
      <c r="AM8" s="477"/>
      <c r="AN8" s="477"/>
      <c r="AO8" s="477"/>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365"/>
      <c r="E9" s="365"/>
      <c r="F9" s="365"/>
      <c r="G9" s="365"/>
      <c r="H9" s="365"/>
      <c r="I9" s="365"/>
      <c r="J9" s="365"/>
      <c r="K9" s="365"/>
      <c r="L9" s="477"/>
      <c r="M9" s="477"/>
      <c r="N9" s="477"/>
      <c r="O9" s="477"/>
      <c r="P9" s="477"/>
      <c r="Q9" s="477"/>
      <c r="R9" s="477"/>
      <c r="S9" s="477"/>
      <c r="T9" s="477"/>
      <c r="U9" s="477"/>
      <c r="V9" s="477"/>
      <c r="W9" s="477"/>
      <c r="X9" s="477"/>
      <c r="Y9" s="477"/>
      <c r="Z9" s="477"/>
      <c r="AA9" s="477"/>
      <c r="AB9" s="477"/>
      <c r="AC9" s="477"/>
      <c r="AD9" s="477"/>
      <c r="AE9" s="477"/>
      <c r="AF9" s="477"/>
      <c r="AG9" s="477"/>
      <c r="AH9" s="477"/>
      <c r="AI9" s="477"/>
      <c r="AJ9" s="477"/>
      <c r="AK9" s="477"/>
      <c r="AL9" s="477"/>
      <c r="AM9" s="477"/>
      <c r="AN9" s="477"/>
      <c r="AO9" s="477"/>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439" t="s">
        <v>4</v>
      </c>
      <c r="E11" s="439"/>
      <c r="F11" s="440"/>
      <c r="G11" s="406" t="s">
        <v>115</v>
      </c>
      <c r="H11" s="408"/>
      <c r="I11" s="408"/>
      <c r="J11" s="408"/>
      <c r="K11" s="408"/>
      <c r="L11" s="402" t="str">
        <f ca="1">IF(AND('Mapa final'!$Q$15="Muy Alta",'Mapa final'!$U$15="Leve"),CONCATENATE("R",'Mapa final'!$A$15),"")</f>
        <v/>
      </c>
      <c r="M11" s="403"/>
      <c r="N11" s="403" t="str">
        <f>IF(AND('Mapa final'!$L$16="Muy Alta",'Mapa final'!$P$16="Leve"),CONCATENATE("R",'Mapa final'!$A$16),"")</f>
        <v/>
      </c>
      <c r="O11" s="403"/>
      <c r="P11" s="403" t="str">
        <f>IF(AND('Mapa final'!$L$17="Muy Alta",'Mapa final'!$P$17="Leve"),CONCATENATE("R",'Mapa final'!$A$17),"")</f>
        <v/>
      </c>
      <c r="Q11" s="404"/>
      <c r="R11" s="402" t="str">
        <f ca="1">IF(AND('Mapa final'!$Q$15="Muy Alta",'Mapa final'!$U$15="Menor"),CONCATENATE("R",'Mapa final'!$A$15),"")</f>
        <v/>
      </c>
      <c r="S11" s="403"/>
      <c r="T11" s="403" t="str">
        <f ca="1">IF(AND('Mapa final'!$Q$16="Muy Alta",'Mapa final'!$U$16="Menor"),CONCATENATE("R",'Mapa final'!$A$16),"")</f>
        <v/>
      </c>
      <c r="U11" s="403"/>
      <c r="V11" s="403" t="str">
        <f ca="1">IF(AND('Mapa final'!$Q$17="Muy Alta",'Mapa final'!$U$17="Menor"),CONCATENATE("R",'Mapa final'!$A$17),"")</f>
        <v/>
      </c>
      <c r="W11" s="403"/>
      <c r="X11" s="402" t="str">
        <f ca="1">IF(AND('Mapa final'!$Q$15="Muy Alta",'Mapa final'!$U$15="Moderado"),CONCATENATE("R",'Mapa final'!$A$15),"")</f>
        <v/>
      </c>
      <c r="Y11" s="403"/>
      <c r="Z11" s="403" t="str">
        <f ca="1">IF(AND('Mapa final'!Q$16="Muy Alta",'Mapa final'!$U$16="Moderado"),CONCATENATE("R",'Mapa final'!$A$16),"")</f>
        <v/>
      </c>
      <c r="AA11" s="403"/>
      <c r="AB11" s="403" t="str">
        <f ca="1">IF(AND('Mapa final'!$Q$17="Muy Alta",'Mapa final'!$U$17="Moderado"),CONCATENATE("R",'Mapa final'!$A$17),"")</f>
        <v/>
      </c>
      <c r="AC11" s="403"/>
      <c r="AD11" s="402" t="str">
        <f ca="1">IF(AND('Mapa final'!$Q$15="Muy Alta",'Mapa final'!$U$15="Mayor"),CONCATENATE("R",'Mapa final'!$A$15),"")</f>
        <v/>
      </c>
      <c r="AE11" s="403"/>
      <c r="AF11" s="403" t="str">
        <f ca="1">IF(AND('Mapa final'!$Q$16="Muy Alta",'Mapa final'!$U$16="Mayor"),CONCATENATE("R",'Mapa final'!$A$16),"")</f>
        <v/>
      </c>
      <c r="AG11" s="403"/>
      <c r="AH11" s="403" t="str">
        <f ca="1">IF(AND('Mapa final'!$Q$17="Muy Alta",'Mapa final'!$U$17="Mayor"),CONCATENATE("R",'Mapa final'!$A$17),"")</f>
        <v/>
      </c>
      <c r="AI11" s="403"/>
      <c r="AJ11" s="393" t="str">
        <f ca="1">IF(AND('Mapa final'!$Q$15="Muy Alta",'Mapa final'!$U$15="Catastrófico"),CONCATENATE("R",'Mapa final'!$A$15),"")</f>
        <v/>
      </c>
      <c r="AK11" s="394"/>
      <c r="AL11" s="394" t="str">
        <f ca="1">IF(AND('Mapa final'!$Q$16="Muy Alta",'Mapa final'!$U$16="Catastrófico"),CONCATENATE("R",'Mapa final'!$A$16),"")</f>
        <v/>
      </c>
      <c r="AM11" s="394"/>
      <c r="AN11" s="394" t="str">
        <f ca="1">IF(AND('Mapa final'!$Q$17="Muy Alta",'Mapa final'!$U$17="Catastrófico"),CONCATENATE("R",'Mapa final'!$A$17),"")</f>
        <v/>
      </c>
      <c r="AO11" s="395"/>
      <c r="AQ11" s="441" t="s">
        <v>78</v>
      </c>
      <c r="AR11" s="442"/>
      <c r="AS11" s="442"/>
      <c r="AT11" s="442"/>
      <c r="AU11" s="442"/>
      <c r="AV11" s="443"/>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439"/>
      <c r="E12" s="439"/>
      <c r="F12" s="440"/>
      <c r="G12" s="410"/>
      <c r="H12" s="411"/>
      <c r="I12" s="411"/>
      <c r="J12" s="411"/>
      <c r="K12" s="417"/>
      <c r="L12" s="396"/>
      <c r="M12" s="405"/>
      <c r="N12" s="405"/>
      <c r="O12" s="405"/>
      <c r="P12" s="405"/>
      <c r="Q12" s="398"/>
      <c r="R12" s="396"/>
      <c r="S12" s="405"/>
      <c r="T12" s="405"/>
      <c r="U12" s="405"/>
      <c r="V12" s="405"/>
      <c r="W12" s="405"/>
      <c r="X12" s="396"/>
      <c r="Y12" s="405"/>
      <c r="Z12" s="405"/>
      <c r="AA12" s="405"/>
      <c r="AB12" s="405"/>
      <c r="AC12" s="405"/>
      <c r="AD12" s="396"/>
      <c r="AE12" s="405"/>
      <c r="AF12" s="405"/>
      <c r="AG12" s="405"/>
      <c r="AH12" s="405"/>
      <c r="AI12" s="405"/>
      <c r="AJ12" s="386"/>
      <c r="AK12" s="392"/>
      <c r="AL12" s="392"/>
      <c r="AM12" s="392"/>
      <c r="AN12" s="392"/>
      <c r="AO12" s="388"/>
      <c r="AP12" s="69"/>
      <c r="AQ12" s="444"/>
      <c r="AR12" s="445"/>
      <c r="AS12" s="445"/>
      <c r="AT12" s="445"/>
      <c r="AU12" s="445"/>
      <c r="AV12" s="446"/>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439"/>
      <c r="E13" s="439"/>
      <c r="F13" s="440"/>
      <c r="G13" s="410"/>
      <c r="H13" s="411"/>
      <c r="I13" s="411"/>
      <c r="J13" s="411"/>
      <c r="K13" s="417"/>
      <c r="L13" s="396" t="str">
        <f ca="1">IF(AND('Mapa final'!$Q$18="Muy Alta",'Mapa final'!$U$18="Leve"),CONCATENATE("R",'Mapa final'!$A$18),"")</f>
        <v/>
      </c>
      <c r="M13" s="405"/>
      <c r="N13" s="405" t="str">
        <f>IF(AND('Mapa final'!$L$19="Muy Alta",'Mapa final'!$P$19="Leve"),CONCATENATE("R",'Mapa final'!$A$19),"")</f>
        <v/>
      </c>
      <c r="O13" s="405"/>
      <c r="P13" s="405" t="str">
        <f>IF(AND('Mapa final'!$L$20="Muy Alta",'Mapa final'!$P$20="Leve"),CONCATENATE("R",'Mapa final'!$A$20),"")</f>
        <v/>
      </c>
      <c r="Q13" s="398"/>
      <c r="R13" s="396" t="str">
        <f ca="1">IF(AND('Mapa final'!$Q$18="Muy Alta",'Mapa final'!$U$18="Menor"),CONCATENATE("R",'Mapa final'!$A$18),"")</f>
        <v/>
      </c>
      <c r="S13" s="405"/>
      <c r="T13" s="405" t="str">
        <f ca="1">IF(AND('Mapa final'!$Q$19="Muy Alta",'Mapa final'!$U$19="Menor"),CONCATENATE("R",'Mapa final'!$A$19),"")</f>
        <v/>
      </c>
      <c r="U13" s="405"/>
      <c r="V13" s="405" t="str">
        <f ca="1">IF(AND('Mapa final'!$Q$20="Muy Alta",'Mapa final'!$U$20="Menor"),CONCATENATE("R",'Mapa final'!$A$20),"")</f>
        <v/>
      </c>
      <c r="W13" s="405"/>
      <c r="X13" s="396" t="str">
        <f ca="1">IF(AND('Mapa final'!$Q$18="Muy Alta",'Mapa final'!$U$18="Moderado"),CONCATENATE("R",'Mapa final'!$A$18),"")</f>
        <v/>
      </c>
      <c r="Y13" s="405"/>
      <c r="Z13" s="405" t="str">
        <f ca="1">IF(AND('Mapa final'!$Q$19="Muy Alta",'Mapa final'!$U$19="Moderado"),CONCATENATE("R",'Mapa final'!$A$19),"")</f>
        <v/>
      </c>
      <c r="AA13" s="405"/>
      <c r="AB13" s="405" t="str">
        <f ca="1">IF(AND('Mapa final'!$Q$20="Muy Alta",'Mapa final'!$U$20="Moderado"),CONCATENATE("R",'Mapa final'!$A$20),"")</f>
        <v/>
      </c>
      <c r="AC13" s="405"/>
      <c r="AD13" s="396" t="str">
        <f ca="1">IF(AND('Mapa final'!$Q$18="Muy Alta",'Mapa final'!$U$18="Mayor"),CONCATENATE("R",'Mapa final'!$A$18),"")</f>
        <v/>
      </c>
      <c r="AE13" s="405"/>
      <c r="AF13" s="405" t="str">
        <f ca="1">IF(AND('Mapa final'!$Q$19="Muy Alta",'Mapa final'!$U$19="Mayor"),CONCATENATE("R",'Mapa final'!$A$19),"")</f>
        <v/>
      </c>
      <c r="AG13" s="405"/>
      <c r="AH13" s="405" t="str">
        <f ca="1">IF(AND('Mapa final'!$Q$20="Muy Alta",'Mapa final'!$U$20="Mayor"),CONCATENATE("R",'Mapa final'!$A$20),"")</f>
        <v/>
      </c>
      <c r="AI13" s="405"/>
      <c r="AJ13" s="386" t="str">
        <f ca="1">IF(AND('Mapa final'!$Q$18="Muy Alta",'Mapa final'!$U$18="Catastrófico"),CONCATENATE("R",'Mapa final'!$A$18),"")</f>
        <v/>
      </c>
      <c r="AK13" s="392"/>
      <c r="AL13" s="392" t="str">
        <f ca="1">IF(AND('Mapa final'!$Q$19="Muy Alta",'Mapa final'!$U$19="Catastrófico"),CONCATENATE("R",'Mapa final'!$A$19),"")</f>
        <v/>
      </c>
      <c r="AM13" s="392"/>
      <c r="AN13" s="392" t="str">
        <f>IF(AND('Mapa final'!$Q$20="Muy Alta",'Mapa final'!$L$20="Catastrófico"),CONCATENATE("R",'Mapa final'!$A$20),"")</f>
        <v/>
      </c>
      <c r="AO13" s="388"/>
      <c r="AP13" s="69"/>
      <c r="AQ13" s="444"/>
      <c r="AR13" s="445"/>
      <c r="AS13" s="445"/>
      <c r="AT13" s="445"/>
      <c r="AU13" s="445"/>
      <c r="AV13" s="446"/>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439"/>
      <c r="E14" s="439"/>
      <c r="F14" s="440"/>
      <c r="G14" s="410"/>
      <c r="H14" s="411"/>
      <c r="I14" s="411"/>
      <c r="J14" s="411"/>
      <c r="K14" s="417"/>
      <c r="L14" s="396"/>
      <c r="M14" s="405"/>
      <c r="N14" s="405"/>
      <c r="O14" s="405"/>
      <c r="P14" s="405"/>
      <c r="Q14" s="398"/>
      <c r="R14" s="396"/>
      <c r="S14" s="405"/>
      <c r="T14" s="405"/>
      <c r="U14" s="405"/>
      <c r="V14" s="405"/>
      <c r="W14" s="405"/>
      <c r="X14" s="396"/>
      <c r="Y14" s="405"/>
      <c r="Z14" s="405"/>
      <c r="AA14" s="405"/>
      <c r="AB14" s="405"/>
      <c r="AC14" s="405"/>
      <c r="AD14" s="396"/>
      <c r="AE14" s="405"/>
      <c r="AF14" s="405"/>
      <c r="AG14" s="405"/>
      <c r="AH14" s="405"/>
      <c r="AI14" s="405"/>
      <c r="AJ14" s="386"/>
      <c r="AK14" s="392"/>
      <c r="AL14" s="392"/>
      <c r="AM14" s="392"/>
      <c r="AN14" s="392"/>
      <c r="AO14" s="388"/>
      <c r="AP14" s="69"/>
      <c r="AQ14" s="444"/>
      <c r="AR14" s="445"/>
      <c r="AS14" s="445"/>
      <c r="AT14" s="445"/>
      <c r="AU14" s="445"/>
      <c r="AV14" s="446"/>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439"/>
      <c r="E15" s="439"/>
      <c r="F15" s="440"/>
      <c r="G15" s="410"/>
      <c r="H15" s="411"/>
      <c r="I15" s="411"/>
      <c r="J15" s="411"/>
      <c r="K15" s="417"/>
      <c r="L15" s="396" t="str">
        <f ca="1">IF(AND('Mapa final'!$Q$21="Muy Alta",'Mapa final'!$U$21="Leve"),CONCATENATE("R",'Mapa final'!$A$21),"")</f>
        <v/>
      </c>
      <c r="M15" s="405"/>
      <c r="N15" s="405" t="str">
        <f>IF(AND('Mapa final'!$L$22="Muy Alta",'Mapa final'!$P$22="Leve"),CONCATENATE("R",'Mapa final'!$A$22),"")</f>
        <v/>
      </c>
      <c r="O15" s="405"/>
      <c r="P15" s="405" t="str">
        <f>IF(AND('Mapa final'!$L$23="Muy Alta",'Mapa final'!$P$23="Leve"),CONCATENATE("R",'Mapa final'!$A$23),"")</f>
        <v/>
      </c>
      <c r="Q15" s="398"/>
      <c r="R15" s="396" t="str">
        <f ca="1">IF(AND('Mapa final'!$Q$21="Muy Alta",'Mapa final'!$U$21="Menor"),CONCATENATE("R",'Mapa final'!$A$21),"")</f>
        <v/>
      </c>
      <c r="S15" s="405"/>
      <c r="T15" s="405" t="str">
        <f ca="1">IF(AND('Mapa final'!$LR$22="Muy Alta",'Mapa final'!$U$22="Menor"),CONCATENATE("R",'Mapa final'!$A$22),"")</f>
        <v/>
      </c>
      <c r="U15" s="405"/>
      <c r="V15" s="405" t="str">
        <f>IF(AND('Mapa final'!$Q$23="Muy Alta",'Mapa final'!$U$23="Menor"),CONCATENATE("R",'Mapa final'!$A$23),"")</f>
        <v/>
      </c>
      <c r="W15" s="405"/>
      <c r="X15" s="396" t="str">
        <f ca="1">IF(AND('Mapa final'!$Q$21="Muy Alta",'Mapa final'!$U$21="Moderado"),CONCATENATE("R",'Mapa final'!$A$21),"")</f>
        <v/>
      </c>
      <c r="Y15" s="405"/>
      <c r="Z15" s="405" t="str">
        <f ca="1">IF(AND('Mapa final'!$Q$22="Muy Alta",'Mapa final'!$U$22="Moderado"),CONCATENATE("R",'Mapa final'!$A$22),"")</f>
        <v/>
      </c>
      <c r="AA15" s="405"/>
      <c r="AB15" s="405" t="str">
        <f>IF(AND('Mapa final'!$Q$23="Muy Alta",'Mapa final'!$U$23="Moderado"),CONCATENATE("R",'Mapa final'!$A$23),"")</f>
        <v/>
      </c>
      <c r="AC15" s="405"/>
      <c r="AD15" s="396" t="str">
        <f ca="1">IF(AND('Mapa final'!$Q$21="Muy Alta",'Mapa final'!$U$21="Mayor"),CONCATENATE("R",'Mapa final'!$A$21),"")</f>
        <v/>
      </c>
      <c r="AE15" s="405"/>
      <c r="AF15" s="405" t="str">
        <f ca="1">IF(AND('Mapa final'!$Q$22="Muy Alta",'Mapa final'!$U$22="Mayor"),CONCATENATE("R",'Mapa final'!$A$22),"")</f>
        <v/>
      </c>
      <c r="AG15" s="405"/>
      <c r="AH15" s="405" t="str">
        <f>IF(AND('Mapa final'!$Q$23="Muy Alta",'Mapa final'!$U$23="Mayor"),CONCATENATE("R",'Mapa final'!$A$23),"")</f>
        <v/>
      </c>
      <c r="AI15" s="405"/>
      <c r="AJ15" s="386" t="str">
        <f ca="1">IF(AND('Mapa final'!$Q$21="Muy Alta",'Mapa final'!$U$21="Catastrófico"),CONCATENATE("R",'Mapa final'!$A$21),"")</f>
        <v/>
      </c>
      <c r="AK15" s="392"/>
      <c r="AL15" s="392" t="str">
        <f ca="1">IF(AND('Mapa final'!$Q$22="Muy Alta",'Mapa final'!$U$22="Catastrófico"),CONCATENATE("R",'Mapa final'!$A$22),"")</f>
        <v/>
      </c>
      <c r="AM15" s="392"/>
      <c r="AN15" s="392" t="str">
        <f>IF(AND('Mapa final'!$Q$23="Muy Alta",'Mapa final'!$U$23="Catastrófico"),CONCATENATE("R",'Mapa final'!$A$23),"")</f>
        <v/>
      </c>
      <c r="AO15" s="388"/>
      <c r="AP15" s="69"/>
      <c r="AQ15" s="444"/>
      <c r="AR15" s="445"/>
      <c r="AS15" s="445"/>
      <c r="AT15" s="445"/>
      <c r="AU15" s="445"/>
      <c r="AV15" s="446"/>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439"/>
      <c r="E16" s="439"/>
      <c r="F16" s="440"/>
      <c r="G16" s="410"/>
      <c r="H16" s="411"/>
      <c r="I16" s="411"/>
      <c r="J16" s="411"/>
      <c r="K16" s="417"/>
      <c r="L16" s="396"/>
      <c r="M16" s="405"/>
      <c r="N16" s="405"/>
      <c r="O16" s="405"/>
      <c r="P16" s="405"/>
      <c r="Q16" s="398"/>
      <c r="R16" s="396"/>
      <c r="S16" s="405"/>
      <c r="T16" s="405"/>
      <c r="U16" s="405"/>
      <c r="V16" s="405"/>
      <c r="W16" s="405"/>
      <c r="X16" s="396"/>
      <c r="Y16" s="405"/>
      <c r="Z16" s="405"/>
      <c r="AA16" s="405"/>
      <c r="AB16" s="405"/>
      <c r="AC16" s="405"/>
      <c r="AD16" s="396"/>
      <c r="AE16" s="405"/>
      <c r="AF16" s="405"/>
      <c r="AG16" s="405"/>
      <c r="AH16" s="405"/>
      <c r="AI16" s="405"/>
      <c r="AJ16" s="386"/>
      <c r="AK16" s="392"/>
      <c r="AL16" s="392"/>
      <c r="AM16" s="392"/>
      <c r="AN16" s="392"/>
      <c r="AO16" s="388"/>
      <c r="AP16" s="69"/>
      <c r="AQ16" s="444"/>
      <c r="AR16" s="445"/>
      <c r="AS16" s="445"/>
      <c r="AT16" s="445"/>
      <c r="AU16" s="445"/>
      <c r="AV16" s="446"/>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439"/>
      <c r="E17" s="439"/>
      <c r="F17" s="440"/>
      <c r="G17" s="410"/>
      <c r="H17" s="411"/>
      <c r="I17" s="411"/>
      <c r="J17" s="411"/>
      <c r="K17" s="417"/>
      <c r="L17" s="396" t="str">
        <f>IF(AND('Mapa final'!$Q$24="Muy Alta",'Mapa final'!$U$24="Leve"),CONCATENATE("R",'Mapa final'!$A$24),"")</f>
        <v/>
      </c>
      <c r="M17" s="405"/>
      <c r="N17" s="405" t="str">
        <f>IF(AND('Mapa final'!$L$25="Muy Alta",'Mapa final'!$P$25="Leve"),CONCATENATE("R",'Mapa final'!$A$25),"")</f>
        <v/>
      </c>
      <c r="O17" s="405"/>
      <c r="P17" s="405" t="str">
        <f>IF(AND('Mapa final'!$L$26="Muy Alta",'Mapa final'!$P$26="Leve"),CONCATENATE("R",'Mapa final'!$A$26),"")</f>
        <v/>
      </c>
      <c r="Q17" s="398"/>
      <c r="R17" s="396" t="str">
        <f>IF(AND('Mapa final'!$Q$24="Muy Alta",'Mapa final'!$U$24="Menor"),CONCATENATE("R",'Mapa final'!$A$24),"")</f>
        <v/>
      </c>
      <c r="S17" s="405"/>
      <c r="T17" s="405" t="str">
        <f>IF(AND('Mapa final'!$Q$25="Muy Alta",'Mapa final'!$U$25="Menor"),CONCATENATE("R",'Mapa final'!$A$25),"")</f>
        <v/>
      </c>
      <c r="U17" s="405"/>
      <c r="V17" s="405" t="str">
        <f>IF(AND('Mapa final'!$Q$26="Muy Alta",'Mapa final'!$U$26="Menor"),CONCATENATE("R",'Mapa final'!$A$26),"")</f>
        <v/>
      </c>
      <c r="W17" s="405"/>
      <c r="X17" s="396" t="str">
        <f>IF(AND('Mapa final'!$Q$24="Muy Alta",'Mapa final'!$U$24="Moderado"),CONCATENATE("R",'Mapa final'!$A$24),"")</f>
        <v/>
      </c>
      <c r="Y17" s="405"/>
      <c r="Z17" s="405" t="str">
        <f>IF(AND('Mapa final'!$Q$25="Muy Alta",'Mapa final'!$U$25="Moderado"),CONCATENATE("R",'Mapa final'!$A$25),"")</f>
        <v/>
      </c>
      <c r="AA17" s="405"/>
      <c r="AB17" s="405" t="str">
        <f>IF(AND('Mapa final'!$Q$26="Muy Alta",'Mapa final'!$U$26="Moderado"),CONCATENATE("R",'Mapa final'!$A$26),"")</f>
        <v/>
      </c>
      <c r="AC17" s="405"/>
      <c r="AD17" s="396" t="str">
        <f>IF(AND('Mapa final'!$Q$24="Muy Alta",'Mapa final'!$U$24="Mayor"),CONCATENATE("R",'Mapa final'!$A$24),"")</f>
        <v/>
      </c>
      <c r="AE17" s="405"/>
      <c r="AF17" s="405" t="str">
        <f>IF(AND('Mapa final'!$Q$25="Muy Alta",'Mapa final'!$U$25="Mayor"),CONCATENATE("R",'Mapa final'!$A$25),"")</f>
        <v/>
      </c>
      <c r="AG17" s="405"/>
      <c r="AH17" s="405" t="str">
        <f>IF(AND('Mapa final'!$Q$26="Muy Alta",'Mapa final'!$U$26="Mayor"),CONCATENATE("R",'Mapa final'!$A$26),"")</f>
        <v/>
      </c>
      <c r="AI17" s="405"/>
      <c r="AJ17" s="386" t="str">
        <f>IF(AND('Mapa final'!$Q$24="Muy Alta",'Mapa final'!$U$24="Catastrófico"),CONCATENATE("R",'Mapa final'!$A$24),"")</f>
        <v/>
      </c>
      <c r="AK17" s="392"/>
      <c r="AL17" s="392" t="str">
        <f>IF(AND('Mapa final'!$Q$25="Muy Alta",'Mapa final'!$U$25="Catastrófico"),CONCATENATE("R",'Mapa final'!$A$25),"")</f>
        <v/>
      </c>
      <c r="AM17" s="392"/>
      <c r="AN17" s="392" t="str">
        <f>IF(AND('Mapa final'!$Q$26="Muy Alta",'Mapa final'!$U$26="Catastrófico"),CONCATENATE("R",'Mapa final'!$A$26),"")</f>
        <v/>
      </c>
      <c r="AO17" s="388"/>
      <c r="AP17" s="69"/>
      <c r="AQ17" s="444"/>
      <c r="AR17" s="445"/>
      <c r="AS17" s="445"/>
      <c r="AT17" s="445"/>
      <c r="AU17" s="445"/>
      <c r="AV17" s="446"/>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439"/>
      <c r="E18" s="439"/>
      <c r="F18" s="440"/>
      <c r="G18" s="413"/>
      <c r="H18" s="414"/>
      <c r="I18" s="414"/>
      <c r="J18" s="414"/>
      <c r="K18" s="414"/>
      <c r="L18" s="399"/>
      <c r="M18" s="400"/>
      <c r="N18" s="400"/>
      <c r="O18" s="400"/>
      <c r="P18" s="400"/>
      <c r="Q18" s="401"/>
      <c r="R18" s="399"/>
      <c r="S18" s="400"/>
      <c r="T18" s="400"/>
      <c r="U18" s="400"/>
      <c r="V18" s="400"/>
      <c r="W18" s="400"/>
      <c r="X18" s="396"/>
      <c r="Y18" s="405"/>
      <c r="Z18" s="405"/>
      <c r="AA18" s="405"/>
      <c r="AB18" s="405"/>
      <c r="AC18" s="405"/>
      <c r="AD18" s="396"/>
      <c r="AE18" s="405"/>
      <c r="AF18" s="405"/>
      <c r="AG18" s="405"/>
      <c r="AH18" s="405"/>
      <c r="AI18" s="405"/>
      <c r="AJ18" s="386"/>
      <c r="AK18" s="392"/>
      <c r="AL18" s="392"/>
      <c r="AM18" s="392"/>
      <c r="AN18" s="392"/>
      <c r="AO18" s="388"/>
      <c r="AP18" s="69"/>
      <c r="AQ18" s="447"/>
      <c r="AR18" s="448"/>
      <c r="AS18" s="448"/>
      <c r="AT18" s="448"/>
      <c r="AU18" s="448"/>
      <c r="AV18" s="44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439"/>
      <c r="E19" s="439"/>
      <c r="F19" s="440"/>
      <c r="G19" s="406" t="s">
        <v>114</v>
      </c>
      <c r="H19" s="408"/>
      <c r="I19" s="408"/>
      <c r="J19" s="408"/>
      <c r="K19" s="408"/>
      <c r="L19" s="382" t="str">
        <f ca="1">IF(AND('Mapa final'!$Q$15="Alta",'Mapa final'!$U$15="Leve"),CONCATENATE("R",'Mapa final'!$A$15),"")</f>
        <v/>
      </c>
      <c r="M19" s="383"/>
      <c r="N19" s="383" t="str">
        <f>IF(AND('Mapa final'!$L$16="Alta",'Mapa final'!$P$16="Leve"),CONCATENATE("R",'Mapa final'!$D$16),"")</f>
        <v/>
      </c>
      <c r="O19" s="383"/>
      <c r="P19" s="383" t="str">
        <f>IF(AND('Mapa final'!$L$17="Alta",'Mapa final'!$P$17="Leve"),CONCATENATE("R",'Mapa final'!$A$17),"")</f>
        <v/>
      </c>
      <c r="Q19" s="384"/>
      <c r="R19" s="382" t="str">
        <f ca="1">IF(AND('Mapa final'!$Q$15="Alta",'Mapa final'!$U$15="Menor"),CONCATENATE("R",'Mapa final'!$A$15),"")</f>
        <v/>
      </c>
      <c r="S19" s="383"/>
      <c r="T19" s="385" t="str">
        <f ca="1">IF(AND('Mapa final'!$Q$16="Alta",'Mapa final'!$U$16="Menor"),CONCATENATE("R",'Mapa final'!$A$16),"")</f>
        <v/>
      </c>
      <c r="U19" s="385"/>
      <c r="V19" s="385" t="str">
        <f ca="1">IF(AND('Mapa final'!$Q$17="Alta",'Mapa final'!$U$17="Menor"),CONCATENATE("R",'Mapa final'!$A$17),"")</f>
        <v/>
      </c>
      <c r="W19" s="385"/>
      <c r="X19" s="402" t="str">
        <f ca="1">IF(AND('Mapa final'!$Q$15="Alta",'Mapa final'!$U$15="Moderado"),CONCATENATE("R",'Mapa final'!$A$15),"")</f>
        <v/>
      </c>
      <c r="Y19" s="403"/>
      <c r="Z19" s="403" t="str">
        <f ca="1">IF(AND('Mapa final'!Q$16="Alta",'Mapa final'!$U$16="Moderado"),CONCATENATE("R",'Mapa final'!$A$16),"")</f>
        <v/>
      </c>
      <c r="AA19" s="403"/>
      <c r="AB19" s="403" t="str">
        <f ca="1">IF(AND('Mapa final'!$Q$17="Alta",'Mapa final'!$U$17="Moderado"),CONCATENATE("R",'Mapa final'!$A$17),"")</f>
        <v/>
      </c>
      <c r="AC19" s="403"/>
      <c r="AD19" s="402" t="str">
        <f ca="1">IF(AND('Mapa final'!$Q$15="Alta",'Mapa final'!$U$15="Mayor"),CONCATENATE("R",'Mapa final'!$A$15),"")</f>
        <v/>
      </c>
      <c r="AE19" s="403"/>
      <c r="AF19" s="403" t="str">
        <f ca="1">IF(AND('Mapa final'!$Q$16="Alta",'Mapa final'!$U$16="Mayor"),CONCATENATE("R",'Mapa final'!$A$16),"")</f>
        <v/>
      </c>
      <c r="AG19" s="403"/>
      <c r="AH19" s="403" t="str">
        <f ca="1">IF(AND('Mapa final'!$Q$17="Alta",'Mapa final'!$U$17="Mayor"),CONCATENATE("R",'Mapa final'!$A$17),"")</f>
        <v/>
      </c>
      <c r="AI19" s="403"/>
      <c r="AJ19" s="393" t="str">
        <f ca="1">IF(AND('Mapa final'!$Q$15="Alta",'Mapa final'!$U$15="Catastrófico"),CONCATENATE("R",'Mapa final'!$A$15),"")</f>
        <v/>
      </c>
      <c r="AK19" s="394"/>
      <c r="AL19" s="394" t="str">
        <f ca="1">IF(AND('Mapa final'!$Q$16="Alta",'Mapa final'!$U$16="Catastrófico"),CONCATENATE("R",'Mapa final'!$A$16),"")</f>
        <v/>
      </c>
      <c r="AM19" s="394"/>
      <c r="AN19" s="394" t="str">
        <f ca="1">IF(AND('Mapa final'!$Q$17="Alta",'Mapa final'!$U$17="Catastrófico"),CONCATENATE("R",'Mapa final'!$A$17),"")</f>
        <v/>
      </c>
      <c r="AO19" s="395"/>
      <c r="AP19" s="69"/>
      <c r="AQ19" s="450" t="s">
        <v>79</v>
      </c>
      <c r="AR19" s="451"/>
      <c r="AS19" s="451"/>
      <c r="AT19" s="451"/>
      <c r="AU19" s="451"/>
      <c r="AV19" s="452"/>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439"/>
      <c r="E20" s="439"/>
      <c r="F20" s="440"/>
      <c r="G20" s="410"/>
      <c r="H20" s="411"/>
      <c r="I20" s="411"/>
      <c r="J20" s="411"/>
      <c r="K20" s="411"/>
      <c r="L20" s="376"/>
      <c r="M20" s="385"/>
      <c r="N20" s="385"/>
      <c r="O20" s="385"/>
      <c r="P20" s="385"/>
      <c r="Q20" s="378"/>
      <c r="R20" s="376"/>
      <c r="S20" s="385"/>
      <c r="T20" s="377"/>
      <c r="U20" s="377"/>
      <c r="V20" s="377"/>
      <c r="W20" s="377"/>
      <c r="X20" s="396"/>
      <c r="Y20" s="405"/>
      <c r="Z20" s="405"/>
      <c r="AA20" s="405"/>
      <c r="AB20" s="405"/>
      <c r="AC20" s="405"/>
      <c r="AD20" s="396"/>
      <c r="AE20" s="405"/>
      <c r="AF20" s="405"/>
      <c r="AG20" s="405"/>
      <c r="AH20" s="405"/>
      <c r="AI20" s="405"/>
      <c r="AJ20" s="386"/>
      <c r="AK20" s="392"/>
      <c r="AL20" s="392"/>
      <c r="AM20" s="392"/>
      <c r="AN20" s="392"/>
      <c r="AO20" s="388"/>
      <c r="AP20" s="69"/>
      <c r="AQ20" s="453"/>
      <c r="AR20" s="454"/>
      <c r="AS20" s="454"/>
      <c r="AT20" s="454"/>
      <c r="AU20" s="454"/>
      <c r="AV20" s="455"/>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439"/>
      <c r="E21" s="439"/>
      <c r="F21" s="440"/>
      <c r="G21" s="410"/>
      <c r="H21" s="411"/>
      <c r="I21" s="411"/>
      <c r="J21" s="411"/>
      <c r="K21" s="411"/>
      <c r="L21" s="376" t="str">
        <f ca="1">IF(AND('Mapa final'!$Q$18="Alta",'Mapa final'!$U$18="Leve"),CONCATENATE("R",'Mapa final'!$A$18),"")</f>
        <v/>
      </c>
      <c r="M21" s="385"/>
      <c r="N21" s="385" t="str">
        <f>IF(AND('Mapa final'!$L$19="Alta",'Mapa final'!$P$19="Leve"),CONCATENATE("R",'Mapa final'!$A$19),"")</f>
        <v/>
      </c>
      <c r="O21" s="385"/>
      <c r="P21" s="385" t="str">
        <f>IF(AND('Mapa final'!$L$20="Alta",'Mapa final'!$P$20="Leve"),CONCATENATE("R",'Mapa final'!$A$20),"")</f>
        <v/>
      </c>
      <c r="Q21" s="378"/>
      <c r="R21" s="376" t="str">
        <f ca="1">IF(AND('Mapa final'!$Q$18="Alta",'Mapa final'!$U$18="Menor"),CONCATENATE("R",'Mapa final'!$A$18),"")</f>
        <v/>
      </c>
      <c r="S21" s="385"/>
      <c r="T21" s="385" t="str">
        <f ca="1">IF(AND('Mapa final'!$Q$19="Alta",'Mapa final'!$U$19="Menor"),CONCATENATE("R",'Mapa final'!$A$19),"")</f>
        <v/>
      </c>
      <c r="U21" s="385"/>
      <c r="V21" s="385" t="str">
        <f ca="1">IF(AND('Mapa final'!$Q$20="Alta",'Mapa final'!$U$20="Menor"),CONCATENATE("R",'Mapa final'!$A$20),"")</f>
        <v/>
      </c>
      <c r="W21" s="385"/>
      <c r="X21" s="396" t="str">
        <f ca="1">IF(AND('Mapa final'!$Q$18="Alta",'Mapa final'!$U$18="Moderado"),CONCATENATE("R",'Mapa final'!$A$18),"")</f>
        <v/>
      </c>
      <c r="Y21" s="405"/>
      <c r="Z21" s="405" t="str">
        <f ca="1">IF(AND('Mapa final'!$Q$19="Alta",'Mapa final'!$U$19="Moderado"),CONCATENATE("R",'Mapa final'!$A$19),"")</f>
        <v/>
      </c>
      <c r="AA21" s="405"/>
      <c r="AB21" s="405" t="str">
        <f ca="1">IF(AND('Mapa final'!$Q$20="Alta",'Mapa final'!$U$20="Moderado"),CONCATENATE("R",'Mapa final'!$A$20),"")</f>
        <v/>
      </c>
      <c r="AC21" s="405"/>
      <c r="AD21" s="396" t="str">
        <f ca="1">IF(AND('Mapa final'!$Q$18="Alta",'Mapa final'!$U$18="Mayor"),CONCATENATE("R",'Mapa final'!$A$18),"")</f>
        <v/>
      </c>
      <c r="AE21" s="405"/>
      <c r="AF21" s="405" t="str">
        <f ca="1">IF(AND('Mapa final'!$Q$19="Alta",'Mapa final'!$U$19="Mayor"),CONCATENATE("R",'Mapa final'!$A$19),"")</f>
        <v/>
      </c>
      <c r="AG21" s="405"/>
      <c r="AH21" s="405" t="str">
        <f ca="1">IF(AND('Mapa final'!$Q$20="Alta",'Mapa final'!$U$20="Mayor"),CONCATENATE("R",'Mapa final'!$A$20),"")</f>
        <v/>
      </c>
      <c r="AI21" s="405"/>
      <c r="AJ21" s="386" t="str">
        <f ca="1">IF(AND('Mapa final'!$Q$18="Alta",'Mapa final'!$U$18="Catastrófico"),CONCATENATE("R",'Mapa final'!$A$18),"")</f>
        <v/>
      </c>
      <c r="AK21" s="392"/>
      <c r="AL21" s="392" t="str">
        <f ca="1">IF(AND('Mapa final'!$Q$19="Alta",'Mapa final'!$U$19="Catastrófico"),CONCATENATE("R",'Mapa final'!$A$19),"")</f>
        <v/>
      </c>
      <c r="AM21" s="392"/>
      <c r="AN21" s="392" t="str">
        <f>IF(AND('Mapa final'!$Q$20="Alta",'Mapa final'!$L$20="Catastrófico"),CONCATENATE("R",'Mapa final'!$A$20),"")</f>
        <v/>
      </c>
      <c r="AO21" s="388"/>
      <c r="AP21" s="69"/>
      <c r="AQ21" s="453"/>
      <c r="AR21" s="454"/>
      <c r="AS21" s="454"/>
      <c r="AT21" s="454"/>
      <c r="AU21" s="454"/>
      <c r="AV21" s="455"/>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439"/>
      <c r="E22" s="439"/>
      <c r="F22" s="440"/>
      <c r="G22" s="410"/>
      <c r="H22" s="411"/>
      <c r="I22" s="411"/>
      <c r="J22" s="411"/>
      <c r="K22" s="411"/>
      <c r="L22" s="376"/>
      <c r="M22" s="385"/>
      <c r="N22" s="385"/>
      <c r="O22" s="385"/>
      <c r="P22" s="385"/>
      <c r="Q22" s="378"/>
      <c r="R22" s="376"/>
      <c r="S22" s="385"/>
      <c r="T22" s="377"/>
      <c r="U22" s="377"/>
      <c r="V22" s="377"/>
      <c r="W22" s="377"/>
      <c r="X22" s="396"/>
      <c r="Y22" s="405"/>
      <c r="Z22" s="405"/>
      <c r="AA22" s="405"/>
      <c r="AB22" s="405"/>
      <c r="AC22" s="405"/>
      <c r="AD22" s="396"/>
      <c r="AE22" s="405"/>
      <c r="AF22" s="405"/>
      <c r="AG22" s="405"/>
      <c r="AH22" s="405"/>
      <c r="AI22" s="405"/>
      <c r="AJ22" s="386"/>
      <c r="AK22" s="392"/>
      <c r="AL22" s="392"/>
      <c r="AM22" s="392"/>
      <c r="AN22" s="392"/>
      <c r="AO22" s="388"/>
      <c r="AP22" s="69"/>
      <c r="AQ22" s="453"/>
      <c r="AR22" s="454"/>
      <c r="AS22" s="454"/>
      <c r="AT22" s="454"/>
      <c r="AU22" s="454"/>
      <c r="AV22" s="455"/>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439"/>
      <c r="E23" s="439"/>
      <c r="F23" s="440"/>
      <c r="G23" s="410"/>
      <c r="H23" s="411"/>
      <c r="I23" s="411"/>
      <c r="J23" s="411"/>
      <c r="K23" s="411"/>
      <c r="L23" s="376" t="str">
        <f ca="1">IF(AND('Mapa final'!$Q$21="Alta",'Mapa final'!$U$21="Leve"),CONCATENATE("R",'Mapa final'!$D$21),"")</f>
        <v>R7</v>
      </c>
      <c r="M23" s="385"/>
      <c r="N23" s="385" t="str">
        <f>IF(AND('Mapa final'!$L$22="Alta",'Mapa final'!$P$22="Leve"),CONCATENATE("R",'Mapa final'!$A$22),"")</f>
        <v/>
      </c>
      <c r="O23" s="385"/>
      <c r="P23" s="385" t="str">
        <f>IF(AND('Mapa final'!$L$23="Alta",'Mapa final'!$P$23="Leve"),CONCATENATE("R",'Mapa final'!$A$23),"")</f>
        <v/>
      </c>
      <c r="Q23" s="378"/>
      <c r="R23" s="376" t="str">
        <f ca="1">IF(AND('Mapa final'!$Q$21="Alta",'Mapa final'!$U$21="Menor"),CONCATENATE("R",'Mapa final'!$A$21),"")</f>
        <v/>
      </c>
      <c r="S23" s="385"/>
      <c r="T23" s="385" t="str">
        <f ca="1">IF(AND('Mapa final'!$LR$22="Alta",'Mapa final'!$U$22="Menor"),CONCATENATE("R",'Mapa final'!$A$22),"")</f>
        <v/>
      </c>
      <c r="U23" s="385"/>
      <c r="V23" s="385" t="str">
        <f>IF(AND('Mapa final'!$Q$23="Alta",'Mapa final'!$U$23="Menor"),CONCATENATE("R",'Mapa final'!$A$23),"")</f>
        <v/>
      </c>
      <c r="W23" s="385"/>
      <c r="X23" s="396" t="str">
        <f ca="1">IF(AND('Mapa final'!$Q$21="Alta",'Mapa final'!$U$21="Moderado"),CONCATENATE("R",'Mapa final'!$A$21),"")</f>
        <v/>
      </c>
      <c r="Y23" s="405"/>
      <c r="Z23" s="405" t="str">
        <f ca="1">IF(AND('Mapa final'!$Q$22="Alta",'Mapa final'!$U$22="Moderado"),CONCATENATE("R",'Mapa final'!$A$22),"")</f>
        <v/>
      </c>
      <c r="AA23" s="405"/>
      <c r="AB23" s="405" t="str">
        <f>IF(AND('Mapa final'!$Q$23="Alta",'Mapa final'!$U$23="Moderado"),CONCATENATE("R",'Mapa final'!$A$23),"")</f>
        <v/>
      </c>
      <c r="AC23" s="405"/>
      <c r="AD23" s="396" t="str">
        <f ca="1">IF(AND('Mapa final'!$Q$21="Alta",'Mapa final'!$U$21="Mayor"),CONCATENATE("R",'Mapa final'!$A$21),"")</f>
        <v/>
      </c>
      <c r="AE23" s="405"/>
      <c r="AF23" s="405" t="str">
        <f ca="1">IF(AND('Mapa final'!$Q$22="Alta",'Mapa final'!$U$22="Mayor"),CONCATENATE("R",'Mapa final'!$A$22),"")</f>
        <v/>
      </c>
      <c r="AG23" s="405"/>
      <c r="AH23" s="405" t="str">
        <f>IF(AND('Mapa final'!$Q$23="Alta",'Mapa final'!$U$23="Mayor"),CONCATENATE("R",'Mapa final'!$A$23),"")</f>
        <v/>
      </c>
      <c r="AI23" s="405"/>
      <c r="AJ23" s="386" t="str">
        <f ca="1">IF(AND('Mapa final'!$Q$21="Alta",'Mapa final'!$U$21="Catastrófico"),CONCATENATE("R",'Mapa final'!$A$21),"")</f>
        <v/>
      </c>
      <c r="AK23" s="392"/>
      <c r="AL23" s="392" t="str">
        <f ca="1">IF(AND('Mapa final'!$Q$22="Alta",'Mapa final'!$U$22="Catastrófico"),CONCATENATE("R",'Mapa final'!$A$22),"")</f>
        <v/>
      </c>
      <c r="AM23" s="392"/>
      <c r="AN23" s="392" t="str">
        <f>IF(AND('Mapa final'!$Q$23="Alta",'Mapa final'!$U$23="Catastrófico"),CONCATENATE("R",'Mapa final'!$A$23),"")</f>
        <v/>
      </c>
      <c r="AO23" s="388"/>
      <c r="AP23" s="69"/>
      <c r="AQ23" s="453"/>
      <c r="AR23" s="454"/>
      <c r="AS23" s="454"/>
      <c r="AT23" s="454"/>
      <c r="AU23" s="454"/>
      <c r="AV23" s="455"/>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439"/>
      <c r="E24" s="439"/>
      <c r="F24" s="440"/>
      <c r="G24" s="410"/>
      <c r="H24" s="411"/>
      <c r="I24" s="411"/>
      <c r="J24" s="411"/>
      <c r="K24" s="411"/>
      <c r="L24" s="376"/>
      <c r="M24" s="385"/>
      <c r="N24" s="385"/>
      <c r="O24" s="385"/>
      <c r="P24" s="385"/>
      <c r="Q24" s="378"/>
      <c r="R24" s="376"/>
      <c r="S24" s="385"/>
      <c r="T24" s="377"/>
      <c r="U24" s="377"/>
      <c r="V24" s="377"/>
      <c r="W24" s="377"/>
      <c r="X24" s="396"/>
      <c r="Y24" s="405"/>
      <c r="Z24" s="405"/>
      <c r="AA24" s="405"/>
      <c r="AB24" s="405"/>
      <c r="AC24" s="405"/>
      <c r="AD24" s="396"/>
      <c r="AE24" s="405"/>
      <c r="AF24" s="405"/>
      <c r="AG24" s="405"/>
      <c r="AH24" s="405"/>
      <c r="AI24" s="405"/>
      <c r="AJ24" s="386"/>
      <c r="AK24" s="392"/>
      <c r="AL24" s="392"/>
      <c r="AM24" s="392"/>
      <c r="AN24" s="392"/>
      <c r="AO24" s="388"/>
      <c r="AP24" s="69"/>
      <c r="AQ24" s="453"/>
      <c r="AR24" s="454"/>
      <c r="AS24" s="454"/>
      <c r="AT24" s="454"/>
      <c r="AU24" s="454"/>
      <c r="AV24" s="455"/>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439"/>
      <c r="E25" s="439"/>
      <c r="F25" s="440"/>
      <c r="G25" s="410"/>
      <c r="H25" s="411"/>
      <c r="I25" s="411"/>
      <c r="J25" s="411"/>
      <c r="K25" s="411"/>
      <c r="L25" s="376" t="str">
        <f>IF(AND('Mapa final'!$Q$24="Alta",'Mapa final'!$U$24="Leve"),CONCATENATE("R",'Mapa final'!$A$24),"")</f>
        <v/>
      </c>
      <c r="M25" s="385"/>
      <c r="N25" s="385" t="str">
        <f>IF(AND('Mapa final'!$L$25="Alta",'Mapa final'!$P$25="Leve"),CONCATENATE("R",'Mapa final'!$A$25),"")</f>
        <v/>
      </c>
      <c r="O25" s="385"/>
      <c r="P25" s="385" t="str">
        <f>IF(AND('Mapa final'!$L$26="Alta",'Mapa final'!$P$26="Leve"),CONCATENATE("R",'Mapa final'!$A$26),"")</f>
        <v/>
      </c>
      <c r="Q25" s="378"/>
      <c r="R25" s="376" t="str">
        <f>IF(AND('Mapa final'!$Q$24="Alta",'Mapa final'!$U$24="Menor"),CONCATENATE("R",'Mapa final'!$A$24),"")</f>
        <v/>
      </c>
      <c r="S25" s="385"/>
      <c r="T25" s="385" t="str">
        <f>IF(AND('Mapa final'!$Q$25="Alta",'Mapa final'!$U$25="Menor"),CONCATENATE("R",'Mapa final'!$A$25),"")</f>
        <v/>
      </c>
      <c r="U25" s="385"/>
      <c r="V25" s="385" t="str">
        <f>IF(AND('Mapa final'!$Q$26="Alta",'Mapa final'!$U$26="Menor"),CONCATENATE("R",'Mapa final'!$A$26),"")</f>
        <v/>
      </c>
      <c r="W25" s="385"/>
      <c r="X25" s="396" t="str">
        <f>IF(AND('Mapa final'!$Q$24="Alta",'Mapa final'!$U$24="Moderado"),CONCATENATE("R",'Mapa final'!$A$24),"")</f>
        <v/>
      </c>
      <c r="Y25" s="405"/>
      <c r="Z25" s="405" t="str">
        <f>IF(AND('Mapa final'!$Q$25="Alta",'Mapa final'!$U$25="Moderado"),CONCATENATE("R",'Mapa final'!$A$25),"")</f>
        <v/>
      </c>
      <c r="AA25" s="405"/>
      <c r="AB25" s="405" t="str">
        <f>IF(AND('Mapa final'!$Q$26="Alta",'Mapa final'!$U$26="Moderado"),CONCATENATE("R",'Mapa final'!$A$26),"")</f>
        <v/>
      </c>
      <c r="AC25" s="405"/>
      <c r="AD25" s="396" t="str">
        <f>IF(AND('Mapa final'!$Q$24="Alta",'Mapa final'!$U$24="Mayor"),CONCATENATE("R",'Mapa final'!$A$24),"")</f>
        <v/>
      </c>
      <c r="AE25" s="405"/>
      <c r="AF25" s="405" t="str">
        <f>IF(AND('Mapa final'!$Q$25="Alta",'Mapa final'!$U$25="Mayor"),CONCATENATE("R",'Mapa final'!$A$25),"")</f>
        <v/>
      </c>
      <c r="AG25" s="405"/>
      <c r="AH25" s="405" t="str">
        <f>IF(AND('Mapa final'!$Q$26="Alta",'Mapa final'!$U$26="Mayor"),CONCATENATE("R",'Mapa final'!$A$26),"")</f>
        <v/>
      </c>
      <c r="AI25" s="405"/>
      <c r="AJ25" s="386" t="str">
        <f>IF(AND('Mapa final'!$Q$24="Alta",'Mapa final'!$U$24="Catastrófico"),CONCATENATE("R",'Mapa final'!$A$24),"")</f>
        <v/>
      </c>
      <c r="AK25" s="392"/>
      <c r="AL25" s="392" t="str">
        <f>IF(AND('Mapa final'!$Q$25="Alta",'Mapa final'!$U$25="Catastrófico"),CONCATENATE("R",'Mapa final'!$A$25),"")</f>
        <v/>
      </c>
      <c r="AM25" s="392"/>
      <c r="AN25" s="392" t="str">
        <f>IF(AND('Mapa final'!$Q$26="Alta",'Mapa final'!$U$26="Catastrófico"),CONCATENATE("R",'Mapa final'!$A$26),"")</f>
        <v/>
      </c>
      <c r="AO25" s="388"/>
      <c r="AP25" s="69"/>
      <c r="AQ25" s="453"/>
      <c r="AR25" s="454"/>
      <c r="AS25" s="454"/>
      <c r="AT25" s="454"/>
      <c r="AU25" s="454"/>
      <c r="AV25" s="455"/>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439"/>
      <c r="E26" s="439"/>
      <c r="F26" s="440"/>
      <c r="G26" s="413"/>
      <c r="H26" s="414"/>
      <c r="I26" s="414"/>
      <c r="J26" s="414"/>
      <c r="K26" s="414"/>
      <c r="L26" s="379"/>
      <c r="M26" s="380"/>
      <c r="N26" s="380"/>
      <c r="O26" s="380"/>
      <c r="P26" s="380"/>
      <c r="Q26" s="381"/>
      <c r="R26" s="379"/>
      <c r="S26" s="380"/>
      <c r="T26" s="377"/>
      <c r="U26" s="377"/>
      <c r="V26" s="377"/>
      <c r="W26" s="377"/>
      <c r="X26" s="396"/>
      <c r="Y26" s="405"/>
      <c r="Z26" s="405"/>
      <c r="AA26" s="405"/>
      <c r="AB26" s="405"/>
      <c r="AC26" s="405"/>
      <c r="AD26" s="396"/>
      <c r="AE26" s="405"/>
      <c r="AF26" s="405"/>
      <c r="AG26" s="405"/>
      <c r="AH26" s="405"/>
      <c r="AI26" s="405"/>
      <c r="AJ26" s="386"/>
      <c r="AK26" s="392"/>
      <c r="AL26" s="392"/>
      <c r="AM26" s="392"/>
      <c r="AN26" s="392"/>
      <c r="AO26" s="388"/>
      <c r="AP26" s="69"/>
      <c r="AQ26" s="456"/>
      <c r="AR26" s="457"/>
      <c r="AS26" s="457"/>
      <c r="AT26" s="457"/>
      <c r="AU26" s="457"/>
      <c r="AV26" s="458"/>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439"/>
      <c r="E27" s="439"/>
      <c r="F27" s="440"/>
      <c r="G27" s="406" t="s">
        <v>116</v>
      </c>
      <c r="H27" s="408"/>
      <c r="I27" s="408"/>
      <c r="J27" s="408"/>
      <c r="K27" s="408"/>
      <c r="L27" s="382" t="str">
        <f ca="1">IF(AND('Mapa final'!$Q$15="Media",'Mapa final'!$U$15="Leve"),CONCATENATE("R",'Mapa final'!$A$15),"")</f>
        <v/>
      </c>
      <c r="M27" s="383"/>
      <c r="N27" s="383" t="str">
        <f>IF(AND('Mapa final'!$L$16="Media",'Mapa final'!$P$16="Leve"),CONCATENATE("R",'Mapa final'!$D$16),"")</f>
        <v/>
      </c>
      <c r="O27" s="383"/>
      <c r="P27" s="383" t="str">
        <f>IF(AND('Mapa final'!$L$17="Media",'Mapa final'!$P$17="Leve"),CONCATENATE("R",'Mapa final'!$A$17),"")</f>
        <v/>
      </c>
      <c r="Q27" s="384"/>
      <c r="R27" s="382" t="str">
        <f ca="1">IF(AND('Mapa final'!$Q$15="Media",'Mapa final'!$U$15="Menor"),CONCATENATE("R",'Mapa final'!$A$15),"")</f>
        <v/>
      </c>
      <c r="S27" s="383"/>
      <c r="T27" s="383" t="str">
        <f ca="1">IF(AND('Mapa final'!$Q$16="Media",'Mapa final'!$U$16="Menor"),CONCATENATE("R",'Mapa final'!$A$16),"")</f>
        <v/>
      </c>
      <c r="U27" s="383"/>
      <c r="V27" s="383" t="str">
        <f ca="1">IF(AND('Mapa final'!$Q$17="Media",'Mapa final'!$U$17="Menor"),CONCATENATE("R",'Mapa final'!$A$17),"")</f>
        <v/>
      </c>
      <c r="W27" s="383"/>
      <c r="X27" s="382" t="str">
        <f ca="1">IF(AND('Mapa final'!$Q$15="Media",'Mapa final'!$U$15="Moderado"),CONCATENATE("R",'Mapa final'!$A$15),"")</f>
        <v/>
      </c>
      <c r="Y27" s="383"/>
      <c r="Z27" s="383" t="str">
        <f ca="1">IF(AND('Mapa final'!Q$16="Media",'Mapa final'!$U$16="Moderado"),CONCATENATE("R",'Mapa final'!$A$16),"")</f>
        <v/>
      </c>
      <c r="AA27" s="383"/>
      <c r="AB27" s="383" t="str">
        <f ca="1">IF(AND('Mapa final'!$Q$17="Media",'Mapa final'!$U$17="Moderado"),CONCATENATE("R",'Mapa final'!$A$17),"")</f>
        <v/>
      </c>
      <c r="AC27" s="383"/>
      <c r="AD27" s="402" t="str">
        <f ca="1">IF(AND('Mapa final'!$Q$15="Media",'Mapa final'!$U$15="Mayor"),CONCATENATE("R",'Mapa final'!$A$15),"")</f>
        <v/>
      </c>
      <c r="AE27" s="403"/>
      <c r="AF27" s="403" t="str">
        <f ca="1">IF(AND('Mapa final'!$Q$16="Media",'Mapa final'!$U$16="Mayor"),CONCATENATE("R",'Mapa final'!$A$16),"")</f>
        <v/>
      </c>
      <c r="AG27" s="403"/>
      <c r="AH27" s="403" t="str">
        <f ca="1">IF(AND('Mapa final'!$Q$17="Media",'Mapa final'!$U$17="Mayor"),CONCATENATE("R",'Mapa final'!$A$17),"")</f>
        <v/>
      </c>
      <c r="AI27" s="403"/>
      <c r="AJ27" s="393" t="str">
        <f ca="1">IF(AND('Mapa final'!$Q$15="Media",'Mapa final'!$U$15="Catastrófico"),CONCATENATE("R",'Mapa final'!$A$15),"")</f>
        <v/>
      </c>
      <c r="AK27" s="394"/>
      <c r="AL27" s="394" t="str">
        <f ca="1">IF(AND('Mapa final'!$Q$16="Media",'Mapa final'!$U$16="Catastrófico"),CONCATENATE("R",'Mapa final'!$A$16),"")</f>
        <v/>
      </c>
      <c r="AM27" s="394"/>
      <c r="AN27" s="394" t="str">
        <f ca="1">IF(AND('Mapa final'!$Q$17="Media",'Mapa final'!$U$17="Catastrófico"),CONCATENATE("R",'Mapa final'!$A$17),"")</f>
        <v/>
      </c>
      <c r="AO27" s="395"/>
      <c r="AP27" s="69"/>
      <c r="AQ27" s="459" t="s">
        <v>80</v>
      </c>
      <c r="AR27" s="460"/>
      <c r="AS27" s="460"/>
      <c r="AT27" s="460"/>
      <c r="AU27" s="460"/>
      <c r="AV27" s="461"/>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439"/>
      <c r="E28" s="439"/>
      <c r="F28" s="440"/>
      <c r="G28" s="410"/>
      <c r="H28" s="411"/>
      <c r="I28" s="411"/>
      <c r="J28" s="411"/>
      <c r="K28" s="417"/>
      <c r="L28" s="376"/>
      <c r="M28" s="385"/>
      <c r="N28" s="385"/>
      <c r="O28" s="385"/>
      <c r="P28" s="385"/>
      <c r="Q28" s="378"/>
      <c r="R28" s="376"/>
      <c r="S28" s="385"/>
      <c r="T28" s="385"/>
      <c r="U28" s="385"/>
      <c r="V28" s="385"/>
      <c r="W28" s="385"/>
      <c r="X28" s="376"/>
      <c r="Y28" s="385"/>
      <c r="Z28" s="385"/>
      <c r="AA28" s="385"/>
      <c r="AB28" s="385"/>
      <c r="AC28" s="385"/>
      <c r="AD28" s="396"/>
      <c r="AE28" s="405"/>
      <c r="AF28" s="405"/>
      <c r="AG28" s="405"/>
      <c r="AH28" s="405"/>
      <c r="AI28" s="405"/>
      <c r="AJ28" s="386"/>
      <c r="AK28" s="392"/>
      <c r="AL28" s="392"/>
      <c r="AM28" s="392"/>
      <c r="AN28" s="392"/>
      <c r="AO28" s="388"/>
      <c r="AP28" s="69"/>
      <c r="AQ28" s="462"/>
      <c r="AR28" s="463"/>
      <c r="AS28" s="463"/>
      <c r="AT28" s="463"/>
      <c r="AU28" s="463"/>
      <c r="AV28" s="464"/>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439"/>
      <c r="E29" s="439"/>
      <c r="F29" s="440"/>
      <c r="G29" s="410"/>
      <c r="H29" s="411"/>
      <c r="I29" s="411"/>
      <c r="J29" s="411"/>
      <c r="K29" s="417"/>
      <c r="L29" s="376" t="str">
        <f ca="1">IF(AND('Mapa final'!$Q$18="Media",'Mapa final'!$U$18="Leve"),CONCATENATE("R",'Mapa final'!$D$18),"")</f>
        <v>R4</v>
      </c>
      <c r="M29" s="385"/>
      <c r="N29" s="385" t="str">
        <f ca="1">IF(AND('Mapa final'!$Q$19="Media",'Mapa final'!$U$19="Leve"),CONCATENATE("R",'Mapa final'!$D$19),"")</f>
        <v>R5</v>
      </c>
      <c r="O29" s="385"/>
      <c r="P29" s="385" t="str">
        <f>IF(AND('Mapa final'!$L$20="Media",'Mapa final'!$P$20="Leve"),CONCATENATE("R",'Mapa final'!$A$20),"")</f>
        <v/>
      </c>
      <c r="Q29" s="378"/>
      <c r="R29" s="376" t="str">
        <f ca="1">IF(AND('Mapa final'!$Q$18="Media",'Mapa final'!$U$18="Menor"),CONCATENATE("R",'Mapa final'!$A$18),"")</f>
        <v/>
      </c>
      <c r="S29" s="385"/>
      <c r="T29" s="385" t="str">
        <f ca="1">IF(AND('Mapa final'!$Q$19="Media",'Mapa final'!$U$19="Menor"),CONCATENATE("R",'Mapa final'!$A$19),"")</f>
        <v/>
      </c>
      <c r="U29" s="385"/>
      <c r="V29" s="385" t="str">
        <f ca="1">IF(AND('Mapa final'!$Q$20="Media",'Mapa final'!$U$20="Menor"),CONCATENATE("R",'Mapa final'!$A$20),"")</f>
        <v/>
      </c>
      <c r="W29" s="385"/>
      <c r="X29" s="376" t="str">
        <f ca="1">IF(AND('Mapa final'!$Q$18="Media",'Mapa final'!$U$18="Moderado"),CONCATENATE("R",'Mapa final'!$A$18),"")</f>
        <v/>
      </c>
      <c r="Y29" s="385"/>
      <c r="Z29" s="385" t="str">
        <f ca="1">IF(AND('Mapa final'!$Q$19="Media",'Mapa final'!$U$19="Moderado"),CONCATENATE("R",'Mapa final'!$A$19),"")</f>
        <v/>
      </c>
      <c r="AA29" s="385"/>
      <c r="AB29" s="385" t="str">
        <f ca="1">IF(AND('Mapa final'!$Q$20="Media",'Mapa final'!$U$20="Moderado"),CONCATENATE("R",'Mapa final'!$D$20),"")</f>
        <v>R6</v>
      </c>
      <c r="AC29" s="385"/>
      <c r="AD29" s="396" t="str">
        <f ca="1">IF(AND('Mapa final'!$Q$18="Media",'Mapa final'!$U$18="Mayor"),CONCATENATE("R",'Mapa final'!$A$18),"")</f>
        <v/>
      </c>
      <c r="AE29" s="405"/>
      <c r="AF29" s="405" t="str">
        <f ca="1">IF(AND('Mapa final'!$Q$19="Media",'Mapa final'!$U$19="Mayor"),CONCATENATE("R",'Mapa final'!$A$19),"")</f>
        <v/>
      </c>
      <c r="AG29" s="405"/>
      <c r="AH29" s="405" t="str">
        <f ca="1">IF(AND('Mapa final'!$Q$20="Media",'Mapa final'!$U$20="Mayor"),CONCATENATE("R",'Mapa final'!$A$20),"")</f>
        <v/>
      </c>
      <c r="AI29" s="405"/>
      <c r="AJ29" s="386" t="str">
        <f ca="1">IF(AND('Mapa final'!$Q$18="Media",'Mapa final'!$U$18="Catastrófico"),CONCATENATE("R",'Mapa final'!$A$18),"")</f>
        <v/>
      </c>
      <c r="AK29" s="392"/>
      <c r="AL29" s="392" t="str">
        <f ca="1">IF(AND('Mapa final'!$Q$19="Media",'Mapa final'!$U$19="Catastrófico"),CONCATENATE("R",'Mapa final'!$A$19),"")</f>
        <v/>
      </c>
      <c r="AM29" s="392"/>
      <c r="AN29" s="392" t="str">
        <f>IF(AND('Mapa final'!$Q$20="Media",'Mapa final'!$L$20="Catastrófico"),CONCATENATE("R",'Mapa final'!$A$20),"")</f>
        <v/>
      </c>
      <c r="AO29" s="388"/>
      <c r="AP29" s="69"/>
      <c r="AQ29" s="462"/>
      <c r="AR29" s="463"/>
      <c r="AS29" s="463"/>
      <c r="AT29" s="463"/>
      <c r="AU29" s="463"/>
      <c r="AV29" s="464"/>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439"/>
      <c r="E30" s="439"/>
      <c r="F30" s="440"/>
      <c r="G30" s="410"/>
      <c r="H30" s="411"/>
      <c r="I30" s="411"/>
      <c r="J30" s="411"/>
      <c r="K30" s="417"/>
      <c r="L30" s="376"/>
      <c r="M30" s="385"/>
      <c r="N30" s="385"/>
      <c r="O30" s="385"/>
      <c r="P30" s="385"/>
      <c r="Q30" s="378"/>
      <c r="R30" s="376"/>
      <c r="S30" s="385"/>
      <c r="T30" s="385"/>
      <c r="U30" s="385"/>
      <c r="V30" s="385"/>
      <c r="W30" s="385"/>
      <c r="X30" s="376"/>
      <c r="Y30" s="385"/>
      <c r="Z30" s="385"/>
      <c r="AA30" s="385"/>
      <c r="AB30" s="385"/>
      <c r="AC30" s="385"/>
      <c r="AD30" s="396"/>
      <c r="AE30" s="405"/>
      <c r="AF30" s="405"/>
      <c r="AG30" s="405"/>
      <c r="AH30" s="405"/>
      <c r="AI30" s="405"/>
      <c r="AJ30" s="386"/>
      <c r="AK30" s="392"/>
      <c r="AL30" s="392"/>
      <c r="AM30" s="392"/>
      <c r="AN30" s="392"/>
      <c r="AO30" s="388"/>
      <c r="AP30" s="69"/>
      <c r="AQ30" s="462"/>
      <c r="AR30" s="463"/>
      <c r="AS30" s="463"/>
      <c r="AT30" s="463"/>
      <c r="AU30" s="463"/>
      <c r="AV30" s="464"/>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439"/>
      <c r="E31" s="439"/>
      <c r="F31" s="440"/>
      <c r="G31" s="410"/>
      <c r="H31" s="411"/>
      <c r="I31" s="411"/>
      <c r="J31" s="411"/>
      <c r="K31" s="417"/>
      <c r="L31" s="376" t="str">
        <f ca="1">IF(AND('Mapa final'!$Q$21="Media",'Mapa final'!$U$21="Leve"),CONCATENATE("R",'Mapa final'!$A$21),"")</f>
        <v/>
      </c>
      <c r="M31" s="385"/>
      <c r="N31" s="385" t="str">
        <f>IF(AND('Mapa final'!$L$22="Media",'Mapa final'!$P$22="Leve"),CONCATENATE("R",'Mapa final'!$A$22),"")</f>
        <v/>
      </c>
      <c r="O31" s="385"/>
      <c r="P31" s="385" t="str">
        <f>IF(AND('Mapa final'!$L$23="Media",'Mapa final'!$P$23="Leve"),CONCATENATE("R",'Mapa final'!$A$23),"")</f>
        <v/>
      </c>
      <c r="Q31" s="378"/>
      <c r="R31" s="376" t="str">
        <f ca="1">IF(AND('Mapa final'!$Q$21="Media",'Mapa final'!$U$21="Menor"),CONCATENATE("R",'Mapa final'!$A$21),"")</f>
        <v/>
      </c>
      <c r="S31" s="385"/>
      <c r="T31" s="385" t="str">
        <f ca="1">IF(AND('Mapa final'!$LR$22="Media",'Mapa final'!$U$22="Menor"),CONCATENATE("R",'Mapa final'!$A$22),"")</f>
        <v/>
      </c>
      <c r="U31" s="385"/>
      <c r="V31" s="385" t="str">
        <f>IF(AND('Mapa final'!$Q$23="Media",'Mapa final'!$U$23="Menor"),CONCATENATE("R",'Mapa final'!$A$23),"")</f>
        <v/>
      </c>
      <c r="W31" s="385"/>
      <c r="X31" s="376" t="str">
        <f ca="1">IF(AND('Mapa final'!$Q$21="Media",'Mapa final'!$U$21="Moderado"),CONCATENATE("R",'Mapa final'!$A$21),"")</f>
        <v/>
      </c>
      <c r="Y31" s="385"/>
      <c r="Z31" s="385" t="str">
        <f ca="1">IF(AND('Mapa final'!$Q$22="Media",'Mapa final'!$U$22="Moderado"),CONCATENATE("R",'Mapa final'!$A$22),"")</f>
        <v/>
      </c>
      <c r="AA31" s="385"/>
      <c r="AB31" s="385" t="str">
        <f>IF(AND('Mapa final'!$Q$23="Media",'Mapa final'!$U$23="Moderado"),CONCATENATE("R",'Mapa final'!$A$23),"")</f>
        <v/>
      </c>
      <c r="AC31" s="385"/>
      <c r="AD31" s="396" t="str">
        <f ca="1">IF(AND('Mapa final'!$Q$21="Media",'Mapa final'!$U$21="Mayor"),CONCATENATE("R",'Mapa final'!$A$21),"")</f>
        <v/>
      </c>
      <c r="AE31" s="405"/>
      <c r="AF31" s="405" t="str">
        <f ca="1">IF(AND('Mapa final'!$Q$22="Media",'Mapa final'!$U$22="Mayor"),CONCATENATE("R",'Mapa final'!$A$22),"")</f>
        <v/>
      </c>
      <c r="AG31" s="405"/>
      <c r="AH31" s="405" t="str">
        <f>IF(AND('Mapa final'!$Q$23="Media",'Mapa final'!$U$23="Mayor"),CONCATENATE("R",'Mapa final'!$A$23),"")</f>
        <v/>
      </c>
      <c r="AI31" s="405"/>
      <c r="AJ31" s="386" t="str">
        <f ca="1">IF(AND('Mapa final'!$Q$21="Media",'Mapa final'!$U$21="Catastrófico"),CONCATENATE("R",'Mapa final'!$A$21),"")</f>
        <v/>
      </c>
      <c r="AK31" s="392"/>
      <c r="AL31" s="392" t="str">
        <f ca="1">IF(AND('Mapa final'!$Q$22="Media",'Mapa final'!$U$22="Catastrófico"),CONCATENATE("R",'Mapa final'!$A$22),"")</f>
        <v/>
      </c>
      <c r="AM31" s="392"/>
      <c r="AN31" s="392" t="str">
        <f>IF(AND('Mapa final'!$Q$23="Media",'Mapa final'!$U$23="Catastrófico"),CONCATENATE("R",'Mapa final'!$A$23),"")</f>
        <v/>
      </c>
      <c r="AO31" s="388"/>
      <c r="AP31" s="69"/>
      <c r="AQ31" s="462"/>
      <c r="AR31" s="463"/>
      <c r="AS31" s="463"/>
      <c r="AT31" s="463"/>
      <c r="AU31" s="463"/>
      <c r="AV31" s="464"/>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439"/>
      <c r="E32" s="439"/>
      <c r="F32" s="440"/>
      <c r="G32" s="410"/>
      <c r="H32" s="411"/>
      <c r="I32" s="411"/>
      <c r="J32" s="411"/>
      <c r="K32" s="417"/>
      <c r="L32" s="376"/>
      <c r="M32" s="385"/>
      <c r="N32" s="385"/>
      <c r="O32" s="385"/>
      <c r="P32" s="385"/>
      <c r="Q32" s="378"/>
      <c r="R32" s="376"/>
      <c r="S32" s="385"/>
      <c r="T32" s="385"/>
      <c r="U32" s="385"/>
      <c r="V32" s="385"/>
      <c r="W32" s="385"/>
      <c r="X32" s="376"/>
      <c r="Y32" s="385"/>
      <c r="Z32" s="385"/>
      <c r="AA32" s="385"/>
      <c r="AB32" s="385"/>
      <c r="AC32" s="385"/>
      <c r="AD32" s="396"/>
      <c r="AE32" s="405"/>
      <c r="AF32" s="405"/>
      <c r="AG32" s="405"/>
      <c r="AH32" s="405"/>
      <c r="AI32" s="405"/>
      <c r="AJ32" s="386"/>
      <c r="AK32" s="392"/>
      <c r="AL32" s="392"/>
      <c r="AM32" s="392"/>
      <c r="AN32" s="392"/>
      <c r="AO32" s="388"/>
      <c r="AP32" s="69"/>
      <c r="AQ32" s="462"/>
      <c r="AR32" s="463"/>
      <c r="AS32" s="463"/>
      <c r="AT32" s="463"/>
      <c r="AU32" s="463"/>
      <c r="AV32" s="464"/>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439"/>
      <c r="E33" s="439"/>
      <c r="F33" s="440"/>
      <c r="G33" s="410"/>
      <c r="H33" s="411"/>
      <c r="I33" s="411"/>
      <c r="J33" s="411"/>
      <c r="K33" s="417"/>
      <c r="L33" s="376" t="str">
        <f>IF(AND('Mapa final'!$Q$24="Mediaa",'Mapa final'!$U$24="Leve"),CONCATENATE("R",'Mapa final'!$A$24),"")</f>
        <v/>
      </c>
      <c r="M33" s="385"/>
      <c r="N33" s="385" t="str">
        <f>IF(AND('Mapa final'!$L$25="Media",'Mapa final'!$P$25="Leve"),CONCATENATE("R",'Mapa final'!$A$25),"")</f>
        <v/>
      </c>
      <c r="O33" s="385"/>
      <c r="P33" s="385" t="str">
        <f>IF(AND('Mapa final'!$L$26="Media",'Mapa final'!$P$26="Leve"),CONCATENATE("R",'Mapa final'!$A$26),"")</f>
        <v/>
      </c>
      <c r="Q33" s="378"/>
      <c r="R33" s="376" t="str">
        <f>IF(AND('Mapa final'!$Q$24="Media",'Mapa final'!$U$24="Menor"),CONCATENATE("R",'Mapa final'!$A$24),"")</f>
        <v/>
      </c>
      <c r="S33" s="385"/>
      <c r="T33" s="385" t="str">
        <f>IF(AND('Mapa final'!$Q$25="Media",'Mapa final'!$U$25="Menor"),CONCATENATE("R",'Mapa final'!$A$25),"")</f>
        <v/>
      </c>
      <c r="U33" s="385"/>
      <c r="V33" s="385" t="str">
        <f>IF(AND('Mapa final'!$Q$26="Media",'Mapa final'!$U$26="Menor"),CONCATENATE("R",'Mapa final'!$A$26),"")</f>
        <v/>
      </c>
      <c r="W33" s="385"/>
      <c r="X33" s="376" t="str">
        <f>IF(AND('Mapa final'!$Q$24="Media",'Mapa final'!$U$24="Moderado"),CONCATENATE("R",'Mapa final'!$A$24),"")</f>
        <v/>
      </c>
      <c r="Y33" s="385"/>
      <c r="Z33" s="385" t="str">
        <f>IF(AND('Mapa final'!$Q$25="Media",'Mapa final'!$U$25="Moderado"),CONCATENATE("R",'Mapa final'!$A$25),"")</f>
        <v/>
      </c>
      <c r="AA33" s="385"/>
      <c r="AB33" s="385" t="str">
        <f>IF(AND('Mapa final'!$Q$26="Media",'Mapa final'!$U$26="Moderado"),CONCATENATE("R",'Mapa final'!$A$26),"")</f>
        <v/>
      </c>
      <c r="AC33" s="385"/>
      <c r="AD33" s="396" t="str">
        <f>IF(AND('Mapa final'!$Q$24="Media",'Mapa final'!$U$24="Mayor"),CONCATENATE("R",'Mapa final'!$A$24),"")</f>
        <v/>
      </c>
      <c r="AE33" s="405"/>
      <c r="AF33" s="405" t="str">
        <f>IF(AND('Mapa final'!$Q$25="Media",'Mapa final'!$U$25="Mayor"),CONCATENATE("R",'Mapa final'!$A$25),"")</f>
        <v/>
      </c>
      <c r="AG33" s="405"/>
      <c r="AH33" s="405" t="str">
        <f>IF(AND('Mapa final'!$Q$26="Media",'Mapa final'!$U$26="Mayor"),CONCATENATE("R",'Mapa final'!$A$26),"")</f>
        <v/>
      </c>
      <c r="AI33" s="405"/>
      <c r="AJ33" s="386" t="str">
        <f>IF(AND('Mapa final'!$Q$24="Media",'Mapa final'!$U$24="Catastrófico"),CONCATENATE("R",'Mapa final'!$A$24),"")</f>
        <v/>
      </c>
      <c r="AK33" s="392"/>
      <c r="AL33" s="392" t="str">
        <f>IF(AND('Mapa final'!$Q$25="Media",'Mapa final'!$U$25="Catastrófico"),CONCATENATE("R",'Mapa final'!$A$25),"")</f>
        <v/>
      </c>
      <c r="AM33" s="392"/>
      <c r="AN33" s="392" t="str">
        <f>IF(AND('Mapa final'!$Q$26="Media",'Mapa final'!$U$26="Catastrófico"),CONCATENATE("R",'Mapa final'!$A$26),"")</f>
        <v/>
      </c>
      <c r="AO33" s="388"/>
      <c r="AP33" s="69"/>
      <c r="AQ33" s="462"/>
      <c r="AR33" s="463"/>
      <c r="AS33" s="463"/>
      <c r="AT33" s="463"/>
      <c r="AU33" s="463"/>
      <c r="AV33" s="464"/>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439"/>
      <c r="E34" s="439"/>
      <c r="F34" s="440"/>
      <c r="G34" s="413"/>
      <c r="H34" s="414"/>
      <c r="I34" s="414"/>
      <c r="J34" s="414"/>
      <c r="K34" s="414"/>
      <c r="L34" s="379"/>
      <c r="M34" s="380"/>
      <c r="N34" s="380"/>
      <c r="O34" s="380"/>
      <c r="P34" s="380"/>
      <c r="Q34" s="381"/>
      <c r="R34" s="379"/>
      <c r="S34" s="380"/>
      <c r="T34" s="380"/>
      <c r="U34" s="380"/>
      <c r="V34" s="380"/>
      <c r="W34" s="380"/>
      <c r="X34" s="379"/>
      <c r="Y34" s="380"/>
      <c r="Z34" s="380"/>
      <c r="AA34" s="380"/>
      <c r="AB34" s="380"/>
      <c r="AC34" s="380"/>
      <c r="AD34" s="399"/>
      <c r="AE34" s="400"/>
      <c r="AF34" s="400"/>
      <c r="AG34" s="400"/>
      <c r="AH34" s="400"/>
      <c r="AI34" s="400"/>
      <c r="AJ34" s="386"/>
      <c r="AK34" s="392"/>
      <c r="AL34" s="392"/>
      <c r="AM34" s="392"/>
      <c r="AN34" s="392"/>
      <c r="AO34" s="388"/>
      <c r="AP34" s="69"/>
      <c r="AQ34" s="465"/>
      <c r="AR34" s="466"/>
      <c r="AS34" s="466"/>
      <c r="AT34" s="466"/>
      <c r="AU34" s="466"/>
      <c r="AV34" s="467"/>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439"/>
      <c r="E35" s="439"/>
      <c r="F35" s="440"/>
      <c r="G35" s="406" t="s">
        <v>113</v>
      </c>
      <c r="H35" s="408"/>
      <c r="I35" s="408"/>
      <c r="J35" s="408"/>
      <c r="K35" s="408"/>
      <c r="L35" s="375" t="str">
        <f ca="1">IF(AND('Mapa final'!$Q$15="Baja",'Mapa final'!$U$15="Leve"),CONCATENATE("R",'Mapa final'!$A$15),"")</f>
        <v/>
      </c>
      <c r="M35" s="371"/>
      <c r="N35" s="371" t="str">
        <f ca="1">IF(AND('Mapa final'!$Q$16="Baja",'Mapa final'!$U$16="Leve"),CONCATENATE("R",'Mapa final'!$D$16),"")</f>
        <v>R2</v>
      </c>
      <c r="O35" s="371"/>
      <c r="P35" s="371" t="str">
        <f ca="1">IF(AND('Mapa final'!$Q$17="Baja",'Mapa final'!$U$17="Leve"),CONCATENATE("R",'Mapa final'!$D$17),"")</f>
        <v>R3</v>
      </c>
      <c r="Q35" s="371"/>
      <c r="R35" s="382" t="str">
        <f ca="1">IF(AND('Mapa final'!$Q$15="Baja",'Mapa final'!$U$15="Menor"),CONCATENATE("R",'Mapa final'!$A$15),"")</f>
        <v/>
      </c>
      <c r="S35" s="383"/>
      <c r="T35" s="385" t="str">
        <f ca="1">IF(AND('Mapa final'!$Q$16="Baja",'Mapa final'!$U$16="Menor"),CONCATENATE("R",'Mapa final'!$A$16),"")</f>
        <v/>
      </c>
      <c r="U35" s="385"/>
      <c r="V35" s="385" t="str">
        <f ca="1">IF(AND('Mapa final'!$Q$17="Baja",'Mapa final'!$U$17="Menor"),CONCATENATE("R",'Mapa final'!$A$17),"")</f>
        <v/>
      </c>
      <c r="W35" s="378"/>
      <c r="X35" s="376" t="str">
        <f ca="1">IF(AND('Mapa final'!$Q$15="Baja",'Mapa final'!$U$15="Moderado"),CONCATENATE("R",'Mapa final'!$A$15),"")</f>
        <v/>
      </c>
      <c r="Y35" s="385"/>
      <c r="Z35" s="385" t="str">
        <f ca="1">IF(AND('Mapa final'!Q$16="Baja",'Mapa final'!$U$16="Moderado"),CONCATENATE("R",'Mapa final'!$A$16),"")</f>
        <v/>
      </c>
      <c r="AA35" s="385"/>
      <c r="AB35" s="385" t="str">
        <f ca="1">IF(AND('Mapa final'!$Q$17="Baja",'Mapa final'!$U$17="Moderado"),CONCATENATE("R",'Mapa final'!$A$17),"")</f>
        <v/>
      </c>
      <c r="AC35" s="378"/>
      <c r="AD35" s="396" t="str">
        <f ca="1">IF(AND('Mapa final'!$Q$15="Baja",'Mapa final'!$U$15="Mayor"),CONCATENATE("R",'Mapa final'!$A$15),"")</f>
        <v/>
      </c>
      <c r="AE35" s="405"/>
      <c r="AF35" s="405" t="str">
        <f ca="1">IF(AND('Mapa final'!$Q$16="Baja",'Mapa final'!$U$16="Mayor"),CONCATENATE("R",'Mapa final'!$A$16),"")</f>
        <v/>
      </c>
      <c r="AG35" s="405"/>
      <c r="AH35" s="405" t="str">
        <f ca="1">IF(AND('Mapa final'!$Q$17="Baja",'Mapa final'!$U$17="Mayor"),CONCATENATE("R",'Mapa final'!$A$17),"")</f>
        <v/>
      </c>
      <c r="AI35" s="405"/>
      <c r="AJ35" s="393" t="str">
        <f ca="1">IF(AND('Mapa final'!$Q$15="Baja",'Mapa final'!$U$15="Catastrófico"),CONCATENATE("R",'Mapa final'!$A$15),"")</f>
        <v/>
      </c>
      <c r="AK35" s="394"/>
      <c r="AL35" s="394" t="str">
        <f ca="1">IF(AND('Mapa final'!$Q$16="Baja",'Mapa final'!$U$16="Catastrófico"),CONCATENATE("R",'Mapa final'!$A$16),"")</f>
        <v/>
      </c>
      <c r="AM35" s="394"/>
      <c r="AN35" s="394" t="str">
        <f ca="1">IF(AND('Mapa final'!$Q$17="Baja",'Mapa final'!$U$17="Catastrófico"),CONCATENATE("R",'Mapa final'!$A$17),"")</f>
        <v/>
      </c>
      <c r="AO35" s="395"/>
      <c r="AP35" s="69"/>
      <c r="AQ35" s="468" t="s">
        <v>81</v>
      </c>
      <c r="AR35" s="469"/>
      <c r="AS35" s="469"/>
      <c r="AT35" s="469"/>
      <c r="AU35" s="469"/>
      <c r="AV35" s="470"/>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439"/>
      <c r="E36" s="439"/>
      <c r="F36" s="440"/>
      <c r="G36" s="410"/>
      <c r="H36" s="411"/>
      <c r="I36" s="411"/>
      <c r="J36" s="411"/>
      <c r="K36" s="411"/>
      <c r="L36" s="373"/>
      <c r="M36" s="366"/>
      <c r="N36" s="366"/>
      <c r="O36" s="366"/>
      <c r="P36" s="366"/>
      <c r="Q36" s="366"/>
      <c r="R36" s="376"/>
      <c r="S36" s="385"/>
      <c r="T36" s="377"/>
      <c r="U36" s="377"/>
      <c r="V36" s="377"/>
      <c r="W36" s="378"/>
      <c r="X36" s="376"/>
      <c r="Y36" s="377"/>
      <c r="Z36" s="377"/>
      <c r="AA36" s="377"/>
      <c r="AB36" s="377"/>
      <c r="AC36" s="378"/>
      <c r="AD36" s="396"/>
      <c r="AE36" s="397"/>
      <c r="AF36" s="397"/>
      <c r="AG36" s="397"/>
      <c r="AH36" s="397"/>
      <c r="AI36" s="405"/>
      <c r="AJ36" s="386"/>
      <c r="AK36" s="392"/>
      <c r="AL36" s="392"/>
      <c r="AM36" s="392"/>
      <c r="AN36" s="392"/>
      <c r="AO36" s="388"/>
      <c r="AP36" s="69"/>
      <c r="AQ36" s="471"/>
      <c r="AR36" s="472"/>
      <c r="AS36" s="472"/>
      <c r="AT36" s="472"/>
      <c r="AU36" s="472"/>
      <c r="AV36" s="473"/>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439"/>
      <c r="E37" s="439"/>
      <c r="F37" s="440"/>
      <c r="G37" s="410"/>
      <c r="H37" s="411"/>
      <c r="I37" s="411"/>
      <c r="J37" s="411"/>
      <c r="K37" s="411"/>
      <c r="L37" s="373" t="str">
        <f ca="1">IF(AND('Mapa final'!$Q$18="Baja",'Mapa final'!$U$18="Leve"),CONCATENATE("R",'Mapa final'!$A$18),"")</f>
        <v/>
      </c>
      <c r="M37" s="366"/>
      <c r="N37" s="366" t="str">
        <f>IF(AND('Mapa final'!$L$19="Baja",'Mapa final'!$P$19="Leve"),CONCATENATE("R",'Mapa final'!$A$19),"")</f>
        <v/>
      </c>
      <c r="O37" s="366"/>
      <c r="P37" s="366" t="str">
        <f>IF(AND('Mapa final'!$L$20="Baja",'Mapa final'!$P$20="Leve"),CONCATENATE("R",'Mapa final'!$A$20),"")</f>
        <v/>
      </c>
      <c r="Q37" s="368"/>
      <c r="R37" s="376" t="str">
        <f ca="1">IF(AND('Mapa final'!$Q$18="Baja",'Mapa final'!$U$18="Menor"),CONCATENATE("R",'Mapa final'!$A$18),"")</f>
        <v/>
      </c>
      <c r="S37" s="377"/>
      <c r="T37" s="377" t="str">
        <f ca="1">IF(AND('Mapa final'!$Q$19="Baja",'Mapa final'!$U$19="Menor"),CONCATENATE("R",'Mapa final'!$A$19),"")</f>
        <v/>
      </c>
      <c r="U37" s="377"/>
      <c r="V37" s="377" t="str">
        <f ca="1">IF(AND('Mapa final'!$Q$20="Baja",'Mapa final'!$U$20="Menor"),CONCATENATE("R",'Mapa final'!$A$20),"")</f>
        <v/>
      </c>
      <c r="W37" s="378"/>
      <c r="X37" s="376" t="str">
        <f ca="1">IF(AND('Mapa final'!$Q$18="Baja",'Mapa final'!$U$18="Moderado"),CONCATENATE("R",'Mapa final'!$A$18),"")</f>
        <v/>
      </c>
      <c r="Y37" s="377"/>
      <c r="Z37" s="377" t="str">
        <f ca="1">IF(AND('Mapa final'!$Q$19="Baja",'Mapa final'!$U$19="Moderado"),CONCATENATE("R",'Mapa final'!$A$19),"")</f>
        <v/>
      </c>
      <c r="AA37" s="377"/>
      <c r="AB37" s="377" t="str">
        <f ca="1">IF(AND('Mapa final'!$Q$20="Baja",'Mapa final'!$U$20="Moderado"),CONCATENATE("R",'Mapa final'!$A$20),"")</f>
        <v/>
      </c>
      <c r="AC37" s="378"/>
      <c r="AD37" s="396" t="str">
        <f ca="1">IF(AND('Mapa final'!$Q$18="Baja",'Mapa final'!$U$18="Mayor"),CONCATENATE("R",'Mapa final'!$A$18),"")</f>
        <v/>
      </c>
      <c r="AE37" s="397"/>
      <c r="AF37" s="397" t="str">
        <f ca="1">IF(AND('Mapa final'!$Q$19="Baja",'Mapa final'!$U$19="Mayor"),CONCATENATE("R",'Mapa final'!$A$19),"")</f>
        <v/>
      </c>
      <c r="AG37" s="397"/>
      <c r="AH37" s="397" t="str">
        <f ca="1">IF(AND('Mapa final'!$Q$20="Baja",'Mapa final'!$U$20="Mayor"),CONCATENATE("R",'Mapa final'!$A$20),"")</f>
        <v/>
      </c>
      <c r="AI37" s="405"/>
      <c r="AJ37" s="386" t="str">
        <f ca="1">IF(AND('Mapa final'!$Q$18="Baja",'Mapa final'!$U$18="Catastrófico"),CONCATENATE("R",'Mapa final'!$A$18),"")</f>
        <v/>
      </c>
      <c r="AK37" s="392"/>
      <c r="AL37" s="392" t="str">
        <f ca="1">IF(AND('Mapa final'!$Q$19="Baja",'Mapa final'!$U$19="Catastrófico"),CONCATENATE("R",'Mapa final'!$A$19),"")</f>
        <v/>
      </c>
      <c r="AM37" s="392"/>
      <c r="AN37" s="392" t="str">
        <f>IF(AND('Mapa final'!$Q$20="Baja",'Mapa final'!$L$20="Catastrófico"),CONCATENATE("R",'Mapa final'!$A$20),"")</f>
        <v/>
      </c>
      <c r="AO37" s="388"/>
      <c r="AP37" s="69"/>
      <c r="AQ37" s="471"/>
      <c r="AR37" s="472"/>
      <c r="AS37" s="472"/>
      <c r="AT37" s="472"/>
      <c r="AU37" s="472"/>
      <c r="AV37" s="473"/>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439"/>
      <c r="E38" s="439"/>
      <c r="F38" s="440"/>
      <c r="G38" s="410"/>
      <c r="H38" s="411"/>
      <c r="I38" s="411"/>
      <c r="J38" s="411"/>
      <c r="K38" s="411"/>
      <c r="L38" s="373"/>
      <c r="M38" s="366"/>
      <c r="N38" s="366"/>
      <c r="O38" s="366"/>
      <c r="P38" s="366"/>
      <c r="Q38" s="368"/>
      <c r="R38" s="376"/>
      <c r="S38" s="377"/>
      <c r="T38" s="377"/>
      <c r="U38" s="377"/>
      <c r="V38" s="377"/>
      <c r="W38" s="378"/>
      <c r="X38" s="376"/>
      <c r="Y38" s="377"/>
      <c r="Z38" s="377"/>
      <c r="AA38" s="377"/>
      <c r="AB38" s="377"/>
      <c r="AC38" s="378"/>
      <c r="AD38" s="396"/>
      <c r="AE38" s="397"/>
      <c r="AF38" s="397"/>
      <c r="AG38" s="397"/>
      <c r="AH38" s="397"/>
      <c r="AI38" s="405"/>
      <c r="AJ38" s="386"/>
      <c r="AK38" s="392"/>
      <c r="AL38" s="392"/>
      <c r="AM38" s="392"/>
      <c r="AN38" s="392"/>
      <c r="AO38" s="388"/>
      <c r="AP38" s="69"/>
      <c r="AQ38" s="471"/>
      <c r="AR38" s="472"/>
      <c r="AS38" s="472"/>
      <c r="AT38" s="472"/>
      <c r="AU38" s="472"/>
      <c r="AV38" s="473"/>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439"/>
      <c r="E39" s="439"/>
      <c r="F39" s="440"/>
      <c r="G39" s="410"/>
      <c r="H39" s="411"/>
      <c r="I39" s="411"/>
      <c r="J39" s="411"/>
      <c r="K39" s="411"/>
      <c r="L39" s="373" t="str">
        <f ca="1">IF(AND('Mapa final'!$Q$21="Baja",'Mapa final'!$U$21="Leve"),CONCATENATE("R",'Mapa final'!$A$21),"")</f>
        <v/>
      </c>
      <c r="M39" s="366"/>
      <c r="N39" s="366" t="str">
        <f>IF(AND('Mapa final'!$L$22="Baja",'Mapa final'!$P$22="Leve"),CONCATENATE("R",'Mapa final'!$A$22),"")</f>
        <v/>
      </c>
      <c r="O39" s="366"/>
      <c r="P39" s="366" t="str">
        <f>IF(AND('Mapa final'!$L$23="Baja",'Mapa final'!$P$23="Leve"),CONCATENATE("R",'Mapa final'!$A$23),"")</f>
        <v/>
      </c>
      <c r="Q39" s="368"/>
      <c r="R39" s="376" t="str">
        <f ca="1">IF(AND('Mapa final'!$Q$21="Baja",'Mapa final'!$U$21="Menor"),CONCATENATE("R",'Mapa final'!$A$21),"")</f>
        <v/>
      </c>
      <c r="S39" s="377"/>
      <c r="T39" s="377" t="str">
        <f ca="1">IF(AND('Mapa final'!$LR$22="Baja",'Mapa final'!$U$22="Menor"),CONCATENATE("R",'Mapa final'!$A$22),"")</f>
        <v/>
      </c>
      <c r="U39" s="377"/>
      <c r="V39" s="377" t="str">
        <f>IF(AND('Mapa final'!$Q$23="Baja",'Mapa final'!$U$23="Menor"),CONCATENATE("R",'Mapa final'!$A$23),"")</f>
        <v/>
      </c>
      <c r="W39" s="378"/>
      <c r="X39" s="376" t="str">
        <f ca="1">IF(AND('Mapa final'!$Q$21="Baja",'Mapa final'!$U$21="Moderado"),CONCATENATE("R",'Mapa final'!$A$21),"")</f>
        <v/>
      </c>
      <c r="Y39" s="377"/>
      <c r="Z39" s="377" t="str">
        <f ca="1">IF(AND('Mapa final'!$Q$22="Baja",'Mapa final'!$U$22="Moderado"),CONCATENATE("R",'Mapa final'!$A$22),"")</f>
        <v/>
      </c>
      <c r="AA39" s="377"/>
      <c r="AB39" s="377" t="str">
        <f>IF(AND('Mapa final'!$Q$23="Baja",'Mapa final'!$U$23="Moderado"),CONCATENATE("R",'Mapa final'!$A$23),"")</f>
        <v/>
      </c>
      <c r="AC39" s="378"/>
      <c r="AD39" s="396" t="str">
        <f ca="1">IF(AND('Mapa final'!$Q$21="Baja",'Mapa final'!$U$21="Mayor"),CONCATENATE("R",'Mapa final'!$A$21),"")</f>
        <v/>
      </c>
      <c r="AE39" s="397"/>
      <c r="AF39" s="397" t="str">
        <f ca="1">IF(AND('Mapa final'!$Q$22="Baja",'Mapa final'!$U$22="Mayor"),CONCATENATE("R",'Mapa final'!$A$22),"")</f>
        <v/>
      </c>
      <c r="AG39" s="397"/>
      <c r="AH39" s="397" t="str">
        <f>IF(AND('Mapa final'!$Q$23="Baja",'Mapa final'!$U$23="Mayor"),CONCATENATE("R",'Mapa final'!$A$23),"")</f>
        <v/>
      </c>
      <c r="AI39" s="405"/>
      <c r="AJ39" s="386" t="str">
        <f ca="1">IF(AND('Mapa final'!$Q$21="Baja",'Mapa final'!$U$21="Catastrófico"),CONCATENATE("R",'Mapa final'!$A$21),"")</f>
        <v/>
      </c>
      <c r="AK39" s="392"/>
      <c r="AL39" s="392" t="str">
        <f ca="1">IF(AND('Mapa final'!$Q$22="Baja",'Mapa final'!$U$22="Catastrófico"),CONCATENATE("R",'Mapa final'!$A$22),"")</f>
        <v/>
      </c>
      <c r="AM39" s="392"/>
      <c r="AN39" s="392" t="str">
        <f>IF(AND('Mapa final'!$Q$23="Baja",'Mapa final'!$U$23="Catastrófico"),CONCATENATE("R",'Mapa final'!$A$23),"")</f>
        <v/>
      </c>
      <c r="AO39" s="388"/>
      <c r="AP39" s="69"/>
      <c r="AQ39" s="471"/>
      <c r="AR39" s="472"/>
      <c r="AS39" s="472"/>
      <c r="AT39" s="472"/>
      <c r="AU39" s="472"/>
      <c r="AV39" s="473"/>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439"/>
      <c r="E40" s="439"/>
      <c r="F40" s="440"/>
      <c r="G40" s="410"/>
      <c r="H40" s="411"/>
      <c r="I40" s="411"/>
      <c r="J40" s="411"/>
      <c r="K40" s="411"/>
      <c r="L40" s="373"/>
      <c r="M40" s="366"/>
      <c r="N40" s="366"/>
      <c r="O40" s="366"/>
      <c r="P40" s="366"/>
      <c r="Q40" s="368"/>
      <c r="R40" s="376"/>
      <c r="S40" s="377"/>
      <c r="T40" s="377"/>
      <c r="U40" s="377"/>
      <c r="V40" s="377"/>
      <c r="W40" s="378"/>
      <c r="X40" s="376"/>
      <c r="Y40" s="377"/>
      <c r="Z40" s="377"/>
      <c r="AA40" s="377"/>
      <c r="AB40" s="377"/>
      <c r="AC40" s="378"/>
      <c r="AD40" s="396"/>
      <c r="AE40" s="397"/>
      <c r="AF40" s="397"/>
      <c r="AG40" s="397"/>
      <c r="AH40" s="397"/>
      <c r="AI40" s="405"/>
      <c r="AJ40" s="386"/>
      <c r="AK40" s="392"/>
      <c r="AL40" s="392"/>
      <c r="AM40" s="392"/>
      <c r="AN40" s="392"/>
      <c r="AO40" s="388"/>
      <c r="AP40" s="69"/>
      <c r="AQ40" s="471"/>
      <c r="AR40" s="472"/>
      <c r="AS40" s="472"/>
      <c r="AT40" s="472"/>
      <c r="AU40" s="472"/>
      <c r="AV40" s="473"/>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439"/>
      <c r="E41" s="439"/>
      <c r="F41" s="440"/>
      <c r="G41" s="410"/>
      <c r="H41" s="411"/>
      <c r="I41" s="411"/>
      <c r="J41" s="411"/>
      <c r="K41" s="411"/>
      <c r="L41" s="373" t="str">
        <f>IF(AND('Mapa final'!$Q$24="Baja",'Mapa final'!$U$24="Leve"),CONCATENATE("R",'Mapa final'!$A$24),"")</f>
        <v/>
      </c>
      <c r="M41" s="366"/>
      <c r="N41" s="366" t="str">
        <f>IF(AND('Mapa final'!$L$25="Baja",'Mapa final'!$P$25="Leve"),CONCATENATE("R",'Mapa final'!$A$25),"")</f>
        <v/>
      </c>
      <c r="O41" s="366"/>
      <c r="P41" s="366" t="str">
        <f>IF(AND('Mapa final'!$L$26="Baja",'Mapa final'!$P$26="Leve"),CONCATENATE("R",'Mapa final'!$A$26),"")</f>
        <v/>
      </c>
      <c r="Q41" s="368"/>
      <c r="R41" s="376" t="str">
        <f>IF(AND('Mapa final'!$Q$24="Baja",'Mapa final'!$U$24="Menor"),CONCATENATE("R",'Mapa final'!$A$24),"")</f>
        <v/>
      </c>
      <c r="S41" s="377"/>
      <c r="T41" s="377" t="str">
        <f>IF(AND('Mapa final'!$Q$25="Baja",'Mapa final'!$U$25="Menor"),CONCATENATE("R",'Mapa final'!$A$25),"")</f>
        <v/>
      </c>
      <c r="U41" s="377"/>
      <c r="V41" s="377" t="str">
        <f>IF(AND('Mapa final'!$Q$26="Baja",'Mapa final'!$U$26="Menor"),CONCATENATE("R",'Mapa final'!$A$26),"")</f>
        <v/>
      </c>
      <c r="W41" s="378"/>
      <c r="X41" s="376" t="str">
        <f>IF(AND('Mapa final'!$Q$24="Baja",'Mapa final'!$U$24="Moderado"),CONCATENATE("R",'Mapa final'!$A$24),"")</f>
        <v/>
      </c>
      <c r="Y41" s="377"/>
      <c r="Z41" s="377" t="str">
        <f>IF(AND('Mapa final'!$Q$25="Baja",'Mapa final'!$U$25="Moderado"),CONCATENATE("R",'Mapa final'!$A$25),"")</f>
        <v/>
      </c>
      <c r="AA41" s="377"/>
      <c r="AB41" s="377" t="str">
        <f>IF(AND('Mapa final'!$Q$26="Baja",'Mapa final'!$U$26="Moderado"),CONCATENATE("R",'Mapa final'!$A$26),"")</f>
        <v/>
      </c>
      <c r="AC41" s="378"/>
      <c r="AD41" s="396" t="str">
        <f>IF(AND('Mapa final'!$Q$24="Baja",'Mapa final'!$U$24="Mayor"),CONCATENATE("R",'Mapa final'!$A$24),"")</f>
        <v/>
      </c>
      <c r="AE41" s="397"/>
      <c r="AF41" s="397" t="str">
        <f>IF(AND('Mapa final'!$Q$25="Baja",'Mapa final'!$U$25="Mayor"),CONCATENATE("R",'Mapa final'!$A$25),"")</f>
        <v/>
      </c>
      <c r="AG41" s="397"/>
      <c r="AH41" s="397" t="str">
        <f>IF(AND('Mapa final'!$Q$26="Baja",'Mapa final'!$U$26="Mayor"),CONCATENATE("R",'Mapa final'!$A$26),"")</f>
        <v/>
      </c>
      <c r="AI41" s="405"/>
      <c r="AJ41" s="386" t="str">
        <f>IF(AND('Mapa final'!$Q$24="Baja",'Mapa final'!$U$24="Catastrófico"),CONCATENATE("R",'Mapa final'!$A$24),"")</f>
        <v/>
      </c>
      <c r="AK41" s="392"/>
      <c r="AL41" s="392" t="str">
        <f>IF(AND('Mapa final'!$Q$25="Baja",'Mapa final'!$U$25="Catastrófico"),CONCATENATE("R",'Mapa final'!$A$25),"")</f>
        <v/>
      </c>
      <c r="AM41" s="392"/>
      <c r="AN41" s="392" t="str">
        <f>IF(AND('Mapa final'!$Q$26="Baja",'Mapa final'!$U$26="Catastrófico"),CONCATENATE("R",'Mapa final'!$A$26),"")</f>
        <v/>
      </c>
      <c r="AO41" s="388"/>
      <c r="AP41" s="69"/>
      <c r="AQ41" s="471"/>
      <c r="AR41" s="472"/>
      <c r="AS41" s="472"/>
      <c r="AT41" s="472"/>
      <c r="AU41" s="472"/>
      <c r="AV41" s="473"/>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439"/>
      <c r="E42" s="439"/>
      <c r="F42" s="440"/>
      <c r="G42" s="413"/>
      <c r="H42" s="414"/>
      <c r="I42" s="414"/>
      <c r="J42" s="414"/>
      <c r="K42" s="414"/>
      <c r="L42" s="373"/>
      <c r="M42" s="366"/>
      <c r="N42" s="366"/>
      <c r="O42" s="366"/>
      <c r="P42" s="366"/>
      <c r="Q42" s="368"/>
      <c r="R42" s="379"/>
      <c r="S42" s="380"/>
      <c r="T42" s="380"/>
      <c r="U42" s="380"/>
      <c r="V42" s="380"/>
      <c r="W42" s="381"/>
      <c r="X42" s="379"/>
      <c r="Y42" s="380"/>
      <c r="Z42" s="380"/>
      <c r="AA42" s="380"/>
      <c r="AB42" s="380"/>
      <c r="AC42" s="381"/>
      <c r="AD42" s="399"/>
      <c r="AE42" s="400"/>
      <c r="AF42" s="400"/>
      <c r="AG42" s="400"/>
      <c r="AH42" s="400"/>
      <c r="AI42" s="400"/>
      <c r="AJ42" s="389"/>
      <c r="AK42" s="390"/>
      <c r="AL42" s="390"/>
      <c r="AM42" s="390"/>
      <c r="AN42" s="390"/>
      <c r="AO42" s="391"/>
      <c r="AP42" s="69"/>
      <c r="AQ42" s="474"/>
      <c r="AR42" s="475"/>
      <c r="AS42" s="475"/>
      <c r="AT42" s="475"/>
      <c r="AU42" s="475"/>
      <c r="AV42" s="476"/>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439"/>
      <c r="E43" s="439"/>
      <c r="F43" s="440"/>
      <c r="G43" s="406" t="s">
        <v>112</v>
      </c>
      <c r="H43" s="408"/>
      <c r="I43" s="408"/>
      <c r="J43" s="408"/>
      <c r="K43" s="408"/>
      <c r="L43" s="375" t="str">
        <f ca="1">IF(AND('Mapa final'!$Q$15="Muy Baja",'Mapa final'!$U$15="Leve"),CONCATENATE("R",'Mapa final'!$D$15),"")</f>
        <v>R1</v>
      </c>
      <c r="M43" s="371"/>
      <c r="N43" s="371" t="str">
        <f ca="1">IF(AND('Mapa final'!$Q$16="Muy Baja",'Mapa final'!$U$16="Leve"),CONCATENATE("R",'Mapa final'!$D$16),"")</f>
        <v/>
      </c>
      <c r="O43" s="371"/>
      <c r="P43" s="371" t="str">
        <f ca="1">IF(AND('Mapa final'!$Q$17="Muy Baja",'Mapa final'!$U$17="Leve"),CONCATENATE("R",'Mapa final'!$D$17),"")</f>
        <v/>
      </c>
      <c r="Q43" s="372"/>
      <c r="R43" s="371" t="str">
        <f ca="1">IF(AND('Mapa final'!$Q$15="Muy Baja",'Mapa final'!$U$15="Menor"),CONCATENATE("R",'Mapa final'!$A$15),"")</f>
        <v/>
      </c>
      <c r="S43" s="371"/>
      <c r="T43" s="371" t="str">
        <f ca="1">IF(AND('Mapa final'!$Q$16="Muy Baja",'Mapa final'!$U$16="Menor"),CONCATENATE("R",'Mapa final'!$A$16),"")</f>
        <v/>
      </c>
      <c r="U43" s="371"/>
      <c r="V43" s="371" t="str">
        <f ca="1">IF(AND('Mapa final'!$Q$17="Muy Baja",'Mapa final'!$U$17="Menor"),CONCATENATE("R",'Mapa final'!$A$17),"")</f>
        <v/>
      </c>
      <c r="W43" s="372"/>
      <c r="X43" s="382" t="str">
        <f ca="1">IF(AND('Mapa final'!$Q$15="Muy Baja",'Mapa final'!$U$15="Moderado"),CONCATENATE("R",'Mapa final'!$A$15),"")</f>
        <v/>
      </c>
      <c r="Y43" s="383"/>
      <c r="Z43" s="383" t="str">
        <f ca="1">IF(AND('Mapa final'!Q$16="Muy Baja",'Mapa final'!$U$16="Moderado"),CONCATENATE("R",'Mapa final'!$A$16),"")</f>
        <v/>
      </c>
      <c r="AA43" s="383"/>
      <c r="AB43" s="383" t="str">
        <f ca="1">IF(AND('Mapa final'!$Q$17="Muy Baja",'Mapa final'!$U$17="Moderado"),CONCATENATE("R",'Mapa final'!$A$17),"")</f>
        <v/>
      </c>
      <c r="AC43" s="384"/>
      <c r="AD43" s="402" t="str">
        <f ca="1">IF(AND('Mapa final'!$Q$15="Muy Baja",'Mapa final'!$U$15="Mayor"),CONCATENATE("R",'Mapa final'!$A$15),"")</f>
        <v/>
      </c>
      <c r="AE43" s="403"/>
      <c r="AF43" s="403" t="str">
        <f ca="1">IF(AND('Mapa final'!$Q$16="Muy Baja",'Mapa final'!$U$16="Mayor"),CONCATENATE("R",'Mapa final'!$A$16),"")</f>
        <v/>
      </c>
      <c r="AG43" s="403"/>
      <c r="AH43" s="403" t="str">
        <f ca="1">IF(AND('Mapa final'!$Q$17="Muy Baja",'Mapa final'!$U$17="Mayor"),CONCATENATE("R",'Mapa final'!$A$17),"")</f>
        <v/>
      </c>
      <c r="AI43" s="404"/>
      <c r="AJ43" s="386" t="str">
        <f ca="1">IF(AND('Mapa final'!$Q$15="Muy Baja",'Mapa final'!$U$15="Catastrófico"),CONCATENATE("R",'Mapa final'!$A$15),"")</f>
        <v/>
      </c>
      <c r="AK43" s="392"/>
      <c r="AL43" s="392" t="str">
        <f ca="1">IF(AND('Mapa final'!$Q$16="Muy Baja",'Mapa final'!$U$16="Catastrófico"),CONCATENATE("R",'Mapa final'!$A$16),"")</f>
        <v/>
      </c>
      <c r="AM43" s="392"/>
      <c r="AN43" s="392" t="str">
        <f ca="1">IF(AND('Mapa final'!$Q$17="Muy Baja",'Mapa final'!$U$17="Catastrófico"),CONCATENATE("R",'Mapa final'!$A$17),"")</f>
        <v/>
      </c>
      <c r="AO43" s="388"/>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439"/>
      <c r="E44" s="439"/>
      <c r="F44" s="440"/>
      <c r="G44" s="410"/>
      <c r="H44" s="411"/>
      <c r="I44" s="411"/>
      <c r="J44" s="411"/>
      <c r="K44" s="417"/>
      <c r="L44" s="373"/>
      <c r="M44" s="366"/>
      <c r="N44" s="366"/>
      <c r="O44" s="366"/>
      <c r="P44" s="366"/>
      <c r="Q44" s="368"/>
      <c r="R44" s="366"/>
      <c r="S44" s="366"/>
      <c r="T44" s="367"/>
      <c r="U44" s="367"/>
      <c r="V44" s="367"/>
      <c r="W44" s="368"/>
      <c r="X44" s="376"/>
      <c r="Y44" s="377"/>
      <c r="Z44" s="377"/>
      <c r="AA44" s="377"/>
      <c r="AB44" s="377"/>
      <c r="AC44" s="378"/>
      <c r="AD44" s="396"/>
      <c r="AE44" s="397"/>
      <c r="AF44" s="397"/>
      <c r="AG44" s="397"/>
      <c r="AH44" s="397"/>
      <c r="AI44" s="398"/>
      <c r="AJ44" s="386"/>
      <c r="AK44" s="387"/>
      <c r="AL44" s="387"/>
      <c r="AM44" s="387"/>
      <c r="AN44" s="387"/>
      <c r="AO44" s="388"/>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439"/>
      <c r="E45" s="439"/>
      <c r="F45" s="440"/>
      <c r="G45" s="410"/>
      <c r="H45" s="411"/>
      <c r="I45" s="411"/>
      <c r="J45" s="411"/>
      <c r="K45" s="417"/>
      <c r="L45" s="373" t="str">
        <f ca="1">IF(AND('Mapa final'!$Q$18="Muy Baja",'Mapa final'!$U$18="Leve"),CONCATENATE("R",'Mapa final'!$A$18),"")</f>
        <v/>
      </c>
      <c r="M45" s="366"/>
      <c r="N45" s="366" t="str">
        <f>IF(AND('Mapa final'!$L$19="Muy Baja",'Mapa final'!$P$19="Leve"),CONCATENATE("R",'Mapa final'!$A$19),"")</f>
        <v/>
      </c>
      <c r="O45" s="366"/>
      <c r="P45" s="366" t="str">
        <f>IF(AND('Mapa final'!$L$20="Muy Baja",'Mapa final'!$P$20="Leve"),CONCATENATE("R",'Mapa final'!$A$20),"")</f>
        <v/>
      </c>
      <c r="Q45" s="368"/>
      <c r="R45" s="366" t="str">
        <f ca="1">IF(AND('Mapa final'!$Q$18="Muy Baja",'Mapa final'!$U$18="Menor"),CONCATENATE("R",'Mapa final'!$A$18),"")</f>
        <v/>
      </c>
      <c r="S45" s="366"/>
      <c r="T45" s="367" t="str">
        <f ca="1">IF(AND('Mapa final'!$Q$19="Muy Baja",'Mapa final'!$U$19="Menor"),CONCATENATE("R",'Mapa final'!$A$19),"")</f>
        <v/>
      </c>
      <c r="U45" s="367"/>
      <c r="V45" s="367" t="str">
        <f ca="1">IF(AND('Mapa final'!$Q$20="Muy Baja",'Mapa final'!$U$20="Menor"),CONCATENATE("R",'Mapa final'!$A$20),"")</f>
        <v/>
      </c>
      <c r="W45" s="368"/>
      <c r="X45" s="376" t="str">
        <f ca="1">IF(AND('Mapa final'!$Q$18="Muy Baja",'Mapa final'!$U$18="Moderado"),CONCATENATE("R",'Mapa final'!$A$18),"")</f>
        <v/>
      </c>
      <c r="Y45" s="377"/>
      <c r="Z45" s="377" t="str">
        <f ca="1">IF(AND('Mapa final'!$Q$19="Muy Baja",'Mapa final'!$U$19="Moderado"),CONCATENATE("R",'Mapa final'!$A$19),"")</f>
        <v/>
      </c>
      <c r="AA45" s="377"/>
      <c r="AB45" s="377" t="str">
        <f ca="1">IF(AND('Mapa final'!$Q$20="Muy Baja",'Mapa final'!$U$20="Moderado"),CONCATENATE("R",'Mapa final'!$A$20),"")</f>
        <v/>
      </c>
      <c r="AC45" s="378"/>
      <c r="AD45" s="396" t="str">
        <f ca="1">IF(AND('Mapa final'!$Q$18="Muy Baja",'Mapa final'!$U$18="Mayor"),CONCATENATE("R",'Mapa final'!$A$18),"")</f>
        <v/>
      </c>
      <c r="AE45" s="397"/>
      <c r="AF45" s="397" t="str">
        <f ca="1">IF(AND('Mapa final'!$Q$19="Muy Baja",'Mapa final'!$U$19="Mayor"),CONCATENATE("R",'Mapa final'!$A$19),"")</f>
        <v/>
      </c>
      <c r="AG45" s="397"/>
      <c r="AH45" s="397" t="str">
        <f ca="1">IF(AND('Mapa final'!$Q$20="Muy Baja",'Mapa final'!$U$20="Mayor"),CONCATENATE("R",'Mapa final'!$A$20),"")</f>
        <v/>
      </c>
      <c r="AI45" s="398"/>
      <c r="AJ45" s="386" t="str">
        <f ca="1">IF(AND('Mapa final'!$Q$18="Muy Baja",'Mapa final'!$U$18="Catastrófico"),CONCATENATE("R",'Mapa final'!$A$18),"")</f>
        <v/>
      </c>
      <c r="AK45" s="387"/>
      <c r="AL45" s="387" t="str">
        <f ca="1">IF(AND('Mapa final'!$Q$19="Muy Baja",'Mapa final'!$U$19="Catastrófico"),CONCATENATE("R",'Mapa final'!$A$19),"")</f>
        <v/>
      </c>
      <c r="AM45" s="387"/>
      <c r="AN45" s="387" t="str">
        <f>IF(AND('Mapa final'!$Q$20="Muy Baja",'Mapa final'!$L$20="Catastrófico"),CONCATENATE("R",'Mapa final'!$A$20),"")</f>
        <v/>
      </c>
      <c r="AO45" s="388"/>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439"/>
      <c r="E46" s="439"/>
      <c r="F46" s="440"/>
      <c r="G46" s="410"/>
      <c r="H46" s="411"/>
      <c r="I46" s="411"/>
      <c r="J46" s="411"/>
      <c r="K46" s="417"/>
      <c r="L46" s="373"/>
      <c r="M46" s="366"/>
      <c r="N46" s="366"/>
      <c r="O46" s="366"/>
      <c r="P46" s="366"/>
      <c r="Q46" s="368"/>
      <c r="R46" s="366"/>
      <c r="S46" s="366"/>
      <c r="T46" s="367"/>
      <c r="U46" s="367"/>
      <c r="V46" s="367"/>
      <c r="W46" s="368"/>
      <c r="X46" s="376"/>
      <c r="Y46" s="377"/>
      <c r="Z46" s="377"/>
      <c r="AA46" s="377"/>
      <c r="AB46" s="377"/>
      <c r="AC46" s="378"/>
      <c r="AD46" s="396"/>
      <c r="AE46" s="397"/>
      <c r="AF46" s="397"/>
      <c r="AG46" s="397"/>
      <c r="AH46" s="397"/>
      <c r="AI46" s="398"/>
      <c r="AJ46" s="386"/>
      <c r="AK46" s="387"/>
      <c r="AL46" s="387"/>
      <c r="AM46" s="387"/>
      <c r="AN46" s="387"/>
      <c r="AO46" s="388"/>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439"/>
      <c r="E47" s="439"/>
      <c r="F47" s="440"/>
      <c r="G47" s="410"/>
      <c r="H47" s="411"/>
      <c r="I47" s="411"/>
      <c r="J47" s="411"/>
      <c r="K47" s="417"/>
      <c r="L47" s="373" t="str">
        <f ca="1">IF(AND('Mapa final'!$Q$21="Muy Baja",'Mapa final'!$U$21="Leve"),CONCATENATE("R",'Mapa final'!$A$21),"")</f>
        <v/>
      </c>
      <c r="M47" s="366"/>
      <c r="N47" s="366" t="str">
        <f>IF(AND('Mapa final'!$L$22="Muy Baja",'Mapa final'!$P$22="Leve"),CONCATENATE("R",'Mapa final'!$A$22),"")</f>
        <v/>
      </c>
      <c r="O47" s="366"/>
      <c r="P47" s="366" t="str">
        <f>IF(AND('Mapa final'!$L$23="Muy Baja",'Mapa final'!$P$23="Leve"),CONCATENATE("R",'Mapa final'!$A$23),"")</f>
        <v/>
      </c>
      <c r="Q47" s="368"/>
      <c r="R47" s="366" t="str">
        <f ca="1">IF(AND('Mapa final'!$Q$21="Muy Baja",'Mapa final'!$U$21="Menor"),CONCATENATE("R",'Mapa final'!$A$21),"")</f>
        <v/>
      </c>
      <c r="S47" s="366"/>
      <c r="T47" s="367" t="str">
        <f ca="1">IF(AND('Mapa final'!$LR$22="Muy Baja",'Mapa final'!$U$22="Menor"),CONCATENATE("R",'Mapa final'!$A$22),"")</f>
        <v/>
      </c>
      <c r="U47" s="367"/>
      <c r="V47" s="367" t="str">
        <f>IF(AND('Mapa final'!$Q$23="Muy Baja",'Mapa final'!$U$23="Menor"),CONCATENATE("R",'Mapa final'!$A$23),"")</f>
        <v/>
      </c>
      <c r="W47" s="368"/>
      <c r="X47" s="376" t="str">
        <f ca="1">IF(AND('Mapa final'!$Q$21="Muy Baja",'Mapa final'!$U$21="Moderado"),CONCATENATE("R",'Mapa final'!$A$21),"")</f>
        <v/>
      </c>
      <c r="Y47" s="377"/>
      <c r="Z47" s="377" t="str">
        <f ca="1">IF(AND('Mapa final'!$Q$22="Muy Baja",'Mapa final'!$U$22="Moderado"),CONCATENATE("R",'Mapa final'!$A$22),"")</f>
        <v/>
      </c>
      <c r="AA47" s="377"/>
      <c r="AB47" s="377" t="str">
        <f>IF(AND('Mapa final'!$Q$23="Muy Baja",'Mapa final'!$U$23="Moderado"),CONCATENATE("R",'Mapa final'!$A$23),"")</f>
        <v/>
      </c>
      <c r="AC47" s="378"/>
      <c r="AD47" s="396" t="str">
        <f ca="1">IF(AND('Mapa final'!$Q$21="Muy Baja",'Mapa final'!$U$21="Mayor"),CONCATENATE("R",'Mapa final'!$A$21),"")</f>
        <v/>
      </c>
      <c r="AE47" s="397"/>
      <c r="AF47" s="397" t="str">
        <f ca="1">IF(AND('Mapa final'!$Q$22="Muy Baja",'Mapa final'!$U$22="Mayor"),CONCATENATE("R",'Mapa final'!$A$22),"")</f>
        <v/>
      </c>
      <c r="AG47" s="397"/>
      <c r="AH47" s="397" t="str">
        <f>IF(AND('Mapa final'!$Q$23="Muy Baja",'Mapa final'!$U$23="Mayor"),CONCATENATE("R",'Mapa final'!$A$23),"")</f>
        <v/>
      </c>
      <c r="AI47" s="398"/>
      <c r="AJ47" s="386" t="str">
        <f ca="1">IF(AND('Mapa final'!$Q$21="Muy Baja",'Mapa final'!$U$21="Catastrófico"),CONCATENATE("R",'Mapa final'!$A$21),"")</f>
        <v/>
      </c>
      <c r="AK47" s="387"/>
      <c r="AL47" s="387" t="str">
        <f ca="1">IF(AND('Mapa final'!$Q$22="Muy Baja",'Mapa final'!$U$22="Catastrófico"),CONCATENATE("R",'Mapa final'!$A$22),"")</f>
        <v/>
      </c>
      <c r="AM47" s="387"/>
      <c r="AN47" s="387" t="str">
        <f>IF(AND('Mapa final'!$Q$23="Muy Baja",'Mapa final'!$U$23="Catastrófico"),CONCATENATE("R",'Mapa final'!$A$23),"")</f>
        <v/>
      </c>
      <c r="AO47" s="388"/>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439"/>
      <c r="E48" s="439"/>
      <c r="F48" s="440"/>
      <c r="G48" s="410"/>
      <c r="H48" s="411"/>
      <c r="I48" s="411"/>
      <c r="J48" s="411"/>
      <c r="K48" s="417"/>
      <c r="L48" s="373"/>
      <c r="M48" s="366"/>
      <c r="N48" s="366"/>
      <c r="O48" s="366"/>
      <c r="P48" s="366"/>
      <c r="Q48" s="368"/>
      <c r="R48" s="366"/>
      <c r="S48" s="366"/>
      <c r="T48" s="367"/>
      <c r="U48" s="367"/>
      <c r="V48" s="367"/>
      <c r="W48" s="368"/>
      <c r="X48" s="376"/>
      <c r="Y48" s="377"/>
      <c r="Z48" s="377"/>
      <c r="AA48" s="377"/>
      <c r="AB48" s="377"/>
      <c r="AC48" s="378"/>
      <c r="AD48" s="396"/>
      <c r="AE48" s="397"/>
      <c r="AF48" s="397"/>
      <c r="AG48" s="397"/>
      <c r="AH48" s="397"/>
      <c r="AI48" s="398"/>
      <c r="AJ48" s="386"/>
      <c r="AK48" s="387"/>
      <c r="AL48" s="387"/>
      <c r="AM48" s="387"/>
      <c r="AN48" s="387"/>
      <c r="AO48" s="388"/>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439"/>
      <c r="E49" s="439"/>
      <c r="F49" s="440"/>
      <c r="G49" s="410"/>
      <c r="H49" s="411"/>
      <c r="I49" s="411"/>
      <c r="J49" s="411"/>
      <c r="K49" s="417"/>
      <c r="L49" s="373" t="str">
        <f>IF(AND('Mapa final'!$Q$24="Muy Baja",'Mapa final'!$U$24="Leve"),CONCATENATE("R",'Mapa final'!$A$24),"")</f>
        <v/>
      </c>
      <c r="M49" s="366"/>
      <c r="N49" s="366" t="str">
        <f>IF(AND('Mapa final'!$L$25="Muy Baja",'Mapa final'!$P$25="Leve"),CONCATENATE("R",'Mapa final'!$A$25),"")</f>
        <v/>
      </c>
      <c r="O49" s="366"/>
      <c r="P49" s="366" t="str">
        <f>IF(AND('Mapa final'!$L$26="Muy Baja",'Mapa final'!$P$26="Leve"),CONCATENATE("R",'Mapa final'!$A$26),"")</f>
        <v/>
      </c>
      <c r="Q49" s="368"/>
      <c r="R49" s="366" t="str">
        <f>IF(AND('Mapa final'!$Q$24="Muy Baja",'Mapa final'!$U$24="Menor"),CONCATENATE("R",'Mapa final'!$A$24),"")</f>
        <v/>
      </c>
      <c r="S49" s="367"/>
      <c r="T49" s="367" t="str">
        <f>IF(AND('Mapa final'!$Q$25="Muy Baja",'Mapa final'!$U$25="Menor"),CONCATENATE("R",'Mapa final'!$A$25),"")</f>
        <v/>
      </c>
      <c r="U49" s="367"/>
      <c r="V49" s="367" t="str">
        <f>IF(AND('Mapa final'!$Q$26="Muy Baja",'Mapa final'!$U$26="Menor"),CONCATENATE("R",'Mapa final'!$A$26),"")</f>
        <v/>
      </c>
      <c r="W49" s="368"/>
      <c r="X49" s="376" t="str">
        <f>IF(AND('Mapa final'!$Q$24="Muy Baja",'Mapa final'!$U$24="Moderado"),CONCATENATE("R",'Mapa final'!$A$24),"")</f>
        <v/>
      </c>
      <c r="Y49" s="377"/>
      <c r="Z49" s="377" t="str">
        <f>IF(AND('Mapa final'!$Q$25="Muy Baja",'Mapa final'!$U$25="Moderado"),CONCATENATE("R",'Mapa final'!$A$25),"")</f>
        <v/>
      </c>
      <c r="AA49" s="377"/>
      <c r="AB49" s="377" t="str">
        <f>IF(AND('Mapa final'!$Q$26="Muy Baja",'Mapa final'!$U$26="Moderado"),CONCATENATE("R",'Mapa final'!$A$26),"")</f>
        <v/>
      </c>
      <c r="AC49" s="378"/>
      <c r="AD49" s="396" t="str">
        <f>IF(AND('Mapa final'!$Q$24="Muy Baja",'Mapa final'!$U$24="Mayor"),CONCATENATE("R",'Mapa final'!$A$24),"")</f>
        <v/>
      </c>
      <c r="AE49" s="397"/>
      <c r="AF49" s="397" t="str">
        <f>IF(AND('Mapa final'!$Q$25="Muy Baja",'Mapa final'!$U$25="Mayor"),CONCATENATE("R",'Mapa final'!$A$25),"")</f>
        <v/>
      </c>
      <c r="AG49" s="397"/>
      <c r="AH49" s="397" t="str">
        <f>IF(AND('Mapa final'!$Q$26="Muy Baja",'Mapa final'!$U$26="Mayor"),CONCATENATE("R",'Mapa final'!$A$26),"")</f>
        <v/>
      </c>
      <c r="AI49" s="398"/>
      <c r="AJ49" s="386" t="str">
        <f>IF(AND('Mapa final'!$Q$24="Muy Baja",'Mapa final'!$U$24="Catastrófico"),CONCATENATE("R",'Mapa final'!$A$24),"")</f>
        <v/>
      </c>
      <c r="AK49" s="387"/>
      <c r="AL49" s="387" t="str">
        <f>IF(AND('Mapa final'!$Q$25="Muy Baja",'Mapa final'!$U$25="Catastrófico"),CONCATENATE("R",'Mapa final'!$A$25),"")</f>
        <v/>
      </c>
      <c r="AM49" s="387"/>
      <c r="AN49" s="387" t="str">
        <f>IF(AND('Mapa final'!$Q$26="Muy Baja",'Mapa final'!$U$26="Catastrófico"),CONCATENATE("R",'Mapa final'!$A$26),"")</f>
        <v/>
      </c>
      <c r="AO49" s="388"/>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439"/>
      <c r="E50" s="439"/>
      <c r="F50" s="440"/>
      <c r="G50" s="413"/>
      <c r="H50" s="414"/>
      <c r="I50" s="414"/>
      <c r="J50" s="414"/>
      <c r="K50" s="414"/>
      <c r="L50" s="374"/>
      <c r="M50" s="369"/>
      <c r="N50" s="369"/>
      <c r="O50" s="369"/>
      <c r="P50" s="369"/>
      <c r="Q50" s="370"/>
      <c r="R50" s="369"/>
      <c r="S50" s="369"/>
      <c r="T50" s="369"/>
      <c r="U50" s="369"/>
      <c r="V50" s="369"/>
      <c r="W50" s="370"/>
      <c r="X50" s="379"/>
      <c r="Y50" s="380"/>
      <c r="Z50" s="380"/>
      <c r="AA50" s="380"/>
      <c r="AB50" s="380"/>
      <c r="AC50" s="381"/>
      <c r="AD50" s="399"/>
      <c r="AE50" s="400"/>
      <c r="AF50" s="400"/>
      <c r="AG50" s="400"/>
      <c r="AH50" s="400"/>
      <c r="AI50" s="401"/>
      <c r="AJ50" s="389"/>
      <c r="AK50" s="390"/>
      <c r="AL50" s="390"/>
      <c r="AM50" s="390"/>
      <c r="AN50" s="390"/>
      <c r="AO50" s="391"/>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416" t="s">
        <v>111</v>
      </c>
      <c r="M51" s="417"/>
      <c r="N51" s="417"/>
      <c r="O51" s="417"/>
      <c r="P51" s="417"/>
      <c r="Q51" s="412"/>
      <c r="R51" s="406" t="s">
        <v>110</v>
      </c>
      <c r="S51" s="408"/>
      <c r="T51" s="408"/>
      <c r="U51" s="408"/>
      <c r="V51" s="408"/>
      <c r="W51" s="409"/>
      <c r="X51" s="406" t="s">
        <v>109</v>
      </c>
      <c r="Y51" s="408"/>
      <c r="Z51" s="408"/>
      <c r="AA51" s="408"/>
      <c r="AB51" s="408"/>
      <c r="AC51" s="409"/>
      <c r="AD51" s="406" t="s">
        <v>108</v>
      </c>
      <c r="AE51" s="407"/>
      <c r="AF51" s="408"/>
      <c r="AG51" s="408"/>
      <c r="AH51" s="408"/>
      <c r="AI51" s="409"/>
      <c r="AJ51" s="406" t="s">
        <v>107</v>
      </c>
      <c r="AK51" s="408"/>
      <c r="AL51" s="408"/>
      <c r="AM51" s="408"/>
      <c r="AN51" s="408"/>
      <c r="AO51" s="40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410"/>
      <c r="M52" s="411"/>
      <c r="N52" s="411"/>
      <c r="O52" s="411"/>
      <c r="P52" s="411"/>
      <c r="Q52" s="412"/>
      <c r="R52" s="410"/>
      <c r="S52" s="411"/>
      <c r="T52" s="411"/>
      <c r="U52" s="411"/>
      <c r="V52" s="411"/>
      <c r="W52" s="412"/>
      <c r="X52" s="410"/>
      <c r="Y52" s="411"/>
      <c r="Z52" s="411"/>
      <c r="AA52" s="411"/>
      <c r="AB52" s="411"/>
      <c r="AC52" s="412"/>
      <c r="AD52" s="410"/>
      <c r="AE52" s="411"/>
      <c r="AF52" s="411"/>
      <c r="AG52" s="411"/>
      <c r="AH52" s="411"/>
      <c r="AI52" s="412"/>
      <c r="AJ52" s="410"/>
      <c r="AK52" s="411"/>
      <c r="AL52" s="411"/>
      <c r="AM52" s="411"/>
      <c r="AN52" s="411"/>
      <c r="AO52" s="412"/>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410"/>
      <c r="M53" s="411"/>
      <c r="N53" s="411"/>
      <c r="O53" s="411"/>
      <c r="P53" s="411"/>
      <c r="Q53" s="412"/>
      <c r="R53" s="410"/>
      <c r="S53" s="411"/>
      <c r="T53" s="411"/>
      <c r="U53" s="411"/>
      <c r="V53" s="411"/>
      <c r="W53" s="412"/>
      <c r="X53" s="410"/>
      <c r="Y53" s="411"/>
      <c r="Z53" s="411"/>
      <c r="AA53" s="411"/>
      <c r="AB53" s="411"/>
      <c r="AC53" s="412"/>
      <c r="AD53" s="410"/>
      <c r="AE53" s="411"/>
      <c r="AF53" s="411"/>
      <c r="AG53" s="411"/>
      <c r="AH53" s="411"/>
      <c r="AI53" s="412"/>
      <c r="AJ53" s="410"/>
      <c r="AK53" s="411"/>
      <c r="AL53" s="411"/>
      <c r="AM53" s="411"/>
      <c r="AN53" s="411"/>
      <c r="AO53" s="412"/>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410"/>
      <c r="M54" s="411"/>
      <c r="N54" s="411"/>
      <c r="O54" s="411"/>
      <c r="P54" s="411"/>
      <c r="Q54" s="412"/>
      <c r="R54" s="410"/>
      <c r="S54" s="411"/>
      <c r="T54" s="411"/>
      <c r="U54" s="411"/>
      <c r="V54" s="411"/>
      <c r="W54" s="412"/>
      <c r="X54" s="410"/>
      <c r="Y54" s="411"/>
      <c r="Z54" s="411"/>
      <c r="AA54" s="411"/>
      <c r="AB54" s="411"/>
      <c r="AC54" s="412"/>
      <c r="AD54" s="410"/>
      <c r="AE54" s="411"/>
      <c r="AF54" s="411"/>
      <c r="AG54" s="411"/>
      <c r="AH54" s="411"/>
      <c r="AI54" s="412"/>
      <c r="AJ54" s="410"/>
      <c r="AK54" s="411"/>
      <c r="AL54" s="411"/>
      <c r="AM54" s="411"/>
      <c r="AN54" s="411"/>
      <c r="AO54" s="412"/>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410"/>
      <c r="M55" s="411"/>
      <c r="N55" s="411"/>
      <c r="O55" s="411"/>
      <c r="P55" s="411"/>
      <c r="Q55" s="412"/>
      <c r="R55" s="410"/>
      <c r="S55" s="411"/>
      <c r="T55" s="411"/>
      <c r="U55" s="411"/>
      <c r="V55" s="411"/>
      <c r="W55" s="412"/>
      <c r="X55" s="410"/>
      <c r="Y55" s="411"/>
      <c r="Z55" s="411"/>
      <c r="AA55" s="411"/>
      <c r="AB55" s="411"/>
      <c r="AC55" s="412"/>
      <c r="AD55" s="410"/>
      <c r="AE55" s="411"/>
      <c r="AF55" s="411"/>
      <c r="AG55" s="411"/>
      <c r="AH55" s="411"/>
      <c r="AI55" s="412"/>
      <c r="AJ55" s="410"/>
      <c r="AK55" s="411"/>
      <c r="AL55" s="411"/>
      <c r="AM55" s="411"/>
      <c r="AN55" s="411"/>
      <c r="AO55" s="412"/>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413"/>
      <c r="M56" s="414"/>
      <c r="N56" s="414"/>
      <c r="O56" s="414"/>
      <c r="P56" s="414"/>
      <c r="Q56" s="415"/>
      <c r="R56" s="413"/>
      <c r="S56" s="414"/>
      <c r="T56" s="414"/>
      <c r="U56" s="414"/>
      <c r="V56" s="414"/>
      <c r="W56" s="415"/>
      <c r="X56" s="413"/>
      <c r="Y56" s="414"/>
      <c r="Z56" s="414"/>
      <c r="AA56" s="414"/>
      <c r="AB56" s="414"/>
      <c r="AC56" s="415"/>
      <c r="AD56" s="413"/>
      <c r="AE56" s="414"/>
      <c r="AF56" s="414"/>
      <c r="AG56" s="414"/>
      <c r="AH56" s="414"/>
      <c r="AI56" s="415"/>
      <c r="AJ56" s="413"/>
      <c r="AK56" s="414"/>
      <c r="AL56" s="414"/>
      <c r="AM56" s="414"/>
      <c r="AN56" s="414"/>
      <c r="AO56" s="415"/>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47:AE48"/>
    <mergeCell ref="AF47:AG48"/>
    <mergeCell ref="AH47:AI48"/>
    <mergeCell ref="AD49:AE50"/>
    <mergeCell ref="AF49:AG50"/>
    <mergeCell ref="AH49:AI50"/>
    <mergeCell ref="AD43:AE44"/>
    <mergeCell ref="AF43:AG44"/>
    <mergeCell ref="AH43:AI44"/>
    <mergeCell ref="AD45:AE46"/>
    <mergeCell ref="AF45:AG46"/>
    <mergeCell ref="AH45:AI46"/>
    <mergeCell ref="AJ15:AK16"/>
    <mergeCell ref="AL15:AM16"/>
    <mergeCell ref="AN15:AO16"/>
    <mergeCell ref="AJ17:AK18"/>
    <mergeCell ref="AL17:AM18"/>
    <mergeCell ref="AN17:AO18"/>
    <mergeCell ref="AJ11:AK12"/>
    <mergeCell ref="AL11:AM12"/>
    <mergeCell ref="AN11:AO12"/>
    <mergeCell ref="AJ13:AK14"/>
    <mergeCell ref="AL13:AM14"/>
    <mergeCell ref="AN13:AO14"/>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47:AK48"/>
    <mergeCell ref="AL47:AM48"/>
    <mergeCell ref="AN47:AO48"/>
    <mergeCell ref="AJ49:AK50"/>
    <mergeCell ref="AL49:AM50"/>
    <mergeCell ref="AN49:AO50"/>
    <mergeCell ref="AJ43:AK44"/>
    <mergeCell ref="AL43:AM44"/>
    <mergeCell ref="AN43:AO44"/>
    <mergeCell ref="AJ45:AK46"/>
    <mergeCell ref="AL45:AM46"/>
    <mergeCell ref="AN45:AO46"/>
    <mergeCell ref="P23:Q24"/>
    <mergeCell ref="L25:M26"/>
    <mergeCell ref="N25:O26"/>
    <mergeCell ref="P25:Q26"/>
    <mergeCell ref="L19:M20"/>
    <mergeCell ref="N19:O20"/>
    <mergeCell ref="P19:Q20"/>
    <mergeCell ref="L21:M22"/>
    <mergeCell ref="N21:O22"/>
    <mergeCell ref="P21:Q22"/>
    <mergeCell ref="R23:S24"/>
    <mergeCell ref="T23:U24"/>
    <mergeCell ref="V23:W24"/>
    <mergeCell ref="R25:S26"/>
    <mergeCell ref="T25:U26"/>
    <mergeCell ref="V25:W26"/>
    <mergeCell ref="R19:S20"/>
    <mergeCell ref="T19:U20"/>
    <mergeCell ref="V19:W20"/>
    <mergeCell ref="R21:S22"/>
    <mergeCell ref="T21:U22"/>
    <mergeCell ref="V21:W22"/>
    <mergeCell ref="L31:M32"/>
    <mergeCell ref="N31:O32"/>
    <mergeCell ref="P31:Q32"/>
    <mergeCell ref="L33:M34"/>
    <mergeCell ref="N33:O34"/>
    <mergeCell ref="P33:Q34"/>
    <mergeCell ref="L27:M28"/>
    <mergeCell ref="N27:O28"/>
    <mergeCell ref="P27:Q28"/>
    <mergeCell ref="L29:M30"/>
    <mergeCell ref="N29:O30"/>
    <mergeCell ref="P29:Q30"/>
    <mergeCell ref="R31:S32"/>
    <mergeCell ref="T31:U32"/>
    <mergeCell ref="V31:W32"/>
    <mergeCell ref="R33:S34"/>
    <mergeCell ref="T33:U34"/>
    <mergeCell ref="V33:W34"/>
    <mergeCell ref="R27:S28"/>
    <mergeCell ref="T27:U28"/>
    <mergeCell ref="V27:W28"/>
    <mergeCell ref="R29:S30"/>
    <mergeCell ref="T29:U30"/>
    <mergeCell ref="V29:W30"/>
    <mergeCell ref="X31:Y32"/>
    <mergeCell ref="Z31:AA32"/>
    <mergeCell ref="AB31:AC32"/>
    <mergeCell ref="X33:Y34"/>
    <mergeCell ref="Z33:AA34"/>
    <mergeCell ref="AB33:AC34"/>
    <mergeCell ref="X27:Y28"/>
    <mergeCell ref="Z27:AA28"/>
    <mergeCell ref="AB27:AC28"/>
    <mergeCell ref="X29:Y30"/>
    <mergeCell ref="Z29:AA30"/>
    <mergeCell ref="AB29:AC30"/>
    <mergeCell ref="X39:Y40"/>
    <mergeCell ref="Z39:AA40"/>
    <mergeCell ref="AB39:AC40"/>
    <mergeCell ref="X41:Y42"/>
    <mergeCell ref="Z41:AA42"/>
    <mergeCell ref="AB41:AC42"/>
    <mergeCell ref="X35:Y36"/>
    <mergeCell ref="Z35:AA36"/>
    <mergeCell ref="AB35:AC36"/>
    <mergeCell ref="X37:Y38"/>
    <mergeCell ref="Z37:AA38"/>
    <mergeCell ref="AB37:AC38"/>
    <mergeCell ref="R39:S40"/>
    <mergeCell ref="T39:U40"/>
    <mergeCell ref="V39:W40"/>
    <mergeCell ref="R41:S42"/>
    <mergeCell ref="T41:U42"/>
    <mergeCell ref="V41:W42"/>
    <mergeCell ref="R35:S36"/>
    <mergeCell ref="T35:U36"/>
    <mergeCell ref="V35:W36"/>
    <mergeCell ref="R37:S38"/>
    <mergeCell ref="T37:U38"/>
    <mergeCell ref="V37:W38"/>
    <mergeCell ref="X47:Y48"/>
    <mergeCell ref="Z47:AA48"/>
    <mergeCell ref="AB47:AC48"/>
    <mergeCell ref="X49:Y50"/>
    <mergeCell ref="Z49:AA50"/>
    <mergeCell ref="AB49:AC50"/>
    <mergeCell ref="X43:Y44"/>
    <mergeCell ref="Z43:AA44"/>
    <mergeCell ref="AB43:AC44"/>
    <mergeCell ref="X45:Y46"/>
    <mergeCell ref="Z45:AA46"/>
    <mergeCell ref="AB45:AC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8" activePane="bottomLeft" state="frozen"/>
      <selection pane="bottomLeft" activeCell="AY50" sqref="AY50"/>
    </sheetView>
  </sheetViews>
  <sheetFormatPr baseColWidth="10" defaultRowHeight="15" x14ac:dyDescent="0.25"/>
  <cols>
    <col min="3" max="10" width="5.7109375" customWidth="1"/>
    <col min="11" max="11" width="8.7109375" customWidth="1"/>
    <col min="12" max="12" width="10" customWidth="1"/>
    <col min="13" max="13" width="8.5703125" customWidth="1"/>
    <col min="14" max="14" width="9" customWidth="1"/>
    <col min="15" max="15" width="9.7109375" customWidth="1"/>
    <col min="16" max="19" width="5.7109375" customWidth="1"/>
    <col min="20" max="20" width="6.7109375" customWidth="1"/>
    <col min="21" max="24" width="5.7109375" customWidth="1"/>
    <col min="25" max="25" width="8.42578125" customWidth="1"/>
    <col min="26" max="27" width="5.7109375" customWidth="1"/>
    <col min="28" max="28" width="10.7109375" customWidth="1"/>
    <col min="29" max="29" width="5.7109375" customWidth="1"/>
    <col min="30" max="30" width="7.42578125" customWidth="1"/>
    <col min="31" max="34" width="5.7109375" customWidth="1"/>
    <col min="35" max="35" width="8.42578125" customWidth="1"/>
    <col min="36" max="40" width="5.7109375" customWidth="1"/>
    <col min="42" max="47" width="5.7109375" customWidth="1"/>
  </cols>
  <sheetData>
    <row r="1" spans="1:92" ht="15.75" thickBot="1" x14ac:dyDescent="0.3"/>
    <row r="2" spans="1:92" x14ac:dyDescent="0.25">
      <c r="C2" s="430" t="s">
        <v>251</v>
      </c>
      <c r="D2" s="431"/>
      <c r="E2" s="431"/>
      <c r="F2" s="431"/>
      <c r="G2" s="431"/>
      <c r="H2" s="431"/>
      <c r="I2" s="431"/>
      <c r="J2" s="432"/>
      <c r="K2" s="421" t="s">
        <v>205</v>
      </c>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3"/>
      <c r="AO2" s="284" t="s">
        <v>377</v>
      </c>
      <c r="AP2" s="418"/>
      <c r="AQ2" s="418"/>
      <c r="AR2" s="418"/>
      <c r="AS2" s="418"/>
      <c r="AT2" s="418"/>
      <c r="AU2" s="273"/>
    </row>
    <row r="3" spans="1:92" x14ac:dyDescent="0.25">
      <c r="C3" s="433"/>
      <c r="D3" s="434"/>
      <c r="E3" s="434"/>
      <c r="F3" s="434"/>
      <c r="G3" s="434"/>
      <c r="H3" s="434"/>
      <c r="I3" s="434"/>
      <c r="J3" s="435"/>
      <c r="K3" s="424"/>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6"/>
      <c r="AO3" s="285" t="s">
        <v>264</v>
      </c>
      <c r="AP3" s="419"/>
      <c r="AQ3" s="419"/>
      <c r="AR3" s="419"/>
      <c r="AS3" s="419"/>
      <c r="AT3" s="419"/>
      <c r="AU3" s="275"/>
    </row>
    <row r="4" spans="1:92" x14ac:dyDescent="0.25">
      <c r="C4" s="433"/>
      <c r="D4" s="434"/>
      <c r="E4" s="434"/>
      <c r="F4" s="434"/>
      <c r="G4" s="434"/>
      <c r="H4" s="434"/>
      <c r="I4" s="434"/>
      <c r="J4" s="435"/>
      <c r="K4" s="424"/>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6"/>
      <c r="AO4" s="285" t="s">
        <v>389</v>
      </c>
      <c r="AP4" s="419" t="s">
        <v>263</v>
      </c>
      <c r="AQ4" s="419"/>
      <c r="AR4" s="419"/>
      <c r="AS4" s="419"/>
      <c r="AT4" s="419"/>
      <c r="AU4" s="275"/>
    </row>
    <row r="5" spans="1:92" ht="15.75" thickBot="1" x14ac:dyDescent="0.3">
      <c r="C5" s="436"/>
      <c r="D5" s="437"/>
      <c r="E5" s="437"/>
      <c r="F5" s="437"/>
      <c r="G5" s="437"/>
      <c r="H5" s="437"/>
      <c r="I5" s="437"/>
      <c r="J5" s="438"/>
      <c r="K5" s="427"/>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429"/>
      <c r="AO5" s="286" t="s">
        <v>245</v>
      </c>
      <c r="AP5" s="420" t="s">
        <v>245</v>
      </c>
      <c r="AQ5" s="420"/>
      <c r="AR5" s="420"/>
      <c r="AS5" s="420"/>
      <c r="AT5" s="420"/>
      <c r="AU5" s="277"/>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478" t="s">
        <v>266</v>
      </c>
      <c r="B8" s="478"/>
      <c r="C8" s="508" t="s">
        <v>156</v>
      </c>
      <c r="D8" s="509"/>
      <c r="E8" s="509"/>
      <c r="F8" s="509"/>
      <c r="G8" s="509"/>
      <c r="H8" s="509"/>
      <c r="I8" s="509"/>
      <c r="J8" s="509"/>
      <c r="K8" s="510" t="s">
        <v>2</v>
      </c>
      <c r="L8" s="510"/>
      <c r="M8" s="510"/>
      <c r="N8" s="510"/>
      <c r="O8" s="510"/>
      <c r="P8" s="510"/>
      <c r="Q8" s="510"/>
      <c r="R8" s="510"/>
      <c r="S8" s="510"/>
      <c r="T8" s="510"/>
      <c r="U8" s="510"/>
      <c r="V8" s="510"/>
      <c r="W8" s="510"/>
      <c r="X8" s="510"/>
      <c r="Y8" s="510"/>
      <c r="Z8" s="510"/>
      <c r="AA8" s="510"/>
      <c r="AB8" s="510"/>
      <c r="AC8" s="510"/>
      <c r="AD8" s="510"/>
      <c r="AE8" s="510"/>
      <c r="AF8" s="510"/>
      <c r="AG8" s="510"/>
      <c r="AH8" s="510"/>
      <c r="AI8" s="510"/>
      <c r="AJ8" s="510"/>
      <c r="AK8" s="510"/>
      <c r="AL8" s="510"/>
      <c r="AM8" s="510"/>
      <c r="AN8" s="510"/>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509"/>
      <c r="D9" s="509"/>
      <c r="E9" s="509"/>
      <c r="F9" s="509"/>
      <c r="G9" s="509"/>
      <c r="H9" s="509"/>
      <c r="I9" s="509"/>
      <c r="J9" s="509"/>
      <c r="K9" s="510"/>
      <c r="L9" s="510"/>
      <c r="M9" s="510"/>
      <c r="N9" s="510"/>
      <c r="O9" s="510"/>
      <c r="P9" s="510"/>
      <c r="Q9" s="510"/>
      <c r="R9" s="510"/>
      <c r="S9" s="510"/>
      <c r="T9" s="510"/>
      <c r="U9" s="510"/>
      <c r="V9" s="510"/>
      <c r="W9" s="510"/>
      <c r="X9" s="510"/>
      <c r="Y9" s="510"/>
      <c r="Z9" s="510"/>
      <c r="AA9" s="510"/>
      <c r="AB9" s="510"/>
      <c r="AC9" s="510"/>
      <c r="AD9" s="510"/>
      <c r="AE9" s="510"/>
      <c r="AF9" s="510"/>
      <c r="AG9" s="510"/>
      <c r="AH9" s="510"/>
      <c r="AI9" s="510"/>
      <c r="AJ9" s="510"/>
      <c r="AK9" s="510"/>
      <c r="AL9" s="510"/>
      <c r="AM9" s="510"/>
      <c r="AN9" s="510"/>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509"/>
      <c r="D10" s="509"/>
      <c r="E10" s="509"/>
      <c r="F10" s="509"/>
      <c r="G10" s="509"/>
      <c r="H10" s="509"/>
      <c r="I10" s="509"/>
      <c r="J10" s="509"/>
      <c r="K10" s="510"/>
      <c r="L10" s="510"/>
      <c r="M10" s="510"/>
      <c r="N10" s="510"/>
      <c r="O10" s="510"/>
      <c r="P10" s="510"/>
      <c r="Q10" s="510"/>
      <c r="R10" s="510"/>
      <c r="S10" s="510"/>
      <c r="T10" s="510"/>
      <c r="U10" s="510"/>
      <c r="V10" s="510"/>
      <c r="W10" s="510"/>
      <c r="X10" s="510"/>
      <c r="Y10" s="510"/>
      <c r="Z10" s="510"/>
      <c r="AA10" s="510"/>
      <c r="AB10" s="510"/>
      <c r="AC10" s="510"/>
      <c r="AD10" s="510"/>
      <c r="AE10" s="510"/>
      <c r="AF10" s="510"/>
      <c r="AG10" s="510"/>
      <c r="AH10" s="510"/>
      <c r="AI10" s="510"/>
      <c r="AJ10" s="510"/>
      <c r="AK10" s="510"/>
      <c r="AL10" s="510"/>
      <c r="AM10" s="510"/>
      <c r="AN10" s="510"/>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439" t="s">
        <v>4</v>
      </c>
      <c r="D12" s="439"/>
      <c r="E12" s="440"/>
      <c r="F12" s="479" t="s">
        <v>115</v>
      </c>
      <c r="G12" s="480"/>
      <c r="H12" s="480"/>
      <c r="I12" s="480"/>
      <c r="J12" s="480"/>
      <c r="K12" s="32" t="str">
        <f ca="1">IF(AND('Mapa final'!$AJ$15="Muy Alta",'Mapa final'!$AL$15="Leve"),CONCATENATE("R2C",'Mapa final'!$S$15),"")</f>
        <v/>
      </c>
      <c r="L12" s="33" t="str">
        <f ca="1">IF(AND('Mapa final'!$AJ$16="Muy Alta",'Mapa final'!$AL$16="Leve"),CONCATENATE("R2C",'Mapa final'!$S$16),"")</f>
        <v/>
      </c>
      <c r="M12" s="33" t="str">
        <f ca="1">IF(AND('Mapa final'!$AJ$17="Muy Alta",'Mapa final'!$AL$17="Leve"),CONCATENATE("R2C",'Mapa final'!$S$17),"")</f>
        <v/>
      </c>
      <c r="N12" s="33" t="str">
        <f ca="1">IF(AND('Mapa final'!$AJ$18="Muy Alta",'Mapa final'!$AL$18="Leve"),CONCATENATE("R2C",'Mapa final'!$S$18),"")</f>
        <v/>
      </c>
      <c r="O12" s="33" t="str">
        <f ca="1">IF(AND('Mapa final'!$AJ$19="Muy Alta",'Mapa final'!$AL$19="Leve"),CONCATENATE("R2C",'Mapa final'!$S$19),"")</f>
        <v/>
      </c>
      <c r="P12" s="34" t="str">
        <f ca="1">IF(AND('Mapa final'!$AJ$20="Muy Alta",'Mapa final'!$AL$20="Leve"),CONCATENATE("R2C",'Mapa final'!$S$20),"")</f>
        <v/>
      </c>
      <c r="Q12" s="33" t="str">
        <f ca="1">IF(AND('Mapa final'!$AJ$15="Muy Alta",'Mapa final'!$AL$15="Menor"),CONCATENATE("R2C",'Mapa final'!$S$15),"")</f>
        <v/>
      </c>
      <c r="R12" s="33" t="str">
        <f ca="1">IF(AND('Mapa final'!$AJ$16="Muy Alta",'Mapa final'!$AL$16="Menore"),CONCATENATE("R2C",'Mapa final'!$S$16),"")</f>
        <v/>
      </c>
      <c r="S12" s="33" t="str">
        <f ca="1">IF(AND('Mapa final'!$AJ$17="Muy Alta",'Mapa final'!$AL$17="Menor"),CONCATENATE("R2C",'Mapa final'!$S$17),"")</f>
        <v/>
      </c>
      <c r="T12" s="33" t="str">
        <f ca="1">IF(AND('Mapa final'!$AJ$18="Muy Alta",'Mapa final'!$AL$18="Menor"),CONCATENATE("R2C",'Mapa final'!$S$18),"")</f>
        <v/>
      </c>
      <c r="U12" s="33" t="str">
        <f ca="1">IF(AND('Mapa final'!$AJ$19="Muy Alta",'Mapa final'!$AL$19="Menor"),CONCATENATE("R2C",'Mapa final'!$S$19),"")</f>
        <v/>
      </c>
      <c r="V12" s="34" t="str">
        <f ca="1">IF(AND('Mapa final'!$AJ$20="Muy Alta",'Mapa final'!$AL$20="Menor"),CONCATENATE("R2C",'Mapa final'!$S$20),"")</f>
        <v/>
      </c>
      <c r="W12" s="32" t="str">
        <f ca="1">IF(AND('Mapa final'!$AJ$15="Muy Alta",'Mapa final'!$AL$15="Moderado"),CONCATENATE("R2C",'Mapa final'!$S$15),"")</f>
        <v/>
      </c>
      <c r="X12" s="33" t="str">
        <f ca="1">IF(AND('Mapa final'!$AJ$16="Muy Alta",'Mapa final'!$AL$16="Moderado"),CONCATENATE("R2C",'Mapa final'!$S$16),"")</f>
        <v/>
      </c>
      <c r="Y12" s="33"/>
      <c r="Z12" s="33" t="str">
        <f ca="1">IF(AND('Mapa final'!$AJ$18="Muy Alta",'Mapa final'!$AL$18="Moderado"),CONCATENATE("R2C",'Mapa final'!$S$18),"")</f>
        <v/>
      </c>
      <c r="AA12" s="33" t="str">
        <f ca="1">IF(AND('Mapa final'!$AJ$19="Muy Alta",'Mapa final'!$AL$19="Moderado"),CONCATENATE("R2C",'Mapa final'!$S$19),"")</f>
        <v/>
      </c>
      <c r="AB12" s="34" t="str">
        <f ca="1">IF(AND('Mapa final'!$AJ$20="Muy Alta",'Mapa final'!$AL$20="Moderado"),CONCATENATE("R2C",'Mapa final'!$S$20),"")</f>
        <v/>
      </c>
      <c r="AC12" s="32" t="str">
        <f ca="1">IF(AND('Mapa final'!$AJ$15="Muy Alta",'Mapa final'!$AL$15="Mayor"),CONCATENATE("R2C",'Mapa final'!$S$15),"")</f>
        <v/>
      </c>
      <c r="AD12" s="33" t="str">
        <f ca="1">IF(AND('Mapa final'!$AJ$16="Muy Alta",'Mapa final'!$AL$16="Mayor"),CONCATENATE("R2C",'Mapa final'!$S$16),"")</f>
        <v/>
      </c>
      <c r="AE12" s="33" t="str">
        <f ca="1">IF(AND('Mapa final'!$AJ$17="Muy Alta",'Mapa final'!$AL$17="Mayor"),CONCATENATE("R2C",'Mapa final'!$S$17),"")</f>
        <v/>
      </c>
      <c r="AF12" s="33" t="str">
        <f ca="1">IF(AND('Mapa final'!$AJ$18="Muy Alta",'Mapa final'!$AL$18="Mayor"),CONCATENATE("R2C",'Mapa final'!$S$18),"")</f>
        <v/>
      </c>
      <c r="AG12" s="33" t="str">
        <f ca="1">IF(AND('Mapa final'!$AJ$19="Muy Alta",'Mapa final'!$AL$19="Mayor"),CONCATENATE("R2C",'Mapa final'!$S$19),"")</f>
        <v/>
      </c>
      <c r="AH12" s="34" t="str">
        <f ca="1">IF(AND('Mapa final'!$AJ$20="Muy Alta",'Mapa final'!$AL$20="Mayor"),CONCATENATE("R2C",'Mapa final'!$S$20),"")</f>
        <v/>
      </c>
      <c r="AI12" s="35" t="str">
        <f ca="1">IF(AND('Mapa final'!$AJ$15="Muy Alta",'Mapa final'!$AL$15="Catastrófico"),CONCATENATE("R2C",'Mapa final'!$S$15),"")</f>
        <v/>
      </c>
      <c r="AJ12" s="36" t="str">
        <f ca="1">IF(AND('Mapa final'!$AJ$16="Muy Alta",'Mapa final'!$AL$16="Catastrófico"),CONCATENATE("R2C",'Mapa final'!$S$16),"")</f>
        <v/>
      </c>
      <c r="AK12" s="36" t="str">
        <f ca="1">IF(AND('Mapa final'!$AJ$17="Muy Alta",'Mapa final'!$AL$17="Catastrófico"),CONCATENATE("R2C",'Mapa final'!$S$17),"")</f>
        <v/>
      </c>
      <c r="AL12" s="36" t="str">
        <f ca="1">IF(AND('Mapa final'!$AJ$18="Muy Alta",'Mapa final'!$AL$18="Catastrófico"),CONCATENATE("R2C",'Mapa final'!$S$18),"")</f>
        <v/>
      </c>
      <c r="AM12" s="36" t="str">
        <f ca="1">IF(AND('Mapa final'!$AJ$19="Muy Alta",'Mapa final'!$AL$19="Catastrófico"),CONCATENATE("R2C",'Mapa final'!$S$19),"")</f>
        <v/>
      </c>
      <c r="AN12" s="37" t="str">
        <f ca="1">IF(AND('Mapa final'!$AJ$20="Muy Alta",'Mapa final'!$AL$20="Catastrófico"),CONCATENATE("R2C",'Mapa final'!$S$20),"")</f>
        <v/>
      </c>
      <c r="AO12" s="69"/>
      <c r="AP12" s="499" t="s">
        <v>78</v>
      </c>
      <c r="AQ12" s="500"/>
      <c r="AR12" s="500"/>
      <c r="AS12" s="500"/>
      <c r="AT12" s="500"/>
      <c r="AU12" s="501"/>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439"/>
      <c r="D13" s="439"/>
      <c r="E13" s="440"/>
      <c r="F13" s="482"/>
      <c r="G13" s="483"/>
      <c r="H13" s="483"/>
      <c r="I13" s="483"/>
      <c r="J13" s="511"/>
      <c r="K13" s="38" t="str">
        <f ca="1">IF(AND('Mapa final'!$AJ$21="Muy Alta",'Mapa final'!$AL$21="Leve"),CONCATENATE("R2C",'Mapa final'!$S$21),"")</f>
        <v/>
      </c>
      <c r="L13" s="178" t="str">
        <f>IF(AND('Mapa final'!$AJ$22="Muy Alta",'Mapa final'!$AL$22="Leve"),CONCATENATE("R2C",'Mapa final'!$S$22),"")</f>
        <v/>
      </c>
      <c r="M13" s="178" t="str">
        <f>IF(AND('Mapa final'!$AJ$23="Muy Alta",'Mapa final'!$AL$23="Leve"),CONCATENATE("R2C",'Mapa final'!$S$23),"")</f>
        <v/>
      </c>
      <c r="N13" s="178" t="str">
        <f>IF(AND('Mapa final'!$AJ$24="Muy Alta",'Mapa final'!$AL$24="Leve"),CONCATENATE("R2C",'Mapa final'!$S$24),"")</f>
        <v/>
      </c>
      <c r="O13" s="178" t="str">
        <f>IF(AND('Mapa final'!$AJ$25="Muy Alta",'Mapa final'!$AL$25="Leve"),CONCATENATE("R2C",'Mapa final'!$S$25),"")</f>
        <v/>
      </c>
      <c r="P13" s="40" t="str">
        <f>IF(AND('Mapa final'!$AJ$26="Muy Alta",'Mapa final'!$AL$26="Leve"),CONCATENATE("R2C",'Mapa final'!$S$26),"")</f>
        <v/>
      </c>
      <c r="Q13" s="178" t="str">
        <f ca="1">IF(AND('Mapa final'!$AJ$21="Muy Alta",'Mapa final'!$AL$21="Menor"),CONCATENATE("R2C",'Mapa final'!$S$21),"")</f>
        <v/>
      </c>
      <c r="R13" s="39" t="str">
        <f>IF(AND('Mapa final'!$AJ$22="Muy Alta",'Mapa final'!$AL$22="Menor"),CONCATENATE("R2C",'Mapa final'!$S$22),"")</f>
        <v/>
      </c>
      <c r="S13" s="39" t="str">
        <f>IF(AND('Mapa final'!$AJ$23="Muy Alta",'Mapa final'!$AL$23="Menor"),CONCATENATE("R2C",'Mapa final'!$S$23),"")</f>
        <v/>
      </c>
      <c r="T13" s="39" t="str">
        <f>IF(AND('Mapa final'!$AJ$24="Muy Alta",'Mapa final'!$AL$24="Menor"),CONCATENATE("R2C",'Mapa final'!$S$24),"")</f>
        <v/>
      </c>
      <c r="U13" s="39" t="str">
        <f>IF(AND('Mapa final'!$AJ$25="Muy Alta",'Mapa final'!$AL$25="Menor"),CONCATENATE("R2C",'Mapa final'!$S$25),"")</f>
        <v/>
      </c>
      <c r="V13" s="40" t="str">
        <f>IF(AND('Mapa final'!$AJ$26="Muy Alta",'Mapa final'!$AL$26="Menor"),CONCATENATE("R2C",'Mapa final'!$S$26),"")</f>
        <v/>
      </c>
      <c r="W13" s="38" t="str">
        <f ca="1">IF(AND('Mapa final'!$AJ$21="Muy Alta",'Mapa final'!$AL$21="Moderado"),CONCATENATE("R2C",'Mapa final'!$S$21),"")</f>
        <v/>
      </c>
      <c r="X13" s="39" t="str">
        <f>IF(AND('Mapa final'!$AJ$22="Muy Alta",'Mapa final'!$AL$22="Moderado"),CONCATENATE("R2C",'Mapa final'!$S$22),"")</f>
        <v/>
      </c>
      <c r="Y13" s="39" t="str">
        <f>IF(AND('Mapa final'!$AJ$23="Muy Alta",'Mapa final'!$AL$23="Moderado"),CONCATENATE("R2C",'Mapa final'!$S$23),"")</f>
        <v/>
      </c>
      <c r="Z13" s="39" t="str">
        <f>IF(AND('Mapa final'!$AJ$24="Muy Alta",'Mapa final'!$AL$24="Moderado"),CONCATENATE("R2C",'Mapa final'!$S$24),"")</f>
        <v/>
      </c>
      <c r="AA13" s="39" t="str">
        <f>IF(AND('Mapa final'!$AJ$25="Muy Alta",'Mapa final'!$AL$25="Moderado"),CONCATENATE("R2C",'Mapa final'!$S$25),"")</f>
        <v/>
      </c>
      <c r="AB13" s="40" t="str">
        <f>IF(AND('Mapa final'!$AJ$26="Muy Alta",'Mapa final'!$AL$26="Moderado"),CONCATENATE("R2C",'Mapa final'!$S$26),"")</f>
        <v/>
      </c>
      <c r="AC13" s="38" t="str">
        <f ca="1">IF(AND('Mapa final'!$AJ$21="Muy Alta",'Mapa final'!$AL$21="Mayor"),CONCATENATE("R2C",'Mapa final'!$S$21),"")</f>
        <v/>
      </c>
      <c r="AD13" s="39" t="str">
        <f>IF(AND('Mapa final'!$AJ$22="Muy Alta",'Mapa final'!$AL$22="Mayor"),CONCATENATE("R2C",'Mapa final'!$S$22),"")</f>
        <v/>
      </c>
      <c r="AE13" s="39" t="str">
        <f>IF(AND('Mapa final'!$AJ$23="Muy Alta",'Mapa final'!$AL$23="Mayor"),CONCATENATE("R2C",'Mapa final'!$S$23),"")</f>
        <v/>
      </c>
      <c r="AF13" s="39" t="str">
        <f>IF(AND('Mapa final'!$AJ$24="Muy Alta",'Mapa final'!$AL$24="Mayor"),CONCATENATE("R2C",'Mapa final'!$S$24),"")</f>
        <v/>
      </c>
      <c r="AG13" s="39" t="str">
        <f>IF(AND('Mapa final'!$AJ$25="Muy Alta",'Mapa final'!$AL$25="Mayor"),CONCATENATE("R2C",'Mapa final'!$S$25),"")</f>
        <v/>
      </c>
      <c r="AH13" s="40" t="str">
        <f>IF(AND('Mapa final'!$AJ$26="Muy Alta",'Mapa final'!$AL$26="Mayor"),CONCATENATE("R2C",'Mapa final'!$S$26),"")</f>
        <v/>
      </c>
      <c r="AI13" s="41" t="str">
        <f ca="1">IF(AND('Mapa final'!$AJ$21="Muy Alta",'Mapa final'!$AL$21="Catastrófico"),CONCATENATE("R2C",'Mapa final'!$S$21),"")</f>
        <v/>
      </c>
      <c r="AJ13" s="42" t="str">
        <f>IF(AND('Mapa final'!$AJ$22="Muy Alta",'Mapa final'!$AL$22="Catastrófico"),CONCATENATE("R2C",'Mapa final'!$S$22),"")</f>
        <v/>
      </c>
      <c r="AK13" s="42" t="str">
        <f>IF(AND('Mapa final'!$AJ$23="Muy Alta",'Mapa final'!$AL$23="Catastrófico"),CONCATENATE("R2C",'Mapa final'!$S$23),"")</f>
        <v/>
      </c>
      <c r="AL13" s="42" t="str">
        <f>IF(AND('Mapa final'!$AJ$24="Muy Alta",'Mapa final'!$AL$24="Catastrófico"),CONCATENATE("R2C",'Mapa final'!$S$24),"")</f>
        <v/>
      </c>
      <c r="AM13" s="42" t="str">
        <f>IF(AND('Mapa final'!$AJ$25="Muy Alta",'Mapa final'!$AL$25="Catastrófico"),CONCATENATE("R2C",'Mapa final'!$S$25),"")</f>
        <v/>
      </c>
      <c r="AN13" s="43" t="str">
        <f>IF(AND('Mapa final'!$AJ$26="Muy Alta",'Mapa final'!$AL$26="Catastrófico"),CONCATENATE("R2C",'Mapa final'!$S$26),"")</f>
        <v/>
      </c>
      <c r="AO13" s="69"/>
      <c r="AP13" s="502"/>
      <c r="AQ13" s="503"/>
      <c r="AR13" s="503"/>
      <c r="AS13" s="503"/>
      <c r="AT13" s="503"/>
      <c r="AU13" s="504"/>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439"/>
      <c r="D14" s="439"/>
      <c r="E14" s="440"/>
      <c r="F14" s="482"/>
      <c r="G14" s="483"/>
      <c r="H14" s="483"/>
      <c r="I14" s="483"/>
      <c r="J14" s="511"/>
      <c r="K14" s="38" t="str">
        <f>IF(AND('Mapa final'!$AJ$27="Muy Alta",'Mapa final'!$AL$27="Leve"),CONCATENATE("R2C",'Mapa final'!$S$27),"")</f>
        <v/>
      </c>
      <c r="L14" s="178" t="str">
        <f>IF(AND('Mapa final'!$AJ$28="Muy Alta",'Mapa final'!$AL$28="Leve"),CONCATENATE("R2C",'Mapa final'!$S$28),"")</f>
        <v/>
      </c>
      <c r="M14" s="178" t="str">
        <f>IF(AND('Mapa final'!$AJ$29="Muy Alta",'Mapa final'!$AL$29="Leve"),CONCATENATE("R2C",'Mapa final'!$S$29),"")</f>
        <v/>
      </c>
      <c r="N14" s="178" t="str">
        <f>IF(AND('Mapa final'!$AJ$30="Muy Alta",'Mapa final'!$AL$30="Leve"),CONCATENATE("R2C",'Mapa final'!$S$30),"")</f>
        <v/>
      </c>
      <c r="O14" s="178" t="str">
        <f>IF(AND('Mapa final'!$AJ$31="Muy Alta",'Mapa final'!$AL$31="Leve"),CONCATENATE("R2C",'Mapa final'!$S$31),"")</f>
        <v/>
      </c>
      <c r="P14" s="40" t="str">
        <f>IF(AND('Mapa final'!$AJ$32="Muy Alta",'Mapa final'!$AL$32="Leve"),CONCATENATE("R2C",'Mapa final'!$S$32),"")</f>
        <v/>
      </c>
      <c r="Q14" s="178" t="str">
        <f>IF(AND('Mapa final'!$AJ$27="Muy Alta",'Mapa final'!$AL$27="Menor"),CONCATENATE("R2C",'Mapa final'!$S$27),"")</f>
        <v/>
      </c>
      <c r="R14" s="39" t="str">
        <f>IF(AND('Mapa final'!$AJ$28="Muy Alta",'Mapa final'!$AL$28="Menor"),CONCATENATE("R2C",'Mapa final'!$S$28),"")</f>
        <v/>
      </c>
      <c r="S14" s="39" t="str">
        <f>IF(AND('Mapa final'!$AJ$29="Muy Alta",'Mapa final'!$AL$29="Menor"),CONCATENATE("R2C",'Mapa final'!$S$29),"")</f>
        <v/>
      </c>
      <c r="T14" s="39" t="str">
        <f>IF(AND('Mapa final'!$AJ$30="Muy Alta",'Mapa final'!$AL$30="Menor"),CONCATENATE("R2C",'Mapa final'!$S$30),"")</f>
        <v/>
      </c>
      <c r="U14" s="39" t="str">
        <f>IF(AND('Mapa final'!$AJ$31="Muy Alta",'Mapa final'!$AL$31="Menor"),CONCATENATE("R2C",'Mapa final'!$S$31),"")</f>
        <v/>
      </c>
      <c r="V14" s="40" t="str">
        <f>IF(AND('Mapa final'!$AJ$32="Muy Alta",'Mapa final'!$AL$32="Menor"),CONCATENATE("R2C",'Mapa final'!$S$32),"")</f>
        <v/>
      </c>
      <c r="W14" s="38" t="str">
        <f>IF(AND('Mapa final'!$AJ$27="Muy Alta",'Mapa final'!$AL$27="Moderado"),CONCATENATE("R2C",'Mapa final'!$S$27),"")</f>
        <v/>
      </c>
      <c r="X14" s="39" t="str">
        <f>IF(AND('Mapa final'!$AJ$28="Muy Alta",'Mapa final'!$AL$28="Moderado"),CONCATENATE("R2C",'Mapa final'!$S$28),"")</f>
        <v/>
      </c>
      <c r="Y14" s="39" t="str">
        <f>IF(AND('Mapa final'!$AJ$29="Muy Alta",'Mapa final'!$AL$29="Moderado"),CONCATENATE("R2C",'Mapa final'!$S$29),"")</f>
        <v/>
      </c>
      <c r="Z14" s="39" t="str">
        <f>IF(AND('Mapa final'!$AJ$30="Muy Alta",'Mapa final'!$AL$30="Moderado"),CONCATENATE("R2C",'Mapa final'!$S$30),"")</f>
        <v/>
      </c>
      <c r="AA14" s="39" t="str">
        <f>IF(AND('Mapa final'!$AJ$31="Muy Alta",'Mapa final'!$AL$31="Moderado"),CONCATENATE("R2C",'Mapa final'!$S$31),"")</f>
        <v/>
      </c>
      <c r="AB14" s="40" t="str">
        <f>IF(AND('Mapa final'!$AJ$32="Muy Alta",'Mapa final'!$AL$32="Moderado"),CONCATENATE("R2C",'Mapa final'!$S$32),"")</f>
        <v/>
      </c>
      <c r="AC14" s="38" t="str">
        <f>IF(AND('Mapa final'!$AJ$27="Muy Alta",'Mapa final'!$AL$27="Mayor"),CONCATENATE("R2C",'Mapa final'!$S$27),"")</f>
        <v/>
      </c>
      <c r="AD14" s="39" t="str">
        <f>IF(AND('Mapa final'!$AJ$28="Muy Alta",'Mapa final'!$AL$28="Mayor"),CONCATENATE("R2C",'Mapa final'!$S$28),"")</f>
        <v/>
      </c>
      <c r="AE14" s="39" t="str">
        <f>IF(AND('Mapa final'!$AJ$29="Muy Alta",'Mapa final'!$AL$29="Mayor"),CONCATENATE("R2C",'Mapa final'!$S$29),"")</f>
        <v/>
      </c>
      <c r="AF14" s="39" t="str">
        <f>IF(AND('Mapa final'!$AJ$30="Muy Alta",'Mapa final'!$AL$30="Mayor"),CONCATENATE("R2C",'Mapa final'!$S$30),"")</f>
        <v/>
      </c>
      <c r="AG14" s="39" t="str">
        <f>IF(AND('Mapa final'!$AJ$31="Muy Alta",'Mapa final'!$AL$31="Mayor"),CONCATENATE("R2C",'Mapa final'!$S$31),"")</f>
        <v/>
      </c>
      <c r="AH14" s="40" t="str">
        <f>IF(AND('Mapa final'!$AJ$32="Muy Alta",'Mapa final'!$AL$32="Mayor"),CONCATENATE("R2C",'Mapa final'!$S$32),"")</f>
        <v/>
      </c>
      <c r="AI14" s="41" t="str">
        <f>IF(AND('Mapa final'!$AJ$27="Muy Alta",'Mapa final'!$AL$27="Catastrófico"),CONCATENATE("R2C",'Mapa final'!$S$27),"")</f>
        <v/>
      </c>
      <c r="AJ14" s="42" t="str">
        <f>IF(AND('Mapa final'!$AJ$28="Muy Alta",'Mapa final'!$AL$28="Catastrófico"),CONCATENATE("R2C",'Mapa final'!$S$28),"")</f>
        <v/>
      </c>
      <c r="AK14" s="42" t="str">
        <f>IF(AND('Mapa final'!$AJ$29="Muy Alta",'Mapa final'!$AL$29="Catastrófico"),CONCATENATE("R2C",'Mapa final'!$S$29),"")</f>
        <v/>
      </c>
      <c r="AL14" s="42" t="str">
        <f>IF(AND('Mapa final'!$AJ$30="Muy Alta",'Mapa final'!$AL$30="Catastrófico"),CONCATENATE("R2C",'Mapa final'!$S$30),"")</f>
        <v/>
      </c>
      <c r="AM14" s="42" t="str">
        <f>IF(AND('Mapa final'!$AJ$31="Muy Alta",'Mapa final'!$AL$31="Catastrófico"),CONCATENATE("R2C",'Mapa final'!$S$31),"")</f>
        <v/>
      </c>
      <c r="AN14" s="43" t="str">
        <f>IF(AND('Mapa final'!$AJ$32="Muy Alta",'Mapa final'!$AL$32="Catastrófico"),CONCATENATE("R2C",'Mapa final'!$S$32),"")</f>
        <v/>
      </c>
      <c r="AO14" s="69"/>
      <c r="AP14" s="502"/>
      <c r="AQ14" s="503"/>
      <c r="AR14" s="503"/>
      <c r="AS14" s="503"/>
      <c r="AT14" s="503"/>
      <c r="AU14" s="504"/>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439"/>
      <c r="D15" s="439"/>
      <c r="E15" s="440"/>
      <c r="F15" s="482"/>
      <c r="G15" s="483"/>
      <c r="H15" s="483"/>
      <c r="I15" s="483"/>
      <c r="J15" s="511"/>
      <c r="K15" s="38" t="str">
        <f>IF(AND('Mapa final'!$AJ$33="Muy Alta",'Mapa final'!$AL$33="Leve"),CONCATENATE("R2C",'Mapa final'!$S$33),"")</f>
        <v/>
      </c>
      <c r="L15" s="178" t="str">
        <f>IF(AND('Mapa final'!$AJ$34="Muy Alta",'Mapa final'!$AL$34="Leve"),CONCATENATE("R2C",'Mapa final'!$S$34),"")</f>
        <v/>
      </c>
      <c r="M15" s="178" t="str">
        <f>IF(AND('Mapa final'!$AJ$35="Muy Alta",'Mapa final'!$AL$35="Leve"),CONCATENATE("R2C",'Mapa final'!$S$35),"")</f>
        <v/>
      </c>
      <c r="N15" s="178" t="str">
        <f>IF(AND('Mapa final'!$AJ$36="Muy Alta",'Mapa final'!$AL$36="Leve"),CONCATENATE("R2C",'Mapa final'!$S$36),"")</f>
        <v/>
      </c>
      <c r="O15" s="178" t="str">
        <f>IF(AND('Mapa final'!$AJ$37="Muy Alta",'Mapa final'!$AL$37="Leve"),CONCATENATE("R2C",'Mapa final'!$S$37),"")</f>
        <v/>
      </c>
      <c r="P15" s="40" t="str">
        <f>IF(AND('Mapa final'!$AJ$38="Muy Alta",'Mapa final'!$AL$38="Leve"),CONCATENATE("R2C",'Mapa final'!$S$38),"")</f>
        <v/>
      </c>
      <c r="Q15" s="178" t="str">
        <f>IF(AND('Mapa final'!$AJ$33="Muy Alta",'Mapa final'!$AL$33="Menor"),CONCATENATE("R2C",'Mapa final'!$S$33),"")</f>
        <v/>
      </c>
      <c r="R15" s="39" t="str">
        <f>IF(AND('Mapa final'!$AJ$34="Muy Alta",'Mapa final'!$AL$34="Menor"),CONCATENATE("R2C",'Mapa final'!$S$34),"")</f>
        <v/>
      </c>
      <c r="S15" s="39" t="str">
        <f>IF(AND('Mapa final'!$AJ$35="Muy Alta",'Mapa final'!$AL$35="Menor"),CONCATENATE("R2C",'Mapa final'!$S$35),"")</f>
        <v/>
      </c>
      <c r="T15" s="39" t="str">
        <f>IF(AND('Mapa final'!$AJ$36="Muy Alta",'Mapa final'!$AL$36="Menor"),CONCATENATE("R2C",'Mapa final'!$S$36),"")</f>
        <v/>
      </c>
      <c r="U15" s="39" t="str">
        <f>IF(AND('Mapa final'!$AJ$37="Muy Alta",'Mapa final'!$AL$37="LMenor"),CONCATENATE("R2C",'Mapa final'!$S$37),"")</f>
        <v/>
      </c>
      <c r="V15" s="40" t="str">
        <f>IF(AND('Mapa final'!$AJ$38="Muy Alta",'Mapa final'!$AL$38="Menor"),CONCATENATE("R2C",'Mapa final'!$S$38),"")</f>
        <v/>
      </c>
      <c r="W15" s="38" t="str">
        <f>IF(AND('Mapa final'!$AJ$33="Muy Alta",'Mapa final'!$AL$33="Moderado"),CONCATENATE("R2C",'Mapa final'!$S$33),"")</f>
        <v/>
      </c>
      <c r="X15" s="39" t="str">
        <f>IF(AND('Mapa final'!$AJ$34="Muy Alta",'Mapa final'!$AL$34="Moderado"),CONCATENATE("R2C",'Mapa final'!$S$34),"")</f>
        <v/>
      </c>
      <c r="Y15" s="39" t="str">
        <f>IF(AND('Mapa final'!$AJ$35="Muy Alta",'Mapa final'!$AL$35="Moderado"),CONCATENATE("R2C",'Mapa final'!$S$35),"")</f>
        <v/>
      </c>
      <c r="Z15" s="39" t="str">
        <f>IF(AND('Mapa final'!$AJ$36="Muy Alta",'Mapa final'!$AL$36="Moderado"),CONCATENATE("R2C",'Mapa final'!$S$36),"")</f>
        <v/>
      </c>
      <c r="AA15" s="39" t="str">
        <f>IF(AND('Mapa final'!$AJ$37="Muy Alta",'Mapa final'!$AL$37="Moderado"),CONCATENATE("R2C",'Mapa final'!$S$37),"")</f>
        <v/>
      </c>
      <c r="AB15" s="40" t="str">
        <f>IF(AND('Mapa final'!$AJ$38="Muy Alta",'Mapa final'!$AL$38="Moderado"),CONCATENATE("R2C",'Mapa final'!$S$38),"")</f>
        <v/>
      </c>
      <c r="AC15" s="38" t="str">
        <f>IF(AND('Mapa final'!$AJ$33="Muy Alta",'Mapa final'!$AL$33="Mayor"),CONCATENATE("R2C",'Mapa final'!$S$33),"")</f>
        <v/>
      </c>
      <c r="AD15" s="39" t="str">
        <f>IF(AND('Mapa final'!$AJ$34="Muy Alta",'Mapa final'!$AL$34="Mayor"),CONCATENATE("R2C",'Mapa final'!$S$34),"")</f>
        <v/>
      </c>
      <c r="AE15" s="39" t="str">
        <f>IF(AND('Mapa final'!$AJ$35="Muy Alta",'Mapa final'!$AL$35="Mayor"),CONCATENATE("R2C",'Mapa final'!$S$35),"")</f>
        <v/>
      </c>
      <c r="AF15" s="39" t="str">
        <f>IF(AND('Mapa final'!$AJ$36="Muy Alta",'Mapa final'!$AL$36="Mayor"),CONCATENATE("R2C",'Mapa final'!$S$36),"")</f>
        <v/>
      </c>
      <c r="AG15" s="39" t="str">
        <f>IF(AND('Mapa final'!$AJ$37="Muy Alta",'Mapa final'!$AL$37="Mayor"),CONCATENATE("R2C",'Mapa final'!$S$37),"")</f>
        <v/>
      </c>
      <c r="AH15" s="40" t="str">
        <f>IF(AND('Mapa final'!$AJ$38="Muy Alta",'Mapa final'!$AL$38="Mayor"),CONCATENATE("R2C",'Mapa final'!$S$38),"")</f>
        <v/>
      </c>
      <c r="AI15" s="41" t="str">
        <f>IF(AND('Mapa final'!$AJ$33="Muy Alta",'Mapa final'!$AL$33="Catastrófico"),CONCATENATE("R2C",'Mapa final'!$S$33),"")</f>
        <v/>
      </c>
      <c r="AJ15" s="42" t="str">
        <f>IF(AND('Mapa final'!$AJ$34="Muy Alta",'Mapa final'!$AL$34="Catastrófico"),CONCATENATE("R2C",'Mapa final'!$S$34),"")</f>
        <v/>
      </c>
      <c r="AK15" s="42" t="str">
        <f>IF(AND('Mapa final'!$AJ$35="Muy Alta",'Mapa final'!$AL$35="Catastrófico"),CONCATENATE("R2C",'Mapa final'!$S$35),"")</f>
        <v/>
      </c>
      <c r="AL15" s="42" t="str">
        <f>IF(AND('Mapa final'!$AJ$36="Muy Alta",'Mapa final'!$AL$36="Catastrófico"),CONCATENATE("R2C",'Mapa final'!$S$36),"")</f>
        <v/>
      </c>
      <c r="AM15" s="42" t="str">
        <f>IF(AND('Mapa final'!$AJ$37="Muy Alta",'Mapa final'!$AL$37="LCatastrófico"),CONCATENATE("R2C",'Mapa final'!$S$37),"")</f>
        <v/>
      </c>
      <c r="AN15" s="43" t="str">
        <f>IF(AND('Mapa final'!$AJ$38="Muy Alta",'Mapa final'!$AL$38="Catastrófico"),CONCATENATE("R2C",'Mapa final'!$S$38),"")</f>
        <v/>
      </c>
      <c r="AO15" s="69"/>
      <c r="AP15" s="502"/>
      <c r="AQ15" s="503"/>
      <c r="AR15" s="503"/>
      <c r="AS15" s="503"/>
      <c r="AT15" s="503"/>
      <c r="AU15" s="504"/>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439"/>
      <c r="D16" s="439"/>
      <c r="E16" s="440"/>
      <c r="F16" s="482"/>
      <c r="G16" s="483"/>
      <c r="H16" s="483"/>
      <c r="I16" s="483"/>
      <c r="J16" s="511"/>
      <c r="K16" s="38" t="str">
        <f>IF(AND('Mapa final'!$AJ$39="Muy Alta",'Mapa final'!$AL$39="Leve"),CONCATENATE("R2C",'Mapa final'!$S$39),"")</f>
        <v/>
      </c>
      <c r="L16" s="178" t="str">
        <f>IF(AND('Mapa final'!$AJ$40="Muy Alta",'Mapa final'!$AL$40="Leve"),CONCATENATE("R2C",'Mapa final'!$S$40),"")</f>
        <v/>
      </c>
      <c r="M16" s="178" t="str">
        <f>IF(AND('Mapa final'!$AJ$41="Muy Alta",'Mapa final'!$AL$41="Leve"),CONCATENATE("R2C",'Mapa final'!$S$41),"")</f>
        <v/>
      </c>
      <c r="N16" s="178" t="str">
        <f>IF(AND('Mapa final'!$AJ$42="Muy Alta",'Mapa final'!$AL$42="Leve"),CONCATENATE("R2C",'Mapa final'!$S$42),"")</f>
        <v/>
      </c>
      <c r="O16" s="178" t="str">
        <f>IF(AND('Mapa final'!$AJ$43="Muy Alta",'Mapa final'!$AL$43="Leve"),CONCATENATE("R2C",'Mapa final'!$S$43),"")</f>
        <v/>
      </c>
      <c r="P16" s="40" t="str">
        <f>IF(AND('Mapa final'!$AJ$44="Muy Alta",'Mapa final'!$AL$44="Leve"),CONCATENATE("R2C",'Mapa final'!$S$44),"")</f>
        <v/>
      </c>
      <c r="Q16" s="178" t="str">
        <f>IF(AND('Mapa final'!$AJ$39="Muy Alta",'Mapa final'!$AL$39="Menor"),CONCATENATE("R2C",'Mapa final'!$S$39),"")</f>
        <v/>
      </c>
      <c r="R16" s="39" t="str">
        <f>IF(AND('Mapa final'!$AJ$40="Muy Alta",'Mapa final'!$AL$40="Menor"),CONCATENATE("R2C",'Mapa final'!$S$40),"")</f>
        <v/>
      </c>
      <c r="S16" s="39" t="str">
        <f>IF(AND('Mapa final'!$AJ$41="Muy Alta",'Mapa final'!$AL$41="Menor"),CONCATENATE("R2C",'Mapa final'!$S$41),"")</f>
        <v/>
      </c>
      <c r="T16" s="39" t="str">
        <f>IF(AND('Mapa final'!$AJ$42="Muy Alta",'Mapa final'!$AL$42="Menor"),CONCATENATE("R2C",'Mapa final'!$S$42),"")</f>
        <v/>
      </c>
      <c r="U16" s="39" t="str">
        <f>IF(AND('Mapa final'!$AJ$43="Muy Alta",'Mapa final'!$AL$43="Menor"),CONCATENATE("R2C",'Mapa final'!$S$43),"")</f>
        <v/>
      </c>
      <c r="V16" s="40" t="str">
        <f>IF(AND('Mapa final'!$AJ$44="Muy Alta",'Mapa final'!$AL$44="Menor"),CONCATENATE("R2C",'Mapa final'!$S$44),"")</f>
        <v/>
      </c>
      <c r="W16" s="38" t="str">
        <f>IF(AND('Mapa final'!$AJ$39="Muy Alta",'Mapa final'!$AL$39="Moderado"),CONCATENATE("R2C",'Mapa final'!$S$39),"")</f>
        <v/>
      </c>
      <c r="X16" s="39" t="str">
        <f>IF(AND('Mapa final'!$AJ$40="Muy Alta",'Mapa final'!$AL$40="Moderado"),CONCATENATE("R2C",'Mapa final'!$S$40),"")</f>
        <v/>
      </c>
      <c r="Y16" s="39" t="str">
        <f>IF(AND('Mapa final'!$AJ$41="Muy Alta",'Mapa final'!$AL$41="Moderado"),CONCATENATE("R2C",'Mapa final'!$S$41),"")</f>
        <v/>
      </c>
      <c r="Z16" s="39" t="str">
        <f>IF(AND('Mapa final'!$AJ$42="Muy Alta",'Mapa final'!$AL$42="Moderado"),CONCATENATE("R2C",'Mapa final'!$S$42),"")</f>
        <v/>
      </c>
      <c r="AA16" s="39" t="str">
        <f>IF(AND('Mapa final'!$AJ$43="Muy Alta",'Mapa final'!$AL$43="Moderado"),CONCATENATE("R2C",'Mapa final'!$S$43),"")</f>
        <v/>
      </c>
      <c r="AB16" s="40" t="str">
        <f>IF(AND('Mapa final'!$AJ$44="Muy Alta",'Mapa final'!$AL$44="Moderado"),CONCATENATE("R2C",'Mapa final'!$S$44),"")</f>
        <v/>
      </c>
      <c r="AC16" s="38" t="str">
        <f>IF(AND('Mapa final'!$AJ$39="Muy Alta",'Mapa final'!$AL$39="Mayor"),CONCATENATE("R2C",'Mapa final'!$S$39),"")</f>
        <v/>
      </c>
      <c r="AD16" s="39" t="str">
        <f>IF(AND('Mapa final'!$AJ$40="Muy Alta",'Mapa final'!$AL$40="Mayor"),CONCATENATE("R2C",'Mapa final'!$S$40),"")</f>
        <v/>
      </c>
      <c r="AE16" s="39" t="str">
        <f>IF(AND('Mapa final'!$AJ$41="Muy Alta",'Mapa final'!$AL$41="Mayor"),CONCATENATE("R2C",'Mapa final'!$S$41),"")</f>
        <v/>
      </c>
      <c r="AF16" s="39" t="str">
        <f>IF(AND('Mapa final'!$AJ$42="Muy Alta",'Mapa final'!$AL$42="Mayor"),CONCATENATE("R2C",'Mapa final'!$S$42),"")</f>
        <v/>
      </c>
      <c r="AG16" s="39" t="str">
        <f>IF(AND('Mapa final'!$AJ$43="Muy Alta",'Mapa final'!$AL$43="Mayor"),CONCATENATE("R2C",'Mapa final'!$S$43),"")</f>
        <v/>
      </c>
      <c r="AH16" s="40" t="str">
        <f>IF(AND('Mapa final'!$AJ$44="Muy Alta",'Mapa final'!$AL$44="Mayor"),CONCATENATE("R2C",'Mapa final'!$S$44),"")</f>
        <v/>
      </c>
      <c r="AI16" s="41" t="str">
        <f>IF(AND('Mapa final'!$AJ$39="Muy Alta",'Mapa final'!$AL$39="Catastrófico"),CONCATENATE("R2C",'Mapa final'!$S$39),"")</f>
        <v/>
      </c>
      <c r="AJ16" s="42" t="str">
        <f>IF(AND('Mapa final'!$AJ$40="Muy Alta",'Mapa final'!$AL$40="Catastrófico"),CONCATENATE("R2C",'Mapa final'!$S$40),"")</f>
        <v/>
      </c>
      <c r="AK16" s="42" t="str">
        <f>IF(AND('Mapa final'!$AJ$41="Muy Alta",'Mapa final'!$AL$41="Catastrófico"),CONCATENATE("R2C",'Mapa final'!$S$41),"")</f>
        <v/>
      </c>
      <c r="AL16" s="42" t="str">
        <f>IF(AND('Mapa final'!$AJ$42="Muy Alta",'Mapa final'!$AL$42="Catastrófico"),CONCATENATE("R2C",'Mapa final'!$S$42),"")</f>
        <v/>
      </c>
      <c r="AM16" s="42" t="str">
        <f>IF(AND('Mapa final'!$AJ$43="Muy Alta",'Mapa final'!$AL$43="Catastrófico"),CONCATENATE("R2C",'Mapa final'!$S$43),"")</f>
        <v/>
      </c>
      <c r="AN16" s="43" t="str">
        <f>IF(AND('Mapa final'!$AJ$44="Muy Alta",'Mapa final'!$AL$44="Catastrófico"),CONCATENATE("R2C",'Mapa final'!$S$44),"")</f>
        <v/>
      </c>
      <c r="AO16" s="69"/>
      <c r="AP16" s="502"/>
      <c r="AQ16" s="503"/>
      <c r="AR16" s="503"/>
      <c r="AS16" s="503"/>
      <c r="AT16" s="503"/>
      <c r="AU16" s="504"/>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439"/>
      <c r="D17" s="439"/>
      <c r="E17" s="440"/>
      <c r="F17" s="482"/>
      <c r="G17" s="483"/>
      <c r="H17" s="483"/>
      <c r="I17" s="483"/>
      <c r="J17" s="511"/>
      <c r="K17" s="38" t="str">
        <f>IF(AND('Mapa final'!$AJ$45="Muy Alta",'Mapa final'!$AL$45="Leve"),CONCATENATE("R2C",'Mapa final'!$S$45),"")</f>
        <v/>
      </c>
      <c r="L17" s="178" t="str">
        <f>IF(AND('Mapa final'!$AJ$46="Muy Alta",'Mapa final'!$AL$46="Leve"),CONCATENATE("R2C",'Mapa final'!$S$46),"")</f>
        <v/>
      </c>
      <c r="M17" s="178" t="str">
        <f>IF(AND('Mapa final'!$AJ$47="Muy Alta",'Mapa final'!$AL$47="Leve"),CONCATENATE("R2C",'Mapa final'!$S$47),"")</f>
        <v/>
      </c>
      <c r="N17" s="178" t="str">
        <f>IF(AND('Mapa final'!$AJ$48="Muy Alta",'Mapa final'!$AL$48="Leve"),CONCATENATE("R2C",'Mapa final'!$S$48),"")</f>
        <v/>
      </c>
      <c r="O17" s="178" t="str">
        <f>IF(AND('Mapa final'!$AJ$49="Muy Alta",'Mapa final'!$AL$49="Leve"),CONCATENATE("R2C",'Mapa final'!$S$49),"")</f>
        <v/>
      </c>
      <c r="P17" s="40" t="str">
        <f>IF(AND('Mapa final'!$AJ$60="Muy Alta",'Mapa final'!$AL$50="Leve"),CONCATENATE("R2C",'Mapa final'!$S$50),"")</f>
        <v/>
      </c>
      <c r="Q17" s="178" t="str">
        <f>IF(AND('Mapa final'!$AJ$45="Muy Alta",'Mapa final'!$AL$45="Menor"),CONCATENATE("R2C",'Mapa final'!$S$45),"")</f>
        <v/>
      </c>
      <c r="R17" s="39" t="str">
        <f>IF(AND('Mapa final'!$AJ$46="Muy Alta",'Mapa final'!$AL$46="Menor"),CONCATENATE("R2C",'Mapa final'!$S$46),"")</f>
        <v/>
      </c>
      <c r="S17" s="39" t="str">
        <f>IF(AND('Mapa final'!$AJ$47="Muy Alta",'Mapa final'!$AL$47="Menor"),CONCATENATE("R2C",'Mapa final'!$S$47),"")</f>
        <v/>
      </c>
      <c r="T17" s="39" t="str">
        <f>IF(AND('Mapa final'!$AJ$48="Muy Alta",'Mapa final'!$AL$48="Menor"),CONCATENATE("R2C",'Mapa final'!$S$48),"")</f>
        <v/>
      </c>
      <c r="U17" s="39" t="str">
        <f>IF(AND('Mapa final'!$AJ$49="Muy Alta",'Mapa final'!$AL$49="Menor"),CONCATENATE("R2C",'Mapa final'!$S$49),"")</f>
        <v/>
      </c>
      <c r="V17" s="40" t="str">
        <f>IF(AND('Mapa final'!$AJ$60="Muy Alta",'Mapa final'!$AL$50="Menor"),CONCATENATE("R2C",'Mapa final'!$S$50),"")</f>
        <v/>
      </c>
      <c r="W17" s="38" t="str">
        <f>IF(AND('Mapa final'!$AJ$45="Muy Alta",'Mapa final'!$AL$45="Moderado"),CONCATENATE("R2C",'Mapa final'!$S$45),"")</f>
        <v/>
      </c>
      <c r="X17" s="39" t="str">
        <f>IF(AND('Mapa final'!$AJ$46="Muy Alta",'Mapa final'!$AL$46="Moderado"),CONCATENATE("R2C",'Mapa final'!$S$46),"")</f>
        <v/>
      </c>
      <c r="Y17" s="39" t="str">
        <f>IF(AND('Mapa final'!$AJ$47="Muy Alta",'Mapa final'!$AL$47="Moderado"),CONCATENATE("R2C",'Mapa final'!$S$47),"")</f>
        <v/>
      </c>
      <c r="Z17" s="39" t="str">
        <f>IF(AND('Mapa final'!$AJ$48="Muy Alta",'Mapa final'!$AL$48="Moderado"),CONCATENATE("R2C",'Mapa final'!$S$48),"")</f>
        <v/>
      </c>
      <c r="AA17" s="39" t="str">
        <f>IF(AND('Mapa final'!$AJ$49="Muy Alta",'Mapa final'!$AL$49="Moderado"),CONCATENATE("R2C",'Mapa final'!$S$49),"")</f>
        <v/>
      </c>
      <c r="AB17" s="40" t="str">
        <f>IF(AND('Mapa final'!$AJ$60="Muy Alta",'Mapa final'!$AL$50="Moderado"),CONCATENATE("R2C",'Mapa final'!$S$50),"")</f>
        <v/>
      </c>
      <c r="AC17" s="38" t="str">
        <f>IF(AND('Mapa final'!$AJ$45="Muy Alta",'Mapa final'!$AL$45="Mayor"),CONCATENATE("R2C",'Mapa final'!$S$45),"")</f>
        <v/>
      </c>
      <c r="AD17" s="39" t="str">
        <f>IF(AND('Mapa final'!$AJ$46="Muy Alta",'Mapa final'!$AL$46="Mayor"),CONCATENATE("R2C",'Mapa final'!$S$46),"")</f>
        <v/>
      </c>
      <c r="AE17" s="39" t="str">
        <f>IF(AND('Mapa final'!$AJ$47="Muy Alta",'Mapa final'!$AL$47="Mayor"),CONCATENATE("R2C",'Mapa final'!$S$47),"")</f>
        <v/>
      </c>
      <c r="AF17" s="39" t="str">
        <f>IF(AND('Mapa final'!$AJ$48="Muy Alta",'Mapa final'!$AL$48="Mayor"),CONCATENATE("R2C",'Mapa final'!$S$48),"")</f>
        <v/>
      </c>
      <c r="AG17" s="39" t="str">
        <f>IF(AND('Mapa final'!$AJ$49="Muy Alta",'Mapa final'!$AL$49="Mayor"),CONCATENATE("R2C",'Mapa final'!$S$49),"")</f>
        <v/>
      </c>
      <c r="AH17" s="40" t="str">
        <f>IF(AND('Mapa final'!$AJ$60="Muy Alta",'Mapa final'!$AL$50="Mayor"),CONCATENATE("R2C",'Mapa final'!$S$50),"")</f>
        <v/>
      </c>
      <c r="AI17" s="41" t="str">
        <f>IF(AND('Mapa final'!$AJ$45="Muy Alta",'Mapa final'!$AL$45="Catastrófico"),CONCATENATE("R2C",'Mapa final'!$S$45),"")</f>
        <v/>
      </c>
      <c r="AJ17" s="42" t="str">
        <f>IF(AND('Mapa final'!$AJ$46="Muy Alta",'Mapa final'!$AL$46="Catastrófico"),CONCATENATE("R2C",'Mapa final'!$S$46),"")</f>
        <v/>
      </c>
      <c r="AK17" s="42" t="str">
        <f>IF(AND('Mapa final'!$AJ$47="Muy Alta",'Mapa final'!$AL$47="Catastrófico"),CONCATENATE("R2C",'Mapa final'!$S$47),"")</f>
        <v/>
      </c>
      <c r="AL17" s="42" t="str">
        <f>IF(AND('Mapa final'!$AJ$48="Muy Alta",'Mapa final'!$AL$48="Catastrófico"),CONCATENATE("R2C",'Mapa final'!$S$48),"")</f>
        <v/>
      </c>
      <c r="AM17" s="42" t="str">
        <f>IF(AND('Mapa final'!$AJ$49="Muy Alta",'Mapa final'!$AL$49="Catastrófico"),CONCATENATE("R2C",'Mapa final'!$S$49),"")</f>
        <v/>
      </c>
      <c r="AN17" s="43" t="str">
        <f>IF(AND('Mapa final'!$AJ$60="Muy Alta",'Mapa final'!$AL$50="Catastrófico"),CONCATENATE("R2C",'Mapa final'!$S$50),"")</f>
        <v/>
      </c>
      <c r="AO17" s="69"/>
      <c r="AP17" s="502"/>
      <c r="AQ17" s="503"/>
      <c r="AR17" s="503"/>
      <c r="AS17" s="503"/>
      <c r="AT17" s="503"/>
      <c r="AU17" s="504"/>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439"/>
      <c r="D18" s="439"/>
      <c r="E18" s="440"/>
      <c r="F18" s="482"/>
      <c r="G18" s="483"/>
      <c r="H18" s="483"/>
      <c r="I18" s="483"/>
      <c r="J18" s="511"/>
      <c r="K18" s="38" t="str">
        <f>IF(AND('Mapa final'!$AJ$51="Muy Alta",'Mapa final'!$AL$51="Leve"),CONCATENATE("R2C",'Mapa final'!$S$51),"")</f>
        <v/>
      </c>
      <c r="L18" s="178" t="str">
        <f>IF(AND('Mapa final'!$AJ$52="Muy Alta",'Mapa final'!$AL$52="Leve"),CONCATENATE("R2C",'Mapa final'!$S$52),"")</f>
        <v/>
      </c>
      <c r="M18" s="178" t="str">
        <f>IF(AND('Mapa final'!$AJ$53="Muy Alta",'Mapa final'!$AL$53="Leve"),CONCATENATE("R2C",'Mapa final'!$S$53),"")</f>
        <v/>
      </c>
      <c r="N18" s="178" t="str">
        <f>IF(AND('Mapa final'!$AJ$54="Muy Alta",'Mapa final'!$AL$54="Leve"),CONCATENATE("R2C",'Mapa final'!$S$54),"")</f>
        <v/>
      </c>
      <c r="O18" s="178" t="str">
        <f>IF(AND('Mapa final'!$AJ$55="Muy Alta",'Mapa final'!$AL$55="Leve"),CONCATENATE("R2C",'Mapa final'!$S$55),"")</f>
        <v/>
      </c>
      <c r="P18" s="40" t="str">
        <f>IF(AND('Mapa final'!$AJ$56="Muy Alta",'Mapa final'!$AL$56="Leve"),CONCATENATE("R2C",'Mapa final'!$S$56),"")</f>
        <v/>
      </c>
      <c r="Q18" s="178" t="str">
        <f>IF(AND('Mapa final'!$AJ$51="Muy Alta",'Mapa final'!$AL$51="Menor"),CONCATENATE("R2C",'Mapa final'!$S$51),"")</f>
        <v/>
      </c>
      <c r="R18" s="39" t="str">
        <f>IF(AND('Mapa final'!$AJ$52="Muy Alta",'Mapa final'!$AL$52="Menor"),CONCATENATE("R2C",'Mapa final'!$S$52),"")</f>
        <v/>
      </c>
      <c r="S18" s="39" t="str">
        <f>IF(AND('Mapa final'!$AJ$53="Muy Alta",'Mapa final'!$AL$53="Menor"),CONCATENATE("R2C",'Mapa final'!$S$53),"")</f>
        <v/>
      </c>
      <c r="T18" s="39" t="str">
        <f>IF(AND('Mapa final'!$AJ$54="Muy Alta",'Mapa final'!$AL$54="Menor"),CONCATENATE("R2C",'Mapa final'!$S$54),"")</f>
        <v/>
      </c>
      <c r="U18" s="39" t="str">
        <f>IF(AND('Mapa final'!$AJ$55="Muy Alta",'Mapa final'!$AL$55="Menor"),CONCATENATE("R2C",'Mapa final'!$S$55),"")</f>
        <v/>
      </c>
      <c r="V18" s="40" t="str">
        <f>IF(AND('Mapa final'!$AJ$56="Muy Alta",'Mapa final'!$AL$56="Menor"),CONCATENATE("R2C",'Mapa final'!$S$56),"")</f>
        <v/>
      </c>
      <c r="W18" s="38" t="str">
        <f>IF(AND('Mapa final'!$AJ$51="Muy Alta",'Mapa final'!$AL$51="Moderado"),CONCATENATE("R2C",'Mapa final'!$S$51),"")</f>
        <v/>
      </c>
      <c r="X18" s="39" t="str">
        <f>IF(AND('Mapa final'!$AJ$52="Muy Alta",'Mapa final'!$AL$52="Moderado"),CONCATENATE("R2C",'Mapa final'!$S$52),"")</f>
        <v/>
      </c>
      <c r="Y18" s="39" t="str">
        <f>IF(AND('Mapa final'!$AJ$53="Muy Alta",'Mapa final'!$AL$53="Moderado"),CONCATENATE("R2C",'Mapa final'!$S$53),"")</f>
        <v/>
      </c>
      <c r="Z18" s="39" t="str">
        <f>IF(AND('Mapa final'!$AJ$54="Muy Alta",'Mapa final'!$AL$54="Moderado"),CONCATENATE("R2C",'Mapa final'!$S$54),"")</f>
        <v/>
      </c>
      <c r="AA18" s="39" t="str">
        <f>IF(AND('Mapa final'!$AJ$55="Muy Alta",'Mapa final'!$AL$55="Moderado"),CONCATENATE("R2C",'Mapa final'!$S$55),"")</f>
        <v/>
      </c>
      <c r="AB18" s="40" t="str">
        <f>IF(AND('Mapa final'!$AJ$56="Muy Alta",'Mapa final'!$AL$56="Moderado"),CONCATENATE("R2C",'Mapa final'!$S$56),"")</f>
        <v/>
      </c>
      <c r="AC18" s="38" t="str">
        <f>IF(AND('Mapa final'!$AJ$51="Muy Alta",'Mapa final'!$AL$51="Mayor"),CONCATENATE("R2C",'Mapa final'!$S$51),"")</f>
        <v/>
      </c>
      <c r="AD18" s="39" t="str">
        <f>IF(AND('Mapa final'!$AJ$52="Muy Alta",'Mapa final'!$AL$52="Mayor"),CONCATENATE("R2C",'Mapa final'!$S$52),"")</f>
        <v/>
      </c>
      <c r="AE18" s="39" t="str">
        <f>IF(AND('Mapa final'!$AJ$53="Muy Alta",'Mapa final'!$AL$53="Mayor"),CONCATENATE("R2C",'Mapa final'!$S$53),"")</f>
        <v/>
      </c>
      <c r="AF18" s="39" t="str">
        <f>IF(AND('Mapa final'!$AJ$54="Muy Alta",'Mapa final'!$AL$54="Mayor"),CONCATENATE("R2C",'Mapa final'!$S$54),"")</f>
        <v/>
      </c>
      <c r="AG18" s="39" t="str">
        <f>IF(AND('Mapa final'!$AJ$55="Muy Alta",'Mapa final'!$AL$55="Mayor"),CONCATENATE("R2C",'Mapa final'!$S$55),"")</f>
        <v/>
      </c>
      <c r="AH18" s="40" t="str">
        <f>IF(AND('Mapa final'!$AJ$56="Muy Alta",'Mapa final'!$AL$56="Mayor"),CONCATENATE("R2C",'Mapa final'!$S$56),"")</f>
        <v/>
      </c>
      <c r="AI18" s="41" t="str">
        <f>IF(AND('Mapa final'!$AJ$51="Muy Alta",'Mapa final'!$AL$51="Catastrófico"),CONCATENATE("R2C",'Mapa final'!$S$51),"")</f>
        <v/>
      </c>
      <c r="AJ18" s="42" t="str">
        <f>IF(AND('Mapa final'!$AJ$52="Muy Alta",'Mapa final'!$AL$52="Catastrófico"),CONCATENATE("R2C",'Mapa final'!$S$52),"")</f>
        <v/>
      </c>
      <c r="AK18" s="42" t="str">
        <f>IF(AND('Mapa final'!$AJ$53="Muy Alta",'Mapa final'!$AL$53="Catastrófico"),CONCATENATE("R2C",'Mapa final'!$S$53),"")</f>
        <v/>
      </c>
      <c r="AL18" s="42" t="str">
        <f>IF(AND('Mapa final'!$AJ$54="Muy Alta",'Mapa final'!$AL$54="Catastrófico"),CONCATENATE("R2C",'Mapa final'!$S$54),"")</f>
        <v/>
      </c>
      <c r="AM18" s="42" t="str">
        <f>IF(AND('Mapa final'!$AJ$55="Muy Alta",'Mapa final'!$AL$55="Catastrófico"),CONCATENATE("R2C",'Mapa final'!$S$55),"")</f>
        <v/>
      </c>
      <c r="AN18" s="43" t="str">
        <f>IF(AND('Mapa final'!$AJ$56="Muy Alta",'Mapa final'!$AL$56="Catastrófico"),CONCATENATE("R2C",'Mapa final'!$S$56),"")</f>
        <v/>
      </c>
      <c r="AO18" s="69"/>
      <c r="AP18" s="502"/>
      <c r="AQ18" s="503"/>
      <c r="AR18" s="503"/>
      <c r="AS18" s="503"/>
      <c r="AT18" s="503"/>
      <c r="AU18" s="504"/>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439"/>
      <c r="D19" s="439"/>
      <c r="E19" s="440"/>
      <c r="F19" s="482"/>
      <c r="G19" s="483"/>
      <c r="H19" s="483"/>
      <c r="I19" s="483"/>
      <c r="J19" s="511"/>
      <c r="K19" s="38" t="str">
        <f>IF(AND('Mapa final'!$AJ$57="Muy Alta",'Mapa final'!$AL$57="Leve"),CONCATENATE("R2C",'Mapa final'!$S$57),"")</f>
        <v/>
      </c>
      <c r="L19" s="178" t="str">
        <f>IF(AND('Mapa final'!$AJ$58="Muy Alta",'Mapa final'!$AL$58="Leve"),CONCATENATE("R2C",'Mapa final'!$S$58),"")</f>
        <v/>
      </c>
      <c r="M19" s="178" t="str">
        <f>IF(AND('Mapa final'!$AJ$59="Muy Alta",'Mapa final'!$AL$59="Leve"),CONCATENATE("R2C",'Mapa final'!$S$59),"")</f>
        <v/>
      </c>
      <c r="N19" s="178" t="str">
        <f>IF(AND('Mapa final'!$AJ$60="Muy Alta",'Mapa final'!$AL$60="Leve"),CONCATENATE("R2C",'Mapa final'!$S$60),"")</f>
        <v/>
      </c>
      <c r="O19" s="178" t="str">
        <f>IF(AND('Mapa final'!$AJ$61="Muy Alta",'Mapa final'!$AL$61="Leve"),CONCATENATE("R2C",'Mapa final'!$S$61),"")</f>
        <v/>
      </c>
      <c r="P19" s="40" t="str">
        <f>IF(AND('Mapa final'!$AJ$62="Muy Alta",'Mapa final'!$AL$62="Leve"),CONCATENATE("R2C",'Mapa final'!$S$62),"")</f>
        <v/>
      </c>
      <c r="Q19" s="178" t="str">
        <f>IF(AND('Mapa final'!$AJ$57="Muy Alta",'Mapa final'!$AL$57="Menor"),CONCATENATE("R2C",'Mapa final'!$S$57),"")</f>
        <v/>
      </c>
      <c r="R19" s="39" t="str">
        <f>IF(AND('Mapa final'!$AJ$58="Muy Alta",'Mapa final'!$AL$58="Menor"),CONCATENATE("R2C",'Mapa final'!$S$58),"")</f>
        <v/>
      </c>
      <c r="S19" s="39" t="str">
        <f>IF(AND('Mapa final'!$AJ$59="Muy Alta",'Mapa final'!$AL$59="Menor"),CONCATENATE("R2C",'Mapa final'!$S$59),"")</f>
        <v/>
      </c>
      <c r="T19" s="39" t="str">
        <f>IF(AND('Mapa final'!$AJ$60="Muy Alta",'Mapa final'!$AL$60="Menor"),CONCATENATE("R2C",'Mapa final'!$S$60),"")</f>
        <v/>
      </c>
      <c r="U19" s="39" t="str">
        <f>IF(AND('Mapa final'!$AJ$61="Muy Alta",'Mapa final'!$AL$61="Menor"),CONCATENATE("R2C",'Mapa final'!$S$61),"")</f>
        <v/>
      </c>
      <c r="V19" s="40" t="str">
        <f>IF(AND('Mapa final'!$AJ$62="Muy Alta",'Mapa final'!$AL$62="Menor"),CONCATENATE("R2C",'Mapa final'!$S$62),"")</f>
        <v/>
      </c>
      <c r="W19" s="38" t="str">
        <f>IF(AND('Mapa final'!$AJ$57="Muy Alta",'Mapa final'!$AL$57="Moderado"),CONCATENATE("R2C",'Mapa final'!$S$57),"")</f>
        <v/>
      </c>
      <c r="X19" s="39" t="str">
        <f>IF(AND('Mapa final'!$AJ$58="Muy Alta",'Mapa final'!$AL$58="Moderado"),CONCATENATE("R2C",'Mapa final'!$S$58),"")</f>
        <v/>
      </c>
      <c r="Y19" s="39" t="str">
        <f>IF(AND('Mapa final'!$AJ$59="Muy Alta",'Mapa final'!$AL$59="Moderado"),CONCATENATE("R2C",'Mapa final'!$S$59),"")</f>
        <v/>
      </c>
      <c r="Z19" s="39" t="str">
        <f>IF(AND('Mapa final'!$AJ$60="Muy Alta",'Mapa final'!$AL$60="Moderado"),CONCATENATE("R2C",'Mapa final'!$S$60),"")</f>
        <v/>
      </c>
      <c r="AA19" s="39" t="str">
        <f>IF(AND('Mapa final'!$AJ$61="Muy Alta",'Mapa final'!$AL$61="Moderado"),CONCATENATE("R2C",'Mapa final'!$S$61),"")</f>
        <v/>
      </c>
      <c r="AB19" s="40" t="str">
        <f>IF(AND('Mapa final'!$AJ$62="Muy Alta",'Mapa final'!$AL$62="Moderado"),CONCATENATE("R2C",'Mapa final'!$S$62),"")</f>
        <v/>
      </c>
      <c r="AC19" s="38" t="str">
        <f>IF(AND('Mapa final'!$AJ$57="Muy Alta",'Mapa final'!$AL$57="Mayor"),CONCATENATE("R2C",'Mapa final'!$S$57),"")</f>
        <v/>
      </c>
      <c r="AD19" s="39" t="str">
        <f>IF(AND('Mapa final'!$AJ$58="Muy Alta",'Mapa final'!$AL$58="Mayor"),CONCATENATE("R2C",'Mapa final'!$S$58),"")</f>
        <v/>
      </c>
      <c r="AE19" s="39" t="str">
        <f>IF(AND('Mapa final'!$AJ$59="Muy Alta",'Mapa final'!$AL$59="Mayor"),CONCATENATE("R2C",'Mapa final'!$S$59),"")</f>
        <v/>
      </c>
      <c r="AF19" s="39" t="str">
        <f>IF(AND('Mapa final'!$AJ$60="Muy Alta",'Mapa final'!$AL$60="Mayor"),CONCATENATE("R2C",'Mapa final'!$S$60),"")</f>
        <v/>
      </c>
      <c r="AG19" s="39" t="str">
        <f>IF(AND('Mapa final'!$AJ$61="Muy Alta",'Mapa final'!$AL$61="Mayor"),CONCATENATE("R2C",'Mapa final'!$S$61),"")</f>
        <v/>
      </c>
      <c r="AH19" s="40" t="str">
        <f>IF(AND('Mapa final'!$AJ$62="Muy Alta",'Mapa final'!$AL$62="Mayor"),CONCATENATE("R2C",'Mapa final'!$S$62),"")</f>
        <v/>
      </c>
      <c r="AI19" s="41" t="str">
        <f>IF(AND('Mapa final'!$AJ$57="Muy Alta",'Mapa final'!$AL$57="Catastrófico"),CONCATENATE("R2C",'Mapa final'!$S$57),"")</f>
        <v/>
      </c>
      <c r="AJ19" s="42" t="str">
        <f>IF(AND('Mapa final'!$AJ$58="Muy Alta",'Mapa final'!$AL$58="Catastrófico"),CONCATENATE("R2C",'Mapa final'!$S$58),"")</f>
        <v/>
      </c>
      <c r="AK19" s="42" t="str">
        <f>IF(AND('Mapa final'!$AJ$59="Muy Alta",'Mapa final'!$AL$59="Catastrófico"),CONCATENATE("R2C",'Mapa final'!$S$59),"")</f>
        <v/>
      </c>
      <c r="AL19" s="42" t="str">
        <f>IF(AND('Mapa final'!$AJ$60="Muy Alta",'Mapa final'!$AL$60="Catastrófico"),CONCATENATE("R2C",'Mapa final'!$S$60),"")</f>
        <v/>
      </c>
      <c r="AM19" s="42" t="str">
        <f>IF(AND('Mapa final'!$AJ$61="Muy Alta",'Mapa final'!$AL$61="Catastrófico"),CONCATENATE("R2C",'Mapa final'!$S$61),"")</f>
        <v/>
      </c>
      <c r="AN19" s="43" t="str">
        <f>IF(AND('Mapa final'!$AJ$62="Muy Alta",'Mapa final'!$AL$62="Catastrófico"),CONCATENATE("R2C",'Mapa final'!$S$62),"")</f>
        <v/>
      </c>
      <c r="AO19" s="69"/>
      <c r="AP19" s="502"/>
      <c r="AQ19" s="503"/>
      <c r="AR19" s="503"/>
      <c r="AS19" s="503"/>
      <c r="AT19" s="503"/>
      <c r="AU19" s="504"/>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439"/>
      <c r="D20" s="439"/>
      <c r="E20" s="440"/>
      <c r="F20" s="482"/>
      <c r="G20" s="483"/>
      <c r="H20" s="483"/>
      <c r="I20" s="483"/>
      <c r="J20" s="511"/>
      <c r="K20" s="38" t="str">
        <f>IF(AND('Mapa final'!$AJ$63="Muy Alta",'Mapa final'!$AL$63="Leve"),CONCATENATE("R2C",'Mapa final'!$S$63),"")</f>
        <v/>
      </c>
      <c r="L20" s="178" t="str">
        <f>IF(AND('Mapa final'!$AJ$64="Muy Alta",'Mapa final'!$AL$64="Leve"),CONCATENATE("R2C",'Mapa final'!$S$64),"")</f>
        <v/>
      </c>
      <c r="M20" s="178" t="str">
        <f>IF(AND('Mapa final'!$AJ$65="Muy Alta",'Mapa final'!$AL$65="Leve"),CONCATENATE("R2C",'Mapa final'!$S$65),"")</f>
        <v/>
      </c>
      <c r="N20" s="178" t="str">
        <f>IF(AND('Mapa final'!$AJ$66="Muy Alta",'Mapa final'!$AL$66="Leve"),CONCATENATE("R2C",'Mapa final'!$S$66),"")</f>
        <v/>
      </c>
      <c r="O20" s="178" t="str">
        <f>IF(AND('Mapa final'!$AJ$67="Muy Alta",'Mapa final'!$AL$67="Leve"),CONCATENATE("R2C",'Mapa final'!$S$67),"")</f>
        <v/>
      </c>
      <c r="P20" s="40" t="str">
        <f>IF(AND('Mapa final'!$AJ$68="Muy Alta",'Mapa final'!$AL$68="Leve"),CONCATENATE("R2C",'Mapa final'!$S$68),"")</f>
        <v/>
      </c>
      <c r="Q20" s="178" t="str">
        <f>IF(AND('Mapa final'!$AJ$63="Muy Alta",'Mapa final'!$AL$63="Menor"),CONCATENATE("R2C",'Mapa final'!$S$63),"")</f>
        <v/>
      </c>
      <c r="R20" s="39" t="str">
        <f>IF(AND('Mapa final'!$AJ$64="Muy Alta",'Mapa final'!$AL$64="Menor"),CONCATENATE("R2C",'Mapa final'!$S$64),"")</f>
        <v/>
      </c>
      <c r="S20" s="39" t="str">
        <f>IF(AND('Mapa final'!$AJ$65="Muy Alta",'Mapa final'!$AL$65="Menor"),CONCATENATE("R2C",'Mapa final'!$S$65),"")</f>
        <v/>
      </c>
      <c r="T20" s="39" t="str">
        <f>IF(AND('Mapa final'!$AJ$66="Muy Alta",'Mapa final'!$AL$66="Menor"),CONCATENATE("R2C",'Mapa final'!$S$66),"")</f>
        <v/>
      </c>
      <c r="U20" s="39" t="str">
        <f>IF(AND('Mapa final'!$AJ$67="Muy Alta",'Mapa final'!$AL$67="Menor"),CONCATENATE("R2C",'Mapa final'!$S$67),"")</f>
        <v/>
      </c>
      <c r="V20" s="40" t="str">
        <f>IF(AND('Mapa final'!$AJ$68="Muy Alta",'Mapa final'!$AL$68="Menor"),CONCATENATE("R2C",'Mapa final'!$S$68),"")</f>
        <v/>
      </c>
      <c r="W20" s="38" t="str">
        <f>IF(AND('Mapa final'!$AJ$63="Muy Alta",'Mapa final'!$AL$63="Moderado"),CONCATENATE("R2C",'Mapa final'!$S$63),"")</f>
        <v/>
      </c>
      <c r="X20" s="39" t="str">
        <f>IF(AND('Mapa final'!$AJ$64="Muy Alta",'Mapa final'!$AL$64="Moderado"),CONCATENATE("R2C",'Mapa final'!$S$64),"")</f>
        <v/>
      </c>
      <c r="Y20" s="39" t="str">
        <f>IF(AND('Mapa final'!$AJ$65="Muy Alta",'Mapa final'!$AL$65="Moderado"),CONCATENATE("R2C",'Mapa final'!$S$65),"")</f>
        <v/>
      </c>
      <c r="Z20" s="39" t="str">
        <f>IF(AND('Mapa final'!$AJ$66="Muy Alta",'Mapa final'!$AL$66="Moderado"),CONCATENATE("R2C",'Mapa final'!$S$66),"")</f>
        <v/>
      </c>
      <c r="AA20" s="39" t="str">
        <f>IF(AND('Mapa final'!$AJ$67="Muy Alta",'Mapa final'!$AL$67="Moderado"),CONCATENATE("R2C",'Mapa final'!$S$67),"")</f>
        <v/>
      </c>
      <c r="AB20" s="40" t="str">
        <f>IF(AND('Mapa final'!$AJ$68="Muy Alta",'Mapa final'!$AL$68="Moderado"),CONCATENATE("R2C",'Mapa final'!$S$68),"")</f>
        <v/>
      </c>
      <c r="AC20" s="38" t="str">
        <f>IF(AND('Mapa final'!$AJ$63="Muy Alta",'Mapa final'!$AL$63="Mayor"),CONCATENATE("R2C",'Mapa final'!$S$63),"")</f>
        <v/>
      </c>
      <c r="AD20" s="39" t="str">
        <f>IF(AND('Mapa final'!$AJ$64="Muy Alta",'Mapa final'!$AL$64="Mayor"),CONCATENATE("R2C",'Mapa final'!$S$64),"")</f>
        <v/>
      </c>
      <c r="AE20" s="39" t="str">
        <f>IF(AND('Mapa final'!$AJ$65="Muy Alta",'Mapa final'!$AL$65="Mayor"),CONCATENATE("R2C",'Mapa final'!$S$65),"")</f>
        <v/>
      </c>
      <c r="AF20" s="39" t="str">
        <f>IF(AND('Mapa final'!$AJ$66="Muy Alta",'Mapa final'!$AL$66="Mayor"),CONCATENATE("R2C",'Mapa final'!$S$66),"")</f>
        <v/>
      </c>
      <c r="AG20" s="39" t="str">
        <f>IF(AND('Mapa final'!$AJ$67="Muy Alta",'Mapa final'!$AL$67="Mayor"),CONCATENATE("R2C",'Mapa final'!$S$67),"")</f>
        <v/>
      </c>
      <c r="AH20" s="40" t="str">
        <f>IF(AND('Mapa final'!$AJ$68="Muy Alta",'Mapa final'!$AL$68="Mayor"),CONCATENATE("R2C",'Mapa final'!$S$68),"")</f>
        <v/>
      </c>
      <c r="AI20" s="41" t="str">
        <f>IF(AND('Mapa final'!$AJ$63="Muy Alta",'Mapa final'!$AL$63="Catastrófico"),CONCATENATE("R2C",'Mapa final'!$S$63),"")</f>
        <v/>
      </c>
      <c r="AJ20" s="42" t="str">
        <f>IF(AND('Mapa final'!$AJ$64="Muy Alta",'Mapa final'!$AL$64="Catastrófico"),CONCATENATE("R2C",'Mapa final'!$S$64),"")</f>
        <v/>
      </c>
      <c r="AK20" s="42" t="str">
        <f>IF(AND('Mapa final'!$AJ$65="Muy Alta",'Mapa final'!$AL$65="Catastrófico"),CONCATENATE("R2C",'Mapa final'!$S$65),"")</f>
        <v/>
      </c>
      <c r="AL20" s="42" t="str">
        <f>IF(AND('Mapa final'!$AJ$66="Muy Alta",'Mapa final'!$AL$66="Catastrófico"),CONCATENATE("R2C",'Mapa final'!$S$66),"")</f>
        <v/>
      </c>
      <c r="AM20" s="42" t="str">
        <f>IF(AND('Mapa final'!$AJ$67="Muy Alta",'Mapa final'!$AL$67="Catastrófico"),CONCATENATE("R2C",'Mapa final'!$S$67),"")</f>
        <v/>
      </c>
      <c r="AN20" s="43" t="str">
        <f>IF(AND('Mapa final'!$AJ$68="Muy Alta",'Mapa final'!$AL$68="Catastrófico"),CONCATENATE("R2C",'Mapa final'!$S$68),"")</f>
        <v/>
      </c>
      <c r="AO20" s="69"/>
      <c r="AP20" s="502"/>
      <c r="AQ20" s="503"/>
      <c r="AR20" s="503"/>
      <c r="AS20" s="503"/>
      <c r="AT20" s="503"/>
      <c r="AU20" s="504"/>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439"/>
      <c r="D21" s="439"/>
      <c r="E21" s="440"/>
      <c r="F21" s="485"/>
      <c r="G21" s="486"/>
      <c r="H21" s="486"/>
      <c r="I21" s="486"/>
      <c r="J21" s="486"/>
      <c r="K21" s="44" t="str">
        <f>IF(AND('Mapa final'!$AJ$69="Muy Alta",'Mapa final'!$AL$69="Leve"),CONCATENATE("R2C",'Mapa final'!$S$69),"")</f>
        <v/>
      </c>
      <c r="L21" s="45" t="str">
        <f>IF(AND('Mapa final'!$AJ$70="Muy Alta",'Mapa final'!$AL$70="Leve"),CONCATENATE("R2C",'Mapa final'!$S$70),"")</f>
        <v/>
      </c>
      <c r="M21" s="45" t="str">
        <f>IF(AND('Mapa final'!$AJ$71="Muy Alta",'Mapa final'!$AL$71="Leve"),CONCATENATE("R2C",'Mapa final'!$S$71),"")</f>
        <v/>
      </c>
      <c r="N21" s="45" t="str">
        <f>IF(AND('Mapa final'!$AJ$72="Muy Alta",'Mapa final'!$AL$72="Leve"),CONCATENATE("R2C",'Mapa final'!$S$72),"")</f>
        <v/>
      </c>
      <c r="O21" s="45" t="str">
        <f>IF(AND('Mapa final'!$AJ$74="Muy Alta",'Mapa final'!$AL$74="Leve"),CONCATENATE("R2C",'Mapa final'!$S$74),"")</f>
        <v/>
      </c>
      <c r="P21" s="46" t="str">
        <f>IF(AND('Mapa final'!$AJ$75="Muy Alta",'Mapa final'!$AL$75="Leve"),CONCATENATE("R2C",'Mapa final'!$S$75),"")</f>
        <v/>
      </c>
      <c r="Q21" s="178" t="str">
        <f>IF(AND('Mapa final'!$AJ$69="Muy Alta",'Mapa final'!$AL$69="Menor"),CONCATENATE("R2C",'Mapa final'!$S$69),"")</f>
        <v/>
      </c>
      <c r="R21" s="39" t="str">
        <f>IF(AND('Mapa final'!$AJ$70="Muy Alta",'Mapa final'!$AL$70="Menor"),CONCATENATE("R2C",'Mapa final'!$S$70),"")</f>
        <v/>
      </c>
      <c r="S21" s="39" t="str">
        <f>IF(AND('Mapa final'!$AJ$71="Muy Alta",'Mapa final'!$AL$71="Menor"),CONCATENATE("R2C",'Mapa final'!$S$71),"")</f>
        <v/>
      </c>
      <c r="T21" s="39" t="str">
        <f>IF(AND('Mapa final'!$AJ$72="Muy Alta",'Mapa final'!$AL$72="Menor"),CONCATENATE("R2C",'Mapa final'!$S$72),"")</f>
        <v/>
      </c>
      <c r="U21" s="39" t="str">
        <f>IF(AND('Mapa final'!$AJ$74="Muy Alta",'Mapa final'!$AL$74="Menor"),CONCATENATE("R2C",'Mapa final'!$S$74),"")</f>
        <v/>
      </c>
      <c r="V21" s="40" t="str">
        <f>IF(AND('Mapa final'!$AJ$75="Muy Alta",'Mapa final'!$AL$75="Menor"),CONCATENATE("R2C",'Mapa final'!$S$75),"")</f>
        <v/>
      </c>
      <c r="W21" s="44" t="str">
        <f>IF(AND('Mapa final'!$AJ$69="Muy Alta",'Mapa final'!$AL$69="Moderado"),CONCATENATE("R2C",'Mapa final'!$S$69),"")</f>
        <v/>
      </c>
      <c r="X21" s="45" t="str">
        <f>IF(AND('Mapa final'!$AJ$70="Muy Alta",'Mapa final'!$AL$70="Moderado"),CONCATENATE("R2C",'Mapa final'!$S$70),"")</f>
        <v/>
      </c>
      <c r="Y21" s="45" t="str">
        <f>IF(AND('Mapa final'!$AJ$71="Muy Alta",'Mapa final'!$AL$71="Moderado"),CONCATENATE("R2C",'Mapa final'!$S$71),"")</f>
        <v/>
      </c>
      <c r="Z21" s="45" t="str">
        <f>IF(AND('Mapa final'!$AJ$72="Muy Alta",'Mapa final'!$AL$72="Moderado"),CONCATENATE("R2C",'Mapa final'!$S$72),"")</f>
        <v/>
      </c>
      <c r="AA21" s="45" t="str">
        <f>IF(AND('Mapa final'!$AJ$74="Muy Alta",'Mapa final'!$AL$74="Moderado"),CONCATENATE("R2C",'Mapa final'!$S$74),"")</f>
        <v/>
      </c>
      <c r="AB21" s="46" t="str">
        <f>IF(AND('Mapa final'!$AJ$75="Muy Alta",'Mapa final'!$AL$75="Moderado"),CONCATENATE("R2C",'Mapa final'!$S$75),"")</f>
        <v/>
      </c>
      <c r="AC21" s="38" t="str">
        <f>IF(AND('Mapa final'!$AJ$69="Muy Alta",'Mapa final'!$AL$69="Mayor"),CONCATENATE("R2C",'Mapa final'!$S$69),"")</f>
        <v/>
      </c>
      <c r="AD21" s="39" t="str">
        <f>IF(AND('Mapa final'!$AJ$70="Muy Alta",'Mapa final'!$AL$70="Mayor"),CONCATENATE("R2C",'Mapa final'!$S$70),"")</f>
        <v/>
      </c>
      <c r="AE21" s="39" t="str">
        <f>IF(AND('Mapa final'!$AJ$71="Muy Alta",'Mapa final'!$AL$71="Mayor"),CONCATENATE("R2C",'Mapa final'!$S$71),"")</f>
        <v/>
      </c>
      <c r="AF21" s="39" t="str">
        <f>IF(AND('Mapa final'!$AJ$72="Muy Alta",'Mapa final'!$AL$72="Mayor"),CONCATENATE("R2C",'Mapa final'!$S$72),"")</f>
        <v/>
      </c>
      <c r="AG21" s="39" t="str">
        <f>IF(AND('Mapa final'!$AJ$74="Muy Alta",'Mapa final'!$AL$74="Mayor"),CONCATENATE("R2C",'Mapa final'!$S$74),"")</f>
        <v/>
      </c>
      <c r="AH21" s="40" t="str">
        <f>IF(AND('Mapa final'!$AJ$75="Muy Alta",'Mapa final'!$AL$75="Mayor"),CONCATENATE("R2C",'Mapa final'!$S$75),"")</f>
        <v/>
      </c>
      <c r="AI21" s="47" t="str">
        <f>IF(AND('Mapa final'!$AJ$69="Muy Alta",'Mapa final'!$AL$69="Catastrófico"),CONCATENATE("R2C",'Mapa final'!$S$69),"")</f>
        <v/>
      </c>
      <c r="AJ21" s="48" t="str">
        <f>IF(AND('Mapa final'!$AJ$70="Muy Alta",'Mapa final'!$AL$70="Catastrófico"),CONCATENATE("R2C",'Mapa final'!$S$70),"")</f>
        <v/>
      </c>
      <c r="AK21" s="48" t="str">
        <f>IF(AND('Mapa final'!$AJ$71="Muy Alta",'Mapa final'!$AL$71="Catastrófico"),CONCATENATE("R2C",'Mapa final'!$S$71),"")</f>
        <v/>
      </c>
      <c r="AL21" s="48" t="str">
        <f>IF(AND('Mapa final'!$AJ$72="Muy Alta",'Mapa final'!$AL$72="Catastrófico"),CONCATENATE("R2C",'Mapa final'!$S$72),"")</f>
        <v/>
      </c>
      <c r="AM21" s="48" t="str">
        <f>IF(AND('Mapa final'!$AJ$74="Muy Alta",'Mapa final'!$AL$74="Catastrófico"),CONCATENATE("R2C",'Mapa final'!$S$74),"")</f>
        <v/>
      </c>
      <c r="AN21" s="49" t="str">
        <f>IF(AND('Mapa final'!$AJ$75="Muy Alta",'Mapa final'!$AL$75="Catastrófico"),CONCATENATE("R2C",'Mapa final'!$S$75),"")</f>
        <v/>
      </c>
      <c r="AO21" s="69"/>
      <c r="AP21" s="505"/>
      <c r="AQ21" s="506"/>
      <c r="AR21" s="506"/>
      <c r="AS21" s="506"/>
      <c r="AT21" s="506"/>
      <c r="AU21" s="507"/>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439"/>
      <c r="D22" s="439"/>
      <c r="E22" s="440"/>
      <c r="F22" s="479" t="s">
        <v>114</v>
      </c>
      <c r="G22" s="480"/>
      <c r="H22" s="480"/>
      <c r="I22" s="480"/>
      <c r="J22" s="480"/>
      <c r="K22" s="53" t="str">
        <f ca="1">IF(AND('Mapa final'!$AJ$15="Alta",'Mapa final'!$AL$15="Leve"),CONCATENATE("R2C",'Mapa final'!$S$15),"")</f>
        <v/>
      </c>
      <c r="L22" s="179" t="str">
        <f ca="1">IF(AND('Mapa final'!$AJ$16="Alta",'Mapa final'!$AL$16="Leve"),CONCATENATE("R2C",'Mapa final'!$S$16),"")</f>
        <v/>
      </c>
      <c r="M22" s="179" t="str">
        <f ca="1">IF(AND('Mapa final'!$AJ$17="Alta",'Mapa final'!$AL$17="Leve"),CONCATENATE("R2C",'Mapa final'!$S$17),"")</f>
        <v/>
      </c>
      <c r="N22" s="179" t="str">
        <f ca="1">IF(AND('Mapa final'!$AJ$18="Alta",'Mapa final'!$AL$18="Leve"),CONCATENATE("R2C",'Mapa final'!$S$18),"")</f>
        <v/>
      </c>
      <c r="O22" s="179" t="str">
        <f ca="1">IF(AND('Mapa final'!$AJ$19="Alta",'Mapa final'!$AL$19="Leve"),CONCATENATE("R2C",'Mapa final'!$S$19),"")</f>
        <v/>
      </c>
      <c r="P22" s="55" t="str">
        <f ca="1">IF(AND('Mapa final'!$AJ$20="Alta",'Mapa final'!$AL$20="Leve"),CONCATENATE("R2C",'Mapa final'!$S$20),"")</f>
        <v/>
      </c>
      <c r="Q22" s="50" t="str">
        <f ca="1">IF(AND('Mapa final'!$AJ$15="Alta",'Mapa final'!$AL$15="Menor"),CONCATENATE("R2C",'Mapa final'!$S$15),"")</f>
        <v/>
      </c>
      <c r="R22" s="51" t="str">
        <f ca="1">IF(AND('Mapa final'!$AJ$16="Alta",'Mapa final'!$AL$16="Menore"),CONCATENATE("R2C",'Mapa final'!$S$16),"")</f>
        <v/>
      </c>
      <c r="S22" s="51" t="str">
        <f ca="1">IF(AND('Mapa final'!$AJ$17="Alta",'Mapa final'!$AL$17="Menor"),CONCATENATE("R2C",'Mapa final'!$S$17),"")</f>
        <v/>
      </c>
      <c r="T22" s="51" t="str">
        <f ca="1">IF(AND('Mapa final'!$AJ$18="Alta",'Mapa final'!$AL$18="Menor"),CONCATENATE("R2C",'Mapa final'!$S$18),"")</f>
        <v/>
      </c>
      <c r="U22" s="51" t="str">
        <f ca="1">IF(AND('Mapa final'!$AJ$19="Alta",'Mapa final'!$AL$19="Menor"),CONCATENATE("R2C",'Mapa final'!$S$19),"")</f>
        <v/>
      </c>
      <c r="V22" s="52" t="str">
        <f ca="1">IF(AND('Mapa final'!$AJ$20="Alta",'Mapa final'!$AL$20="Menor"),CONCATENATE("R2C",'Mapa final'!$S$20),"")</f>
        <v/>
      </c>
      <c r="W22" s="32" t="str">
        <f ca="1">IF(AND('Mapa final'!$AJ$15="Alta",'Mapa final'!$AL$15="Moderado"),CONCATENATE("R2C",'Mapa final'!$S$15),"")</f>
        <v/>
      </c>
      <c r="X22" s="33" t="str">
        <f ca="1">IF(AND('Mapa final'!$AJ$16="Alta",'Mapa final'!$AL$16="Moderado"),CONCATENATE("R2C",'Mapa final'!$S$16),"")</f>
        <v/>
      </c>
      <c r="Y22" s="33"/>
      <c r="Z22" s="33" t="str">
        <f ca="1">IF(AND('Mapa final'!$AJ$18="Alta",'Mapa final'!$AL$18="Moderado"),CONCATENATE("R2C",'Mapa final'!$S$18),"")</f>
        <v/>
      </c>
      <c r="AA22" s="33" t="str">
        <f ca="1">IF(AND('Mapa final'!$AJ$19="Alta",'Mapa final'!$AL$19="Moderado"),CONCATENATE("R2C",'Mapa final'!$S$19),"")</f>
        <v/>
      </c>
      <c r="AB22" s="34" t="str">
        <f ca="1">IF(AND('Mapa final'!$AJ$20="Alta",'Mapa final'!$AL$20="Moderado"),CONCATENATE("R2C",'Mapa final'!$S$20),"")</f>
        <v/>
      </c>
      <c r="AC22" s="32" t="str">
        <f ca="1">IF(AND('Mapa final'!$AJ$15="Alta",'Mapa final'!$AL$15="Mayor"),CONCATENATE("R2C",'Mapa final'!$S$15),"")</f>
        <v/>
      </c>
      <c r="AD22" s="33" t="str">
        <f ca="1">IF(AND('Mapa final'!$AJ$16="Alta",'Mapa final'!$AL$16="Mayor"),CONCATENATE("R2C",'Mapa final'!$S$16),"")</f>
        <v/>
      </c>
      <c r="AE22" s="33" t="str">
        <f ca="1">IF(AND('Mapa final'!$AJ$17="Alta",'Mapa final'!$AL$17="Mayor"),CONCATENATE("R2C",'Mapa final'!$S$17),"")</f>
        <v/>
      </c>
      <c r="AF22" s="33" t="str">
        <f ca="1">IF(AND('Mapa final'!$AJ$18="Alta",'Mapa final'!$AL$18="Mayor"),CONCATENATE("R2C",'Mapa final'!$S$18),"")</f>
        <v/>
      </c>
      <c r="AG22" s="33" t="str">
        <f ca="1">IF(AND('Mapa final'!$AJ$19="Alta",'Mapa final'!$AL$19="Mayor"),CONCATENATE("R2C",'Mapa final'!$S$19),"")</f>
        <v/>
      </c>
      <c r="AH22" s="34" t="str">
        <f ca="1">IF(AND('Mapa final'!$AJ$20="Alta",'Mapa final'!$AL$20="Mayor"),CONCATENATE("R2C",'Mapa final'!$S$20),"")</f>
        <v/>
      </c>
      <c r="AI22" s="35" t="str">
        <f ca="1">IF(AND('Mapa final'!$AJ$15="Alta",'Mapa final'!$AL$15="Catastrófico"),CONCATENATE("R2C",'Mapa final'!$S$15),"")</f>
        <v/>
      </c>
      <c r="AJ22" s="36" t="str">
        <f ca="1">IF(AND('Mapa final'!$AJ$16="Alta",'Mapa final'!$AL$16="Catastrófico"),CONCATENATE("R2C",'Mapa final'!$S$16),"")</f>
        <v/>
      </c>
      <c r="AK22" s="36" t="str">
        <f ca="1">IF(AND('Mapa final'!$AJ$17="Alta",'Mapa final'!$AL$17="Catastrófico"),CONCATENATE("R2C",'Mapa final'!$S$17),"")</f>
        <v/>
      </c>
      <c r="AL22" s="36" t="str">
        <f ca="1">IF(AND('Mapa final'!$AJ$18="Alta",'Mapa final'!$AL$18="Catastrófico"),CONCATENATE("R2C",'Mapa final'!$S$18),"")</f>
        <v/>
      </c>
      <c r="AM22" s="36" t="str">
        <f ca="1">IF(AND('Mapa final'!$AJ$19="Alta",'Mapa final'!$AL$19="Catastrófico"),CONCATENATE("R2C",'Mapa final'!$S$19),"")</f>
        <v/>
      </c>
      <c r="AN22" s="37" t="str">
        <f ca="1">IF(AND('Mapa final'!$AJ$20="Alta",'Mapa final'!$AL$20="Catastrófico"),CONCATENATE("R2C",'Mapa final'!$S$20),"")</f>
        <v/>
      </c>
      <c r="AO22" s="69"/>
      <c r="AP22" s="489" t="s">
        <v>79</v>
      </c>
      <c r="AQ22" s="490"/>
      <c r="AR22" s="490"/>
      <c r="AS22" s="490"/>
      <c r="AT22" s="490"/>
      <c r="AU22" s="491"/>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439"/>
      <c r="D23" s="439"/>
      <c r="E23" s="440"/>
      <c r="F23" s="498"/>
      <c r="G23" s="483"/>
      <c r="H23" s="483"/>
      <c r="I23" s="483"/>
      <c r="J23" s="483"/>
      <c r="K23" s="53" t="str">
        <f ca="1">IF(AND('Mapa final'!$AJ$21="Alta",'Mapa final'!$AL$21="Leve"),CONCATENATE("R2C",'Mapa final'!$S$21),"")</f>
        <v/>
      </c>
      <c r="L23" s="54" t="str">
        <f>IF(AND('Mapa final'!$AJ$22="Alta",'Mapa final'!$AL$22="Leve"),CONCATENATE("R2C",'Mapa final'!$S$22),"")</f>
        <v/>
      </c>
      <c r="M23" s="54" t="str">
        <f>IF(AND('Mapa final'!$AJ$23="Alta",'Mapa final'!$AL$23="Leve"),CONCATENATE("R2C",'Mapa final'!$S$23),"")</f>
        <v/>
      </c>
      <c r="N23" s="54" t="str">
        <f>IF(AND('Mapa final'!$AJ$24="Alta",'Mapa final'!$AL$24="Leve"),CONCATENATE("R2C",'Mapa final'!$S$24),"")</f>
        <v/>
      </c>
      <c r="O23" s="54" t="str">
        <f>IF(AND('Mapa final'!$AJ$25="Alta",'Mapa final'!$AL$25="Leve"),CONCATENATE("R2C",'Mapa final'!$S$25),"")</f>
        <v/>
      </c>
      <c r="P23" s="55" t="str">
        <f>IF(AND('Mapa final'!$AJ$26="Alta",'Mapa final'!$AL$26="Leve"),CONCATENATE("R2C",'Mapa final'!$S$26),"")</f>
        <v/>
      </c>
      <c r="Q23" s="53" t="str">
        <f ca="1">IF(AND('Mapa final'!$AJ$21="Alta",'Mapa final'!$AL$21="Menor"),CONCATENATE("R2C",'Mapa final'!$S$21),"")</f>
        <v/>
      </c>
      <c r="R23" s="54" t="str">
        <f>IF(AND('Mapa final'!$AJ$22="Alta",'Mapa final'!$AL$22="Menor"),CONCATENATE("R2C",'Mapa final'!$S$22),"")</f>
        <v/>
      </c>
      <c r="S23" s="54" t="str">
        <f>IF(AND('Mapa final'!$AJ$23="Alta",'Mapa final'!$AL$23="Menor"),CONCATENATE("R2C",'Mapa final'!$S$23),"")</f>
        <v/>
      </c>
      <c r="T23" s="54" t="str">
        <f>IF(AND('Mapa final'!$AJ$24="Alta",'Mapa final'!$AL$24="Menor"),CONCATENATE("R2C",'Mapa final'!$S$24),"")</f>
        <v/>
      </c>
      <c r="U23" s="54" t="str">
        <f>IF(AND('Mapa final'!$AJ$25="Alta",'Mapa final'!$AL$25="Menor"),CONCATENATE("R2C",'Mapa final'!$S$25),"")</f>
        <v/>
      </c>
      <c r="V23" s="55" t="str">
        <f>IF(AND('Mapa final'!$AJ$26="Alta",'Mapa final'!$AL$26="Menor"),CONCATENATE("R2C",'Mapa final'!$S$26),"")</f>
        <v/>
      </c>
      <c r="W23" s="38" t="str">
        <f ca="1">IF(AND('Mapa final'!$AJ$21="Alta",'Mapa final'!$AL$21="Moderado"),CONCATENATE("R2C",'Mapa final'!$S$21),"")</f>
        <v/>
      </c>
      <c r="X23" s="39" t="str">
        <f>IF(AND('Mapa final'!$AJ$22="Alta",'Mapa final'!$AL$22="Moderado"),CONCATENATE("R2C",'Mapa final'!$S$22),"")</f>
        <v/>
      </c>
      <c r="Y23" s="39" t="str">
        <f>IF(AND('Mapa final'!$AJ$23="Alta",'Mapa final'!$AL$23="Moderado"),CONCATENATE("R2C",'Mapa final'!$S$23),"")</f>
        <v/>
      </c>
      <c r="Z23" s="39" t="str">
        <f>IF(AND('Mapa final'!$AJ$24="Alta",'Mapa final'!$AL$24="Moderado"),CONCATENATE("R2C",'Mapa final'!$S$24),"")</f>
        <v/>
      </c>
      <c r="AA23" s="39" t="str">
        <f>IF(AND('Mapa final'!$AJ$25="Alta",'Mapa final'!$AL$25="Moderado"),CONCATENATE("R2C",'Mapa final'!$S$25),"")</f>
        <v/>
      </c>
      <c r="AB23" s="40" t="str">
        <f>IF(AND('Mapa final'!$AJ$26="Alta",'Mapa final'!$AL$26="Moderado"),CONCATENATE("R2C",'Mapa final'!$S$26),"")</f>
        <v/>
      </c>
      <c r="AC23" s="38" t="str">
        <f ca="1">IF(AND('Mapa final'!$AJ$21="Alta",'Mapa final'!$AL$21="Mayor"),CONCATENATE("R2C",'Mapa final'!$S$21),"")</f>
        <v/>
      </c>
      <c r="AD23" s="39" t="str">
        <f>IF(AND('Mapa final'!$AJ$22="Alta",'Mapa final'!$AL$22="Mayor"),CONCATENATE("R2C",'Mapa final'!$S$22),"")</f>
        <v/>
      </c>
      <c r="AE23" s="39" t="str">
        <f>IF(AND('Mapa final'!$AJ$23="Alta",'Mapa final'!$AL$23="Mayor"),CONCATENATE("R2C",'Mapa final'!$S$23),"")</f>
        <v/>
      </c>
      <c r="AF23" s="39" t="str">
        <f>IF(AND('Mapa final'!$AJ$24="Alta",'Mapa final'!$AL$24="Mayor"),CONCATENATE("R2C",'Mapa final'!$S$24),"")</f>
        <v/>
      </c>
      <c r="AG23" s="39" t="str">
        <f>IF(AND('Mapa final'!$AJ$25="Alta",'Mapa final'!$AL$25="Mayor"),CONCATENATE("R2C",'Mapa final'!$S$25),"")</f>
        <v/>
      </c>
      <c r="AH23" s="40" t="str">
        <f>IF(AND('Mapa final'!$AJ$26="Alta",'Mapa final'!$AL$26="Mayor"),CONCATENATE("R2C",'Mapa final'!$S$26),"")</f>
        <v/>
      </c>
      <c r="AI23" s="41" t="str">
        <f ca="1">IF(AND('Mapa final'!$AJ$21="Alta",'Mapa final'!$AL$21="Catastrófico"),CONCATENATE("R2C",'Mapa final'!$S$21),"")</f>
        <v/>
      </c>
      <c r="AJ23" s="42" t="str">
        <f>IF(AND('Mapa final'!$AJ$22="Alta",'Mapa final'!$AL$22="Catastrófico"),CONCATENATE("R2C",'Mapa final'!$S$22),"")</f>
        <v/>
      </c>
      <c r="AK23" s="42" t="str">
        <f>IF(AND('Mapa final'!$AJ$23="Alta",'Mapa final'!$AL$23="Catastrófico"),CONCATENATE("R2C",'Mapa final'!$S$23),"")</f>
        <v/>
      </c>
      <c r="AL23" s="42" t="str">
        <f>IF(AND('Mapa final'!$AJ$24="Alta",'Mapa final'!$AL$24="Catastrófico"),CONCATENATE("R2C",'Mapa final'!$S$24),"")</f>
        <v/>
      </c>
      <c r="AM23" s="42" t="str">
        <f>IF(AND('Mapa final'!$AJ$25="Alta",'Mapa final'!$AL$25="Catastrófico"),CONCATENATE("R2C",'Mapa final'!$S$25),"")</f>
        <v/>
      </c>
      <c r="AN23" s="43" t="str">
        <f>IF(AND('Mapa final'!$AJ$26="Alta",'Mapa final'!$AL$26="Catastrófico"),CONCATENATE("R2C",'Mapa final'!$S$26),"")</f>
        <v/>
      </c>
      <c r="AO23" s="69"/>
      <c r="AP23" s="492"/>
      <c r="AQ23" s="493"/>
      <c r="AR23" s="493"/>
      <c r="AS23" s="493"/>
      <c r="AT23" s="493"/>
      <c r="AU23" s="494"/>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439"/>
      <c r="D24" s="439"/>
      <c r="E24" s="440"/>
      <c r="F24" s="482"/>
      <c r="G24" s="483"/>
      <c r="H24" s="483"/>
      <c r="I24" s="483"/>
      <c r="J24" s="483"/>
      <c r="K24" s="53" t="str">
        <f>IF(AND('Mapa final'!$AJ$27="Alta",'Mapa final'!$AL$27="Leve"),CONCATENATE("R2C",'Mapa final'!$S$27),"")</f>
        <v/>
      </c>
      <c r="L24" s="54" t="str">
        <f>IF(AND('Mapa final'!$AJ$28="Alta",'Mapa final'!$AL$28="Leve"),CONCATENATE("R2C",'Mapa final'!$S$28),"")</f>
        <v/>
      </c>
      <c r="M24" s="54" t="str">
        <f>IF(AND('Mapa final'!$AJ$29="Alta",'Mapa final'!$AL$29="Leve"),CONCATENATE("R2C",'Mapa final'!$S$29),"")</f>
        <v/>
      </c>
      <c r="N24" s="54" t="str">
        <f>IF(AND('Mapa final'!$AJ$30="Alta",'Mapa final'!$AL$30="Leve"),CONCATENATE("R2C",'Mapa final'!$S$30),"")</f>
        <v/>
      </c>
      <c r="O24" s="54" t="str">
        <f>IF(AND('Mapa final'!$AJ$31="Alta",'Mapa final'!$AL$31="Leve"),CONCATENATE("R2C",'Mapa final'!$S$31),"")</f>
        <v/>
      </c>
      <c r="P24" s="55" t="str">
        <f>IF(AND('Mapa final'!$AJ$32="Alta",'Mapa final'!$AL$32="Leve"),CONCATENATE("R2C",'Mapa final'!$S$32),"")</f>
        <v/>
      </c>
      <c r="Q24" s="53" t="str">
        <f>IF(AND('Mapa final'!$AJ$27="Alta",'Mapa final'!$AL$27="Menor"),CONCATENATE("R2C",'Mapa final'!$S$27),"")</f>
        <v/>
      </c>
      <c r="R24" s="54" t="str">
        <f>IF(AND('Mapa final'!$AJ$28="Alta",'Mapa final'!$AL$28="Menor"),CONCATENATE("R2C",'Mapa final'!$S$28),"")</f>
        <v/>
      </c>
      <c r="S24" s="54" t="str">
        <f>IF(AND('Mapa final'!$AJ$29="Alta",'Mapa final'!$AL$29="Menor"),CONCATENATE("R2C",'Mapa final'!$S$29),"")</f>
        <v/>
      </c>
      <c r="T24" s="54" t="str">
        <f>IF(AND('Mapa final'!$AJ$30="Alta",'Mapa final'!$AL$30="Menor"),CONCATENATE("R2C",'Mapa final'!$S$30),"")</f>
        <v/>
      </c>
      <c r="U24" s="54" t="str">
        <f>IF(AND('Mapa final'!$AJ$31="Alta",'Mapa final'!$AL$31="Menor"),CONCATENATE("R2C",'Mapa final'!$S$31),"")</f>
        <v/>
      </c>
      <c r="V24" s="55" t="str">
        <f>IF(AND('Mapa final'!$AJ$32="Alta",'Mapa final'!$AL$32="Menor"),CONCATENATE("R2C",'Mapa final'!$S$32),"")</f>
        <v/>
      </c>
      <c r="W24" s="38" t="str">
        <f>IF(AND('Mapa final'!$AJ$27="Alta",'Mapa final'!$AL$27="Moderado"),CONCATENATE("R2C",'Mapa final'!$S$27),"")</f>
        <v/>
      </c>
      <c r="X24" s="39" t="str">
        <f>IF(AND('Mapa final'!$AJ$28="Alta",'Mapa final'!$AL$28="Moderado"),CONCATENATE("R2C",'Mapa final'!$S$28),"")</f>
        <v/>
      </c>
      <c r="Y24" s="39" t="str">
        <f>IF(AND('Mapa final'!$AJ$29="Alta",'Mapa final'!$AL$29="Moderado"),CONCATENATE("R2C",'Mapa final'!$S$29),"")</f>
        <v/>
      </c>
      <c r="Z24" s="39" t="str">
        <f>IF(AND('Mapa final'!$AJ$30="Alta",'Mapa final'!$AL$30="Moderado"),CONCATENATE("R2C",'Mapa final'!$S$30),"")</f>
        <v/>
      </c>
      <c r="AA24" s="39" t="str">
        <f>IF(AND('Mapa final'!$AJ$31="Alta",'Mapa final'!$AL$31="Moderado"),CONCATENATE("R2C",'Mapa final'!$S$31),"")</f>
        <v/>
      </c>
      <c r="AB24" s="40" t="str">
        <f>IF(AND('Mapa final'!$AJ$32="Alta",'Mapa final'!$AL$32="Moderado"),CONCATENATE("R2C",'Mapa final'!$S$32),"")</f>
        <v/>
      </c>
      <c r="AC24" s="38" t="str">
        <f>IF(AND('Mapa final'!$AJ$27="Alta",'Mapa final'!$AL$27="Mayor"),CONCATENATE("R2C",'Mapa final'!$S$27),"")</f>
        <v/>
      </c>
      <c r="AD24" s="39" t="str">
        <f>IF(AND('Mapa final'!$AJ$28="Alta",'Mapa final'!$AL$28="Mayor"),CONCATENATE("R2C",'Mapa final'!$S$28),"")</f>
        <v/>
      </c>
      <c r="AE24" s="39" t="str">
        <f>IF(AND('Mapa final'!$AJ$29="Alta",'Mapa final'!$AL$29="Mayor"),CONCATENATE("R2C",'Mapa final'!$S$29),"")</f>
        <v/>
      </c>
      <c r="AF24" s="39" t="str">
        <f>IF(AND('Mapa final'!$AJ$30="Alta",'Mapa final'!$AL$30="Mayor"),CONCATENATE("R2C",'Mapa final'!$S$30),"")</f>
        <v/>
      </c>
      <c r="AG24" s="39" t="str">
        <f>IF(AND('Mapa final'!$AJ$31="Alta",'Mapa final'!$AL$31="Mayor"),CONCATENATE("R2C",'Mapa final'!$S$31),"")</f>
        <v/>
      </c>
      <c r="AH24" s="40" t="str">
        <f>IF(AND('Mapa final'!$AJ$32="Alta",'Mapa final'!$AL$32="Mayor"),CONCATENATE("R2C",'Mapa final'!$S$32),"")</f>
        <v/>
      </c>
      <c r="AI24" s="41" t="str">
        <f>IF(AND('Mapa final'!$AJ$27="Alta",'Mapa final'!$AL$27="Catastrófico"),CONCATENATE("R2C",'Mapa final'!$S$27),"")</f>
        <v/>
      </c>
      <c r="AJ24" s="42" t="str">
        <f>IF(AND('Mapa final'!$AJ$28="Alta",'Mapa final'!$AL$28="Catastrófico"),CONCATENATE("R2C",'Mapa final'!$S$28),"")</f>
        <v/>
      </c>
      <c r="AK24" s="42" t="str">
        <f>IF(AND('Mapa final'!$AJ$29="Alta",'Mapa final'!$AL$29="Catastrófico"),CONCATENATE("R2C",'Mapa final'!$S$29),"")</f>
        <v/>
      </c>
      <c r="AL24" s="42" t="str">
        <f>IF(AND('Mapa final'!$AJ$30="Alta",'Mapa final'!$AL$30="Catastrófico"),CONCATENATE("R2C",'Mapa final'!$S$30),"")</f>
        <v/>
      </c>
      <c r="AM24" s="42" t="str">
        <f>IF(AND('Mapa final'!$AJ$31="Alta",'Mapa final'!$AL$31="Catastrófico"),CONCATENATE("R2C",'Mapa final'!$S$31),"")</f>
        <v/>
      </c>
      <c r="AN24" s="43" t="str">
        <f>IF(AND('Mapa final'!$AJ$32="Alta",'Mapa final'!$AL$32="Catastrófico"),CONCATENATE("R2C",'Mapa final'!$S$32),"")</f>
        <v/>
      </c>
      <c r="AO24" s="69"/>
      <c r="AP24" s="492"/>
      <c r="AQ24" s="493"/>
      <c r="AR24" s="493"/>
      <c r="AS24" s="493"/>
      <c r="AT24" s="493"/>
      <c r="AU24" s="494"/>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439"/>
      <c r="D25" s="439"/>
      <c r="E25" s="440"/>
      <c r="F25" s="482"/>
      <c r="G25" s="483"/>
      <c r="H25" s="483"/>
      <c r="I25" s="483"/>
      <c r="J25" s="483"/>
      <c r="K25" s="53" t="str">
        <f>IF(AND('Mapa final'!$AJ$33="Alta",'Mapa final'!$AL$33="Leve"),CONCATENATE("R2C",'Mapa final'!$S$33),"")</f>
        <v/>
      </c>
      <c r="L25" s="54" t="str">
        <f>IF(AND('Mapa final'!$AJ$34="Alta",'Mapa final'!$AL$34="Leve"),CONCATENATE("R2C",'Mapa final'!$S$34),"")</f>
        <v/>
      </c>
      <c r="M25" s="54" t="str">
        <f>IF(AND('Mapa final'!$AJ$35="Alta",'Mapa final'!$AL$35="Leve"),CONCATENATE("R2C",'Mapa final'!$S$35),"")</f>
        <v/>
      </c>
      <c r="N25" s="54" t="str">
        <f>IF(AND('Mapa final'!$AJ$36="Alta",'Mapa final'!$AL$36="Leve"),CONCATENATE("R2C",'Mapa final'!$S$36),"")</f>
        <v/>
      </c>
      <c r="O25" s="54" t="str">
        <f>IF(AND('Mapa final'!$AJ$37="Alta",'Mapa final'!$AL$37="Leve"),CONCATENATE("R2C",'Mapa final'!$S$37),"")</f>
        <v/>
      </c>
      <c r="P25" s="55" t="str">
        <f>IF(AND('Mapa final'!$AJ$38="Alta",'Mapa final'!$AL$38="Leve"),CONCATENATE("R2C",'Mapa final'!$S$38),"")</f>
        <v/>
      </c>
      <c r="Q25" s="53" t="str">
        <f>IF(AND('Mapa final'!$AJ$33="Alta",'Mapa final'!$AL$33="Menor"),CONCATENATE("R2C",'Mapa final'!$S$33),"")</f>
        <v/>
      </c>
      <c r="R25" s="54" t="str">
        <f>IF(AND('Mapa final'!$AJ$34="Alta",'Mapa final'!$AL$34="Menor"),CONCATENATE("R2C",'Mapa final'!$S$34),"")</f>
        <v/>
      </c>
      <c r="S25" s="54" t="str">
        <f>IF(AND('Mapa final'!$AJ$35="Alta",'Mapa final'!$AL$35="Menor"),CONCATENATE("R2C",'Mapa final'!$S$35),"")</f>
        <v/>
      </c>
      <c r="T25" s="54" t="str">
        <f>IF(AND('Mapa final'!$AJ$36="Alta",'Mapa final'!$AL$36="Menor"),CONCATENATE("R2C",'Mapa final'!$S$36),"")</f>
        <v/>
      </c>
      <c r="U25" s="54" t="str">
        <f>IF(AND('Mapa final'!$AJ$37="Alta",'Mapa final'!$AL$37="LMenor"),CONCATENATE("R2C",'Mapa final'!$S$37),"")</f>
        <v/>
      </c>
      <c r="V25" s="55" t="str">
        <f>IF(AND('Mapa final'!$AJ$38="Alta",'Mapa final'!$AL$38="Menor"),CONCATENATE("R2C",'Mapa final'!$S$38),"")</f>
        <v/>
      </c>
      <c r="W25" s="38" t="str">
        <f>IF(AND('Mapa final'!$AJ$33="Alta",'Mapa final'!$AL$33="Moderado"),CONCATENATE("R2C",'Mapa final'!$S$33),"")</f>
        <v/>
      </c>
      <c r="X25" s="39" t="str">
        <f>IF(AND('Mapa final'!$AJ$34="Alta",'Mapa final'!$AL$34="Moderado"),CONCATENATE("R2C",'Mapa final'!$S$34),"")</f>
        <v/>
      </c>
      <c r="Y25" s="39" t="str">
        <f>IF(AND('Mapa final'!$AJ$35="Alta",'Mapa final'!$AL$35="Moderado"),CONCATENATE("R2C",'Mapa final'!$S$35),"")</f>
        <v/>
      </c>
      <c r="Z25" s="39" t="str">
        <f>IF(AND('Mapa final'!$AJ$36="Alta",'Mapa final'!$AL$36="Moderado"),CONCATENATE("R2C",'Mapa final'!$S$36),"")</f>
        <v/>
      </c>
      <c r="AA25" s="39" t="str">
        <f>IF(AND('Mapa final'!$AJ$37="Alta",'Mapa final'!$AL$37="Moderado"),CONCATENATE("R2C",'Mapa final'!$S$37),"")</f>
        <v/>
      </c>
      <c r="AB25" s="40" t="str">
        <f>IF(AND('Mapa final'!$AJ$38="Alta",'Mapa final'!$AL$38="Moderado"),CONCATENATE("R2C",'Mapa final'!$S$38),"")</f>
        <v/>
      </c>
      <c r="AC25" s="38" t="str">
        <f>IF(AND('Mapa final'!$AJ$33="Alta",'Mapa final'!$AL$33="Mayor"),CONCATENATE("R2C",'Mapa final'!$S$33),"")</f>
        <v/>
      </c>
      <c r="AD25" s="39" t="str">
        <f>IF(AND('Mapa final'!$AJ$34="Alta",'Mapa final'!$AL$34="Mayor"),CONCATENATE("R2C",'Mapa final'!$S$34),"")</f>
        <v/>
      </c>
      <c r="AE25" s="39" t="str">
        <f>IF(AND('Mapa final'!$AJ$35="Alta",'Mapa final'!$AL$35="Mayor"),CONCATENATE("R2C",'Mapa final'!$S$35),"")</f>
        <v/>
      </c>
      <c r="AF25" s="39" t="str">
        <f>IF(AND('Mapa final'!$AJ$36="Alta",'Mapa final'!$AL$36="Mayor"),CONCATENATE("R2C",'Mapa final'!$S$36),"")</f>
        <v/>
      </c>
      <c r="AG25" s="39" t="str">
        <f>IF(AND('Mapa final'!$AJ$37="Alta",'Mapa final'!$AL$37="Mayor"),CONCATENATE("R2C",'Mapa final'!$S$37),"")</f>
        <v/>
      </c>
      <c r="AH25" s="40" t="str">
        <f>IF(AND('Mapa final'!$AJ$38="Alta",'Mapa final'!$AL$38="Mayor"),CONCATENATE("R2C",'Mapa final'!$S$38),"")</f>
        <v/>
      </c>
      <c r="AI25" s="41" t="str">
        <f>IF(AND('Mapa final'!$AJ$33="Alta",'Mapa final'!$AL$33="Catastrófico"),CONCATENATE("R2C",'Mapa final'!$S$33),"")</f>
        <v/>
      </c>
      <c r="AJ25" s="42" t="str">
        <f>IF(AND('Mapa final'!$AJ$34="Alta",'Mapa final'!$AL$34="Catastrófico"),CONCATENATE("R2C",'Mapa final'!$S$34),"")</f>
        <v/>
      </c>
      <c r="AK25" s="42" t="str">
        <f>IF(AND('Mapa final'!$AJ$35="Alta",'Mapa final'!$AL$35="Catastrófico"),CONCATENATE("R2C",'Mapa final'!$S$35),"")</f>
        <v/>
      </c>
      <c r="AL25" s="42" t="str">
        <f>IF(AND('Mapa final'!$AJ$36="Alta",'Mapa final'!$AL$36="Catastrófico"),CONCATENATE("R2C",'Mapa final'!$S$36),"")</f>
        <v/>
      </c>
      <c r="AM25" s="42" t="str">
        <f>IF(AND('Mapa final'!$AJ$37="Alta",'Mapa final'!$AL$37="LCatastrófico"),CONCATENATE("R2C",'Mapa final'!$S$37),"")</f>
        <v/>
      </c>
      <c r="AN25" s="43" t="str">
        <f>IF(AND('Mapa final'!$AJ$38="Alta",'Mapa final'!$AL$38="Catastrófico"),CONCATENATE("R2C",'Mapa final'!$S$38),"")</f>
        <v/>
      </c>
      <c r="AO25" s="69"/>
      <c r="AP25" s="492"/>
      <c r="AQ25" s="493"/>
      <c r="AR25" s="493"/>
      <c r="AS25" s="493"/>
      <c r="AT25" s="493"/>
      <c r="AU25" s="494"/>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439"/>
      <c r="D26" s="439"/>
      <c r="E26" s="440"/>
      <c r="F26" s="482"/>
      <c r="G26" s="483"/>
      <c r="H26" s="483"/>
      <c r="I26" s="483"/>
      <c r="J26" s="483"/>
      <c r="K26" s="53" t="str">
        <f>IF(AND('Mapa final'!$AJ$39="Alta",'Mapa final'!$AL$39="Leve"),CONCATENATE("R2C",'Mapa final'!$S$39),"")</f>
        <v/>
      </c>
      <c r="L26" s="54" t="str">
        <f>IF(AND('Mapa final'!$AJ$40="Alta",'Mapa final'!$AL$40="Leve"),CONCATENATE("R2C",'Mapa final'!$S$40),"")</f>
        <v/>
      </c>
      <c r="M26" s="54" t="str">
        <f>IF(AND('Mapa final'!$AJ$41="Alta",'Mapa final'!$AL$41="Leve"),CONCATENATE("R2C",'Mapa final'!$S$41),"")</f>
        <v/>
      </c>
      <c r="N26" s="54" t="str">
        <f>IF(AND('Mapa final'!$AJ$42="Alta",'Mapa final'!$AL$42="Leve"),CONCATENATE("R2C",'Mapa final'!$S$42),"")</f>
        <v/>
      </c>
      <c r="O26" s="54" t="str">
        <f>IF(AND('Mapa final'!$AJ$43="Alta",'Mapa final'!$AL$43="Leve"),CONCATENATE("R2C",'Mapa final'!$S$43),"")</f>
        <v/>
      </c>
      <c r="P26" s="55" t="str">
        <f>IF(AND('Mapa final'!$AJ$44="Alta",'Mapa final'!$AL$44="Leve"),CONCATENATE("R2C",'Mapa final'!$S$44),"")</f>
        <v/>
      </c>
      <c r="Q26" s="53" t="str">
        <f>IF(AND('Mapa final'!$AJ$39="Alta",'Mapa final'!$AL$39="Menor"),CONCATENATE("R2C",'Mapa final'!$S$39),"")</f>
        <v/>
      </c>
      <c r="R26" s="54" t="str">
        <f>IF(AND('Mapa final'!$AJ$40="Alta",'Mapa final'!$AL$40="Menor"),CONCATENATE("R2C",'Mapa final'!$S$40),"")</f>
        <v/>
      </c>
      <c r="S26" s="54" t="str">
        <f>IF(AND('Mapa final'!$AJ$41="Alta",'Mapa final'!$AL$41="Menor"),CONCATENATE("R2C",'Mapa final'!$S$41),"")</f>
        <v/>
      </c>
      <c r="T26" s="54" t="str">
        <f>IF(AND('Mapa final'!$AJ$42="Alta",'Mapa final'!$AL$42="Menor"),CONCATENATE("R2C",'Mapa final'!$S$42),"")</f>
        <v/>
      </c>
      <c r="U26" s="54" t="str">
        <f>IF(AND('Mapa final'!$AJ$43="Alta",'Mapa final'!$AL$43="Menor"),CONCATENATE("R2C",'Mapa final'!$S$43),"")</f>
        <v/>
      </c>
      <c r="V26" s="55" t="str">
        <f>IF(AND('Mapa final'!$AJ$44="Alta",'Mapa final'!$AL$44="Menor"),CONCATENATE("R2C",'Mapa final'!$S$44),"")</f>
        <v/>
      </c>
      <c r="W26" s="38" t="str">
        <f>IF(AND('Mapa final'!$AJ$39="Alta",'Mapa final'!$AL$39="Moderado"),CONCATENATE("R2C",'Mapa final'!$S$39),"")</f>
        <v/>
      </c>
      <c r="X26" s="39" t="str">
        <f>IF(AND('Mapa final'!$AJ$40="Alta",'Mapa final'!$AL$40="Moderado"),CONCATENATE("R2C",'Mapa final'!$S$40),"")</f>
        <v/>
      </c>
      <c r="Y26" s="39" t="str">
        <f>IF(AND('Mapa final'!$AJ$41="Alta",'Mapa final'!$AL$41="Moderado"),CONCATENATE("R2C",'Mapa final'!$S$41),"")</f>
        <v/>
      </c>
      <c r="Z26" s="39" t="str">
        <f>IF(AND('Mapa final'!$AJ$42="Alta",'Mapa final'!$AL$42="Moderado"),CONCATENATE("R2C",'Mapa final'!$S$42),"")</f>
        <v/>
      </c>
      <c r="AA26" s="39" t="str">
        <f>IF(AND('Mapa final'!$AJ$43="Alta",'Mapa final'!$AL$43="Moderado"),CONCATENATE("R2C",'Mapa final'!$S$43),"")</f>
        <v/>
      </c>
      <c r="AB26" s="40" t="str">
        <f>IF(AND('Mapa final'!$AJ$44="Alta",'Mapa final'!$AL$44="Moderado"),CONCATENATE("R2C",'Mapa final'!$S$44),"")</f>
        <v/>
      </c>
      <c r="AC26" s="38" t="str">
        <f>IF(AND('Mapa final'!$AJ$39="Alta",'Mapa final'!$AL$39="Mayor"),CONCATENATE("R2C",'Mapa final'!$S$39),"")</f>
        <v/>
      </c>
      <c r="AD26" s="39" t="str">
        <f>IF(AND('Mapa final'!$AJ$40="Alta",'Mapa final'!$AL$40="Mayor"),CONCATENATE("R2C",'Mapa final'!$S$40),"")</f>
        <v/>
      </c>
      <c r="AE26" s="39" t="str">
        <f>IF(AND('Mapa final'!$AJ$41="Alta",'Mapa final'!$AL$41="Mayor"),CONCATENATE("R2C",'Mapa final'!$S$41),"")</f>
        <v/>
      </c>
      <c r="AF26" s="39" t="str">
        <f>IF(AND('Mapa final'!$AJ$42="Alta",'Mapa final'!$AL$42="Mayor"),CONCATENATE("R2C",'Mapa final'!$S$42),"")</f>
        <v/>
      </c>
      <c r="AG26" s="39" t="str">
        <f>IF(AND('Mapa final'!$AJ$43="Alta",'Mapa final'!$AL$43="Mayor"),CONCATENATE("R2C",'Mapa final'!$S$43),"")</f>
        <v/>
      </c>
      <c r="AH26" s="40" t="str">
        <f>IF(AND('Mapa final'!$AJ$44="Alta",'Mapa final'!$AL$44="Mayor"),CONCATENATE("R2C",'Mapa final'!$S$44),"")</f>
        <v/>
      </c>
      <c r="AI26" s="41" t="str">
        <f>IF(AND('Mapa final'!$AJ$39="Alta",'Mapa final'!$AL$39="Catastrófico"),CONCATENATE("R2C",'Mapa final'!$S$39),"")</f>
        <v/>
      </c>
      <c r="AJ26" s="42" t="str">
        <f>IF(AND('Mapa final'!$AJ$40="Alta",'Mapa final'!$AL$40="Catastrófico"),CONCATENATE("R2C",'Mapa final'!$S$40),"")</f>
        <v/>
      </c>
      <c r="AK26" s="42" t="str">
        <f>IF(AND('Mapa final'!$AJ$41="Alta",'Mapa final'!$AL$41="Catastrófico"),CONCATENATE("R2C",'Mapa final'!$S$41),"")</f>
        <v/>
      </c>
      <c r="AL26" s="42" t="str">
        <f>IF(AND('Mapa final'!$AJ$42="Alta",'Mapa final'!$AL$42="Catastrófico"),CONCATENATE("R2C",'Mapa final'!$S$42),"")</f>
        <v/>
      </c>
      <c r="AM26" s="42" t="str">
        <f>IF(AND('Mapa final'!$AJ$43="Alta",'Mapa final'!$AL$43="Catastrófico"),CONCATENATE("R2C",'Mapa final'!$S$43),"")</f>
        <v/>
      </c>
      <c r="AN26" s="43" t="str">
        <f>IF(AND('Mapa final'!$AJ$44="Alta",'Mapa final'!$AL$44="Catastrófico"),CONCATENATE("R2C",'Mapa final'!$S$44),"")</f>
        <v/>
      </c>
      <c r="AO26" s="69"/>
      <c r="AP26" s="492"/>
      <c r="AQ26" s="493"/>
      <c r="AR26" s="493"/>
      <c r="AS26" s="493"/>
      <c r="AT26" s="493"/>
      <c r="AU26" s="494"/>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439"/>
      <c r="D27" s="439"/>
      <c r="E27" s="440"/>
      <c r="F27" s="482"/>
      <c r="G27" s="483"/>
      <c r="H27" s="483"/>
      <c r="I27" s="483"/>
      <c r="J27" s="483"/>
      <c r="K27" s="53" t="str">
        <f>IF(AND('Mapa final'!$AJ$45="Alta",'Mapa final'!$AL$45="Leve"),CONCATENATE("R2C",'Mapa final'!$S$45),"")</f>
        <v/>
      </c>
      <c r="L27" s="54" t="str">
        <f>IF(AND('Mapa final'!$AJ$46="Alta",'Mapa final'!$AL$46="Leve"),CONCATENATE("R2C",'Mapa final'!$S$46),"")</f>
        <v/>
      </c>
      <c r="M27" s="54" t="str">
        <f>IF(AND('Mapa final'!$AJ$47="Alta",'Mapa final'!$AL$47="Leve"),CONCATENATE("R2C",'Mapa final'!$S$47),"")</f>
        <v/>
      </c>
      <c r="N27" s="54" t="str">
        <f>IF(AND('Mapa final'!$AJ$48="Alta",'Mapa final'!$AL$48="Leve"),CONCATENATE("R2C",'Mapa final'!$S$48),"")</f>
        <v/>
      </c>
      <c r="O27" s="54" t="str">
        <f>IF(AND('Mapa final'!$AJ$49="Alta",'Mapa final'!$AL$49="Leve"),CONCATENATE("R2C",'Mapa final'!$S$49),"")</f>
        <v/>
      </c>
      <c r="P27" s="55" t="str">
        <f>IF(AND('Mapa final'!$AJ$60="Alta",'Mapa final'!$AL$50="Leve"),CONCATENATE("R2C",'Mapa final'!$S$50),"")</f>
        <v/>
      </c>
      <c r="Q27" s="53" t="str">
        <f>IF(AND('Mapa final'!$AJ$45="Alta",'Mapa final'!$AL$45="Menor"),CONCATENATE("R2C",'Mapa final'!$S$45),"")</f>
        <v/>
      </c>
      <c r="R27" s="54" t="str">
        <f>IF(AND('Mapa final'!$AJ$46="Alta",'Mapa final'!$AL$46="Menor"),CONCATENATE("R2C",'Mapa final'!$S$46),"")</f>
        <v/>
      </c>
      <c r="S27" s="54" t="str">
        <f>IF(AND('Mapa final'!$AJ$47="Alta",'Mapa final'!$AL$47="Menor"),CONCATENATE("R2C",'Mapa final'!$S$47),"")</f>
        <v/>
      </c>
      <c r="T27" s="54" t="str">
        <f>IF(AND('Mapa final'!$AJ$48="Alta",'Mapa final'!$AL$48="Menor"),CONCATENATE("R2C",'Mapa final'!$S$48),"")</f>
        <v/>
      </c>
      <c r="U27" s="54" t="str">
        <f>IF(AND('Mapa final'!$AJ$49="Alta",'Mapa final'!$AL$49="Menor"),CONCATENATE("R2C",'Mapa final'!$S$49),"")</f>
        <v/>
      </c>
      <c r="V27" s="55" t="str">
        <f>IF(AND('Mapa final'!$AJ$60="Alta",'Mapa final'!$AL$50="Menor"),CONCATENATE("R2C",'Mapa final'!$S$50),"")</f>
        <v/>
      </c>
      <c r="W27" s="38" t="str">
        <f>IF(AND('Mapa final'!$AJ$45="Alta",'Mapa final'!$AL$45="Moderado"),CONCATENATE("R2C",'Mapa final'!$S$45),"")</f>
        <v/>
      </c>
      <c r="X27" s="39" t="str">
        <f>IF(AND('Mapa final'!$AJ$46="Alta",'Mapa final'!$AL$46="Moderado"),CONCATENATE("R2C",'Mapa final'!$S$46),"")</f>
        <v/>
      </c>
      <c r="Y27" s="39" t="str">
        <f>IF(AND('Mapa final'!$AJ$47="Alta",'Mapa final'!$AL$47="Moderado"),CONCATENATE("R2C",'Mapa final'!$S$47),"")</f>
        <v/>
      </c>
      <c r="Z27" s="39" t="str">
        <f>IF(AND('Mapa final'!$AJ$48="Alta",'Mapa final'!$AL$48="Moderado"),CONCATENATE("R2C",'Mapa final'!$S$48),"")</f>
        <v/>
      </c>
      <c r="AA27" s="39" t="str">
        <f>IF(AND('Mapa final'!$AJ$49="Alta",'Mapa final'!$AL$49="Moderado"),CONCATENATE("R2C",'Mapa final'!$S$49),"")</f>
        <v/>
      </c>
      <c r="AB27" s="40" t="str">
        <f>IF(AND('Mapa final'!$AJ$60="Alta",'Mapa final'!$AL$50="Moderado"),CONCATENATE("R2C",'Mapa final'!$S$50),"")</f>
        <v/>
      </c>
      <c r="AC27" s="38" t="str">
        <f>IF(AND('Mapa final'!$AJ$45="Alta",'Mapa final'!$AL$45="Mayor"),CONCATENATE("R2C",'Mapa final'!$S$45),"")</f>
        <v/>
      </c>
      <c r="AD27" s="39" t="str">
        <f>IF(AND('Mapa final'!$AJ$46="Alta",'Mapa final'!$AL$46="Mayor"),CONCATENATE("R2C",'Mapa final'!$S$46),"")</f>
        <v/>
      </c>
      <c r="AE27" s="39" t="str">
        <f>IF(AND('Mapa final'!$AJ$47="Alta",'Mapa final'!$AL$47="Mayor"),CONCATENATE("R2C",'Mapa final'!$S$47),"")</f>
        <v/>
      </c>
      <c r="AF27" s="39" t="str">
        <f>IF(AND('Mapa final'!$AJ$48="Alta",'Mapa final'!$AL$48="Mayor"),CONCATENATE("R2C",'Mapa final'!$S$48),"")</f>
        <v/>
      </c>
      <c r="AG27" s="39" t="str">
        <f>IF(AND('Mapa final'!$AJ$49="Alta",'Mapa final'!$AL$49="Mayor"),CONCATENATE("R2C",'Mapa final'!$S$49),"")</f>
        <v/>
      </c>
      <c r="AH27" s="40" t="str">
        <f>IF(AND('Mapa final'!$AJ$60="Alta",'Mapa final'!$AL$50="Mayor"),CONCATENATE("R2C",'Mapa final'!$S$50),"")</f>
        <v/>
      </c>
      <c r="AI27" s="41" t="str">
        <f>IF(AND('Mapa final'!$AJ$45="Alta",'Mapa final'!$AL$45="Catastrófico"),CONCATENATE("R2C",'Mapa final'!$S$45),"")</f>
        <v/>
      </c>
      <c r="AJ27" s="42" t="str">
        <f>IF(AND('Mapa final'!$AJ$46="Alta",'Mapa final'!$AL$46="Catastrófico"),CONCATENATE("R2C",'Mapa final'!$S$46),"")</f>
        <v/>
      </c>
      <c r="AK27" s="42" t="str">
        <f>IF(AND('Mapa final'!$AJ$47="Alta",'Mapa final'!$AL$47="Catastrófico"),CONCATENATE("R2C",'Mapa final'!$S$47),"")</f>
        <v/>
      </c>
      <c r="AL27" s="42" t="str">
        <f>IF(AND('Mapa final'!$AJ$48="Alta",'Mapa final'!$AL$48="Catastrófico"),CONCATENATE("R2C",'Mapa final'!$S$48),"")</f>
        <v/>
      </c>
      <c r="AM27" s="42" t="str">
        <f>IF(AND('Mapa final'!$AJ$49="Alta",'Mapa final'!$AL$49="Catastrófico"),CONCATENATE("R2C",'Mapa final'!$S$49),"")</f>
        <v/>
      </c>
      <c r="AN27" s="43" t="str">
        <f>IF(AND('Mapa final'!$AJ$60="Alta",'Mapa final'!$AL$50="Catastrófico"),CONCATENATE("R2C",'Mapa final'!$S$50),"")</f>
        <v/>
      </c>
      <c r="AO27" s="69"/>
      <c r="AP27" s="492"/>
      <c r="AQ27" s="493"/>
      <c r="AR27" s="493"/>
      <c r="AS27" s="493"/>
      <c r="AT27" s="493"/>
      <c r="AU27" s="494"/>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439"/>
      <c r="D28" s="439"/>
      <c r="E28" s="440"/>
      <c r="F28" s="482"/>
      <c r="G28" s="483"/>
      <c r="H28" s="483"/>
      <c r="I28" s="483"/>
      <c r="J28" s="483"/>
      <c r="K28" s="53" t="str">
        <f>IF(AND('Mapa final'!$AJ$51="Alta",'Mapa final'!$AL$51="Leve"),CONCATENATE("R2C",'Mapa final'!$S$51),"")</f>
        <v/>
      </c>
      <c r="L28" s="54" t="str">
        <f>IF(AND('Mapa final'!$AJ$52="Alta",'Mapa final'!$AL$52="Leve"),CONCATENATE("R2C",'Mapa final'!$S$52),"")</f>
        <v/>
      </c>
      <c r="M28" s="54" t="str">
        <f>IF(AND('Mapa final'!$AJ$53="Alta",'Mapa final'!$AL$53="Leve"),CONCATENATE("R2C",'Mapa final'!$S$53),"")</f>
        <v/>
      </c>
      <c r="N28" s="54" t="str">
        <f>IF(AND('Mapa final'!$AJ$54="Alta",'Mapa final'!$AL$54="Leve"),CONCATENATE("R2C",'Mapa final'!$S$54),"")</f>
        <v/>
      </c>
      <c r="O28" s="54" t="str">
        <f>IF(AND('Mapa final'!$AJ$55="Alta",'Mapa final'!$AL$55="Leve"),CONCATENATE("R2C",'Mapa final'!$S$55),"")</f>
        <v/>
      </c>
      <c r="P28" s="55" t="str">
        <f>IF(AND('Mapa final'!$AJ$56="Alta",'Mapa final'!$AL$56="Leve"),CONCATENATE("R2C",'Mapa final'!$S$56),"")</f>
        <v/>
      </c>
      <c r="Q28" s="53" t="str">
        <f>IF(AND('Mapa final'!$AJ$51="Alta",'Mapa final'!$AL$51="Menor"),CONCATENATE("R2C",'Mapa final'!$S$51),"")</f>
        <v/>
      </c>
      <c r="R28" s="54" t="str">
        <f>IF(AND('Mapa final'!$AJ$52="Alta",'Mapa final'!$AL$52="Menor"),CONCATENATE("R2C",'Mapa final'!$S$52),"")</f>
        <v/>
      </c>
      <c r="S28" s="54" t="str">
        <f>IF(AND('Mapa final'!$AJ$53="Alta",'Mapa final'!$AL$53="Menor"),CONCATENATE("R2C",'Mapa final'!$S$53),"")</f>
        <v/>
      </c>
      <c r="T28" s="54" t="str">
        <f>IF(AND('Mapa final'!$AJ$54="Alta",'Mapa final'!$AL$54="Menor"),CONCATENATE("R2C",'Mapa final'!$S$54),"")</f>
        <v/>
      </c>
      <c r="U28" s="54" t="str">
        <f>IF(AND('Mapa final'!$AJ$55="Alta",'Mapa final'!$AL$55="Menor"),CONCATENATE("R2C",'Mapa final'!$S$55),"")</f>
        <v/>
      </c>
      <c r="V28" s="55" t="str">
        <f>IF(AND('Mapa final'!$AJ$56="Alta",'Mapa final'!$AL$56="Menor"),CONCATENATE("R2C",'Mapa final'!$S$56),"")</f>
        <v/>
      </c>
      <c r="W28" s="38" t="str">
        <f>IF(AND('Mapa final'!$AJ$51="Alta",'Mapa final'!$AL$51="Moderado"),CONCATENATE("R2C",'Mapa final'!$S$51),"")</f>
        <v/>
      </c>
      <c r="X28" s="39" t="str">
        <f>IF(AND('Mapa final'!$AJ$52="Alta",'Mapa final'!$AL$52="Moderado"),CONCATENATE("R2C",'Mapa final'!$S$52),"")</f>
        <v/>
      </c>
      <c r="Y28" s="39" t="str">
        <f>IF(AND('Mapa final'!$AJ$53="Alta",'Mapa final'!$AL$53="Moderado"),CONCATENATE("R2C",'Mapa final'!$S$53),"")</f>
        <v/>
      </c>
      <c r="Z28" s="39" t="str">
        <f>IF(AND('Mapa final'!$AJ$54="Alta",'Mapa final'!$AL$54="Moderado"),CONCATENATE("R2C",'Mapa final'!$S$54),"")</f>
        <v/>
      </c>
      <c r="AA28" s="39" t="str">
        <f>IF(AND('Mapa final'!$AJ$55="Alta",'Mapa final'!$AL$55="Moderado"),CONCATENATE("R2C",'Mapa final'!$S$55),"")</f>
        <v/>
      </c>
      <c r="AB28" s="40" t="str">
        <f>IF(AND('Mapa final'!$AJ$56="Alta",'Mapa final'!$AL$56="Moderado"),CONCATENATE("R2C",'Mapa final'!$S$56),"")</f>
        <v/>
      </c>
      <c r="AC28" s="38" t="str">
        <f>IF(AND('Mapa final'!$AJ$51="Alta",'Mapa final'!$AL$51="Mayor"),CONCATENATE("R2C",'Mapa final'!$S$51),"")</f>
        <v/>
      </c>
      <c r="AD28" s="39" t="str">
        <f>IF(AND('Mapa final'!$AJ$52="Alta",'Mapa final'!$AL$52="Mayor"),CONCATENATE("R2C",'Mapa final'!$S$52),"")</f>
        <v/>
      </c>
      <c r="AE28" s="39" t="str">
        <f>IF(AND('Mapa final'!$AJ$53="Alta",'Mapa final'!$AL$53="Mayor"),CONCATENATE("R2C",'Mapa final'!$S$53),"")</f>
        <v/>
      </c>
      <c r="AF28" s="39" t="str">
        <f>IF(AND('Mapa final'!$AJ$54="Alta",'Mapa final'!$AL$54="Mayor"),CONCATENATE("R2C",'Mapa final'!$S$54),"")</f>
        <v/>
      </c>
      <c r="AG28" s="39" t="str">
        <f>IF(AND('Mapa final'!$AJ$55="Alta",'Mapa final'!$AL$55="Mayor"),CONCATENATE("R2C",'Mapa final'!$S$55),"")</f>
        <v/>
      </c>
      <c r="AH28" s="40" t="str">
        <f>IF(AND('Mapa final'!$AJ$56="Alta",'Mapa final'!$AL$56="Mayor"),CONCATENATE("R2C",'Mapa final'!$S$56),"")</f>
        <v/>
      </c>
      <c r="AI28" s="41" t="str">
        <f>IF(AND('Mapa final'!$AJ$51="Alta",'Mapa final'!$AL$51="Catastrófico"),CONCATENATE("R2C",'Mapa final'!$S$51),"")</f>
        <v/>
      </c>
      <c r="AJ28" s="42" t="str">
        <f>IF(AND('Mapa final'!$AJ$52="Alta",'Mapa final'!$AL$52="Catastrófico"),CONCATENATE("R2C",'Mapa final'!$S$52),"")</f>
        <v/>
      </c>
      <c r="AK28" s="42" t="str">
        <f>IF(AND('Mapa final'!$AJ$53="Alta",'Mapa final'!$AL$53="Catastrófico"),CONCATENATE("R2C",'Mapa final'!$S$53),"")</f>
        <v/>
      </c>
      <c r="AL28" s="42" t="str">
        <f>IF(AND('Mapa final'!$AJ$54="Alta",'Mapa final'!$AL$54="Catastrófico"),CONCATENATE("R2C",'Mapa final'!$S$54),"")</f>
        <v/>
      </c>
      <c r="AM28" s="42" t="str">
        <f>IF(AND('Mapa final'!$AJ$55="Alta",'Mapa final'!$AL$55="Catastrófico"),CONCATENATE("R2C",'Mapa final'!$S$55),"")</f>
        <v/>
      </c>
      <c r="AN28" s="43" t="str">
        <f>IF(AND('Mapa final'!$AJ$56="Alta",'Mapa final'!$AL$56="Catastrófico"),CONCATENATE("R2C",'Mapa final'!$S$56),"")</f>
        <v/>
      </c>
      <c r="AO28" s="69"/>
      <c r="AP28" s="492"/>
      <c r="AQ28" s="493"/>
      <c r="AR28" s="493"/>
      <c r="AS28" s="493"/>
      <c r="AT28" s="493"/>
      <c r="AU28" s="494"/>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439"/>
      <c r="D29" s="439"/>
      <c r="E29" s="440"/>
      <c r="F29" s="482"/>
      <c r="G29" s="483"/>
      <c r="H29" s="483"/>
      <c r="I29" s="483"/>
      <c r="J29" s="483"/>
      <c r="K29" s="53" t="str">
        <f>IF(AND('Mapa final'!$AJ$57="Alta",'Mapa final'!$AL$57="Leve"),CONCATENATE("R2C",'Mapa final'!$S$57),"")</f>
        <v/>
      </c>
      <c r="L29" s="54" t="str">
        <f>IF(AND('Mapa final'!$AJ$58="Alta",'Mapa final'!$AL$58="Leve"),CONCATENATE("R2C",'Mapa final'!$S$58),"")</f>
        <v/>
      </c>
      <c r="M29" s="54" t="str">
        <f>IF(AND('Mapa final'!$AJ$59="Alta",'Mapa final'!$AL$59="Leve"),CONCATENATE("R2C",'Mapa final'!$S$59),"")</f>
        <v/>
      </c>
      <c r="N29" s="54" t="str">
        <f>IF(AND('Mapa final'!$AJ$60="Alta",'Mapa final'!$AL$60="Leve"),CONCATENATE("R2C",'Mapa final'!$S$60),"")</f>
        <v/>
      </c>
      <c r="O29" s="54" t="str">
        <f>IF(AND('Mapa final'!$AJ$61="Alta",'Mapa final'!$AL$61="Leve"),CONCATENATE("R2C",'Mapa final'!$S$61),"")</f>
        <v/>
      </c>
      <c r="P29" s="55" t="str">
        <f>IF(AND('Mapa final'!$AJ$62="Alta",'Mapa final'!$AL$62="Leve"),CONCATENATE("R2C",'Mapa final'!$S$62),"")</f>
        <v/>
      </c>
      <c r="Q29" s="53" t="str">
        <f>IF(AND('Mapa final'!$AJ$57="Alta",'Mapa final'!$AL$57="Menor"),CONCATENATE("R2C",'Mapa final'!$S$57),"")</f>
        <v/>
      </c>
      <c r="R29" s="54" t="str">
        <f>IF(AND('Mapa final'!$AJ$58="Alta",'Mapa final'!$AL$58="Menor"),CONCATENATE("R2C",'Mapa final'!$S$58),"")</f>
        <v/>
      </c>
      <c r="S29" s="54" t="str">
        <f>IF(AND('Mapa final'!$AJ$59="Alta",'Mapa final'!$AL$59="Menor"),CONCATENATE("R2C",'Mapa final'!$S$59),"")</f>
        <v/>
      </c>
      <c r="T29" s="54" t="str">
        <f>IF(AND('Mapa final'!$AJ$60="Alta",'Mapa final'!$AL$60="Menor"),CONCATENATE("R2C",'Mapa final'!$S$60),"")</f>
        <v/>
      </c>
      <c r="U29" s="54" t="str">
        <f>IF(AND('Mapa final'!$AJ$61="Alta",'Mapa final'!$AL$61="Menor"),CONCATENATE("R2C",'Mapa final'!$S$61),"")</f>
        <v/>
      </c>
      <c r="V29" s="55" t="str">
        <f>IF(AND('Mapa final'!$AJ$62="Alta",'Mapa final'!$AL$62="Menor"),CONCATENATE("R2C",'Mapa final'!$S$62),"")</f>
        <v/>
      </c>
      <c r="W29" s="38" t="str">
        <f>IF(AND('Mapa final'!$AJ$57="Alta",'Mapa final'!$AL$57="Moderado"),CONCATENATE("R2C",'Mapa final'!$S$57),"")</f>
        <v/>
      </c>
      <c r="X29" s="39" t="str">
        <f>IF(AND('Mapa final'!$AJ$58="Alta",'Mapa final'!$AL$58="Moderado"),CONCATENATE("R2C",'Mapa final'!$S$58),"")</f>
        <v/>
      </c>
      <c r="Y29" s="39" t="str">
        <f>IF(AND('Mapa final'!$AJ$59="Alta",'Mapa final'!$AL$59="Moderado"),CONCATENATE("R2C",'Mapa final'!$S$59),"")</f>
        <v/>
      </c>
      <c r="Z29" s="39" t="str">
        <f>IF(AND('Mapa final'!$AJ$60="Alta",'Mapa final'!$AL$60="Moderado"),CONCATENATE("R2C",'Mapa final'!$S$60),"")</f>
        <v/>
      </c>
      <c r="AA29" s="39" t="str">
        <f>IF(AND('Mapa final'!$AJ$61="Alta",'Mapa final'!$AL$61="Moderado"),CONCATENATE("R2C",'Mapa final'!$S$61),"")</f>
        <v/>
      </c>
      <c r="AB29" s="40" t="str">
        <f>IF(AND('Mapa final'!$AJ$62="Alta",'Mapa final'!$AL$62="Moderado"),CONCATENATE("R2C",'Mapa final'!$S$62),"")</f>
        <v/>
      </c>
      <c r="AC29" s="38" t="str">
        <f>IF(AND('Mapa final'!$AJ$57="Alta",'Mapa final'!$AL$57="Mayor"),CONCATENATE("R2C",'Mapa final'!$S$57),"")</f>
        <v/>
      </c>
      <c r="AD29" s="39" t="str">
        <f>IF(AND('Mapa final'!$AJ$58="Alta",'Mapa final'!$AL$58="Mayor"),CONCATENATE("R2C",'Mapa final'!$S$58),"")</f>
        <v/>
      </c>
      <c r="AE29" s="39" t="str">
        <f>IF(AND('Mapa final'!$AJ$59="Alta",'Mapa final'!$AL$59="Mayor"),CONCATENATE("R2C",'Mapa final'!$S$59),"")</f>
        <v/>
      </c>
      <c r="AF29" s="39" t="str">
        <f>IF(AND('Mapa final'!$AJ$60="Alta",'Mapa final'!$AL$60="Mayor"),CONCATENATE("R2C",'Mapa final'!$S$60),"")</f>
        <v/>
      </c>
      <c r="AG29" s="39" t="str">
        <f>IF(AND('Mapa final'!$AJ$61="Alta",'Mapa final'!$AL$61="Mayor"),CONCATENATE("R2C",'Mapa final'!$S$61),"")</f>
        <v/>
      </c>
      <c r="AH29" s="40" t="str">
        <f>IF(AND('Mapa final'!$AJ$62="Alta",'Mapa final'!$AL$62="Mayor"),CONCATENATE("R2C",'Mapa final'!$S$62),"")</f>
        <v/>
      </c>
      <c r="AI29" s="41" t="str">
        <f>IF(AND('Mapa final'!$AJ$57="Alta",'Mapa final'!$AL$57="Catastrófico"),CONCATENATE("R2C",'Mapa final'!$S$57),"")</f>
        <v/>
      </c>
      <c r="AJ29" s="42" t="str">
        <f>IF(AND('Mapa final'!$AJ$58="Alta",'Mapa final'!$AL$58="Catastrófico"),CONCATENATE("R2C",'Mapa final'!$S$58),"")</f>
        <v/>
      </c>
      <c r="AK29" s="42" t="str">
        <f>IF(AND('Mapa final'!$AJ$59="Alta",'Mapa final'!$AL$59="Catastrófico"),CONCATENATE("R2C",'Mapa final'!$S$59),"")</f>
        <v/>
      </c>
      <c r="AL29" s="42" t="str">
        <f>IF(AND('Mapa final'!$AJ$60="Alta",'Mapa final'!$AL$60="Catastrófico"),CONCATENATE("R2C",'Mapa final'!$S$60),"")</f>
        <v/>
      </c>
      <c r="AM29" s="42" t="str">
        <f>IF(AND('Mapa final'!$AJ$61="Alta",'Mapa final'!$AL$61="Catastrófico"),CONCATENATE("R2C",'Mapa final'!$S$61),"")</f>
        <v/>
      </c>
      <c r="AN29" s="43" t="str">
        <f>IF(AND('Mapa final'!$AJ$62="Alta",'Mapa final'!$AL$62="Catastrófico"),CONCATENATE("R2C",'Mapa final'!$S$62),"")</f>
        <v/>
      </c>
      <c r="AO29" s="69"/>
      <c r="AP29" s="492"/>
      <c r="AQ29" s="493"/>
      <c r="AR29" s="493"/>
      <c r="AS29" s="493"/>
      <c r="AT29" s="493"/>
      <c r="AU29" s="494"/>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439"/>
      <c r="D30" s="439"/>
      <c r="E30" s="440"/>
      <c r="F30" s="482"/>
      <c r="G30" s="483"/>
      <c r="H30" s="483"/>
      <c r="I30" s="483"/>
      <c r="J30" s="483"/>
      <c r="K30" s="53" t="str">
        <f>IF(AND('Mapa final'!$AJ$63="Alta",'Mapa final'!$AL$63="Leve"),CONCATENATE("R2C",'Mapa final'!$S$63),"")</f>
        <v/>
      </c>
      <c r="L30" s="54" t="str">
        <f>IF(AND('Mapa final'!$AJ$64="Alta",'Mapa final'!$AL$64="Leve"),CONCATENATE("R2C",'Mapa final'!$S$64),"")</f>
        <v/>
      </c>
      <c r="M30" s="54" t="str">
        <f>IF(AND('Mapa final'!$AJ$65="Alta",'Mapa final'!$AL$65="Leve"),CONCATENATE("R2C",'Mapa final'!$S$65),"")</f>
        <v/>
      </c>
      <c r="N30" s="54" t="str">
        <f>IF(AND('Mapa final'!$AJ$66="Alta",'Mapa final'!$AL$66="Leve"),CONCATENATE("R2C",'Mapa final'!$S$66),"")</f>
        <v/>
      </c>
      <c r="O30" s="54" t="str">
        <f>IF(AND('Mapa final'!$AJ$67="Alta",'Mapa final'!$AL$67="Leve"),CONCATENATE("R2C",'Mapa final'!$S$67),"")</f>
        <v/>
      </c>
      <c r="P30" s="55" t="str">
        <f>IF(AND('Mapa final'!$AJ$68="Alta",'Mapa final'!$AL$68="Leve"),CONCATENATE("R2C",'Mapa final'!$S$68),"")</f>
        <v/>
      </c>
      <c r="Q30" s="53" t="str">
        <f>IF(AND('Mapa final'!$AJ$63="Alta",'Mapa final'!$AL$63="Menor"),CONCATENATE("R2C",'Mapa final'!$S$63),"")</f>
        <v/>
      </c>
      <c r="R30" s="54" t="str">
        <f>IF(AND('Mapa final'!$AJ$64="Alta",'Mapa final'!$AL$64="Menor"),CONCATENATE("R2C",'Mapa final'!$S$64),"")</f>
        <v/>
      </c>
      <c r="S30" s="54" t="str">
        <f>IF(AND('Mapa final'!$AJ$65="Alta",'Mapa final'!$AL$65="Menor"),CONCATENATE("R2C",'Mapa final'!$S$65),"")</f>
        <v/>
      </c>
      <c r="T30" s="54" t="str">
        <f>IF(AND('Mapa final'!$AJ$66="Alta",'Mapa final'!$AL$66="Menor"),CONCATENATE("R2C",'Mapa final'!$S$66),"")</f>
        <v/>
      </c>
      <c r="U30" s="54" t="str">
        <f>IF(AND('Mapa final'!$AJ$67="Alta",'Mapa final'!$AL$67="Menor"),CONCATENATE("R2C",'Mapa final'!$S$67),"")</f>
        <v/>
      </c>
      <c r="V30" s="55" t="str">
        <f>IF(AND('Mapa final'!$AJ$68="Alta",'Mapa final'!$AL$68="Menor"),CONCATENATE("R2C",'Mapa final'!$S$68),"")</f>
        <v/>
      </c>
      <c r="W30" s="38" t="str">
        <f>IF(AND('Mapa final'!$AJ$63="Alta",'Mapa final'!$AL$63="Moderado"),CONCATENATE("R2C",'Mapa final'!$S$63),"")</f>
        <v/>
      </c>
      <c r="X30" s="39" t="str">
        <f>IF(AND('Mapa final'!$AJ$64="Alta",'Mapa final'!$AL$64="Moderado"),CONCATENATE("R2C",'Mapa final'!$S$64),"")</f>
        <v/>
      </c>
      <c r="Y30" s="39" t="str">
        <f>IF(AND('Mapa final'!$AJ$65="Alta",'Mapa final'!$AL$65="Moderado"),CONCATENATE("R2C",'Mapa final'!$S$65),"")</f>
        <v/>
      </c>
      <c r="Z30" s="39" t="str">
        <f>IF(AND('Mapa final'!$AJ$66="Alta",'Mapa final'!$AL$66="Moderado"),CONCATENATE("R2C",'Mapa final'!$S$66),"")</f>
        <v/>
      </c>
      <c r="AA30" s="39" t="str">
        <f>IF(AND('Mapa final'!$AJ$67="Alta",'Mapa final'!$AL$67="Moderado"),CONCATENATE("R2C",'Mapa final'!$S$67),"")</f>
        <v/>
      </c>
      <c r="AB30" s="40" t="str">
        <f>IF(AND('Mapa final'!$AJ$68="Alta",'Mapa final'!$AL$68="Moderado"),CONCATENATE("R2C",'Mapa final'!$S$68),"")</f>
        <v/>
      </c>
      <c r="AC30" s="38" t="str">
        <f>IF(AND('Mapa final'!$AJ$63="Alta",'Mapa final'!$AL$63="Mayor"),CONCATENATE("R2C",'Mapa final'!$S$63),"")</f>
        <v/>
      </c>
      <c r="AD30" s="39" t="str">
        <f>IF(AND('Mapa final'!$AJ$64="Alta",'Mapa final'!$AL$64="Mayor"),CONCATENATE("R2C",'Mapa final'!$S$64),"")</f>
        <v/>
      </c>
      <c r="AE30" s="39" t="str">
        <f>IF(AND('Mapa final'!$AJ$65="Alta",'Mapa final'!$AL$65="Mayor"),CONCATENATE("R2C",'Mapa final'!$S$65),"")</f>
        <v/>
      </c>
      <c r="AF30" s="39" t="str">
        <f>IF(AND('Mapa final'!$AJ$66="Alta",'Mapa final'!$AL$66="Mayor"),CONCATENATE("R2C",'Mapa final'!$S$66),"")</f>
        <v/>
      </c>
      <c r="AG30" s="39" t="str">
        <f>IF(AND('Mapa final'!$AJ$67="Alta",'Mapa final'!$AL$67="Mayor"),CONCATENATE("R2C",'Mapa final'!$S$67),"")</f>
        <v/>
      </c>
      <c r="AH30" s="40" t="str">
        <f>IF(AND('Mapa final'!$AJ$68="Alta",'Mapa final'!$AL$68="Mayor"),CONCATENATE("R2C",'Mapa final'!$S$68),"")</f>
        <v/>
      </c>
      <c r="AI30" s="41" t="str">
        <f>IF(AND('Mapa final'!$AJ$63="Alta",'Mapa final'!$AL$63="Catastrófico"),CONCATENATE("R2C",'Mapa final'!$S$63),"")</f>
        <v/>
      </c>
      <c r="AJ30" s="42" t="str">
        <f>IF(AND('Mapa final'!$AJ$64="Alta",'Mapa final'!$AL$64="Catastrófico"),CONCATENATE("R2C",'Mapa final'!$S$64),"")</f>
        <v/>
      </c>
      <c r="AK30" s="42" t="str">
        <f>IF(AND('Mapa final'!$AJ$65="Alta",'Mapa final'!$AL$65="Catastrófico"),CONCATENATE("R2C",'Mapa final'!$S$65),"")</f>
        <v/>
      </c>
      <c r="AL30" s="42" t="str">
        <f>IF(AND('Mapa final'!$AJ$66="Alta",'Mapa final'!$AL$66="Catastrófico"),CONCATENATE("R2C",'Mapa final'!$S$66),"")</f>
        <v/>
      </c>
      <c r="AM30" s="42" t="str">
        <f>IF(AND('Mapa final'!$AJ$67="Alta",'Mapa final'!$AL$67="Catastrófico"),CONCATENATE("R2C",'Mapa final'!$S$67),"")</f>
        <v/>
      </c>
      <c r="AN30" s="43" t="str">
        <f>IF(AND('Mapa final'!$AJ$68="Alta",'Mapa final'!$AL$68="Catastrófico"),CONCATENATE("R2C",'Mapa final'!$S$68),"")</f>
        <v/>
      </c>
      <c r="AO30" s="69"/>
      <c r="AP30" s="492"/>
      <c r="AQ30" s="493"/>
      <c r="AR30" s="493"/>
      <c r="AS30" s="493"/>
      <c r="AT30" s="493"/>
      <c r="AU30" s="494"/>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439"/>
      <c r="D31" s="439"/>
      <c r="E31" s="440"/>
      <c r="F31" s="485"/>
      <c r="G31" s="486"/>
      <c r="H31" s="486"/>
      <c r="I31" s="486"/>
      <c r="J31" s="486"/>
      <c r="K31" s="56" t="str">
        <f>IF(AND('Mapa final'!$AJ$69="Alta",'Mapa final'!$AL$69="Leve"),CONCATENATE("R2C",'Mapa final'!$S$69),"")</f>
        <v/>
      </c>
      <c r="L31" s="57" t="str">
        <f>IF(AND('Mapa final'!$AJ$70="Alta",'Mapa final'!$AL$70="Leve"),CONCATENATE("R2C",'Mapa final'!$S$70),"")</f>
        <v/>
      </c>
      <c r="M31" s="57" t="str">
        <f>IF(AND('Mapa final'!$AJ$71="Alta",'Mapa final'!$AL$71="Leve"),CONCATENATE("R2C",'Mapa final'!$S$71),"")</f>
        <v/>
      </c>
      <c r="N31" s="57" t="str">
        <f>IF(AND('Mapa final'!$AJ$72="Alta",'Mapa final'!$AL$72="Leve"),CONCATENATE("R2C",'Mapa final'!$S$72),"")</f>
        <v/>
      </c>
      <c r="O31" s="57" t="str">
        <f>IF(AND('Mapa final'!$AJ$74="Alta",'Mapa final'!$AL$74="Leve"),CONCATENATE("R2C",'Mapa final'!$S$74),"")</f>
        <v/>
      </c>
      <c r="P31" s="58" t="str">
        <f>IF(AND('Mapa final'!$AJ$75="Alta",'Mapa final'!$AL$75="Leve"),CONCATENATE("R2C",'Mapa final'!$S$75),"")</f>
        <v/>
      </c>
      <c r="Q31" s="56" t="str">
        <f>IF(AND('Mapa final'!$AJ$69="Alta",'Mapa final'!$AL$69="Menor"),CONCATENATE("R2C",'Mapa final'!$S$69),"")</f>
        <v/>
      </c>
      <c r="R31" s="57" t="str">
        <f>IF(AND('Mapa final'!$AJ$70="Alta",'Mapa final'!$AL$70="Menor"),CONCATENATE("R2C",'Mapa final'!$S$70),"")</f>
        <v/>
      </c>
      <c r="S31" s="57" t="str">
        <f>IF(AND('Mapa final'!$AJ$71="Alta",'Mapa final'!$AL$71="Menor"),CONCATENATE("R2C",'Mapa final'!$S$71),"")</f>
        <v/>
      </c>
      <c r="T31" s="57" t="str">
        <f>IF(AND('Mapa final'!$AJ$72="Alta",'Mapa final'!$AL$72="Menor"),CONCATENATE("R2C",'Mapa final'!$S$72),"")</f>
        <v/>
      </c>
      <c r="U31" s="57" t="str">
        <f>IF(AND('Mapa final'!$AJ$74="Alta",'Mapa final'!$AL$74="Menor"),CONCATENATE("R2C",'Mapa final'!$S$74),"")</f>
        <v/>
      </c>
      <c r="V31" s="58" t="str">
        <f>IF(AND('Mapa final'!$AJ$75="Alta",'Mapa final'!$AL$75="Menor"),CONCATENATE("R2C",'Mapa final'!$S$75),"")</f>
        <v/>
      </c>
      <c r="W31" s="44" t="str">
        <f>IF(AND('Mapa final'!$AJ$69="Alta",'Mapa final'!$AL$69="Moderado"),CONCATENATE("R2C",'Mapa final'!$S$69),"")</f>
        <v/>
      </c>
      <c r="X31" s="45" t="str">
        <f>IF(AND('Mapa final'!$AJ$70="Alta",'Mapa final'!$AL$70="Moderado"),CONCATENATE("R2C",'Mapa final'!$S$70),"")</f>
        <v/>
      </c>
      <c r="Y31" s="45" t="str">
        <f>IF(AND('Mapa final'!$AJ$71="Alta",'Mapa final'!$AL$71="Moderado"),CONCATENATE("R2C",'Mapa final'!$S$71),"")</f>
        <v/>
      </c>
      <c r="Z31" s="45" t="str">
        <f>IF(AND('Mapa final'!$AJ$72="Alta",'Mapa final'!$AL$72="Moderado"),CONCATENATE("R2C",'Mapa final'!$S$72),"")</f>
        <v/>
      </c>
      <c r="AA31" s="45" t="str">
        <f>IF(AND('Mapa final'!$AJ$74="Alta",'Mapa final'!$AL$74="Moderado"),CONCATENATE("R2C",'Mapa final'!$S$74),"")</f>
        <v/>
      </c>
      <c r="AB31" s="46" t="str">
        <f>IF(AND('Mapa final'!$AJ$75="Alta",'Mapa final'!$AL$75="Moderado"),CONCATENATE("R2C",'Mapa final'!$S$75),"")</f>
        <v/>
      </c>
      <c r="AC31" s="44" t="str">
        <f>IF(AND('Mapa final'!$AJ$69="Alta",'Mapa final'!$AL$69="Mayor"),CONCATENATE("R2C",'Mapa final'!$S$69),"")</f>
        <v/>
      </c>
      <c r="AD31" s="45" t="str">
        <f>IF(AND('Mapa final'!$AJ$70="Alta",'Mapa final'!$AL$70="Mayor"),CONCATENATE("R2C",'Mapa final'!$S$70),"")</f>
        <v/>
      </c>
      <c r="AE31" s="45" t="str">
        <f>IF(AND('Mapa final'!$AJ$71="Alta",'Mapa final'!$AL$71="Mayor"),CONCATENATE("R2C",'Mapa final'!$S$71),"")</f>
        <v/>
      </c>
      <c r="AF31" s="45" t="str">
        <f>IF(AND('Mapa final'!$AJ$72="Alta",'Mapa final'!$AL$72="Mayor"),CONCATENATE("R2C",'Mapa final'!$S$72),"")</f>
        <v/>
      </c>
      <c r="AG31" s="45" t="str">
        <f>IF(AND('Mapa final'!$AJ$74="Alta",'Mapa final'!$AL$74="Mayor"),CONCATENATE("R2C",'Mapa final'!$S$74),"")</f>
        <v/>
      </c>
      <c r="AH31" s="46" t="str">
        <f>IF(AND('Mapa final'!$AJ$75="Alta",'Mapa final'!$AL$75="Mayor"),CONCATENATE("R2C",'Mapa final'!$S$75),"")</f>
        <v/>
      </c>
      <c r="AI31" s="47" t="str">
        <f>IF(AND('Mapa final'!$AJ$69="Alta",'Mapa final'!$AL$69="Catastrófico"),CONCATENATE("R2C",'Mapa final'!$S$69),"")</f>
        <v/>
      </c>
      <c r="AJ31" s="48" t="str">
        <f>IF(AND('Mapa final'!$AJ$70="Alta",'Mapa final'!$AL$70="Catastrófico"),CONCATENATE("R2C",'Mapa final'!$S$70),"")</f>
        <v/>
      </c>
      <c r="AK31" s="48" t="str">
        <f>IF(AND('Mapa final'!$AJ$71="Alta",'Mapa final'!$AL$71="Catastrófico"),CONCATENATE("R2C",'Mapa final'!$S$71),"")</f>
        <v/>
      </c>
      <c r="AL31" s="48" t="str">
        <f>IF(AND('Mapa final'!$AJ$72="Alta",'Mapa final'!$AL$72="Catastrófico"),CONCATENATE("R2C",'Mapa final'!$S$72),"")</f>
        <v/>
      </c>
      <c r="AM31" s="48" t="str">
        <f>IF(AND('Mapa final'!$AJ$74="Alta",'Mapa final'!$AL$74="Catastrófico"),CONCATENATE("R2C",'Mapa final'!$S$74),"")</f>
        <v/>
      </c>
      <c r="AN31" s="49" t="str">
        <f>IF(AND('Mapa final'!$AJ$75="Muy Alta",'Mapa final'!$AL$75="Catastrófico"),CONCATENATE("R2C",'Mapa final'!$S$75),"")</f>
        <v/>
      </c>
      <c r="AO31" s="69"/>
      <c r="AP31" s="495"/>
      <c r="AQ31" s="496"/>
      <c r="AR31" s="496"/>
      <c r="AS31" s="496"/>
      <c r="AT31" s="496"/>
      <c r="AU31" s="497"/>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439"/>
      <c r="D32" s="439"/>
      <c r="E32" s="440"/>
      <c r="F32" s="479" t="s">
        <v>116</v>
      </c>
      <c r="G32" s="480"/>
      <c r="H32" s="480"/>
      <c r="I32" s="480"/>
      <c r="J32" s="481"/>
      <c r="K32" s="50" t="str">
        <f ca="1">IF(AND('Mapa final'!$AJ$15="Media",'Mapa final'!$AL$15="Leve"),CONCATENATE("R2C",'Mapa final'!$S$15),"")</f>
        <v/>
      </c>
      <c r="L32" s="51" t="str">
        <f ca="1">IF(AND('Mapa final'!$AJ$16="Media",'Mapa final'!$AL$16="Leve"),CONCATENATE("R2C",'Mapa final'!$S$16),"")</f>
        <v/>
      </c>
      <c r="M32" s="51" t="str">
        <f ca="1">IF(AND('Mapa final'!$AJ$17="Media",'Mapa final'!$AL$17="Leve"),CONCATENATE("R2C",'Mapa final'!$S$17),"")</f>
        <v/>
      </c>
      <c r="N32" s="51" t="str">
        <f ca="1">IF(AND('Mapa final'!$AJ$18="Media",'Mapa final'!$AL$18="Leve"),CONCATENATE("R2C",'Mapa final'!$S$18),"")</f>
        <v/>
      </c>
      <c r="O32" s="51" t="str">
        <f ca="1">IF(AND('Mapa final'!$AJ$19="Media",'Mapa final'!$AL$19="Leve"),CONCATENATE("R2C",'Mapa final'!$S$19),"")</f>
        <v/>
      </c>
      <c r="P32" s="52" t="str">
        <f ca="1">IF(AND('Mapa final'!$AJ$20="Media",'Mapa final'!$AL$20="Leve"),CONCATENATE("R2C",'Mapa final'!$S$20),"")</f>
        <v/>
      </c>
      <c r="Q32" s="50" t="str">
        <f ca="1">IF(AND('Mapa final'!$AJ$15="Media",'Mapa final'!$AL$15="Menor"),CONCATENATE("R2C",'Mapa final'!$S$15),"")</f>
        <v/>
      </c>
      <c r="R32" s="51" t="str">
        <f ca="1">IF(AND('Mapa final'!$AJ$16="Media",'Mapa final'!$AL$16="Menore"),CONCATENATE("R2C",'Mapa final'!$S$16),"")</f>
        <v/>
      </c>
      <c r="S32" s="51" t="str">
        <f ca="1">IF(AND('Mapa final'!$AJ$17="Media",'Mapa final'!$AL$17="Menor"),CONCATENATE("R2C",'Mapa final'!$S$17),"")</f>
        <v/>
      </c>
      <c r="T32" s="51" t="str">
        <f ca="1">IF(AND('Mapa final'!$AJ$18="Media",'Mapa final'!$AL$18="Menor"),CONCATENATE("R2C",'Mapa final'!$S$18),"")</f>
        <v/>
      </c>
      <c r="U32" s="51" t="str">
        <f ca="1">IF(AND('Mapa final'!$AJ$19="Media",'Mapa final'!$AL$19="Menor"),CONCATENATE("R2C",'Mapa final'!$S$19),"")</f>
        <v/>
      </c>
      <c r="V32" s="52" t="str">
        <f ca="1">IF(AND('Mapa final'!$AJ$20="Media",'Mapa final'!$AL$20="Menor"),CONCATENATE("R2C",'Mapa final'!$S$20),"")</f>
        <v/>
      </c>
      <c r="W32" s="50" t="str">
        <f ca="1">IF(AND('Mapa final'!$AJ$15="Media",'Mapa final'!$AL$15="Moderado"),CONCATENATE("R2C",'Mapa final'!$S$15),"")</f>
        <v/>
      </c>
      <c r="X32" s="51" t="str">
        <f ca="1">IF(AND('Mapa final'!$AJ$16="Media",'Mapa final'!$AL$16="Moderado"),CONCATENATE("R2C",'Mapa final'!$S$16),"")</f>
        <v/>
      </c>
      <c r="Y32" s="51"/>
      <c r="Z32" s="51" t="str">
        <f ca="1">IF(AND('Mapa final'!$AJ$18="Media",'Mapa final'!$AL$18="Moderado"),CONCATENATE("R2C",'Mapa final'!$S$18),"")</f>
        <v/>
      </c>
      <c r="AA32" s="51" t="str">
        <f ca="1">IF(AND('Mapa final'!$AJ$19="Media",'Mapa final'!$AL$19="Moderado"),CONCATENATE("R2C",'Mapa final'!$S$19),"")</f>
        <v/>
      </c>
      <c r="AB32" s="52" t="str">
        <f ca="1">IF(AND('Mapa final'!$AJ$20="Media",'Mapa final'!$AL$20="Moderado"),CONCATENATE("R2C",'Mapa final'!$S$20),"")</f>
        <v/>
      </c>
      <c r="AC32" s="32" t="str">
        <f ca="1">IF(AND('Mapa final'!$AJ$15="Media",'Mapa final'!$AL$15="Mayor"),CONCATENATE("R2C",'Mapa final'!$S$15),"")</f>
        <v/>
      </c>
      <c r="AD32" s="33" t="str">
        <f ca="1">IF(AND('Mapa final'!$AJ$16="Media",'Mapa final'!$AL$16="Mayor"),CONCATENATE("R2C",'Mapa final'!$S$16),"")</f>
        <v/>
      </c>
      <c r="AE32" s="33" t="str">
        <f ca="1">IF(AND('Mapa final'!$AJ$17="Media",'Mapa final'!$AL$17="Mayor"),CONCATENATE("R2C",'Mapa final'!$S$17),"")</f>
        <v/>
      </c>
      <c r="AF32" s="33" t="str">
        <f ca="1">IF(AND('Mapa final'!$AJ$18="Media",'Mapa final'!$AL$18="Mayor"),CONCATENATE("R2C",'Mapa final'!$S$18),"")</f>
        <v/>
      </c>
      <c r="AG32" s="33" t="str">
        <f ca="1">IF(AND('Mapa final'!$AJ$19="Media",'Mapa final'!$AL$19="Mayor"),CONCATENATE("R2C",'Mapa final'!$S$19),"")</f>
        <v/>
      </c>
      <c r="AH32" s="34" t="str">
        <f ca="1">IF(AND('Mapa final'!$AJ$20="Media",'Mapa final'!$AL$20="Mayor"),CONCATENATE("R2C",'Mapa final'!$S$20),"")</f>
        <v/>
      </c>
      <c r="AI32" s="35" t="str">
        <f ca="1">IF(AND('Mapa final'!$AJ$15="Media",'Mapa final'!$AL$15="Catastrófico"),CONCATENATE("R2C",'Mapa final'!$S$15),"")</f>
        <v/>
      </c>
      <c r="AJ32" s="36" t="str">
        <f ca="1">IF(AND('Mapa final'!$AJ$16="Media",'Mapa final'!$AL$16="Catastrófico"),CONCATENATE("R2C",'Mapa final'!$S$16),"")</f>
        <v/>
      </c>
      <c r="AK32" s="36" t="str">
        <f ca="1">IF(AND('Mapa final'!$AJ$17="Media",'Mapa final'!$AL$17="Catastrófico"),CONCATENATE("R2C",'Mapa final'!$S$17),"")</f>
        <v/>
      </c>
      <c r="AL32" s="36" t="str">
        <f ca="1">IF(AND('Mapa final'!$AJ$18="Media",'Mapa final'!$AL$18="Catastrófico"),CONCATENATE("R2C",'Mapa final'!$S$18),"")</f>
        <v/>
      </c>
      <c r="AM32" s="36" t="str">
        <f ca="1">IF(AND('Mapa final'!$AJ$19="Media",'Mapa final'!$AL$19="Catastrófico"),CONCATENATE("R2C",'Mapa final'!$S$19),"")</f>
        <v/>
      </c>
      <c r="AN32" s="37" t="str">
        <f ca="1">IF(AND('Mapa final'!$AJ$20="Media",'Mapa final'!$AL$20="Catastrófico"),CONCATENATE("R2C",'Mapa final'!$S$20),"")</f>
        <v/>
      </c>
      <c r="AO32" s="69"/>
      <c r="AP32" s="521" t="s">
        <v>80</v>
      </c>
      <c r="AQ32" s="522"/>
      <c r="AR32" s="522"/>
      <c r="AS32" s="522"/>
      <c r="AT32" s="522"/>
      <c r="AU32" s="523"/>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439"/>
      <c r="D33" s="439"/>
      <c r="E33" s="440"/>
      <c r="F33" s="498"/>
      <c r="G33" s="483"/>
      <c r="H33" s="483"/>
      <c r="I33" s="483"/>
      <c r="J33" s="484"/>
      <c r="K33" s="53" t="str">
        <f ca="1">IF(AND('Mapa final'!$AJ$21="Media",'Mapa final'!$AL$21="Leve"),CONCATENATE("R2C",'Mapa final'!$D$21),"")</f>
        <v>R2C7</v>
      </c>
      <c r="L33" s="54" t="str">
        <f>IF(AND('Mapa final'!$AJ$22="Media",'Mapa final'!$AL$22="Leve"),CONCATENATE("R2C",'Mapa final'!$S$22),"")</f>
        <v/>
      </c>
      <c r="M33" s="54" t="str">
        <f>IF(AND('Mapa final'!$AJ$23="Media",'Mapa final'!$AL$23="Leve"),CONCATENATE("R2C",'Mapa final'!$S$23),"")</f>
        <v/>
      </c>
      <c r="N33" s="54" t="str">
        <f>IF(AND('Mapa final'!$AJ$24="Media",'Mapa final'!$AL$24="Leve"),CONCATENATE("R2C",'Mapa final'!$S$24),"")</f>
        <v/>
      </c>
      <c r="O33" s="54" t="str">
        <f>IF(AND('Mapa final'!$AJ$25="Media",'Mapa final'!$AL$25="Leve"),CONCATENATE("R2C",'Mapa final'!$S$25),"")</f>
        <v/>
      </c>
      <c r="P33" s="55" t="str">
        <f>IF(AND('Mapa final'!$AJ$26="Media",'Mapa final'!$AL$26="Leve"),CONCATENATE("R2C",'Mapa final'!$S$26),"")</f>
        <v/>
      </c>
      <c r="Q33" s="53" t="str">
        <f ca="1">IF(AND('Mapa final'!$AJ$21="Media",'Mapa final'!$AL$21="Menor"),CONCATENATE("R2C",'Mapa final'!$S$21),"")</f>
        <v/>
      </c>
      <c r="R33" s="54" t="str">
        <f>IF(AND('Mapa final'!$AJ$22="Media",'Mapa final'!$AL$22="Menor"),CONCATENATE("R2C",'Mapa final'!$S$22),"")</f>
        <v/>
      </c>
      <c r="S33" s="54" t="str">
        <f>IF(AND('Mapa final'!$AJ$23="Media",'Mapa final'!$AL$23="Menor"),CONCATENATE("R2C",'Mapa final'!$S$23),"")</f>
        <v/>
      </c>
      <c r="T33" s="54" t="str">
        <f>IF(AND('Mapa final'!$AJ$24="Media",'Mapa final'!$AL$24="Menor"),CONCATENATE("R2C",'Mapa final'!$S$24),"")</f>
        <v/>
      </c>
      <c r="U33" s="54" t="str">
        <f>IF(AND('Mapa final'!$AJ$25="Media",'Mapa final'!$AL$25="Menor"),CONCATENATE("R2C",'Mapa final'!$S$25),"")</f>
        <v/>
      </c>
      <c r="V33" s="55" t="str">
        <f>IF(AND('Mapa final'!$AJ$26="Media",'Mapa final'!$AL$26="Menor"),CONCATENATE("R2C",'Mapa final'!$S$26),"")</f>
        <v/>
      </c>
      <c r="W33" s="53" t="str">
        <f ca="1">IF(AND('Mapa final'!$AJ$21="Media",'Mapa final'!$AL$21="Moderado"),CONCATENATE("R2C",'Mapa final'!$S$21),"")</f>
        <v/>
      </c>
      <c r="X33" s="54" t="str">
        <f>IF(AND('Mapa final'!$AJ$22="Media",'Mapa final'!$AL$22="Moderado"),CONCATENATE("R2C",'Mapa final'!$S$22),"")</f>
        <v/>
      </c>
      <c r="Y33" s="54" t="str">
        <f>IF(AND('Mapa final'!$AJ$23="Media",'Mapa final'!$AL$23="Moderado"),CONCATENATE("R2C",'Mapa final'!$S$23),"")</f>
        <v/>
      </c>
      <c r="Z33" s="54" t="str">
        <f>IF(AND('Mapa final'!$AJ$24="Media",'Mapa final'!$AL$24="Moderado"),CONCATENATE("R2C",'Mapa final'!$S$24),"")</f>
        <v/>
      </c>
      <c r="AA33" s="54" t="str">
        <f>IF(AND('Mapa final'!$AJ$25="Media",'Mapa final'!$AL$25="Moderado"),CONCATENATE("R2C",'Mapa final'!$S$25),"")</f>
        <v/>
      </c>
      <c r="AB33" s="55" t="str">
        <f>IF(AND('Mapa final'!$AJ$26="Media",'Mapa final'!$AL$26="Moderado"),CONCATENATE("R2C",'Mapa final'!$S$26),"")</f>
        <v/>
      </c>
      <c r="AC33" s="38" t="str">
        <f ca="1">IF(AND('Mapa final'!$AJ$21="Media",'Mapa final'!$AL$21="Mayor"),CONCATENATE("R2C",'Mapa final'!$S$21),"")</f>
        <v/>
      </c>
      <c r="AD33" s="39" t="str">
        <f>IF(AND('Mapa final'!$AJ$22="Muy Alta",'Mapa final'!$AL$22="Mayor"),CONCATENATE("R2C",'Mapa final'!$S$22),"")</f>
        <v/>
      </c>
      <c r="AE33" s="39" t="str">
        <f>IF(AND('Mapa final'!$AJ$23="Media",'Mapa final'!$AL$23="Mayor"),CONCATENATE("R2C",'Mapa final'!$S$23),"")</f>
        <v/>
      </c>
      <c r="AF33" s="39" t="str">
        <f>IF(AND('Mapa final'!$AJ$24="Media",'Mapa final'!$AL$24="Mayor"),CONCATENATE("R2C",'Mapa final'!$S$24),"")</f>
        <v/>
      </c>
      <c r="AG33" s="39" t="str">
        <f>IF(AND('Mapa final'!$AJ$25="Media",'Mapa final'!$AL$25="Mayor"),CONCATENATE("R2C",'Mapa final'!$S$25),"")</f>
        <v/>
      </c>
      <c r="AH33" s="40" t="str">
        <f>IF(AND('Mapa final'!$AJ$26="Media",'Mapa final'!$AL$26="Mayor"),CONCATENATE("R2C",'Mapa final'!$S$26),"")</f>
        <v/>
      </c>
      <c r="AI33" s="41" t="str">
        <f ca="1">IF(AND('Mapa final'!$AJ$21="Media",'Mapa final'!$AL$21="Catastrófico"),CONCATENATE("R2C",'Mapa final'!$S$21),"")</f>
        <v/>
      </c>
      <c r="AJ33" s="42" t="str">
        <f>IF(AND('Mapa final'!$AJ$22="Media",'Mapa final'!$AL$22="Catastrófico"),CONCATENATE("R2C",'Mapa final'!$S$22),"")</f>
        <v/>
      </c>
      <c r="AK33" s="42" t="str">
        <f>IF(AND('Mapa final'!$AJ$23="Media",'Mapa final'!$AL$23="Catastrófico"),CONCATENATE("R2C",'Mapa final'!$S$23),"")</f>
        <v/>
      </c>
      <c r="AL33" s="42" t="str">
        <f>IF(AND('Mapa final'!$AJ$24="Media",'Mapa final'!$AL$24="Catastrófico"),CONCATENATE("R2C",'Mapa final'!$S$24),"")</f>
        <v/>
      </c>
      <c r="AM33" s="42" t="str">
        <f>IF(AND('Mapa final'!$AJ$25="Media",'Mapa final'!$AL$25="Catastrófico"),CONCATENATE("R2C",'Mapa final'!$S$25),"")</f>
        <v/>
      </c>
      <c r="AN33" s="43" t="str">
        <f>IF(AND('Mapa final'!$AJ$26="Media",'Mapa final'!$AL$26="Catastrófico"),CONCATENATE("R2C",'Mapa final'!$S$26),"")</f>
        <v/>
      </c>
      <c r="AO33" s="69"/>
      <c r="AP33" s="524"/>
      <c r="AQ33" s="525"/>
      <c r="AR33" s="525"/>
      <c r="AS33" s="525"/>
      <c r="AT33" s="525"/>
      <c r="AU33" s="526"/>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439"/>
      <c r="D34" s="439"/>
      <c r="E34" s="440"/>
      <c r="F34" s="482"/>
      <c r="G34" s="483"/>
      <c r="H34" s="483"/>
      <c r="I34" s="483"/>
      <c r="J34" s="484"/>
      <c r="K34" s="53" t="str">
        <f>IF(AND('Mapa final'!$AJ$27="Media",'Mapa final'!$AL$27="Leve"),CONCATENATE("R2C",'Mapa final'!$S$27),"")</f>
        <v/>
      </c>
      <c r="L34" s="54" t="str">
        <f>IF(AND('Mapa final'!$AJ$28="Media",'Mapa final'!$AL$28="Leve"),CONCATENATE("R2C",'Mapa final'!$S$28),"")</f>
        <v/>
      </c>
      <c r="M34" s="54" t="str">
        <f>IF(AND('Mapa final'!$AJ$29="Media",'Mapa final'!$AL$29="Leve"),CONCATENATE("R2C",'Mapa final'!$S$29),"")</f>
        <v/>
      </c>
      <c r="N34" s="54" t="str">
        <f>IF(AND('Mapa final'!$AJ$30="Media",'Mapa final'!$AL$30="Leve"),CONCATENATE("R2C",'Mapa final'!$S$30),"")</f>
        <v/>
      </c>
      <c r="O34" s="54" t="str">
        <f>IF(AND('Mapa final'!$AJ$31="Media",'Mapa final'!$AL$31="Leve"),CONCATENATE("R2C",'Mapa final'!$S$31),"")</f>
        <v/>
      </c>
      <c r="P34" s="55" t="str">
        <f>IF(AND('Mapa final'!$AJ$32="Media",'Mapa final'!$AL$32="Leve"),CONCATENATE("R2C",'Mapa final'!$S$32),"")</f>
        <v/>
      </c>
      <c r="Q34" s="53" t="str">
        <f>IF(AND('Mapa final'!$AJ$27="Media",'Mapa final'!$AL$27="Menor"),CONCATENATE("R2C",'Mapa final'!$S$27),"")</f>
        <v/>
      </c>
      <c r="R34" s="54" t="str">
        <f>IF(AND('Mapa final'!$AJ$28="Media",'Mapa final'!$AL$28="Menor"),CONCATENATE("R2C",'Mapa final'!$S$28),"")</f>
        <v/>
      </c>
      <c r="S34" s="54" t="str">
        <f>IF(AND('Mapa final'!$AJ$29="Media",'Mapa final'!$AL$29="Menor"),CONCATENATE("R2C",'Mapa final'!$S$29),"")</f>
        <v/>
      </c>
      <c r="T34" s="54" t="str">
        <f>IF(AND('Mapa final'!$AJ$30="Media",'Mapa final'!$AL$30="Menor"),CONCATENATE("R2C",'Mapa final'!$S$30),"")</f>
        <v/>
      </c>
      <c r="U34" s="54" t="str">
        <f>IF(AND('Mapa final'!$AJ$31="Media",'Mapa final'!$AL$31="Menor"),CONCATENATE("R2C",'Mapa final'!$S$31),"")</f>
        <v/>
      </c>
      <c r="V34" s="55" t="str">
        <f>IF(AND('Mapa final'!$AJ$32="Media",'Mapa final'!$AL$32="Menor"),CONCATENATE("R2C",'Mapa final'!$S$32),"")</f>
        <v/>
      </c>
      <c r="W34" s="53" t="str">
        <f>IF(AND('Mapa final'!$AJ$27="Media",'Mapa final'!$AL$27="Moderado"),CONCATENATE("R2C",'Mapa final'!$S$27),"")</f>
        <v/>
      </c>
      <c r="X34" s="54" t="str">
        <f>IF(AND('Mapa final'!$AJ$28="Media",'Mapa final'!$AL$28="Moderado"),CONCATENATE("R2C",'Mapa final'!$S$28),"")</f>
        <v/>
      </c>
      <c r="Y34" s="54" t="str">
        <f>IF(AND('Mapa final'!$AJ$29="Media",'Mapa final'!$AL$29="Moderado"),CONCATENATE("R2C",'Mapa final'!$S$29),"")</f>
        <v/>
      </c>
      <c r="Z34" s="54" t="str">
        <f>IF(AND('Mapa final'!$AJ$30="Media",'Mapa final'!$AL$30="Moderado"),CONCATENATE("R2C",'Mapa final'!$S$30),"")</f>
        <v/>
      </c>
      <c r="AA34" s="54" t="str">
        <f>IF(AND('Mapa final'!$AJ$31="Media",'Mapa final'!$AL$31="Moderado"),CONCATENATE("R2C",'Mapa final'!$S$31),"")</f>
        <v/>
      </c>
      <c r="AB34" s="55" t="str">
        <f>IF(AND('Mapa final'!$AJ$32="Media",'Mapa final'!$AL$32="Moderado"),CONCATENATE("R2C",'Mapa final'!$S$32),"")</f>
        <v/>
      </c>
      <c r="AC34" s="38" t="str">
        <f>IF(AND('Mapa final'!$AJ$27="Media",'Mapa final'!$AL$27="Mayor"),CONCATENATE("R2C",'Mapa final'!$S$27),"")</f>
        <v/>
      </c>
      <c r="AD34" s="39" t="str">
        <f>IF(AND('Mapa final'!$AJ$28="Media",'Mapa final'!$AL$28="Mayor"),CONCATENATE("R2C",'Mapa final'!$S$28),"")</f>
        <v/>
      </c>
      <c r="AE34" s="39" t="str">
        <f>IF(AND('Mapa final'!$AJ$29="Media",'Mapa final'!$AL$29="Mayor"),CONCATENATE("R2C",'Mapa final'!$S$29),"")</f>
        <v/>
      </c>
      <c r="AF34" s="39" t="str">
        <f>IF(AND('Mapa final'!$AJ$30="Media",'Mapa final'!$AL$30="Mayor"),CONCATENATE("R2C",'Mapa final'!$S$30),"")</f>
        <v/>
      </c>
      <c r="AG34" s="39" t="str">
        <f>IF(AND('Mapa final'!$AJ$31="Media",'Mapa final'!$AL$31="Mayor"),CONCATENATE("R2C",'Mapa final'!$S$31),"")</f>
        <v/>
      </c>
      <c r="AH34" s="40" t="str">
        <f>IF(AND('Mapa final'!$AJ$32="Media",'Mapa final'!$AL$32="Mayor"),CONCATENATE("R2C",'Mapa final'!$S$32),"")</f>
        <v/>
      </c>
      <c r="AI34" s="41" t="str">
        <f>IF(AND('Mapa final'!$AJ$27="Media",'Mapa final'!$AL$27="Catastrófico"),CONCATENATE("R2C",'Mapa final'!$S$27),"")</f>
        <v/>
      </c>
      <c r="AJ34" s="42" t="str">
        <f>IF(AND('Mapa final'!$AJ$28="Media",'Mapa final'!$AL$28="Catastrófico"),CONCATENATE("R2C",'Mapa final'!$S$28),"")</f>
        <v/>
      </c>
      <c r="AK34" s="42" t="str">
        <f>IF(AND('Mapa final'!$AJ$29="Media",'Mapa final'!$AL$29="Catastrófico"),CONCATENATE("R2C",'Mapa final'!$S$29),"")</f>
        <v/>
      </c>
      <c r="AL34" s="42" t="str">
        <f>IF(AND('Mapa final'!$AJ$30="Media",'Mapa final'!$AL$30="Catastrófico"),CONCATENATE("R2C",'Mapa final'!$S$30),"")</f>
        <v/>
      </c>
      <c r="AM34" s="42" t="str">
        <f>IF(AND('Mapa final'!$AJ$31="Media",'Mapa final'!$AL$31="Catastrófico"),CONCATENATE("R2C",'Mapa final'!$S$31),"")</f>
        <v/>
      </c>
      <c r="AN34" s="43" t="str">
        <f>IF(AND('Mapa final'!$AJ$32="Media",'Mapa final'!$AL$32="Catastrófico"),CONCATENATE("R2C",'Mapa final'!$S$32),"")</f>
        <v/>
      </c>
      <c r="AO34" s="69"/>
      <c r="AP34" s="524"/>
      <c r="AQ34" s="525"/>
      <c r="AR34" s="525"/>
      <c r="AS34" s="525"/>
      <c r="AT34" s="525"/>
      <c r="AU34" s="526"/>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439"/>
      <c r="D35" s="439"/>
      <c r="E35" s="440"/>
      <c r="F35" s="482"/>
      <c r="G35" s="483"/>
      <c r="H35" s="483"/>
      <c r="I35" s="483"/>
      <c r="J35" s="484"/>
      <c r="K35" s="53" t="str">
        <f>IF(AND('Mapa final'!$AJ$33="Media",'Mapa final'!$AL$33="Leve"),CONCATENATE("R2C",'Mapa final'!$S$33),"")</f>
        <v/>
      </c>
      <c r="L35" s="54" t="str">
        <f>IF(AND('Mapa final'!$AJ$34="Media",'Mapa final'!$AL$34="Leve"),CONCATENATE("R2C",'Mapa final'!$S$34),"")</f>
        <v/>
      </c>
      <c r="M35" s="54" t="str">
        <f>IF(AND('Mapa final'!$AJ$35="Media",'Mapa final'!$AL$35="Leve"),CONCATENATE("R2C",'Mapa final'!$S$35),"")</f>
        <v/>
      </c>
      <c r="N35" s="54" t="str">
        <f>IF(AND('Mapa final'!$AJ$36="Media",'Mapa final'!$AL$36="Leve"),CONCATENATE("R2C",'Mapa final'!$S$36),"")</f>
        <v/>
      </c>
      <c r="O35" s="54" t="str">
        <f>IF(AND('Mapa final'!$AJ$37="Media",'Mapa final'!$AL$37="Leve"),CONCATENATE("R2C",'Mapa final'!$S$37),"")</f>
        <v/>
      </c>
      <c r="P35" s="55" t="str">
        <f>IF(AND('Mapa final'!$AJ$38="Media",'Mapa final'!$AL$38="Leve"),CONCATENATE("R2C",'Mapa final'!$S$38),"")</f>
        <v/>
      </c>
      <c r="Q35" s="53" t="str">
        <f>IF(AND('Mapa final'!$AJ$33="Media",'Mapa final'!$AL$33="Menor"),CONCATENATE("R2C",'Mapa final'!$S$33),"")</f>
        <v/>
      </c>
      <c r="R35" s="54" t="str">
        <f>IF(AND('Mapa final'!$AJ$34="Media",'Mapa final'!$AL$34="Menor"),CONCATENATE("R2C",'Mapa final'!$S$34),"")</f>
        <v/>
      </c>
      <c r="S35" s="54" t="str">
        <f>IF(AND('Mapa final'!$AJ$35="Media",'Mapa final'!$AL$35="Menor"),CONCATENATE("R2C",'Mapa final'!$S$35),"")</f>
        <v/>
      </c>
      <c r="T35" s="54" t="str">
        <f>IF(AND('Mapa final'!$AJ$36="Media",'Mapa final'!$AL$36="Menor"),CONCATENATE("R2C",'Mapa final'!$S$36),"")</f>
        <v/>
      </c>
      <c r="U35" s="54" t="str">
        <f>IF(AND('Mapa final'!$AJ$37="Media",'Mapa final'!$AL$37="LMenor"),CONCATENATE("R2C",'Mapa final'!$S$37),"")</f>
        <v/>
      </c>
      <c r="V35" s="55" t="str">
        <f>IF(AND('Mapa final'!$AJ$38="Media",'Mapa final'!$AL$38="Menor"),CONCATENATE("R2C",'Mapa final'!$S$38),"")</f>
        <v/>
      </c>
      <c r="W35" s="53" t="str">
        <f>IF(AND('Mapa final'!$AJ$33="Media",'Mapa final'!$AL$33="Moderado"),CONCATENATE("R2C",'Mapa final'!$S$33),"")</f>
        <v/>
      </c>
      <c r="X35" s="54" t="str">
        <f>IF(AND('Mapa final'!$AJ$34="Media",'Mapa final'!$AL$34="Moderado"),CONCATENATE("R2C",'Mapa final'!$S$34),"")</f>
        <v/>
      </c>
      <c r="Y35" s="54" t="str">
        <f>IF(AND('Mapa final'!$AJ$35="Media",'Mapa final'!$AL$35="Moderado"),CONCATENATE("R2C",'Mapa final'!$S$35),"")</f>
        <v/>
      </c>
      <c r="Z35" s="54" t="str">
        <f>IF(AND('Mapa final'!$AJ$36="Media",'Mapa final'!$AL$36="Moderado"),CONCATENATE("R2C",'Mapa final'!$S$36),"")</f>
        <v/>
      </c>
      <c r="AA35" s="54" t="str">
        <f>IF(AND('Mapa final'!$AJ$37="Media",'Mapa final'!$AL$37="Moderado"),CONCATENATE("R2C",'Mapa final'!$S$37),"")</f>
        <v/>
      </c>
      <c r="AB35" s="55" t="str">
        <f>IF(AND('Mapa final'!$AJ$38="Media",'Mapa final'!$AL$38="Moderado"),CONCATENATE("R2C",'Mapa final'!$S$38),"")</f>
        <v/>
      </c>
      <c r="AC35" s="38" t="str">
        <f>IF(AND('Mapa final'!$AJ$33="Media",'Mapa final'!$AL$33="Mayor"),CONCATENATE("R2C",'Mapa final'!$S$33),"")</f>
        <v/>
      </c>
      <c r="AD35" s="39" t="str">
        <f>IF(AND('Mapa final'!$AJ$34="Media",'Mapa final'!$AL$34="Mayor"),CONCATENATE("R2C",'Mapa final'!$S$34),"")</f>
        <v/>
      </c>
      <c r="AE35" s="39" t="str">
        <f>IF(AND('Mapa final'!$AJ$35="Media",'Mapa final'!$AL$35="Mayor"),CONCATENATE("R2C",'Mapa final'!$S$35),"")</f>
        <v/>
      </c>
      <c r="AF35" s="39" t="str">
        <f>IF(AND('Mapa final'!$AJ$36="Media",'Mapa final'!$AL$36="Mayor"),CONCATENATE("R2C",'Mapa final'!$S$36),"")</f>
        <v/>
      </c>
      <c r="AG35" s="39" t="str">
        <f>IF(AND('Mapa final'!$AJ$37="Media",'Mapa final'!$AL$37="Mayor"),CONCATENATE("R2C",'Mapa final'!$S$37),"")</f>
        <v/>
      </c>
      <c r="AH35" s="40" t="str">
        <f>IF(AND('Mapa final'!$AJ$38="Media",'Mapa final'!$AL$38="Mayor"),CONCATENATE("R2C",'Mapa final'!$S$38),"")</f>
        <v/>
      </c>
      <c r="AI35" s="41" t="str">
        <f>IF(AND('Mapa final'!$AJ$33="Media",'Mapa final'!$AL$33="Catastrófico"),CONCATENATE("R2C",'Mapa final'!$S$33),"")</f>
        <v/>
      </c>
      <c r="AJ35" s="42" t="str">
        <f>IF(AND('Mapa final'!$AJ$34="Media",'Mapa final'!$AL$34="Catastrófico"),CONCATENATE("R2C",'Mapa final'!$S$34),"")</f>
        <v/>
      </c>
      <c r="AK35" s="42" t="str">
        <f>IF(AND('Mapa final'!$AJ$35="Media",'Mapa final'!$AL$35="Catastrófico"),CONCATENATE("R2C",'Mapa final'!$S$35),"")</f>
        <v/>
      </c>
      <c r="AL35" s="42" t="str">
        <f>IF(AND('Mapa final'!$AJ$36="Media",'Mapa final'!$AL$36="Catastrófico"),CONCATENATE("R2C",'Mapa final'!$S$36),"")</f>
        <v/>
      </c>
      <c r="AM35" s="42" t="str">
        <f>IF(AND('Mapa final'!$AJ$37="Media",'Mapa final'!$AL$37="LCatastrófico"),CONCATENATE("R2C",'Mapa final'!$S$37),"")</f>
        <v/>
      </c>
      <c r="AN35" s="43" t="str">
        <f>IF(AND('Mapa final'!$AJ$38="Media",'Mapa final'!$AL$38="Catastrófico"),CONCATENATE("R2C",'Mapa final'!$S$38),"")</f>
        <v/>
      </c>
      <c r="AO35" s="69"/>
      <c r="AP35" s="524"/>
      <c r="AQ35" s="525"/>
      <c r="AR35" s="525"/>
      <c r="AS35" s="525"/>
      <c r="AT35" s="525"/>
      <c r="AU35" s="526"/>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439"/>
      <c r="D36" s="439"/>
      <c r="E36" s="440"/>
      <c r="F36" s="482"/>
      <c r="G36" s="483"/>
      <c r="H36" s="483"/>
      <c r="I36" s="483"/>
      <c r="J36" s="484"/>
      <c r="K36" s="53" t="str">
        <f>IF(AND('Mapa final'!$AJ$39="Media",'Mapa final'!$AL$39="Leve"),CONCATENATE("R2C",'Mapa final'!$S$39),"")</f>
        <v/>
      </c>
      <c r="L36" s="54" t="str">
        <f>IF(AND('Mapa final'!$AJ$40="Media",'Mapa final'!$AL$40="Leve"),CONCATENATE("R2C",'Mapa final'!$S$40),"")</f>
        <v/>
      </c>
      <c r="M36" s="54" t="str">
        <f>IF(AND('Mapa final'!$AJ$41="Media",'Mapa final'!$AL$41="Leve"),CONCATENATE("R2C",'Mapa final'!$S$41),"")</f>
        <v/>
      </c>
      <c r="N36" s="54" t="str">
        <f>IF(AND('Mapa final'!$AJ$42="Media",'Mapa final'!$AL$42="Leve"),CONCATENATE("R2C",'Mapa final'!$S$42),"")</f>
        <v/>
      </c>
      <c r="O36" s="54" t="str">
        <f>IF(AND('Mapa final'!$AJ$43="Media",'Mapa final'!$AL$43="Leve"),CONCATENATE("R2C",'Mapa final'!$S$43),"")</f>
        <v/>
      </c>
      <c r="P36" s="55" t="str">
        <f>IF(AND('Mapa final'!$AJ$44="Media",'Mapa final'!$AL$44="Leve"),CONCATENATE("R2C",'Mapa final'!$S$44),"")</f>
        <v/>
      </c>
      <c r="Q36" s="53" t="str">
        <f>IF(AND('Mapa final'!$AJ$39="Media",'Mapa final'!$AL$39="Menor"),CONCATENATE("R2C",'Mapa final'!$S$39),"")</f>
        <v/>
      </c>
      <c r="R36" s="54" t="str">
        <f>IF(AND('Mapa final'!$AJ$40="Media",'Mapa final'!$AL$40="Menor"),CONCATENATE("R2C",'Mapa final'!$S$40),"")</f>
        <v/>
      </c>
      <c r="S36" s="54" t="str">
        <f>IF(AND('Mapa final'!$AJ$41="Media",'Mapa final'!$AL$41="Menor"),CONCATENATE("R2C",'Mapa final'!$S$41),"")</f>
        <v/>
      </c>
      <c r="T36" s="54" t="str">
        <f>IF(AND('Mapa final'!$AJ$42="Media",'Mapa final'!$AL$42="Menor"),CONCATENATE("R2C",'Mapa final'!$S$42),"")</f>
        <v/>
      </c>
      <c r="U36" s="54" t="str">
        <f>IF(AND('Mapa final'!$AJ$43="Media",'Mapa final'!$AL$43="Menor"),CONCATENATE("R2C",'Mapa final'!$S$43),"")</f>
        <v/>
      </c>
      <c r="V36" s="55" t="str">
        <f>IF(AND('Mapa final'!$AJ$44="Media",'Mapa final'!$AL$44="Menor"),CONCATENATE("R2C",'Mapa final'!$S$44),"")</f>
        <v/>
      </c>
      <c r="W36" s="53" t="str">
        <f>IF(AND('Mapa final'!$AJ$39="Media",'Mapa final'!$AL$39="Moderado"),CONCATENATE("R2C",'Mapa final'!$S$39),"")</f>
        <v/>
      </c>
      <c r="X36" s="54" t="str">
        <f>IF(AND('Mapa final'!$AJ$40="Media",'Mapa final'!$AL$40="Moderado"),CONCATENATE("R2C",'Mapa final'!$S$40),"")</f>
        <v/>
      </c>
      <c r="Y36" s="54" t="str">
        <f>IF(AND('Mapa final'!$AJ$41="Media",'Mapa final'!$AL$41="Moderado"),CONCATENATE("R2C",'Mapa final'!$S$41),"")</f>
        <v/>
      </c>
      <c r="Z36" s="54" t="str">
        <f>IF(AND('Mapa final'!$AJ$42="Media",'Mapa final'!$AL$42="Moderado"),CONCATENATE("R2C",'Mapa final'!$S$42),"")</f>
        <v/>
      </c>
      <c r="AA36" s="54" t="str">
        <f>IF(AND('Mapa final'!$AJ$43="Media",'Mapa final'!$AL$43="Moderado"),CONCATENATE("R2C",'Mapa final'!$S$43),"")</f>
        <v/>
      </c>
      <c r="AB36" s="55" t="str">
        <f>IF(AND('Mapa final'!$AJ$44="Media",'Mapa final'!$AL$44="Moderado"),CONCATENATE("R2C",'Mapa final'!$S$44),"")</f>
        <v/>
      </c>
      <c r="AC36" s="38" t="str">
        <f>IF(AND('Mapa final'!$AJ$39="Media",'Mapa final'!$AL$39="Mayor"),CONCATENATE("R2C",'Mapa final'!$S$39),"")</f>
        <v/>
      </c>
      <c r="AD36" s="39" t="str">
        <f>IF(AND('Mapa final'!$AJ$40="Media",'Mapa final'!$AL$40="Mayor"),CONCATENATE("R2C",'Mapa final'!$S$40),"")</f>
        <v/>
      </c>
      <c r="AE36" s="39" t="str">
        <f>IF(AND('Mapa final'!$AJ$41="Media",'Mapa final'!$AL$41="Mayor"),CONCATENATE("R2C",'Mapa final'!$S$41),"")</f>
        <v/>
      </c>
      <c r="AF36" s="39" t="str">
        <f>IF(AND('Mapa final'!$AJ$42="Media",'Mapa final'!$AL$42="Mayor"),CONCATENATE("R2C",'Mapa final'!$S$42),"")</f>
        <v/>
      </c>
      <c r="AG36" s="39" t="str">
        <f>IF(AND('Mapa final'!$AJ$43="Media",'Mapa final'!$AL$43="Mayor"),CONCATENATE("R2C",'Mapa final'!$S$43),"")</f>
        <v/>
      </c>
      <c r="AH36" s="40" t="str">
        <f>IF(AND('Mapa final'!$AJ$44="Media",'Mapa final'!$AL$44="Mayor"),CONCATENATE("R2C",'Mapa final'!$S$44),"")</f>
        <v/>
      </c>
      <c r="AI36" s="41" t="str">
        <f>IF(AND('Mapa final'!$AJ$39="Media",'Mapa final'!$AL$39="Catastrófico"),CONCATENATE("R2C",'Mapa final'!$S$39),"")</f>
        <v/>
      </c>
      <c r="AJ36" s="42" t="str">
        <f>IF(AND('Mapa final'!$AJ$40="Media",'Mapa final'!$AL$40="Catastrófico"),CONCATENATE("R2C",'Mapa final'!$S$40),"")</f>
        <v/>
      </c>
      <c r="AK36" s="42" t="str">
        <f>IF(AND('Mapa final'!$AJ$41="Media",'Mapa final'!$AL$41="Catastrófico"),CONCATENATE("R2C",'Mapa final'!$S$41),"")</f>
        <v/>
      </c>
      <c r="AL36" s="42" t="str">
        <f>IF(AND('Mapa final'!$AJ$42="Media",'Mapa final'!$AL$42="Catastrófico"),CONCATENATE("R2C",'Mapa final'!$S$42),"")</f>
        <v/>
      </c>
      <c r="AM36" s="42" t="str">
        <f>IF(AND('Mapa final'!$AJ$43="Media",'Mapa final'!$AL$43="Catastrófico"),CONCATENATE("R2C",'Mapa final'!$S$43),"")</f>
        <v/>
      </c>
      <c r="AN36" s="43" t="str">
        <f>IF(AND('Mapa final'!$AJ$44="Media",'Mapa final'!$AL$44="Catastrófico"),CONCATENATE("R2C",'Mapa final'!$S$44),"")</f>
        <v/>
      </c>
      <c r="AO36" s="69"/>
      <c r="AP36" s="524"/>
      <c r="AQ36" s="525"/>
      <c r="AR36" s="525"/>
      <c r="AS36" s="525"/>
      <c r="AT36" s="525"/>
      <c r="AU36" s="526"/>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439"/>
      <c r="D37" s="439"/>
      <c r="E37" s="440"/>
      <c r="F37" s="482"/>
      <c r="G37" s="483"/>
      <c r="H37" s="483"/>
      <c r="I37" s="483"/>
      <c r="J37" s="484"/>
      <c r="K37" s="53" t="str">
        <f>IF(AND('Mapa final'!$AJ$45="Media",'Mapa final'!$AL$45="Leve"),CONCATENATE("R2C",'Mapa final'!$S$45),"")</f>
        <v/>
      </c>
      <c r="L37" s="54" t="str">
        <f>IF(AND('Mapa final'!$AJ$46="Media",'Mapa final'!$AL$46="Leve"),CONCATENATE("R2C",'Mapa final'!$S$46),"")</f>
        <v/>
      </c>
      <c r="M37" s="54" t="str">
        <f>IF(AND('Mapa final'!$AJ$47="Media",'Mapa final'!$AL$47="Leve"),CONCATENATE("R2C",'Mapa final'!$S$47),"")</f>
        <v/>
      </c>
      <c r="N37" s="54" t="str">
        <f>IF(AND('Mapa final'!$AJ$48="Media",'Mapa final'!$AL$48="Leve"),CONCATENATE("R2C",'Mapa final'!$S$48),"")</f>
        <v/>
      </c>
      <c r="O37" s="54" t="str">
        <f>IF(AND('Mapa final'!$AJ$49="Media",'Mapa final'!$AL$49="Leve"),CONCATENATE("R2C",'Mapa final'!$S$49),"")</f>
        <v/>
      </c>
      <c r="P37" s="55" t="str">
        <f>IF(AND('Mapa final'!$AJ$60="Media",'Mapa final'!$AL$50="Leve"),CONCATENATE("R2C",'Mapa final'!$S$50),"")</f>
        <v/>
      </c>
      <c r="Q37" s="53" t="str">
        <f>IF(AND('Mapa final'!$AJ$45="Media",'Mapa final'!$AL$45="Menor"),CONCATENATE("R2C",'Mapa final'!$S$45),"")</f>
        <v/>
      </c>
      <c r="R37" s="54" t="str">
        <f>IF(AND('Mapa final'!$AJ$46="Media",'Mapa final'!$AL$46="Menor"),CONCATENATE("R2C",'Mapa final'!$S$46),"")</f>
        <v/>
      </c>
      <c r="S37" s="54" t="str">
        <f>IF(AND('Mapa final'!$AJ$47="Media",'Mapa final'!$AL$47="Menor"),CONCATENATE("R2C",'Mapa final'!$S$47),"")</f>
        <v/>
      </c>
      <c r="T37" s="54" t="str">
        <f>IF(AND('Mapa final'!$AJ$48="Media",'Mapa final'!$AL$48="Menor"),CONCATENATE("R2C",'Mapa final'!$S$48),"")</f>
        <v/>
      </c>
      <c r="U37" s="54" t="str">
        <f>IF(AND('Mapa final'!$AJ$49="Media",'Mapa final'!$AL$49="Menor"),CONCATENATE("R2C",'Mapa final'!$S$49),"")</f>
        <v/>
      </c>
      <c r="V37" s="55" t="str">
        <f>IF(AND('Mapa final'!$AJ$60="Media",'Mapa final'!$AL$50="Menor"),CONCATENATE("R2C",'Mapa final'!$S$50),"")</f>
        <v/>
      </c>
      <c r="W37" s="53" t="str">
        <f>IF(AND('Mapa final'!$AJ$45="Media",'Mapa final'!$AL$45="Moderado"),CONCATENATE("R2C",'Mapa final'!$S$45),"")</f>
        <v/>
      </c>
      <c r="X37" s="54" t="str">
        <f>IF(AND('Mapa final'!$AJ$46="Media",'Mapa final'!$AL$46="Moderado"),CONCATENATE("R2C",'Mapa final'!$S$46),"")</f>
        <v/>
      </c>
      <c r="Y37" s="54" t="str">
        <f>IF(AND('Mapa final'!$AJ$47="Media",'Mapa final'!$AL$47="Moderado"),CONCATENATE("R2C",'Mapa final'!$S$47),"")</f>
        <v/>
      </c>
      <c r="Z37" s="54" t="str">
        <f>IF(AND('Mapa final'!$AJ$48="Media",'Mapa final'!$AL$48="Moderado"),CONCATENATE("R2C",'Mapa final'!$S$48),"")</f>
        <v/>
      </c>
      <c r="AA37" s="54" t="str">
        <f>IF(AND('Mapa final'!$AJ$49="Media",'Mapa final'!$AL$49="Moderado"),CONCATENATE("R2C",'Mapa final'!$S$49),"")</f>
        <v/>
      </c>
      <c r="AB37" s="55" t="str">
        <f>IF(AND('Mapa final'!$AJ$60="Media",'Mapa final'!$AL$50="Moderado"),CONCATENATE("R2C",'Mapa final'!$S$50),"")</f>
        <v/>
      </c>
      <c r="AC37" s="38" t="str">
        <f>IF(AND('Mapa final'!$AJ$45="Media",'Mapa final'!$AL$45="Mayor"),CONCATENATE("R2C",'Mapa final'!$S$45),"")</f>
        <v/>
      </c>
      <c r="AD37" s="39" t="str">
        <f>IF(AND('Mapa final'!$AJ$46="Media",'Mapa final'!$AL$46="Mayor"),CONCATENATE("R2C",'Mapa final'!$S$46),"")</f>
        <v/>
      </c>
      <c r="AE37" s="39" t="str">
        <f>IF(AND('Mapa final'!$AJ$47="Media",'Mapa final'!$AL$47="Mayor"),CONCATENATE("R2C",'Mapa final'!$S$47),"")</f>
        <v/>
      </c>
      <c r="AF37" s="39" t="str">
        <f>IF(AND('Mapa final'!$AJ$48="Media",'Mapa final'!$AL$48="Mayor"),CONCATENATE("R2C",'Mapa final'!$S$48),"")</f>
        <v/>
      </c>
      <c r="AG37" s="39" t="str">
        <f>IF(AND('Mapa final'!$AJ$49="Media",'Mapa final'!$AL$49="Mayor"),CONCATENATE("R2C",'Mapa final'!$S$49),"")</f>
        <v/>
      </c>
      <c r="AH37" s="40" t="str">
        <f>IF(AND('Mapa final'!$AJ$60="Media",'Mapa final'!$AL$50="Mayor"),CONCATENATE("R2C",'Mapa final'!$S$50),"")</f>
        <v/>
      </c>
      <c r="AI37" s="41" t="str">
        <f>IF(AND('Mapa final'!$AJ$45="Media",'Mapa final'!$AL$45="Catastrófico"),CONCATENATE("R2C",'Mapa final'!$S$45),"")</f>
        <v/>
      </c>
      <c r="AJ37" s="42" t="str">
        <f>IF(AND('Mapa final'!$AJ$46="Media",'Mapa final'!$AL$46="Catastrófico"),CONCATENATE("R2C",'Mapa final'!$S$46),"")</f>
        <v/>
      </c>
      <c r="AK37" s="42" t="str">
        <f>IF(AND('Mapa final'!$AJ$47="Media",'Mapa final'!$AL$47="Catastrófico"),CONCATENATE("R2C",'Mapa final'!$S$47),"")</f>
        <v/>
      </c>
      <c r="AL37" s="42" t="str">
        <f>IF(AND('Mapa final'!$AJ$48="Media",'Mapa final'!$AL$48="Catastrófico"),CONCATENATE("R2C",'Mapa final'!$S$48),"")</f>
        <v/>
      </c>
      <c r="AM37" s="42" t="str">
        <f>IF(AND('Mapa final'!$AJ$49="Media",'Mapa final'!$AL$49="Catastrófico"),CONCATENATE("R2C",'Mapa final'!$S$49),"")</f>
        <v/>
      </c>
      <c r="AN37" s="43" t="str">
        <f>IF(AND('Mapa final'!$AJ$60="Media",'Mapa final'!$AL$50="Catastrófico"),CONCATENATE("R2C",'Mapa final'!$S$50),"")</f>
        <v/>
      </c>
      <c r="AO37" s="69"/>
      <c r="AP37" s="524"/>
      <c r="AQ37" s="525"/>
      <c r="AR37" s="525"/>
      <c r="AS37" s="525"/>
      <c r="AT37" s="525"/>
      <c r="AU37" s="526"/>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439"/>
      <c r="D38" s="439"/>
      <c r="E38" s="440"/>
      <c r="F38" s="482"/>
      <c r="G38" s="483"/>
      <c r="H38" s="483"/>
      <c r="I38" s="483"/>
      <c r="J38" s="484"/>
      <c r="K38" s="53" t="str">
        <f>IF(AND('Mapa final'!$AJ$51="Media",'Mapa final'!$AL$51="Leve"),CONCATENATE("R2C",'Mapa final'!$S$51),"")</f>
        <v/>
      </c>
      <c r="L38" s="54" t="str">
        <f>IF(AND('Mapa final'!$AJ$52="Media",'Mapa final'!$AL$52="Leve"),CONCATENATE("R2C",'Mapa final'!$S$52),"")</f>
        <v/>
      </c>
      <c r="M38" s="54" t="str">
        <f>IF(AND('Mapa final'!$AJ$53="Media",'Mapa final'!$AL$53="Leve"),CONCATENATE("R2C",'Mapa final'!$S$53),"")</f>
        <v/>
      </c>
      <c r="N38" s="54" t="str">
        <f>IF(AND('Mapa final'!$AJ$54="Media",'Mapa final'!$AL$54="Leve"),CONCATENATE("R2C",'Mapa final'!$S$54),"")</f>
        <v/>
      </c>
      <c r="O38" s="54" t="str">
        <f>IF(AND('Mapa final'!$AJ$55="Media",'Mapa final'!$AL$55="Leve"),CONCATENATE("R2C",'Mapa final'!$S$55),"")</f>
        <v/>
      </c>
      <c r="P38" s="55" t="str">
        <f>IF(AND('Mapa final'!$AJ$56="Media",'Mapa final'!$AL$56="Leve"),CONCATENATE("R2C",'Mapa final'!$S$56),"")</f>
        <v/>
      </c>
      <c r="Q38" s="53" t="str">
        <f>IF(AND('Mapa final'!$AJ$51="Media",'Mapa final'!$AL$51="Menor"),CONCATENATE("R2C",'Mapa final'!$S$51),"")</f>
        <v/>
      </c>
      <c r="R38" s="54" t="str">
        <f>IF(AND('Mapa final'!$AJ$52="Media",'Mapa final'!$AL$52="Menor"),CONCATENATE("R2C",'Mapa final'!$S$52),"")</f>
        <v/>
      </c>
      <c r="S38" s="54" t="str">
        <f>IF(AND('Mapa final'!$AJ$53="Media",'Mapa final'!$AL$53="Menor"),CONCATENATE("R2C",'Mapa final'!$S$53),"")</f>
        <v/>
      </c>
      <c r="T38" s="54" t="str">
        <f>IF(AND('Mapa final'!$AJ$54="Media",'Mapa final'!$AL$54="Menor"),CONCATENATE("R2C",'Mapa final'!$S$54),"")</f>
        <v/>
      </c>
      <c r="U38" s="54" t="str">
        <f>IF(AND('Mapa final'!$AJ$55="Media",'Mapa final'!$AL$55="Menor"),CONCATENATE("R2C",'Mapa final'!$S$55),"")</f>
        <v/>
      </c>
      <c r="V38" s="55" t="str">
        <f>IF(AND('Mapa final'!$AJ$56="Media",'Mapa final'!$AL$56="Menor"),CONCATENATE("R2C",'Mapa final'!$S$56),"")</f>
        <v/>
      </c>
      <c r="W38" s="53" t="str">
        <f>IF(AND('Mapa final'!$AJ$51="Media",'Mapa final'!$AL$51="Moderado"),CONCATENATE("R2C",'Mapa final'!$S$51),"")</f>
        <v/>
      </c>
      <c r="X38" s="54" t="str">
        <f>IF(AND('Mapa final'!$AJ$52="Media",'Mapa final'!$AL$52="Moderado"),CONCATENATE("R2C",'Mapa final'!$S$52),"")</f>
        <v/>
      </c>
      <c r="Y38" s="54" t="str">
        <f>IF(AND('Mapa final'!$AJ$53="Media",'Mapa final'!$AL$53="Moderado"),CONCATENATE("R2C",'Mapa final'!$S$53),"")</f>
        <v/>
      </c>
      <c r="Z38" s="54" t="str">
        <f>IF(AND('Mapa final'!$AJ$54="Media",'Mapa final'!$AL$54="Moderado"),CONCATENATE("R2C",'Mapa final'!$S$54),"")</f>
        <v/>
      </c>
      <c r="AA38" s="54" t="str">
        <f>IF(AND('Mapa final'!$AJ$55="Media",'Mapa final'!$AL$55="Moderado"),CONCATENATE("R2C",'Mapa final'!$S$55),"")</f>
        <v/>
      </c>
      <c r="AB38" s="55" t="str">
        <f>IF(AND('Mapa final'!$AJ$56="Media",'Mapa final'!$AL$56="Moderado"),CONCATENATE("R2C",'Mapa final'!$S$56),"")</f>
        <v/>
      </c>
      <c r="AC38" s="38" t="str">
        <f>IF(AND('Mapa final'!$AJ$51="Media",'Mapa final'!$AL$51="Mayor"),CONCATENATE("R2C",'Mapa final'!$S$51),"")</f>
        <v/>
      </c>
      <c r="AD38" s="39" t="str">
        <f>IF(AND('Mapa final'!$AJ$52="Media",'Mapa final'!$AL$52="Mayor"),CONCATENATE("R2C",'Mapa final'!$S$52),"")</f>
        <v/>
      </c>
      <c r="AE38" s="39" t="str">
        <f>IF(AND('Mapa final'!$AJ$53="Media",'Mapa final'!$AL$53="Mayor"),CONCATENATE("R2C",'Mapa final'!$S$53),"")</f>
        <v/>
      </c>
      <c r="AF38" s="39" t="str">
        <f>IF(AND('Mapa final'!$AJ$54="Media",'Mapa final'!$AL$54="Mayor"),CONCATENATE("R2C",'Mapa final'!$S$54),"")</f>
        <v/>
      </c>
      <c r="AG38" s="39" t="str">
        <f>IF(AND('Mapa final'!$AJ$55="Media",'Mapa final'!$AL$55="Mayor"),CONCATENATE("R2C",'Mapa final'!$S$55),"")</f>
        <v/>
      </c>
      <c r="AH38" s="40" t="str">
        <f>IF(AND('Mapa final'!$AJ$56="Media",'Mapa final'!$AL$56="Mayor"),CONCATENATE("R2C",'Mapa final'!$S$56),"")</f>
        <v/>
      </c>
      <c r="AI38" s="41" t="str">
        <f>IF(AND('Mapa final'!$AJ$51="Media",'Mapa final'!$AL$51="Catastrófico"),CONCATENATE("R2C",'Mapa final'!$S$51),"")</f>
        <v/>
      </c>
      <c r="AJ38" s="42" t="str">
        <f>IF(AND('Mapa final'!$AJ$52="Media",'Mapa final'!$AL$52="Catastrófico"),CONCATENATE("R2C",'Mapa final'!$S$52),"")</f>
        <v/>
      </c>
      <c r="AK38" s="42" t="str">
        <f>IF(AND('Mapa final'!$AJ$53="Media",'Mapa final'!$AL$53="Catastrófico"),CONCATENATE("R2C",'Mapa final'!$S$53),"")</f>
        <v/>
      </c>
      <c r="AL38" s="42" t="str">
        <f>IF(AND('Mapa final'!$AJ$54="Media",'Mapa final'!$AL$54="Catastrófico"),CONCATENATE("R2C",'Mapa final'!$S$54),"")</f>
        <v/>
      </c>
      <c r="AM38" s="42" t="str">
        <f>IF(AND('Mapa final'!$AJ$55="Media",'Mapa final'!$AL$55="Catastrófico"),CONCATENATE("R2C",'Mapa final'!$S$55),"")</f>
        <v/>
      </c>
      <c r="AN38" s="43" t="str">
        <f>IF(AND('Mapa final'!$AJ$56="Media",'Mapa final'!$AL$56="Catastrófico"),CONCATENATE("R2C",'Mapa final'!$S$56),"")</f>
        <v/>
      </c>
      <c r="AO38" s="69"/>
      <c r="AP38" s="524"/>
      <c r="AQ38" s="525"/>
      <c r="AR38" s="525"/>
      <c r="AS38" s="525"/>
      <c r="AT38" s="525"/>
      <c r="AU38" s="526"/>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439"/>
      <c r="D39" s="439"/>
      <c r="E39" s="440"/>
      <c r="F39" s="482"/>
      <c r="G39" s="483"/>
      <c r="H39" s="483"/>
      <c r="I39" s="483"/>
      <c r="J39" s="484"/>
      <c r="K39" s="53" t="str">
        <f>IF(AND('Mapa final'!$AJ$57="Media",'Mapa final'!$AL$57="Leve"),CONCATENATE("R2C",'Mapa final'!$S$57),"")</f>
        <v/>
      </c>
      <c r="L39" s="54" t="str">
        <f>IF(AND('Mapa final'!$AJ$58="Media",'Mapa final'!$AL$58="Leve"),CONCATENATE("R2C",'Mapa final'!$S$58),"")</f>
        <v/>
      </c>
      <c r="M39" s="54" t="str">
        <f>IF(AND('Mapa final'!$AJ$59="Media",'Mapa final'!$AL$59="Leve"),CONCATENATE("R2C",'Mapa final'!$S$59),"")</f>
        <v/>
      </c>
      <c r="N39" s="54" t="str">
        <f>IF(AND('Mapa final'!$AJ$60="Media",'Mapa final'!$AL$60="Leve"),CONCATENATE("R2C",'Mapa final'!$S$60),"")</f>
        <v/>
      </c>
      <c r="O39" s="54" t="str">
        <f>IF(AND('Mapa final'!$AJ$61="Media",'Mapa final'!$AL$61="Leve"),CONCATENATE("R2C",'Mapa final'!$S$61),"")</f>
        <v/>
      </c>
      <c r="P39" s="55" t="str">
        <f>IF(AND('Mapa final'!$AJ$62="Media",'Mapa final'!$AL$62="Leve"),CONCATENATE("R2C",'Mapa final'!$S$62),"")</f>
        <v/>
      </c>
      <c r="Q39" s="53" t="str">
        <f>IF(AND('Mapa final'!$AJ$57="Media",'Mapa final'!$AL$57="Menor"),CONCATENATE("R2C",'Mapa final'!$S$57),"")</f>
        <v/>
      </c>
      <c r="R39" s="54" t="str">
        <f>IF(AND('Mapa final'!$AJ$58="Media",'Mapa final'!$AL$58="Menor"),CONCATENATE("R2C",'Mapa final'!$S$58),"")</f>
        <v/>
      </c>
      <c r="S39" s="54" t="str">
        <f>IF(AND('Mapa final'!$AJ$59="Media",'Mapa final'!$AL$59="Menor"),CONCATENATE("R2C",'Mapa final'!$S$59),"")</f>
        <v/>
      </c>
      <c r="T39" s="54" t="str">
        <f>IF(AND('Mapa final'!$AJ$60="Media",'Mapa final'!$AL$60="Menor"),CONCATENATE("R2C",'Mapa final'!$S$60),"")</f>
        <v/>
      </c>
      <c r="U39" s="54" t="str">
        <f>IF(AND('Mapa final'!$AJ$61="Media",'Mapa final'!$AL$61="Menor"),CONCATENATE("R2C",'Mapa final'!$S$61),"")</f>
        <v/>
      </c>
      <c r="V39" s="55" t="str">
        <f>IF(AND('Mapa final'!$AJ$62="Media",'Mapa final'!$AL$62="Menor"),CONCATENATE("R2C",'Mapa final'!$S$62),"")</f>
        <v/>
      </c>
      <c r="W39" s="53" t="str">
        <f>IF(AND('Mapa final'!$AJ$57="Media",'Mapa final'!$AL$57="Moderado"),CONCATENATE("R2C",'Mapa final'!$S$57),"")</f>
        <v/>
      </c>
      <c r="X39" s="54" t="str">
        <f>IF(AND('Mapa final'!$AJ$58="Media",'Mapa final'!$AL$58="Moderado"),CONCATENATE("R2C",'Mapa final'!$S$58),"")</f>
        <v/>
      </c>
      <c r="Y39" s="54" t="str">
        <f>IF(AND('Mapa final'!$AJ$59="Media",'Mapa final'!$AL$59="Moderado"),CONCATENATE("R2C",'Mapa final'!$S$59),"")</f>
        <v/>
      </c>
      <c r="Z39" s="54" t="str">
        <f>IF(AND('Mapa final'!$AJ$60="Media",'Mapa final'!$AL$60="Moderado"),CONCATENATE("R2C",'Mapa final'!$S$60),"")</f>
        <v/>
      </c>
      <c r="AA39" s="54" t="str">
        <f>IF(AND('Mapa final'!$AJ$61="Media",'Mapa final'!$AL$61="Moderado"),CONCATENATE("R2C",'Mapa final'!$S$61),"")</f>
        <v/>
      </c>
      <c r="AB39" s="55" t="str">
        <f>IF(AND('Mapa final'!$AJ$62="Media",'Mapa final'!$AL$62="Moderado"),CONCATENATE("R2C",'Mapa final'!$S$62),"")</f>
        <v/>
      </c>
      <c r="AC39" s="38" t="str">
        <f>IF(AND('Mapa final'!$AJ$57="Media",'Mapa final'!$AL$57="Mayor"),CONCATENATE("R2C",'Mapa final'!$S$57),"")</f>
        <v/>
      </c>
      <c r="AD39" s="39" t="str">
        <f>IF(AND('Mapa final'!$AJ$58="Media",'Mapa final'!$AL$58="Mayor"),CONCATENATE("R2C",'Mapa final'!$S$58),"")</f>
        <v/>
      </c>
      <c r="AE39" s="39" t="str">
        <f>IF(AND('Mapa final'!$AJ$59="Media",'Mapa final'!$AL$59="Mayor"),CONCATENATE("R2C",'Mapa final'!$S$59),"")</f>
        <v/>
      </c>
      <c r="AF39" s="39" t="str">
        <f>IF(AND('Mapa final'!$AJ$60="Media",'Mapa final'!$AL$60="Mayor"),CONCATENATE("R2C",'Mapa final'!$S$60),"")</f>
        <v/>
      </c>
      <c r="AG39" s="39" t="str">
        <f>IF(AND('Mapa final'!$AJ$61="Media",'Mapa final'!$AL$61="Mayor"),CONCATENATE("R2C",'Mapa final'!$S$61),"")</f>
        <v/>
      </c>
      <c r="AH39" s="40" t="str">
        <f>IF(AND('Mapa final'!$AJ$62="Media",'Mapa final'!$AL$62="Mayor"),CONCATENATE("R2C",'Mapa final'!$S$62),"")</f>
        <v/>
      </c>
      <c r="AI39" s="41" t="str">
        <f>IF(AND('Mapa final'!$AJ$57="Media",'Mapa final'!$AL$57="Catastrófico"),CONCATENATE("R2C",'Mapa final'!$S$57),"")</f>
        <v/>
      </c>
      <c r="AJ39" s="42" t="str">
        <f>IF(AND('Mapa final'!$AJ$58="Media",'Mapa final'!$AL$58="Catastrófico"),CONCATENATE("R2C",'Mapa final'!$S$58),"")</f>
        <v/>
      </c>
      <c r="AK39" s="42" t="str">
        <f>IF(AND('Mapa final'!$AJ$59="Media",'Mapa final'!$AL$59="Catastrófico"),CONCATENATE("R2C",'Mapa final'!$S$59),"")</f>
        <v/>
      </c>
      <c r="AL39" s="42" t="str">
        <f>IF(AND('Mapa final'!$AJ$60="Media",'Mapa final'!$AL$60="Catastrófico"),CONCATENATE("R2C",'Mapa final'!$S$60),"")</f>
        <v/>
      </c>
      <c r="AM39" s="42" t="str">
        <f>IF(AND('Mapa final'!$AJ$61="Media",'Mapa final'!$AL$61="Catastrófico"),CONCATENATE("R2C",'Mapa final'!$S$61),"")</f>
        <v/>
      </c>
      <c r="AN39" s="43" t="str">
        <f>IF(AND('Mapa final'!$AJ$62="Media",'Mapa final'!$AL$62="Catastrófico"),CONCATENATE("R2C",'Mapa final'!$S$62),"")</f>
        <v/>
      </c>
      <c r="AO39" s="69"/>
      <c r="AP39" s="524"/>
      <c r="AQ39" s="525"/>
      <c r="AR39" s="525"/>
      <c r="AS39" s="525"/>
      <c r="AT39" s="525"/>
      <c r="AU39" s="526"/>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439"/>
      <c r="D40" s="439"/>
      <c r="E40" s="440"/>
      <c r="F40" s="482"/>
      <c r="G40" s="483"/>
      <c r="H40" s="483"/>
      <c r="I40" s="483"/>
      <c r="J40" s="484"/>
      <c r="K40" s="53" t="str">
        <f>IF(AND('Mapa final'!$AJ$63="Media",'Mapa final'!$AL$63="Leve"),CONCATENATE("R2C",'Mapa final'!$S$63),"")</f>
        <v/>
      </c>
      <c r="L40" s="54" t="str">
        <f>IF(AND('Mapa final'!$AJ$64="Media",'Mapa final'!$AL$64="Leve"),CONCATENATE("R2C",'Mapa final'!$S$64),"")</f>
        <v/>
      </c>
      <c r="M40" s="54" t="str">
        <f>IF(AND('Mapa final'!$AJ$65="Media",'Mapa final'!$AL$65="Leve"),CONCATENATE("R2C",'Mapa final'!$S$65),"")</f>
        <v/>
      </c>
      <c r="N40" s="54" t="str">
        <f>IF(AND('Mapa final'!$AJ$66="Media",'Mapa final'!$AL$66="Leve"),CONCATENATE("R2C",'Mapa final'!$S$66),"")</f>
        <v/>
      </c>
      <c r="O40" s="54" t="str">
        <f>IF(AND('Mapa final'!$AJ$67="Media",'Mapa final'!$AL$67="Leve"),CONCATENATE("R2C",'Mapa final'!$S$67),"")</f>
        <v/>
      </c>
      <c r="P40" s="55" t="str">
        <f>IF(AND('Mapa final'!$AJ$68="Media",'Mapa final'!$AL$68="Leve"),CONCATENATE("R2C",'Mapa final'!$S$68),"")</f>
        <v/>
      </c>
      <c r="Q40" s="53" t="str">
        <f>IF(AND('Mapa final'!$AJ$63="Media",'Mapa final'!$AL$63="Menor"),CONCATENATE("R2C",'Mapa final'!$S$63),"")</f>
        <v/>
      </c>
      <c r="R40" s="54" t="str">
        <f>IF(AND('Mapa final'!$AJ$64="Media",'Mapa final'!$AL$64="Menor"),CONCATENATE("R2C",'Mapa final'!$S$64),"")</f>
        <v/>
      </c>
      <c r="S40" s="54" t="str">
        <f>IF(AND('Mapa final'!$AJ$65="Media",'Mapa final'!$AL$65="Menor"),CONCATENATE("R2C",'Mapa final'!$S$65),"")</f>
        <v/>
      </c>
      <c r="T40" s="54" t="str">
        <f>IF(AND('Mapa final'!$AJ$66="Media",'Mapa final'!$AL$66="Menor"),CONCATENATE("R2C",'Mapa final'!$S$66),"")</f>
        <v/>
      </c>
      <c r="U40" s="54" t="str">
        <f>IF(AND('Mapa final'!$AJ$67="Media",'Mapa final'!$AL$67="Menor"),CONCATENATE("R2C",'Mapa final'!$S$67),"")</f>
        <v/>
      </c>
      <c r="V40" s="55" t="str">
        <f>IF(AND('Mapa final'!$AJ$68="Media",'Mapa final'!$AL$68="Menor"),CONCATENATE("R2C",'Mapa final'!$S$68),"")</f>
        <v/>
      </c>
      <c r="W40" s="53" t="str">
        <f>IF(AND('Mapa final'!$AJ$63="Media",'Mapa final'!$AL$63="Moderado"),CONCATENATE("R2C",'Mapa final'!$S$63),"")</f>
        <v/>
      </c>
      <c r="X40" s="54" t="str">
        <f>IF(AND('Mapa final'!$AJ$64="Media",'Mapa final'!$AL$64="Moderado"),CONCATENATE("R2C",'Mapa final'!$S$64),"")</f>
        <v/>
      </c>
      <c r="Y40" s="54" t="str">
        <f>IF(AND('Mapa final'!$AJ$65="Media",'Mapa final'!$AL$65="Moderado"),CONCATENATE("R2C",'Mapa final'!$S$65),"")</f>
        <v/>
      </c>
      <c r="Z40" s="54" t="str">
        <f>IF(AND('Mapa final'!$AJ$66="Media",'Mapa final'!$AL$66="Moderado"),CONCATENATE("R2C",'Mapa final'!$S$66),"")</f>
        <v/>
      </c>
      <c r="AA40" s="54" t="str">
        <f>IF(AND('Mapa final'!$AJ$67="Media",'Mapa final'!$AL$67="Moderado"),CONCATENATE("R2C",'Mapa final'!$S$67),"")</f>
        <v/>
      </c>
      <c r="AB40" s="55" t="str">
        <f>IF(AND('Mapa final'!$AJ$68="Media",'Mapa final'!$AL$68="Moderado"),CONCATENATE("R2C",'Mapa final'!$S$68),"")</f>
        <v/>
      </c>
      <c r="AC40" s="38" t="str">
        <f>IF(AND('Mapa final'!$AJ$63="Media",'Mapa final'!$AL$63="Mayor"),CONCATENATE("R2C",'Mapa final'!$S$63),"")</f>
        <v/>
      </c>
      <c r="AD40" s="39" t="str">
        <f>IF(AND('Mapa final'!$AJ$64="Media",'Mapa final'!$AL$64="Mayor"),CONCATENATE("R2C",'Mapa final'!$S$64),"")</f>
        <v/>
      </c>
      <c r="AE40" s="39" t="str">
        <f>IF(AND('Mapa final'!$AJ$65="Media",'Mapa final'!$AL$65="Mayor"),CONCATENATE("R2C",'Mapa final'!$S$65),"")</f>
        <v/>
      </c>
      <c r="AF40" s="39" t="str">
        <f>IF(AND('Mapa final'!$AJ$66="Media",'Mapa final'!$AL$66="Mayor"),CONCATENATE("R2C",'Mapa final'!$S$66),"")</f>
        <v/>
      </c>
      <c r="AG40" s="39" t="str">
        <f>IF(AND('Mapa final'!$AJ$67="Media",'Mapa final'!$AL$67="Mayor"),CONCATENATE("R2C",'Mapa final'!$S$67),"")</f>
        <v/>
      </c>
      <c r="AH40" s="40" t="str">
        <f>IF(AND('Mapa final'!$AJ$68="Media",'Mapa final'!$AL$68="Mayor"),CONCATENATE("R2C",'Mapa final'!$S$68),"")</f>
        <v/>
      </c>
      <c r="AI40" s="41" t="str">
        <f>IF(AND('Mapa final'!$AJ$63="Media",'Mapa final'!$AL$63="Catastrófico"),CONCATENATE("R2C",'Mapa final'!$S$63),"")</f>
        <v/>
      </c>
      <c r="AJ40" s="42" t="str">
        <f>IF(AND('Mapa final'!$AJ$64="Media",'Mapa final'!$AL$64="Catastrófico"),CONCATENATE("R2C",'Mapa final'!$S$64),"")</f>
        <v/>
      </c>
      <c r="AK40" s="42" t="str">
        <f>IF(AND('Mapa final'!$AJ$65="Media",'Mapa final'!$AL$65="Catastrófico"),CONCATENATE("R2C",'Mapa final'!$S$65),"")</f>
        <v/>
      </c>
      <c r="AL40" s="42" t="str">
        <f>IF(AND('Mapa final'!$AJ$66="Media",'Mapa final'!$AL$66="Catastrófico"),CONCATENATE("R2C",'Mapa final'!$S$66),"")</f>
        <v/>
      </c>
      <c r="AM40" s="42" t="str">
        <f>IF(AND('Mapa final'!$AJ$67="Media",'Mapa final'!$AL$67="Catastrófico"),CONCATENATE("R2C",'Mapa final'!$S$67),"")</f>
        <v/>
      </c>
      <c r="AN40" s="43" t="str">
        <f>IF(AND('Mapa final'!$AJ$68="Media",'Mapa final'!$AL$68="Catastrófico"),CONCATENATE("R2C",'Mapa final'!$S$68),"")</f>
        <v/>
      </c>
      <c r="AO40" s="69"/>
      <c r="AP40" s="524"/>
      <c r="AQ40" s="525"/>
      <c r="AR40" s="525"/>
      <c r="AS40" s="525"/>
      <c r="AT40" s="525"/>
      <c r="AU40" s="526"/>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439"/>
      <c r="D41" s="439"/>
      <c r="E41" s="440"/>
      <c r="F41" s="485"/>
      <c r="G41" s="486"/>
      <c r="H41" s="486"/>
      <c r="I41" s="486"/>
      <c r="J41" s="487"/>
      <c r="K41" s="53" t="str">
        <f>IF(AND('Mapa final'!$AJ$69="Media",'Mapa final'!$AL$69="Leve"),CONCATENATE("R2C",'Mapa final'!$S$69),"")</f>
        <v/>
      </c>
      <c r="L41" s="54" t="str">
        <f>IF(AND('Mapa final'!$AJ$70="Media",'Mapa final'!$AL$70="Leve"),CONCATENATE("R2C",'Mapa final'!$S$70),"")</f>
        <v/>
      </c>
      <c r="M41" s="54" t="str">
        <f>IF(AND('Mapa final'!$AJ$71="Media",'Mapa final'!$AL$71="Leve"),CONCATENATE("R2C",'Mapa final'!$S$71),"")</f>
        <v/>
      </c>
      <c r="N41" s="54" t="str">
        <f>IF(AND('Mapa final'!$AJ$72="Media",'Mapa final'!$AL$72="Leve"),CONCATENATE("R2C",'Mapa final'!$S$72),"")</f>
        <v/>
      </c>
      <c r="O41" s="54" t="str">
        <f>IF(AND('Mapa final'!$AJ$74="Media",'Mapa final'!$AL$74="Leve"),CONCATENATE("R2C",'Mapa final'!$S$74),"")</f>
        <v/>
      </c>
      <c r="P41" s="55" t="str">
        <f>IF(AND('Mapa final'!$AJ$75="Media",'Mapa final'!$AL$75="Leve"),CONCATENATE("R2C",'Mapa final'!$S$75),"")</f>
        <v/>
      </c>
      <c r="Q41" s="53" t="str">
        <f>IF(AND('Mapa final'!$AJ$69="Media",'Mapa final'!$AL$69="Menor"),CONCATENATE("R2C",'Mapa final'!$S$69),"")</f>
        <v/>
      </c>
      <c r="R41" s="54" t="str">
        <f>IF(AND('Mapa final'!$AJ$70="Media",'Mapa final'!$AL$70="Menor"),CONCATENATE("R2C",'Mapa final'!$S$70),"")</f>
        <v/>
      </c>
      <c r="S41" s="54" t="str">
        <f>IF(AND('Mapa final'!$AJ$71="Media",'Mapa final'!$AL$71="Menor"),CONCATENATE("R2C",'Mapa final'!$S$71),"")</f>
        <v/>
      </c>
      <c r="T41" s="54" t="str">
        <f>IF(AND('Mapa final'!$AJ$72="Media",'Mapa final'!$AL$72="Menor"),CONCATENATE("R2C",'Mapa final'!$S$72),"")</f>
        <v/>
      </c>
      <c r="U41" s="54" t="str">
        <f>IF(AND('Mapa final'!$AJ$74="Media",'Mapa final'!$AL$74="Menor"),CONCATENATE("R2C",'Mapa final'!$S$74),"")</f>
        <v/>
      </c>
      <c r="V41" s="55" t="str">
        <f>IF(AND('Mapa final'!$AJ$75="Media",'Mapa final'!$AL$75="Menor"),CONCATENATE("R2C",'Mapa final'!$S$75),"")</f>
        <v/>
      </c>
      <c r="W41" s="53" t="str">
        <f>IF(AND('Mapa final'!$AJ$69="Media",'Mapa final'!$AL$69="Moderado"),CONCATENATE("R2C",'Mapa final'!$S$69),"")</f>
        <v/>
      </c>
      <c r="X41" s="54" t="str">
        <f>IF(AND('Mapa final'!$AJ$70="Media",'Mapa final'!$AL$70="Moderado"),CONCATENATE("R2C",'Mapa final'!$S$70),"")</f>
        <v/>
      </c>
      <c r="Y41" s="54" t="str">
        <f>IF(AND('Mapa final'!$AJ$71="Media",'Mapa final'!$AL$71="Moderado"),CONCATENATE("R2C",'Mapa final'!$S$71),"")</f>
        <v/>
      </c>
      <c r="Z41" s="54" t="str">
        <f>IF(AND('Mapa final'!$AJ$72="Media",'Mapa final'!$AL$72="Moderado"),CONCATENATE("R2C",'Mapa final'!$S$72),"")</f>
        <v/>
      </c>
      <c r="AA41" s="54" t="str">
        <f>IF(AND('Mapa final'!$AJ$74="Media",'Mapa final'!$AL$74="Moderado"),CONCATENATE("R2C",'Mapa final'!$S$74),"")</f>
        <v/>
      </c>
      <c r="AB41" s="55" t="str">
        <f>IF(AND('Mapa final'!$AJ$75="Media",'Mapa final'!$AL$75="Moderado"),CONCATENATE("R2C",'Mapa final'!$S$75),"")</f>
        <v/>
      </c>
      <c r="AC41" s="44" t="str">
        <f>IF(AND('Mapa final'!$AJ$69="Media",'Mapa final'!$AL$69="Mayor"),CONCATENATE("R2C",'Mapa final'!$S$69),"")</f>
        <v/>
      </c>
      <c r="AD41" s="45" t="str">
        <f>IF(AND('Mapa final'!$AJ$70="Media",'Mapa final'!$AL$70="Mayor"),CONCATENATE("R2C",'Mapa final'!$S$70),"")</f>
        <v/>
      </c>
      <c r="AE41" s="45" t="str">
        <f>IF(AND('Mapa final'!$AJ$71="Media",'Mapa final'!$AL$71="Mayor"),CONCATENATE("R2C",'Mapa final'!$S$71),"")</f>
        <v/>
      </c>
      <c r="AF41" s="45" t="str">
        <f>IF(AND('Mapa final'!$AJ$72="Media",'Mapa final'!$AL$72="Mayor"),CONCATENATE("R2C",'Mapa final'!$S$72),"")</f>
        <v/>
      </c>
      <c r="AG41" s="45" t="str">
        <f>IF(AND('Mapa final'!$AJ$74="Media",'Mapa final'!$AL$74="Mayor"),CONCATENATE("R2C",'Mapa final'!$S$74),"")</f>
        <v/>
      </c>
      <c r="AH41" s="46" t="str">
        <f>IF(AND('Mapa final'!$AJ$75="Media",'Mapa final'!$AL$75="Mayor"),CONCATENATE("R2C",'Mapa final'!$S$75),"")</f>
        <v/>
      </c>
      <c r="AI41" s="47" t="str">
        <f>IF(AND('Mapa final'!$AJ$69="Media",'Mapa final'!$AL$69="Catastrófico"),CONCATENATE("R2C",'Mapa final'!$S$69),"")</f>
        <v/>
      </c>
      <c r="AJ41" s="48" t="str">
        <f>IF(AND('Mapa final'!$AJ$70="Media",'Mapa final'!$AL$70="Catastrófico"),CONCATENATE("R2C",'Mapa final'!$S$70),"")</f>
        <v/>
      </c>
      <c r="AK41" s="48" t="str">
        <f>IF(AND('Mapa final'!$AJ$71="Media",'Mapa final'!$AL$71="Catastrófico"),CONCATENATE("R2C",'Mapa final'!$S$71),"")</f>
        <v/>
      </c>
      <c r="AL41" s="48" t="str">
        <f>IF(AND('Mapa final'!$AJ$72="Media",'Mapa final'!$AL$72="Catastrófico"),CONCATENATE("R2C",'Mapa final'!$S$72),"")</f>
        <v/>
      </c>
      <c r="AM41" s="48" t="str">
        <f>IF(AND('Mapa final'!$AJ$74="Media",'Mapa final'!$AL$74="Catastrófico"),CONCATENATE("R2C",'Mapa final'!$S$74),"")</f>
        <v/>
      </c>
      <c r="AN41" s="49" t="str">
        <f>IF(AND('Mapa final'!$AJ$75="Muy Alta",'Mapa final'!$AL$75="Catastrófico"),CONCATENATE("R2C",'Mapa final'!$S$75),"")</f>
        <v/>
      </c>
      <c r="AO41" s="69"/>
      <c r="AP41" s="527"/>
      <c r="AQ41" s="528"/>
      <c r="AR41" s="528"/>
      <c r="AS41" s="528"/>
      <c r="AT41" s="528"/>
      <c r="AU41" s="52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439"/>
      <c r="D42" s="439"/>
      <c r="E42" s="440"/>
      <c r="F42" s="479" t="s">
        <v>113</v>
      </c>
      <c r="G42" s="480"/>
      <c r="H42" s="480"/>
      <c r="I42" s="480"/>
      <c r="J42" s="480"/>
      <c r="K42" s="59" t="str">
        <f ca="1">IF(AND('Mapa final'!$AJ$15="Baja",'Mapa final'!$AL$15="Leve"),CONCATENATE("R2C",'Mapa final'!$S$15),"")</f>
        <v/>
      </c>
      <c r="L42" s="60" t="str">
        <f ca="1">IF(AND('Mapa final'!$AJ$16="Baja",'Mapa final'!$AL$16="Leve"),CONCATENATE("R2C",'Mapa final'!$D$16),"")</f>
        <v>R2C2</v>
      </c>
      <c r="M42" s="60" t="str">
        <f ca="1">IF(AND('Mapa final'!$AJ$17="Baja",'Mapa final'!$AL$17="Leve"),CONCATENATE("R2C",'Mapa final'!$D$17),"")</f>
        <v>R2C3</v>
      </c>
      <c r="N42" s="60" t="str">
        <f ca="1">IF(AND('Mapa final'!$AJ$18="Baja",'Mapa final'!$AL$18="Leve"),CONCATENATE("R2C",'Mapa final'!$D$18),"")</f>
        <v>R2C4</v>
      </c>
      <c r="O42" s="60" t="str">
        <f ca="1">IF(AND('Mapa final'!$AJ$19="Baja",'Mapa final'!$AL$19="Leve"),CONCATENATE("R2C",'Mapa final'!$D$19),"")</f>
        <v>R2C5</v>
      </c>
      <c r="P42" s="61" t="str">
        <f ca="1">IF(AND('Mapa final'!$AJ$20="Baja",'Mapa final'!$AL$20="Leve"),CONCATENATE("R2C",'Mapa final'!$S$20),"")</f>
        <v/>
      </c>
      <c r="Q42" s="50" t="str">
        <f ca="1">IF(AND('Mapa final'!$AJ$15="Baja",'Mapa final'!$AL$15="Menor"),CONCATENATE("R2C",'Mapa final'!$S$15),"")</f>
        <v/>
      </c>
      <c r="R42" s="51" t="str">
        <f ca="1">IF(AND('Mapa final'!$AJ$16="Baja",'Mapa final'!$AL$16="Menore"),CONCATENATE("R2C",'Mapa final'!$S$16),"")</f>
        <v/>
      </c>
      <c r="S42" s="51" t="str">
        <f ca="1">IF(AND('Mapa final'!$AJ$17="Baja",'Mapa final'!$AL$17="Menor"),CONCATENATE("R2C",'Mapa final'!$S$17),"")</f>
        <v/>
      </c>
      <c r="T42" s="51" t="str">
        <f ca="1">IF(AND('Mapa final'!$AJ$18="Baja",'Mapa final'!$AL$18="Menor"),CONCATENATE("R2C",'Mapa final'!$S$18),"")</f>
        <v/>
      </c>
      <c r="U42" s="51" t="str">
        <f ca="1">IF(AND('Mapa final'!$AJ$19="Baja",'Mapa final'!$AL$19="Menor"),CONCATENATE("R2C",'Mapa final'!$S$19),"")</f>
        <v/>
      </c>
      <c r="V42" s="52" t="str">
        <f ca="1">IF(AND('Mapa final'!$AJ$20="Baja",'Mapa final'!$AL$20="Menor"),CONCATENATE("R2C",'Mapa final'!$S$20),"")</f>
        <v/>
      </c>
      <c r="W42" s="50" t="str">
        <f ca="1">IF(AND('Mapa final'!$AJ$15="Baja",'Mapa final'!$AL$15="Moderado"),CONCATENATE("R2C",'Mapa final'!$S$15),"")</f>
        <v/>
      </c>
      <c r="X42" s="51" t="str">
        <f ca="1">IF(AND('Mapa final'!$AJ$16="Baja",'Mapa final'!$AL$16="Moderado"),CONCATENATE("R2C",'Mapa final'!$S$16),"")</f>
        <v/>
      </c>
      <c r="Y42" s="51"/>
      <c r="Z42" s="51" t="str">
        <f ca="1">IF(AND('Mapa final'!$AJ$18="Baja",'Mapa final'!$AL$18="Moderado"),CONCATENATE("R2C",'Mapa final'!$S$18),"")</f>
        <v/>
      </c>
      <c r="AA42" s="51" t="str">
        <f ca="1">IF(AND('Mapa final'!$AJ$19="Baja",'Mapa final'!$AL$19="Moderado"),CONCATENATE("R2C",'Mapa final'!$S$19),"")</f>
        <v/>
      </c>
      <c r="AB42" s="52" t="str">
        <f ca="1">IF(AND('Mapa final'!$AJ$20="Baja",'Mapa final'!$AL$20="Moderado"),CONCATENATE("R2C",'Mapa final'!$D$20),"")</f>
        <v>R2C6</v>
      </c>
      <c r="AC42" s="32" t="str">
        <f ca="1">IF(AND('Mapa final'!$AJ$15="Baja",'Mapa final'!$AL$15="Mayor"),CONCATENATE("R2C",'Mapa final'!$S$15),"")</f>
        <v/>
      </c>
      <c r="AD42" s="33" t="str">
        <f ca="1">IF(AND('Mapa final'!$AJ$16="Baja",'Mapa final'!$AL$16="Mayor"),CONCATENATE("R2C",'Mapa final'!$S$16),"")</f>
        <v/>
      </c>
      <c r="AE42" s="33" t="str">
        <f ca="1">IF(AND('Mapa final'!$AJ$17="Baja",'Mapa final'!$AL$17="Mayor"),CONCATENATE("R2C",'Mapa final'!$S$17),"")</f>
        <v/>
      </c>
      <c r="AF42" s="33" t="str">
        <f ca="1">IF(AND('Mapa final'!$AJ$18="Baja",'Mapa final'!$AL$18="Mayor"),CONCATENATE("R2C",'Mapa final'!$S$18),"")</f>
        <v/>
      </c>
      <c r="AG42" s="33" t="str">
        <f ca="1">IF(AND('Mapa final'!$AJ$19="Baja",'Mapa final'!$AL$19="Mayor"),CONCATENATE("R2C",'Mapa final'!$S$19),"")</f>
        <v/>
      </c>
      <c r="AH42" s="34" t="str">
        <f ca="1">IF(AND('Mapa final'!$AJ$20="Baja",'Mapa final'!$AL$20="Mayor"),CONCATENATE("R2C",'Mapa final'!$S$20),"")</f>
        <v/>
      </c>
      <c r="AI42" s="35" t="str">
        <f ca="1">IF(AND('Mapa final'!$AJ$15="Baja",'Mapa final'!$AL$15="Catastrófico"),CONCATENATE("R2C",'Mapa final'!$S$15),"")</f>
        <v/>
      </c>
      <c r="AJ42" s="36" t="str">
        <f ca="1">IF(AND('Mapa final'!$AJ$16="Baja",'Mapa final'!$AL$16="Catastrófico"),CONCATENATE("R2C",'Mapa final'!$S$16),"")</f>
        <v/>
      </c>
      <c r="AK42" s="36" t="str">
        <f ca="1">IF(AND('Mapa final'!$AJ$17="Baja",'Mapa final'!$AL$17="Catastrófico"),CONCATENATE("R2C",'Mapa final'!$S$17),"")</f>
        <v/>
      </c>
      <c r="AL42" s="36" t="str">
        <f ca="1">IF(AND('Mapa final'!$AJ$18="Baja",'Mapa final'!$AL$18="Catastrófico"),CONCATENATE("R2C",'Mapa final'!$S$18),"")</f>
        <v/>
      </c>
      <c r="AM42" s="36" t="str">
        <f ca="1">IF(AND('Mapa final'!$AJ$19="Baja",'Mapa final'!$AL$19="Catastrófico"),CONCATENATE("R2C",'Mapa final'!$S$19),"")</f>
        <v/>
      </c>
      <c r="AN42" s="37" t="str">
        <f ca="1">IF(AND('Mapa final'!$AJ$20="Baja",'Mapa final'!$AL$20="Catastrófico"),CONCATENATE("R2C",'Mapa final'!$S$20),"")</f>
        <v/>
      </c>
      <c r="AO42" s="69"/>
      <c r="AP42" s="512" t="s">
        <v>81</v>
      </c>
      <c r="AQ42" s="513"/>
      <c r="AR42" s="513"/>
      <c r="AS42" s="513"/>
      <c r="AT42" s="513"/>
      <c r="AU42" s="514"/>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439"/>
      <c r="D43" s="439"/>
      <c r="E43" s="440"/>
      <c r="F43" s="498"/>
      <c r="G43" s="483"/>
      <c r="H43" s="483"/>
      <c r="I43" s="483"/>
      <c r="J43" s="483"/>
      <c r="K43" s="62" t="str">
        <f ca="1">IF(AND('Mapa final'!$AJ$21="Baja",'Mapa final'!$AL$21="Leve"),CONCATENATE("R2C",'Mapa final'!$S$21),"")</f>
        <v/>
      </c>
      <c r="L43" s="63" t="str">
        <f>IF(AND('Mapa final'!$AJ$22="Baja",'Mapa final'!$AL$22="Leve"),CONCATENATE("R2C",'Mapa final'!$S$22),"")</f>
        <v/>
      </c>
      <c r="M43" s="63" t="str">
        <f>IF(AND('Mapa final'!$AJ$23="Baja",'Mapa final'!$AL$23="Leve"),CONCATENATE("R2C",'Mapa final'!$S$23),"")</f>
        <v/>
      </c>
      <c r="N43" s="63" t="str">
        <f>IF(AND('Mapa final'!$AJ$24="Baja",'Mapa final'!$AL$24="Leve"),CONCATENATE("R2C",'Mapa final'!$S$24),"")</f>
        <v/>
      </c>
      <c r="O43" s="63" t="str">
        <f>IF(AND('Mapa final'!$AJ$25="Baja",'Mapa final'!$AL$25="Leve"),CONCATENATE("R2C",'Mapa final'!$S$25),"")</f>
        <v/>
      </c>
      <c r="P43" s="64" t="str">
        <f>IF(AND('Mapa final'!$AJ$26="Baja",'Mapa final'!$AL$26="Leve"),CONCATENATE("R2C",'Mapa final'!$S$26),"")</f>
        <v/>
      </c>
      <c r="Q43" s="53" t="str">
        <f ca="1">IF(AND('Mapa final'!$AJ$21="Baja",'Mapa final'!$AL$21="Menor"),CONCATENATE("R2C",'Mapa final'!$S$21),"")</f>
        <v/>
      </c>
      <c r="R43" s="54" t="str">
        <f>IF(AND('Mapa final'!$AJ$22="Baja",'Mapa final'!$AL$22="Menor"),CONCATENATE("R2C",'Mapa final'!$S$22),"")</f>
        <v/>
      </c>
      <c r="S43" s="54" t="str">
        <f>IF(AND('Mapa final'!$AJ$23="Baja",'Mapa final'!$AL$23="Menor"),CONCATENATE("R2C",'Mapa final'!$S$23),"")</f>
        <v/>
      </c>
      <c r="T43" s="54" t="str">
        <f>IF(AND('Mapa final'!$AJ$24="Baja",'Mapa final'!$AL$24="Menor"),CONCATENATE("R2C",'Mapa final'!$S$24),"")</f>
        <v/>
      </c>
      <c r="U43" s="54" t="str">
        <f>IF(AND('Mapa final'!$AJ$25="Baja",'Mapa final'!$AL$25="Menor"),CONCATENATE("R2C",'Mapa final'!$S$25),"")</f>
        <v/>
      </c>
      <c r="V43" s="55" t="str">
        <f>IF(AND('Mapa final'!$AJ$26="Baja",'Mapa final'!$AL$26="Menor"),CONCATENATE("R2C",'Mapa final'!$S$26),"")</f>
        <v/>
      </c>
      <c r="W43" s="53" t="str">
        <f ca="1">IF(AND('Mapa final'!$AJ$21="Baja",'Mapa final'!$AL$21="Moderado"),CONCATENATE("R2C",'Mapa final'!$S$21),"")</f>
        <v/>
      </c>
      <c r="X43" s="54" t="str">
        <f>IF(AND('Mapa final'!$AJ$22="Baja",'Mapa final'!$AL$22="Moderado"),CONCATENATE("R2C",'Mapa final'!$S$22),"")</f>
        <v/>
      </c>
      <c r="Y43" s="54" t="str">
        <f>IF(AND('Mapa final'!$AJ$23="Baja",'Mapa final'!$AL$23="Moderado"),CONCATENATE("R2C",'Mapa final'!$S$23),"")</f>
        <v/>
      </c>
      <c r="Z43" s="54" t="str">
        <f>IF(AND('Mapa final'!$AJ$24="Baja",'Mapa final'!$AL$24="Moderado"),CONCATENATE("R2C",'Mapa final'!$S$24),"")</f>
        <v/>
      </c>
      <c r="AA43" s="54" t="str">
        <f>IF(AND('Mapa final'!$AJ$25="Baja",'Mapa final'!$AL$25="Moderado"),CONCATENATE("R2C",'Mapa final'!$S$25),"")</f>
        <v/>
      </c>
      <c r="AB43" s="55" t="str">
        <f>IF(AND('Mapa final'!$AJ$26="Baja",'Mapa final'!$AL$26="Moderado"),CONCATENATE("R2C",'Mapa final'!$S$26),"")</f>
        <v/>
      </c>
      <c r="AC43" s="38" t="str">
        <f ca="1">IF(AND('Mapa final'!$AJ$21="Baja",'Mapa final'!$AL$21="Mayor"),CONCATENATE("R2C",'Mapa final'!$S$21),"")</f>
        <v/>
      </c>
      <c r="AD43" s="39" t="str">
        <f>IF(AND('Mapa final'!$AJ$22="Baja",'Mapa final'!$AL$22="Mayor"),CONCATENATE("R2C",'Mapa final'!$S$22),"")</f>
        <v/>
      </c>
      <c r="AE43" s="39" t="str">
        <f>IF(AND('Mapa final'!$AJ$23="Baja",'Mapa final'!$AL$23="Mayor"),CONCATENATE("R2C",'Mapa final'!$S$23),"")</f>
        <v/>
      </c>
      <c r="AF43" s="39" t="str">
        <f>IF(AND('Mapa final'!$AJ$24="Baja",'Mapa final'!$AL$24="Mayor"),CONCATENATE("R2C",'Mapa final'!$S$24),"")</f>
        <v/>
      </c>
      <c r="AG43" s="39" t="str">
        <f>IF(AND('Mapa final'!$AJ$25="Baja",'Mapa final'!$AL$25="Mayor"),CONCATENATE("R2C",'Mapa final'!$S$25),"")</f>
        <v/>
      </c>
      <c r="AH43" s="40" t="str">
        <f>IF(AND('Mapa final'!$AJ$26="Baja",'Mapa final'!$AL$26="Mayor"),CONCATENATE("R2C",'Mapa final'!$S$26),"")</f>
        <v/>
      </c>
      <c r="AI43" s="41" t="str">
        <f ca="1">IF(AND('Mapa final'!$AJ$21="Baja",'Mapa final'!$AL$21="Catastrófico"),CONCATENATE("R2C",'Mapa final'!$S$21),"")</f>
        <v/>
      </c>
      <c r="AJ43" s="42" t="str">
        <f>IF(AND('Mapa final'!$AJ$22="Baja",'Mapa final'!$AL$22="Catastrófico"),CONCATENATE("R2C",'Mapa final'!$S$22),"")</f>
        <v/>
      </c>
      <c r="AK43" s="42" t="str">
        <f>IF(AND('Mapa final'!$AJ$23="Baja",'Mapa final'!$AL$23="Catastrófico"),CONCATENATE("R2C",'Mapa final'!$S$23),"")</f>
        <v/>
      </c>
      <c r="AL43" s="42" t="str">
        <f>IF(AND('Mapa final'!$AJ$24="Baja",'Mapa final'!$AL$24="Catastrófico"),CONCATENATE("R2C",'Mapa final'!$S$24),"")</f>
        <v/>
      </c>
      <c r="AM43" s="42" t="str">
        <f>IF(AND('Mapa final'!$AJ$25="Baja",'Mapa final'!$AL$25="Catastrófico"),CONCATENATE("R2C",'Mapa final'!$S$25),"")</f>
        <v/>
      </c>
      <c r="AN43" s="43" t="str">
        <f>IF(AND('Mapa final'!$AJ$26="Baja",'Mapa final'!$AL$26="Catastrófico"),CONCATENATE("R2C",'Mapa final'!$S$26),"")</f>
        <v/>
      </c>
      <c r="AO43" s="69"/>
      <c r="AP43" s="515"/>
      <c r="AQ43" s="516"/>
      <c r="AR43" s="516"/>
      <c r="AS43" s="516"/>
      <c r="AT43" s="516"/>
      <c r="AU43" s="517"/>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439"/>
      <c r="D44" s="439"/>
      <c r="E44" s="440"/>
      <c r="F44" s="482"/>
      <c r="G44" s="483"/>
      <c r="H44" s="483"/>
      <c r="I44" s="483"/>
      <c r="J44" s="483"/>
      <c r="K44" s="62" t="str">
        <f>IF(AND('Mapa final'!$AJ$27="Baja",'Mapa final'!$AL$27="Leve"),CONCATENATE("R2C",'Mapa final'!$S$27),"")</f>
        <v/>
      </c>
      <c r="L44" s="63" t="str">
        <f>IF(AND('Mapa final'!$AJ$28="Baja",'Mapa final'!$AL$28="Leve"),CONCATENATE("R2C",'Mapa final'!$S$28),"")</f>
        <v/>
      </c>
      <c r="M44" s="63" t="str">
        <f>IF(AND('Mapa final'!$AJ$29="Baja",'Mapa final'!$AL$29="Leve"),CONCATENATE("R2C",'Mapa final'!$S$29),"")</f>
        <v/>
      </c>
      <c r="N44" s="63" t="str">
        <f>IF(AND('Mapa final'!$AJ$30="Baja",'Mapa final'!$AL$30="Leve"),CONCATENATE("R2C",'Mapa final'!$S$30),"")</f>
        <v/>
      </c>
      <c r="O44" s="63" t="str">
        <f>IF(AND('Mapa final'!$AJ$31="Baja",'Mapa final'!$AL$31="Leve"),CONCATENATE("R2C",'Mapa final'!$S$31),"")</f>
        <v/>
      </c>
      <c r="P44" s="64" t="str">
        <f>IF(AND('Mapa final'!$AJ$32="Baja",'Mapa final'!$AL$32="Leve"),CONCATENATE("R2C",'Mapa final'!$S$32),"")</f>
        <v/>
      </c>
      <c r="Q44" s="53" t="str">
        <f>IF(AND('Mapa final'!$AJ$27="Baja",'Mapa final'!$AL$27="Menor"),CONCATENATE("R2C",'Mapa final'!$S$27),"")</f>
        <v/>
      </c>
      <c r="R44" s="54" t="str">
        <f>IF(AND('Mapa final'!$AJ$28="Baja",'Mapa final'!$AL$28="Menor"),CONCATENATE("R2C",'Mapa final'!$S$28),"")</f>
        <v/>
      </c>
      <c r="S44" s="54" t="str">
        <f>IF(AND('Mapa final'!$AJ$29="Baja",'Mapa final'!$AL$29="Menor"),CONCATENATE("R2C",'Mapa final'!$S$29),"")</f>
        <v/>
      </c>
      <c r="T44" s="54" t="str">
        <f>IF(AND('Mapa final'!$AJ$30="Baja",'Mapa final'!$AL$30="Menor"),CONCATENATE("R2C",'Mapa final'!$S$30),"")</f>
        <v/>
      </c>
      <c r="U44" s="54" t="str">
        <f>IF(AND('Mapa final'!$AJ$31="Baja",'Mapa final'!$AL$31="Menor"),CONCATENATE("R2C",'Mapa final'!$S$31),"")</f>
        <v/>
      </c>
      <c r="V44" s="55" t="str">
        <f>IF(AND('Mapa final'!$AJ$32="Baja",'Mapa final'!$AL$32="Menor"),CONCATENATE("R2C",'Mapa final'!$S$32),"")</f>
        <v/>
      </c>
      <c r="W44" s="53" t="str">
        <f>IF(AND('Mapa final'!$AJ$27="Baja",'Mapa final'!$AL$27="Moderado"),CONCATENATE("R2C",'Mapa final'!$S$27),"")</f>
        <v/>
      </c>
      <c r="X44" s="54" t="str">
        <f>IF(AND('Mapa final'!$AJ$28="Baja",'Mapa final'!$AL$28="Moderado"),CONCATENATE("R2C",'Mapa final'!$S$28),"")</f>
        <v/>
      </c>
      <c r="Y44" s="54" t="str">
        <f>IF(AND('Mapa final'!$AJ$29="Baja",'Mapa final'!$AL$29="Moderado"),CONCATENATE("R2C",'Mapa final'!$S$29),"")</f>
        <v/>
      </c>
      <c r="Z44" s="54" t="str">
        <f>IF(AND('Mapa final'!$AJ$30="Baja",'Mapa final'!$AL$30="Moderado"),CONCATENATE("R2C",'Mapa final'!$S$30),"")</f>
        <v/>
      </c>
      <c r="AA44" s="54" t="str">
        <f>IF(AND('Mapa final'!$AJ$31="Baja",'Mapa final'!$AL$31="Moderado"),CONCATENATE("R2C",'Mapa final'!$S$31),"")</f>
        <v/>
      </c>
      <c r="AB44" s="55" t="str">
        <f>IF(AND('Mapa final'!$AJ$32="Baja",'Mapa final'!$AL$32="Moderado"),CONCATENATE("R2C",'Mapa final'!$S$32),"")</f>
        <v/>
      </c>
      <c r="AC44" s="38" t="str">
        <f>IF(AND('Mapa final'!$AJ$27="Baja",'Mapa final'!$AL$27="Mayor"),CONCATENATE("R2C",'Mapa final'!$S$27),"")</f>
        <v/>
      </c>
      <c r="AD44" s="39" t="str">
        <f>IF(AND('Mapa final'!$AJ$28="Baja",'Mapa final'!$AL$28="Mayor"),CONCATENATE("R2C",'Mapa final'!$S$28),"")</f>
        <v/>
      </c>
      <c r="AE44" s="39" t="str">
        <f>IF(AND('Mapa final'!$AJ$29="Baja",'Mapa final'!$AL$29="Mayor"),CONCATENATE("R2C",'Mapa final'!$S$29),"")</f>
        <v/>
      </c>
      <c r="AF44" s="39" t="str">
        <f>IF(AND('Mapa final'!$AJ$30="Baja",'Mapa final'!$AL$30="Mayor"),CONCATENATE("R2C",'Mapa final'!$S$30),"")</f>
        <v/>
      </c>
      <c r="AG44" s="39" t="str">
        <f>IF(AND('Mapa final'!$AJ$31="Baja",'Mapa final'!$AL$31="Mayor"),CONCATENATE("R2C",'Mapa final'!$S$31),"")</f>
        <v/>
      </c>
      <c r="AH44" s="40" t="str">
        <f>IF(AND('Mapa final'!$AJ$32="Baja",'Mapa final'!$AL$32="Mayor"),CONCATENATE("R2C",'Mapa final'!$S$32),"")</f>
        <v/>
      </c>
      <c r="AI44" s="41" t="str">
        <f>IF(AND('Mapa final'!$AJ$27="Baja",'Mapa final'!$AL$27="Catastrófico"),CONCATENATE("R2C",'Mapa final'!$S$27),"")</f>
        <v/>
      </c>
      <c r="AJ44" s="42" t="str">
        <f>IF(AND('Mapa final'!$AJ$28="Baja",'Mapa final'!$AL$28="Catastrófico"),CONCATENATE("R2C",'Mapa final'!$S$28),"")</f>
        <v/>
      </c>
      <c r="AK44" s="42" t="str">
        <f>IF(AND('Mapa final'!$AJ$29="Baja",'Mapa final'!$AL$29="Catastrófico"),CONCATENATE("R2C",'Mapa final'!$S$29),"")</f>
        <v/>
      </c>
      <c r="AL44" s="42" t="str">
        <f>IF(AND('Mapa final'!$AJ$30="Baja",'Mapa final'!$AL$30="Catastrófico"),CONCATENATE("R2C",'Mapa final'!$S$30),"")</f>
        <v/>
      </c>
      <c r="AM44" s="42" t="str">
        <f>IF(AND('Mapa final'!$AJ$31="Baja",'Mapa final'!$AL$31="Catastrófico"),CONCATENATE("R2C",'Mapa final'!$S$31),"")</f>
        <v/>
      </c>
      <c r="AN44" s="43" t="str">
        <f>IF(AND('Mapa final'!$AJ$32="Baja",'Mapa final'!$AL$32="Catastrófico"),CONCATENATE("R2C",'Mapa final'!$S$32),"")</f>
        <v/>
      </c>
      <c r="AO44" s="69"/>
      <c r="AP44" s="515"/>
      <c r="AQ44" s="516"/>
      <c r="AR44" s="516"/>
      <c r="AS44" s="516"/>
      <c r="AT44" s="516"/>
      <c r="AU44" s="517"/>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439"/>
      <c r="D45" s="439"/>
      <c r="E45" s="440"/>
      <c r="F45" s="482"/>
      <c r="G45" s="483"/>
      <c r="H45" s="483"/>
      <c r="I45" s="483"/>
      <c r="J45" s="483"/>
      <c r="K45" s="62" t="str">
        <f>IF(AND('Mapa final'!$AJ$33="Baja",'Mapa final'!$AL$33="Leve"),CONCATENATE("R2C",'Mapa final'!$S$33),"")</f>
        <v/>
      </c>
      <c r="L45" s="63" t="str">
        <f>IF(AND('Mapa final'!$AJ$34="Baja",'Mapa final'!$AL$34="Leve"),CONCATENATE("R2C",'Mapa final'!$S$34),"")</f>
        <v/>
      </c>
      <c r="M45" s="63" t="str">
        <f>IF(AND('Mapa final'!$AJ$35="Baja",'Mapa final'!$AL$35="Leve"),CONCATENATE("R2C",'Mapa final'!$S$35),"")</f>
        <v/>
      </c>
      <c r="N45" s="63" t="str">
        <f>IF(AND('Mapa final'!$AJ$36="Baja",'Mapa final'!$AL$36="Leve"),CONCATENATE("R2C",'Mapa final'!$S$36),"")</f>
        <v/>
      </c>
      <c r="O45" s="63" t="str">
        <f>IF(AND('Mapa final'!$AJ$37="Baja",'Mapa final'!$AL$37="Leve"),CONCATENATE("R2C",'Mapa final'!$S$37),"")</f>
        <v/>
      </c>
      <c r="P45" s="64" t="str">
        <f>IF(AND('Mapa final'!$AJ$38="Baja",'Mapa final'!$AL$38="Leve"),CONCATENATE("R2C",'Mapa final'!$S$38),"")</f>
        <v/>
      </c>
      <c r="Q45" s="53" t="str">
        <f>IF(AND('Mapa final'!$AJ$33="Baja",'Mapa final'!$AL$33="Menor"),CONCATENATE("R2C",'Mapa final'!$S$33),"")</f>
        <v/>
      </c>
      <c r="R45" s="54" t="str">
        <f>IF(AND('Mapa final'!$AJ$34="Baja",'Mapa final'!$AL$34="Menor"),CONCATENATE("R2C",'Mapa final'!$S$34),"")</f>
        <v/>
      </c>
      <c r="S45" s="54" t="str">
        <f>IF(AND('Mapa final'!$AJ$35="Baja",'Mapa final'!$AL$35="Menor"),CONCATENATE("R2C",'Mapa final'!$S$35),"")</f>
        <v/>
      </c>
      <c r="T45" s="54" t="str">
        <f>IF(AND('Mapa final'!$AJ$36="Baja",'Mapa final'!$AL$36="Menor"),CONCATENATE("R2C",'Mapa final'!$S$36),"")</f>
        <v/>
      </c>
      <c r="U45" s="54" t="str">
        <f>IF(AND('Mapa final'!$AJ$37="Baja",'Mapa final'!$AL$37="LMenor"),CONCATENATE("R2C",'Mapa final'!$S$37),"")</f>
        <v/>
      </c>
      <c r="V45" s="55" t="str">
        <f>IF(AND('Mapa final'!$AJ$38="Baja",'Mapa final'!$AL$38="Menor"),CONCATENATE("R2C",'Mapa final'!$S$38),"")</f>
        <v/>
      </c>
      <c r="W45" s="53" t="str">
        <f>IF(AND('Mapa final'!$AJ$33="Baja",'Mapa final'!$AL$33="Moderado"),CONCATENATE("R2C",'Mapa final'!$S$33),"")</f>
        <v/>
      </c>
      <c r="X45" s="54" t="str">
        <f>IF(AND('Mapa final'!$AJ$34="Baja",'Mapa final'!$AL$34="Moderado"),CONCATENATE("R2C",'Mapa final'!$S$34),"")</f>
        <v/>
      </c>
      <c r="Y45" s="54" t="str">
        <f>IF(AND('Mapa final'!$AJ$35="Baja",'Mapa final'!$AL$35="Moderado"),CONCATENATE("R2C",'Mapa final'!$S$35),"")</f>
        <v/>
      </c>
      <c r="Z45" s="54" t="str">
        <f>IF(AND('Mapa final'!$AJ$36="Baja",'Mapa final'!$AL$36="Moderado"),CONCATENATE("R2C",'Mapa final'!$S$36),"")</f>
        <v/>
      </c>
      <c r="AA45" s="54" t="str">
        <f>IF(AND('Mapa final'!$AJ$37="Baja",'Mapa final'!$AL$37="Moderado"),CONCATENATE("R2C",'Mapa final'!$S$37),"")</f>
        <v/>
      </c>
      <c r="AB45" s="55" t="str">
        <f>IF(AND('Mapa final'!$AJ$38="Baja",'Mapa final'!$AL$38="Moderado"),CONCATENATE("R2C",'Mapa final'!$S$38),"")</f>
        <v/>
      </c>
      <c r="AC45" s="38" t="str">
        <f>IF(AND('Mapa final'!$AJ$33="Baja",'Mapa final'!$AL$33="Mayor"),CONCATENATE("R2C",'Mapa final'!$S$33),"")</f>
        <v/>
      </c>
      <c r="AD45" s="39" t="str">
        <f>IF(AND('Mapa final'!$AJ$34="Baja",'Mapa final'!$AL$34="Mayor"),CONCATENATE("R2C",'Mapa final'!$S$34),"")</f>
        <v/>
      </c>
      <c r="AE45" s="39" t="str">
        <f>IF(AND('Mapa final'!$AJ$35="Baja",'Mapa final'!$AL$35="Mayor"),CONCATENATE("R2C",'Mapa final'!$S$35),"")</f>
        <v/>
      </c>
      <c r="AF45" s="39" t="str">
        <f>IF(AND('Mapa final'!$AJ$36="Baja",'Mapa final'!$AL$36="Mayor"),CONCATENATE("R2C",'Mapa final'!$S$36),"")</f>
        <v/>
      </c>
      <c r="AG45" s="39" t="str">
        <f>IF(AND('Mapa final'!$AJ$37="Baja",'Mapa final'!$AL$37="Mayor"),CONCATENATE("R2C",'Mapa final'!$S$37),"")</f>
        <v/>
      </c>
      <c r="AH45" s="40" t="str">
        <f>IF(AND('Mapa final'!$AJ$38="Baja",'Mapa final'!$AL$38="Mayor"),CONCATENATE("R2C",'Mapa final'!$S$38),"")</f>
        <v/>
      </c>
      <c r="AI45" s="41" t="str">
        <f>IF(AND('Mapa final'!$AJ$33="Baja",'Mapa final'!$AL$33="Catastrófico"),CONCATENATE("R2C",'Mapa final'!$S$33),"")</f>
        <v/>
      </c>
      <c r="AJ45" s="42" t="str">
        <f>IF(AND('Mapa final'!$AJ$34="Baja",'Mapa final'!$AL$34="Catastrófico"),CONCATENATE("R2C",'Mapa final'!$S$34),"")</f>
        <v/>
      </c>
      <c r="AK45" s="42" t="str">
        <f>IF(AND('Mapa final'!$AJ$35="Baja",'Mapa final'!$AL$35="Catastrófico"),CONCATENATE("R2C",'Mapa final'!$S$35),"")</f>
        <v/>
      </c>
      <c r="AL45" s="42" t="str">
        <f>IF(AND('Mapa final'!$AJ$36="Baja",'Mapa final'!$AL$36="Catastrófico"),CONCATENATE("R2C",'Mapa final'!$S$36),"")</f>
        <v/>
      </c>
      <c r="AM45" s="42" t="str">
        <f>IF(AND('Mapa final'!$AJ$37="Baja",'Mapa final'!$AL$37="LCatastrófico"),CONCATENATE("R2C",'Mapa final'!$S$37),"")</f>
        <v/>
      </c>
      <c r="AN45" s="43" t="str">
        <f>IF(AND('Mapa final'!$AJ$38="Baja",'Mapa final'!$AL$38="Catastrófico"),CONCATENATE("R2C",'Mapa final'!$S$38),"")</f>
        <v/>
      </c>
      <c r="AO45" s="69"/>
      <c r="AP45" s="515"/>
      <c r="AQ45" s="516"/>
      <c r="AR45" s="516"/>
      <c r="AS45" s="516"/>
      <c r="AT45" s="516"/>
      <c r="AU45" s="517"/>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439"/>
      <c r="D46" s="439"/>
      <c r="E46" s="440"/>
      <c r="F46" s="482"/>
      <c r="G46" s="483"/>
      <c r="H46" s="483"/>
      <c r="I46" s="483"/>
      <c r="J46" s="483"/>
      <c r="K46" s="62" t="str">
        <f>IF(AND('Mapa final'!$AJ$39="Baja",'Mapa final'!$AL$39="Leve"),CONCATENATE("R2C",'Mapa final'!$S$39),"")</f>
        <v/>
      </c>
      <c r="L46" s="63" t="str">
        <f>IF(AND('Mapa final'!$AJ$40="Baja",'Mapa final'!$AL$40="Leve"),CONCATENATE("R2C",'Mapa final'!$S$40),"")</f>
        <v/>
      </c>
      <c r="M46" s="63" t="str">
        <f>IF(AND('Mapa final'!$AJ$41="Baja",'Mapa final'!$AL$41="Leve"),CONCATENATE("R2C",'Mapa final'!$S$41),"")</f>
        <v/>
      </c>
      <c r="N46" s="63" t="str">
        <f>IF(AND('Mapa final'!$AJ$42="Baja",'Mapa final'!$AL$42="Leve"),CONCATENATE("R2C",'Mapa final'!$S$42),"")</f>
        <v/>
      </c>
      <c r="O46" s="63" t="str">
        <f>IF(AND('Mapa final'!$AJ$43="Baja",'Mapa final'!$AL$43="Leve"),CONCATENATE("R2C",'Mapa final'!$S$43),"")</f>
        <v/>
      </c>
      <c r="P46" s="64" t="str">
        <f>IF(AND('Mapa final'!$AJ$44="Baja",'Mapa final'!$AL$44="Leve"),CONCATENATE("R2C",'Mapa final'!$S$44),"")</f>
        <v/>
      </c>
      <c r="Q46" s="53" t="str">
        <f>IF(AND('Mapa final'!$AJ$39="Baja",'Mapa final'!$AL$39="Menor"),CONCATENATE("R2C",'Mapa final'!$S$39),"")</f>
        <v/>
      </c>
      <c r="R46" s="54" t="str">
        <f>IF(AND('Mapa final'!$AJ$40="Baja",'Mapa final'!$AL$40="Menor"),CONCATENATE("R2C",'Mapa final'!$S$40),"")</f>
        <v/>
      </c>
      <c r="S46" s="54" t="str">
        <f>IF(AND('Mapa final'!$AJ$41="Baja",'Mapa final'!$AL$41="Menor"),CONCATENATE("R2C",'Mapa final'!$S$41),"")</f>
        <v/>
      </c>
      <c r="T46" s="54" t="str">
        <f>IF(AND('Mapa final'!$AJ$42="Baja",'Mapa final'!$AL$42="Menor"),CONCATENATE("R2C",'Mapa final'!$S$42),"")</f>
        <v/>
      </c>
      <c r="U46" s="54" t="str">
        <f>IF(AND('Mapa final'!$AJ$43="Baja",'Mapa final'!$AL$43="Menor"),CONCATENATE("R2C",'Mapa final'!$S$43),"")</f>
        <v/>
      </c>
      <c r="V46" s="55" t="str">
        <f>IF(AND('Mapa final'!$AJ$44="Baja",'Mapa final'!$AL$44="Menor"),CONCATENATE("R2C",'Mapa final'!$S$44),"")</f>
        <v/>
      </c>
      <c r="W46" s="53" t="str">
        <f>IF(AND('Mapa final'!$AJ$39="Baja",'Mapa final'!$AL$39="Moderado"),CONCATENATE("R2C",'Mapa final'!$S$39),"")</f>
        <v/>
      </c>
      <c r="X46" s="54" t="str">
        <f>IF(AND('Mapa final'!$AJ$40="Baja",'Mapa final'!$AL$40="Moderado"),CONCATENATE("R2C",'Mapa final'!$S$40),"")</f>
        <v/>
      </c>
      <c r="Y46" s="54" t="str">
        <f>IF(AND('Mapa final'!$AJ$41="Baja",'Mapa final'!$AL$41="Moderado"),CONCATENATE("R2C",'Mapa final'!$S$41),"")</f>
        <v/>
      </c>
      <c r="Z46" s="54" t="str">
        <f>IF(AND('Mapa final'!$AJ$42="Baja",'Mapa final'!$AL$42="Moderado"),CONCATENATE("R2C",'Mapa final'!$S$42),"")</f>
        <v/>
      </c>
      <c r="AA46" s="54" t="str">
        <f>IF(AND('Mapa final'!$AJ$43="Baja",'Mapa final'!$AL$43="Moderado"),CONCATENATE("R2C",'Mapa final'!$S$43),"")</f>
        <v/>
      </c>
      <c r="AB46" s="55" t="str">
        <f>IF(AND('Mapa final'!$AJ$44="Baja",'Mapa final'!$AL$44="Moderado"),CONCATENATE("R2C",'Mapa final'!$S$44),"")</f>
        <v/>
      </c>
      <c r="AC46" s="38" t="str">
        <f>IF(AND('Mapa final'!$AJ$39="Baja",'Mapa final'!$AL$39="Mayor"),CONCATENATE("R2C",'Mapa final'!$S$39),"")</f>
        <v/>
      </c>
      <c r="AD46" s="39" t="str">
        <f>IF(AND('Mapa final'!$AJ$40="Baja",'Mapa final'!$AL$40="Mayor"),CONCATENATE("R2C",'Mapa final'!$S$40),"")</f>
        <v/>
      </c>
      <c r="AE46" s="39" t="str">
        <f>IF(AND('Mapa final'!$AJ$41="Baja",'Mapa final'!$AL$41="Mayor"),CONCATENATE("R2C",'Mapa final'!$S$41),"")</f>
        <v/>
      </c>
      <c r="AF46" s="39" t="str">
        <f>IF(AND('Mapa final'!$AJ$42="Baja",'Mapa final'!$AL$42="Mayor"),CONCATENATE("R2C",'Mapa final'!$S$42),"")</f>
        <v/>
      </c>
      <c r="AG46" s="39" t="str">
        <f>IF(AND('Mapa final'!$AJ$43="Baja",'Mapa final'!$AL$43="Mayor"),CONCATENATE("R2C",'Mapa final'!$S$43),"")</f>
        <v/>
      </c>
      <c r="AH46" s="40" t="str">
        <f>IF(AND('Mapa final'!$AJ$44="Baja",'Mapa final'!$AL$44="Mayor"),CONCATENATE("R2C",'Mapa final'!$S$44),"")</f>
        <v/>
      </c>
      <c r="AI46" s="41" t="str">
        <f>IF(AND('Mapa final'!$AJ$39="Baja",'Mapa final'!$AL$39="Catastrófico"),CONCATENATE("R2C",'Mapa final'!$S$39),"")</f>
        <v/>
      </c>
      <c r="AJ46" s="42" t="str">
        <f>IF(AND('Mapa final'!$AJ$40="Baja",'Mapa final'!$AL$40="Catastrófico"),CONCATENATE("R2C",'Mapa final'!$S$40),"")</f>
        <v/>
      </c>
      <c r="AK46" s="42" t="str">
        <f>IF(AND('Mapa final'!$AJ$41="Baja",'Mapa final'!$AL$41="Catastrófico"),CONCATENATE("R2C",'Mapa final'!$S$41),"")</f>
        <v/>
      </c>
      <c r="AL46" s="42" t="str">
        <f>IF(AND('Mapa final'!$AJ$42="Baja",'Mapa final'!$AL$42="Catastrófico"),CONCATENATE("R2C",'Mapa final'!$S$42),"")</f>
        <v/>
      </c>
      <c r="AM46" s="42" t="str">
        <f>IF(AND('Mapa final'!$AJ$43="Baja",'Mapa final'!$AL$43="Catastrófico"),CONCATENATE("R2C",'Mapa final'!$S$43),"")</f>
        <v/>
      </c>
      <c r="AN46" s="43" t="str">
        <f>IF(AND('Mapa final'!$AJ$44="Baja",'Mapa final'!$AL$44="Catastrófico"),CONCATENATE("R2C",'Mapa final'!$S$44),"")</f>
        <v/>
      </c>
      <c r="AO46" s="69"/>
      <c r="AP46" s="515"/>
      <c r="AQ46" s="516"/>
      <c r="AR46" s="516"/>
      <c r="AS46" s="516"/>
      <c r="AT46" s="516"/>
      <c r="AU46" s="517"/>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439"/>
      <c r="D47" s="439"/>
      <c r="E47" s="440"/>
      <c r="F47" s="482"/>
      <c r="G47" s="483"/>
      <c r="H47" s="483"/>
      <c r="I47" s="483"/>
      <c r="J47" s="483"/>
      <c r="K47" s="62" t="str">
        <f>IF(AND('Mapa final'!$AJ$45="Baja",'Mapa final'!$AL$45="Leve"),CONCATENATE("R2C",'Mapa final'!$S$45),"")</f>
        <v/>
      </c>
      <c r="L47" s="63" t="str">
        <f>IF(AND('Mapa final'!$AJ$46="Baja",'Mapa final'!$AL$46="Leve"),CONCATENATE("R2C",'Mapa final'!$S$46),"")</f>
        <v/>
      </c>
      <c r="M47" s="63" t="str">
        <f>IF(AND('Mapa final'!$AJ$47="Baja",'Mapa final'!$AL$47="Leve"),CONCATENATE("R2C",'Mapa final'!$S$47),"")</f>
        <v/>
      </c>
      <c r="N47" s="63" t="str">
        <f>IF(AND('Mapa final'!$AJ$48="Baja",'Mapa final'!$AL$48="Leve"),CONCATENATE("R2C",'Mapa final'!$S$48),"")</f>
        <v/>
      </c>
      <c r="O47" s="63" t="str">
        <f>IF(AND('Mapa final'!$AJ$49="Baja",'Mapa final'!$AL$49="Leve"),CONCATENATE("R2C",'Mapa final'!$S$49),"")</f>
        <v/>
      </c>
      <c r="P47" s="64" t="str">
        <f>IF(AND('Mapa final'!$AJ$60="Baja",'Mapa final'!$AL$50="Leve"),CONCATENATE("R2C",'Mapa final'!$S$50),"")</f>
        <v/>
      </c>
      <c r="Q47" s="53" t="str">
        <f>IF(AND('Mapa final'!$AJ$45="Baja",'Mapa final'!$AL$45="Menor"),CONCATENATE("R2C",'Mapa final'!$S$45),"")</f>
        <v/>
      </c>
      <c r="R47" s="54" t="str">
        <f>IF(AND('Mapa final'!$AJ$46="Baja",'Mapa final'!$AL$46="Menor"),CONCATENATE("R2C",'Mapa final'!$S$46),"")</f>
        <v/>
      </c>
      <c r="S47" s="54" t="str">
        <f>IF(AND('Mapa final'!$AJ$47="Baja",'Mapa final'!$AL$47="Menor"),CONCATENATE("R2C",'Mapa final'!$S$47),"")</f>
        <v/>
      </c>
      <c r="T47" s="54" t="str">
        <f>IF(AND('Mapa final'!$AJ$48="Baja",'Mapa final'!$AL$48="Menor"),CONCATENATE("R2C",'Mapa final'!$S$48),"")</f>
        <v/>
      </c>
      <c r="U47" s="54" t="str">
        <f>IF(AND('Mapa final'!$AJ$49="Baja",'Mapa final'!$AL$49="Menor"),CONCATENATE("R2C",'Mapa final'!$S$49),"")</f>
        <v/>
      </c>
      <c r="V47" s="55" t="str">
        <f>IF(AND('Mapa final'!$AJ$60="Baja",'Mapa final'!$AL$50="Menor"),CONCATENATE("R2C",'Mapa final'!$S$50),"")</f>
        <v/>
      </c>
      <c r="W47" s="53" t="str">
        <f>IF(AND('Mapa final'!$AJ$45="Baja",'Mapa final'!$AL$45="Moderado"),CONCATENATE("R2C",'Mapa final'!$S$45),"")</f>
        <v/>
      </c>
      <c r="X47" s="54" t="str">
        <f>IF(AND('Mapa final'!$AJ$46="Baja",'Mapa final'!$AL$46="Moderado"),CONCATENATE("R2C",'Mapa final'!$S$46),"")</f>
        <v/>
      </c>
      <c r="Y47" s="54" t="str">
        <f>IF(AND('Mapa final'!$AJ$47="Baja",'Mapa final'!$AL$47="Moderado"),CONCATENATE("R2C",'Mapa final'!$S$47),"")</f>
        <v/>
      </c>
      <c r="Z47" s="54" t="str">
        <f>IF(AND('Mapa final'!$AJ$48="Baja",'Mapa final'!$AL$48="Moderado"),CONCATENATE("R2C",'Mapa final'!$S$48),"")</f>
        <v/>
      </c>
      <c r="AA47" s="54" t="str">
        <f>IF(AND('Mapa final'!$AJ$49="Baja",'Mapa final'!$AL$49="Moderado"),CONCATENATE("R2C",'Mapa final'!$S$49),"")</f>
        <v/>
      </c>
      <c r="AB47" s="55" t="str">
        <f>IF(AND('Mapa final'!$AJ$60="Baja",'Mapa final'!$AL$50="Moderado"),CONCATENATE("R2C",'Mapa final'!$S$50),"")</f>
        <v/>
      </c>
      <c r="AC47" s="38" t="str">
        <f>IF(AND('Mapa final'!$AJ$45="Baja",'Mapa final'!$AL$45="Mayor"),CONCATENATE("R2C",'Mapa final'!$S$45),"")</f>
        <v/>
      </c>
      <c r="AD47" s="39" t="str">
        <f>IF(AND('Mapa final'!$AJ$46="Baja",'Mapa final'!$AL$46="Mayor"),CONCATENATE("R2C",'Mapa final'!$S$46),"")</f>
        <v/>
      </c>
      <c r="AE47" s="39" t="str">
        <f>IF(AND('Mapa final'!$AJ$47="Baja",'Mapa final'!$AL$47="Mayor"),CONCATENATE("R2C",'Mapa final'!$S$47),"")</f>
        <v/>
      </c>
      <c r="AF47" s="39" t="str">
        <f>IF(AND('Mapa final'!$AJ$48="Baja",'Mapa final'!$AL$48="Mayor"),CONCATENATE("R2C",'Mapa final'!$S$48),"")</f>
        <v/>
      </c>
      <c r="AG47" s="39" t="str">
        <f>IF(AND('Mapa final'!$AJ$49="Baja",'Mapa final'!$AL$49="Mayor"),CONCATENATE("R2C",'Mapa final'!$S$49),"")</f>
        <v/>
      </c>
      <c r="AH47" s="40" t="str">
        <f>IF(AND('Mapa final'!$AJ$60="Baja",'Mapa final'!$AL$50="Mayor"),CONCATENATE("R2C",'Mapa final'!$S$50),"")</f>
        <v/>
      </c>
      <c r="AI47" s="41" t="str">
        <f>IF(AND('Mapa final'!$AJ$45="Baja",'Mapa final'!$AL$45="Catastrófico"),CONCATENATE("R2C",'Mapa final'!$S$45),"")</f>
        <v/>
      </c>
      <c r="AJ47" s="42" t="str">
        <f>IF(AND('Mapa final'!$AJ$46="Baja",'Mapa final'!$AL$46="Catastrófico"),CONCATENATE("R2C",'Mapa final'!$S$46),"")</f>
        <v/>
      </c>
      <c r="AK47" s="42" t="str">
        <f>IF(AND('Mapa final'!$AJ$47="Baja",'Mapa final'!$AL$47="Catastrófico"),CONCATENATE("R2C",'Mapa final'!$S$47),"")</f>
        <v/>
      </c>
      <c r="AL47" s="42" t="str">
        <f>IF(AND('Mapa final'!$AJ$48="Baja",'Mapa final'!$AL$48="Catastrófico"),CONCATENATE("R2C",'Mapa final'!$S$48),"")</f>
        <v/>
      </c>
      <c r="AM47" s="42" t="str">
        <f>IF(AND('Mapa final'!$AJ$49="Baja",'Mapa final'!$AL$49="Catastrófico"),CONCATENATE("R2C",'Mapa final'!$S$49),"")</f>
        <v/>
      </c>
      <c r="AN47" s="43" t="str">
        <f>IF(AND('Mapa final'!$AJ$60="Baja",'Mapa final'!$AL$50="Catastrófico"),CONCATENATE("R2C",'Mapa final'!$S$50),"")</f>
        <v/>
      </c>
      <c r="AO47" s="69"/>
      <c r="AP47" s="515"/>
      <c r="AQ47" s="516"/>
      <c r="AR47" s="516"/>
      <c r="AS47" s="516"/>
      <c r="AT47" s="516"/>
      <c r="AU47" s="517"/>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439"/>
      <c r="D48" s="439"/>
      <c r="E48" s="440"/>
      <c r="F48" s="482"/>
      <c r="G48" s="483"/>
      <c r="H48" s="483"/>
      <c r="I48" s="483"/>
      <c r="J48" s="483"/>
      <c r="K48" s="62" t="str">
        <f>IF(AND('Mapa final'!$AJ$51="Baja",'Mapa final'!$AL$51="Leve"),CONCATENATE("R2C",'Mapa final'!$S$51),"")</f>
        <v/>
      </c>
      <c r="L48" s="63" t="str">
        <f>IF(AND('Mapa final'!$AJ$52="Baja",'Mapa final'!$AL$52="Leve"),CONCATENATE("R2C",'Mapa final'!$S$52),"")</f>
        <v/>
      </c>
      <c r="M48" s="63" t="str">
        <f>IF(AND('Mapa final'!$AJ$53="Baja",'Mapa final'!$AL$53="Leve"),CONCATENATE("R2C",'Mapa final'!$S$53),"")</f>
        <v/>
      </c>
      <c r="N48" s="63" t="str">
        <f>IF(AND('Mapa final'!$AJ$54="Baja",'Mapa final'!$AL$54="Leve"),CONCATENATE("R2C",'Mapa final'!$S$54),"")</f>
        <v/>
      </c>
      <c r="O48" s="63" t="str">
        <f>IF(AND('Mapa final'!$AJ$55="Baja",'Mapa final'!$AL$55="Leve"),CONCATENATE("R2C",'Mapa final'!$S$55),"")</f>
        <v/>
      </c>
      <c r="P48" s="64" t="str">
        <f>IF(AND('Mapa final'!$AJ$56="Baja",'Mapa final'!$AL$56="Leve"),CONCATENATE("R2C",'Mapa final'!$S$56),"")</f>
        <v/>
      </c>
      <c r="Q48" s="53" t="str">
        <f>IF(AND('Mapa final'!$AJ$51="Baja",'Mapa final'!$AL$51="Menor"),CONCATENATE("R2C",'Mapa final'!$S$51),"")</f>
        <v/>
      </c>
      <c r="R48" s="54" t="str">
        <f>IF(AND('Mapa final'!$AJ$52="Baja",'Mapa final'!$AL$52="Menor"),CONCATENATE("R2C",'Mapa final'!$S$52),"")</f>
        <v/>
      </c>
      <c r="S48" s="54" t="str">
        <f>IF(AND('Mapa final'!$AJ$53="Baja",'Mapa final'!$AL$53="Menor"),CONCATENATE("R2C",'Mapa final'!$S$53),"")</f>
        <v/>
      </c>
      <c r="T48" s="54" t="str">
        <f>IF(AND('Mapa final'!$AJ$54="Baja",'Mapa final'!$AL$54="Menor"),CONCATENATE("R2C",'Mapa final'!$S$54),"")</f>
        <v/>
      </c>
      <c r="U48" s="54" t="str">
        <f>IF(AND('Mapa final'!$AJ$55="Baja",'Mapa final'!$AL$55="Menor"),CONCATENATE("R2C",'Mapa final'!$S$55),"")</f>
        <v/>
      </c>
      <c r="V48" s="55" t="str">
        <f>IF(AND('Mapa final'!$AJ$56="Baja",'Mapa final'!$AL$56="Menor"),CONCATENATE("R2C",'Mapa final'!$S$56),"")</f>
        <v/>
      </c>
      <c r="W48" s="53" t="str">
        <f>IF(AND('Mapa final'!$AJ$51="Baja",'Mapa final'!$AL$51="Moderado"),CONCATENATE("R2C",'Mapa final'!$S$51),"")</f>
        <v/>
      </c>
      <c r="X48" s="54" t="str">
        <f>IF(AND('Mapa final'!$AJ$52="Baja",'Mapa final'!$AL$52="Moderado"),CONCATENATE("R2C",'Mapa final'!$S$52),"")</f>
        <v/>
      </c>
      <c r="Y48" s="54" t="str">
        <f>IF(AND('Mapa final'!$AJ$53="Baja",'Mapa final'!$AL$53="Moderado"),CONCATENATE("R2C",'Mapa final'!$S$53),"")</f>
        <v/>
      </c>
      <c r="Z48" s="54" t="str">
        <f>IF(AND('Mapa final'!$AJ$54="Baja",'Mapa final'!$AL$54="Moderado"),CONCATENATE("R2C",'Mapa final'!$S$54),"")</f>
        <v/>
      </c>
      <c r="AA48" s="54" t="str">
        <f>IF(AND('Mapa final'!$AJ$55="Baja",'Mapa final'!$AL$55="Moderado"),CONCATENATE("R2C",'Mapa final'!$S$55),"")</f>
        <v/>
      </c>
      <c r="AB48" s="55" t="str">
        <f>IF(AND('Mapa final'!$AJ$56="Baja",'Mapa final'!$AL$56="Moderado"),CONCATENATE("R2C",'Mapa final'!$S$56),"")</f>
        <v/>
      </c>
      <c r="AC48" s="38" t="str">
        <f>IF(AND('Mapa final'!$AJ$51="Baja",'Mapa final'!$AL$51="Mayor"),CONCATENATE("R2C",'Mapa final'!$S$51),"")</f>
        <v/>
      </c>
      <c r="AD48" s="39" t="str">
        <f>IF(AND('Mapa final'!$AJ$52="Baja",'Mapa final'!$AL$52="Mayor"),CONCATENATE("R2C",'Mapa final'!$S$52),"")</f>
        <v/>
      </c>
      <c r="AE48" s="39" t="str">
        <f>IF(AND('Mapa final'!$AJ$53="Baja",'Mapa final'!$AL$53="Mayor"),CONCATENATE("R2C",'Mapa final'!$S$53),"")</f>
        <v/>
      </c>
      <c r="AF48" s="39" t="str">
        <f>IF(AND('Mapa final'!$AJ$54="Baja",'Mapa final'!$AL$54="Mayor"),CONCATENATE("R2C",'Mapa final'!$S$54),"")</f>
        <v/>
      </c>
      <c r="AG48" s="39" t="str">
        <f>IF(AND('Mapa final'!$AJ$55="Baja",'Mapa final'!$AL$55="Mayor"),CONCATENATE("R2C",'Mapa final'!$S$55),"")</f>
        <v/>
      </c>
      <c r="AH48" s="40" t="str">
        <f>IF(AND('Mapa final'!$AJ$56="Baja",'Mapa final'!$AL$56="Mayor"),CONCATENATE("R2C",'Mapa final'!$S$56),"")</f>
        <v/>
      </c>
      <c r="AI48" s="41" t="str">
        <f>IF(AND('Mapa final'!$AJ$51="Baja",'Mapa final'!$AL$51="Catastrófico"),CONCATENATE("R2C",'Mapa final'!$S$51),"")</f>
        <v/>
      </c>
      <c r="AJ48" s="42" t="str">
        <f>IF(AND('Mapa final'!$AJ$52="Baja",'Mapa final'!$AL$52="Catastrófico"),CONCATENATE("R2C",'Mapa final'!$S$52),"")</f>
        <v/>
      </c>
      <c r="AK48" s="42" t="str">
        <f>IF(AND('Mapa final'!$AJ$53="Baja",'Mapa final'!$AL$53="Catastrófico"),CONCATENATE("R2C",'Mapa final'!$S$53),"")</f>
        <v/>
      </c>
      <c r="AL48" s="42" t="str">
        <f>IF(AND('Mapa final'!$AJ$54="Baja",'Mapa final'!$AL$54="Catastrófico"),CONCATENATE("R2C",'Mapa final'!$S$54),"")</f>
        <v/>
      </c>
      <c r="AM48" s="42" t="str">
        <f>IF(AND('Mapa final'!$AJ$55="Baja",'Mapa final'!$AL$55="Catastrófico"),CONCATENATE("R2C",'Mapa final'!$S$55),"")</f>
        <v/>
      </c>
      <c r="AN48" s="43" t="str">
        <f>IF(AND('Mapa final'!$AJ$56="Baja",'Mapa final'!$AL$56="Catastrófico"),CONCATENATE("R2C",'Mapa final'!$S$56),"")</f>
        <v/>
      </c>
      <c r="AO48" s="69"/>
      <c r="AP48" s="515"/>
      <c r="AQ48" s="516"/>
      <c r="AR48" s="516"/>
      <c r="AS48" s="516"/>
      <c r="AT48" s="516"/>
      <c r="AU48" s="517"/>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439"/>
      <c r="D49" s="439"/>
      <c r="E49" s="440"/>
      <c r="F49" s="482"/>
      <c r="G49" s="483"/>
      <c r="H49" s="483"/>
      <c r="I49" s="483"/>
      <c r="J49" s="483"/>
      <c r="K49" s="62" t="str">
        <f>IF(AND('Mapa final'!$AJ$57="Baja",'Mapa final'!$AL$57="Leve"),CONCATENATE("R2C",'Mapa final'!$S$57),"")</f>
        <v/>
      </c>
      <c r="L49" s="63" t="str">
        <f>IF(AND('Mapa final'!$AJ$58="Baja",'Mapa final'!$AL$58="Leve"),CONCATENATE("R2C",'Mapa final'!$S$58),"")</f>
        <v/>
      </c>
      <c r="M49" s="63" t="str">
        <f>IF(AND('Mapa final'!$AJ$59="Baja",'Mapa final'!$AL$59="Leve"),CONCATENATE("R2C",'Mapa final'!$S$59),"")</f>
        <v/>
      </c>
      <c r="N49" s="63" t="str">
        <f>IF(AND('Mapa final'!$AJ$60="Baja",'Mapa final'!$AL$60="Leve"),CONCATENATE("R2C",'Mapa final'!$S$60),"")</f>
        <v/>
      </c>
      <c r="O49" s="63" t="str">
        <f>IF(AND('Mapa final'!$AJ$61="Baja",'Mapa final'!$AL$61="Leve"),CONCATENATE("R2C",'Mapa final'!$S$61),"")</f>
        <v/>
      </c>
      <c r="P49" s="64" t="str">
        <f>IF(AND('Mapa final'!$AJ$62="Baja",'Mapa final'!$AL$62="Leve"),CONCATENATE("R2C",'Mapa final'!$S$62),"")</f>
        <v/>
      </c>
      <c r="Q49" s="53" t="str">
        <f>IF(AND('Mapa final'!$AJ$57="Baja",'Mapa final'!$AL$57="Menor"),CONCATENATE("R2C",'Mapa final'!$S$57),"")</f>
        <v/>
      </c>
      <c r="R49" s="54" t="str">
        <f>IF(AND('Mapa final'!$AJ$58="Baja",'Mapa final'!$AL$58="Menor"),CONCATENATE("R2C",'Mapa final'!$S$58),"")</f>
        <v/>
      </c>
      <c r="S49" s="54" t="str">
        <f>IF(AND('Mapa final'!$AJ$59="Baja",'Mapa final'!$AL$59="Menor"),CONCATENATE("R2C",'Mapa final'!$S$59),"")</f>
        <v/>
      </c>
      <c r="T49" s="54" t="str">
        <f>IF(AND('Mapa final'!$AJ$60="Baja",'Mapa final'!$AL$60="Menor"),CONCATENATE("R2C",'Mapa final'!$S$60),"")</f>
        <v/>
      </c>
      <c r="U49" s="54" t="str">
        <f>IF(AND('Mapa final'!$AJ$61="Baja",'Mapa final'!$AL$61="Menor"),CONCATENATE("R2C",'Mapa final'!$S$61),"")</f>
        <v/>
      </c>
      <c r="V49" s="55" t="str">
        <f>IF(AND('Mapa final'!$AJ$62="Baja",'Mapa final'!$AL$62="Menor"),CONCATENATE("R2C",'Mapa final'!$S$62),"")</f>
        <v/>
      </c>
      <c r="W49" s="53" t="str">
        <f>IF(AND('Mapa final'!$AJ$57="Baja",'Mapa final'!$AL$57="Moderado"),CONCATENATE("R2C",'Mapa final'!$S$57),"")</f>
        <v/>
      </c>
      <c r="X49" s="54" t="str">
        <f>IF(AND('Mapa final'!$AJ$58="Baja",'Mapa final'!$AL$58="Moderado"),CONCATENATE("R2C",'Mapa final'!$S$58),"")</f>
        <v/>
      </c>
      <c r="Y49" s="54" t="str">
        <f>IF(AND('Mapa final'!$AJ$59="Baja",'Mapa final'!$AL$59="Moderado"),CONCATENATE("R2C",'Mapa final'!$S$59),"")</f>
        <v/>
      </c>
      <c r="Z49" s="54" t="str">
        <f>IF(AND('Mapa final'!$AJ$60="Baja",'Mapa final'!$AL$60="Moderado"),CONCATENATE("R2C",'Mapa final'!$S$60),"")</f>
        <v/>
      </c>
      <c r="AA49" s="54" t="str">
        <f>IF(AND('Mapa final'!$AJ$61="Baja",'Mapa final'!$AL$61="Moderado"),CONCATENATE("R2C",'Mapa final'!$S$61),"")</f>
        <v/>
      </c>
      <c r="AB49" s="55" t="str">
        <f>IF(AND('Mapa final'!$AJ$62="Baja",'Mapa final'!$AL$62="Moderado"),CONCATENATE("R2C",'Mapa final'!$S$62),"")</f>
        <v/>
      </c>
      <c r="AC49" s="38" t="str">
        <f>IF(AND('Mapa final'!$AJ$57="Baja",'Mapa final'!$AL$57="Mayor"),CONCATENATE("R2C",'Mapa final'!$S$57),"")</f>
        <v/>
      </c>
      <c r="AD49" s="39" t="str">
        <f>IF(AND('Mapa final'!$AJ$58="Baja",'Mapa final'!$AL$58="Mayor"),CONCATENATE("R2C",'Mapa final'!$S$58),"")</f>
        <v/>
      </c>
      <c r="AE49" s="39" t="str">
        <f>IF(AND('Mapa final'!$AJ$59="Baja",'Mapa final'!$AL$59="Mayor"),CONCATENATE("R2C",'Mapa final'!$S$59),"")</f>
        <v/>
      </c>
      <c r="AF49" s="39" t="str">
        <f>IF(AND('Mapa final'!$AJ$60="Baja",'Mapa final'!$AL$60="Mayor"),CONCATENATE("R2C",'Mapa final'!$S$60),"")</f>
        <v/>
      </c>
      <c r="AG49" s="39" t="str">
        <f>IF(AND('Mapa final'!$AJ$61="Baja",'Mapa final'!$AL$61="Mayor"),CONCATENATE("R2C",'Mapa final'!$S$61),"")</f>
        <v/>
      </c>
      <c r="AH49" s="40" t="str">
        <f>IF(AND('Mapa final'!$AJ$62="Baja",'Mapa final'!$AL$62="Mayor"),CONCATENATE("R2C",'Mapa final'!$S$62),"")</f>
        <v/>
      </c>
      <c r="AI49" s="41" t="str">
        <f>IF(AND('Mapa final'!$AJ$57="Baja",'Mapa final'!$AL$57="Catastrófico"),CONCATENATE("R2C",'Mapa final'!$S$57),"")</f>
        <v/>
      </c>
      <c r="AJ49" s="42" t="str">
        <f>IF(AND('Mapa final'!$AJ$58="Baja",'Mapa final'!$AL$58="Catastrófico"),CONCATENATE("R2C",'Mapa final'!$S$58),"")</f>
        <v/>
      </c>
      <c r="AK49" s="42" t="str">
        <f>IF(AND('Mapa final'!$AJ$59="Baja",'Mapa final'!$AL$59="Catastrófico"),CONCATENATE("R2C",'Mapa final'!$S$59),"")</f>
        <v/>
      </c>
      <c r="AL49" s="42" t="str">
        <f>IF(AND('Mapa final'!$AJ$60="Baja",'Mapa final'!$AL$60="Catastrófico"),CONCATENATE("R2C",'Mapa final'!$S$60),"")</f>
        <v/>
      </c>
      <c r="AM49" s="42" t="str">
        <f>IF(AND('Mapa final'!$AJ$61="Baja",'Mapa final'!$AL$61="Catastrófico"),CONCATENATE("R2C",'Mapa final'!$S$61),"")</f>
        <v/>
      </c>
      <c r="AN49" s="43" t="str">
        <f>IF(AND('Mapa final'!$AJ$62="Baja",'Mapa final'!$AL$62="Catastrófico"),CONCATENATE("R2C",'Mapa final'!$S$62),"")</f>
        <v/>
      </c>
      <c r="AO49" s="69"/>
      <c r="AP49" s="515"/>
      <c r="AQ49" s="516"/>
      <c r="AR49" s="516"/>
      <c r="AS49" s="516"/>
      <c r="AT49" s="516"/>
      <c r="AU49" s="517"/>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439"/>
      <c r="D50" s="439"/>
      <c r="E50" s="440"/>
      <c r="F50" s="482"/>
      <c r="G50" s="483"/>
      <c r="H50" s="483"/>
      <c r="I50" s="483"/>
      <c r="J50" s="483"/>
      <c r="K50" s="62" t="str">
        <f>IF(AND('Mapa final'!$AJ$63="Baja",'Mapa final'!$AL$63="Leve"),CONCATENATE("R2C",'Mapa final'!$S$63),"")</f>
        <v/>
      </c>
      <c r="L50" s="63" t="str">
        <f>IF(AND('Mapa final'!$AJ$64="Baja",'Mapa final'!$AL$64="Leve"),CONCATENATE("R2C",'Mapa final'!$S$64),"")</f>
        <v/>
      </c>
      <c r="M50" s="63" t="str">
        <f>IF(AND('Mapa final'!$AJ$65="Baja",'Mapa final'!$AL$65="Leve"),CONCATENATE("R2C",'Mapa final'!$S$65),"")</f>
        <v/>
      </c>
      <c r="N50" s="63" t="str">
        <f>IF(AND('Mapa final'!$AJ$66="Baja",'Mapa final'!$AL$66="Leve"),CONCATENATE("R2C",'Mapa final'!$S$66),"")</f>
        <v/>
      </c>
      <c r="O50" s="63" t="str">
        <f>IF(AND('Mapa final'!$AJ$67="Baja",'Mapa final'!$AL$67="Leve"),CONCATENATE("R2C",'Mapa final'!$S$67),"")</f>
        <v/>
      </c>
      <c r="P50" s="64" t="str">
        <f>IF(AND('Mapa final'!$AJ$68="Baja",'Mapa final'!$AL$68="Leve"),CONCATENATE("R2C",'Mapa final'!$S$68),"")</f>
        <v/>
      </c>
      <c r="Q50" s="53" t="str">
        <f>IF(AND('Mapa final'!$AJ$63="Baja",'Mapa final'!$AL$63="Menor"),CONCATENATE("R2C",'Mapa final'!$S$63),"")</f>
        <v/>
      </c>
      <c r="R50" s="54" t="str">
        <f>IF(AND('Mapa final'!$AJ$64="Baja",'Mapa final'!$AL$64="Menor"),CONCATENATE("R2C",'Mapa final'!$S$64),"")</f>
        <v/>
      </c>
      <c r="S50" s="54" t="str">
        <f>IF(AND('Mapa final'!$AJ$65="Baja",'Mapa final'!$AL$65="Menor"),CONCATENATE("R2C",'Mapa final'!$S$65),"")</f>
        <v/>
      </c>
      <c r="T50" s="54" t="str">
        <f>IF(AND('Mapa final'!$AJ$66="Baja",'Mapa final'!$AL$66="Menor"),CONCATENATE("R2C",'Mapa final'!$S$66),"")</f>
        <v/>
      </c>
      <c r="U50" s="54" t="str">
        <f>IF(AND('Mapa final'!$AJ$67="Baja",'Mapa final'!$AL$67="Menor"),CONCATENATE("R2C",'Mapa final'!$S$67),"")</f>
        <v/>
      </c>
      <c r="V50" s="55" t="str">
        <f>IF(AND('Mapa final'!$AJ$68="Baja",'Mapa final'!$AL$68="Menor"),CONCATENATE("R2C",'Mapa final'!$S$68),"")</f>
        <v/>
      </c>
      <c r="W50" s="53" t="str">
        <f>IF(AND('Mapa final'!$AJ$63="Baja",'Mapa final'!$AL$63="Moderado"),CONCATENATE("R2C",'Mapa final'!$S$63),"")</f>
        <v/>
      </c>
      <c r="X50" s="54" t="str">
        <f>IF(AND('Mapa final'!$AJ$64="Baja",'Mapa final'!$AL$64="Moderado"),CONCATENATE("R2C",'Mapa final'!$S$64),"")</f>
        <v/>
      </c>
      <c r="Y50" s="54" t="str">
        <f>IF(AND('Mapa final'!$AJ$65="Baja",'Mapa final'!$AL$65="Moderado"),CONCATENATE("R2C",'Mapa final'!$S$65),"")</f>
        <v/>
      </c>
      <c r="Z50" s="54" t="str">
        <f>IF(AND('Mapa final'!$AJ$66="Baja",'Mapa final'!$AL$66="Moderado"),CONCATENATE("R2C",'Mapa final'!$S$66),"")</f>
        <v/>
      </c>
      <c r="AA50" s="54" t="str">
        <f>IF(AND('Mapa final'!$AJ$67="Baja",'Mapa final'!$AL$67="Moderado"),CONCATENATE("R2C",'Mapa final'!$S$67),"")</f>
        <v/>
      </c>
      <c r="AB50" s="55" t="str">
        <f>IF(AND('Mapa final'!$AJ$68="Baja",'Mapa final'!$AL$68="Moderado"),CONCATENATE("R2C",'Mapa final'!$S$68),"")</f>
        <v/>
      </c>
      <c r="AC50" s="38" t="str">
        <f>IF(AND('Mapa final'!$AJ$63="Baja",'Mapa final'!$AL$63="Mayor"),CONCATENATE("R2C",'Mapa final'!$S$63),"")</f>
        <v/>
      </c>
      <c r="AD50" s="39" t="str">
        <f>IF(AND('Mapa final'!$AJ$64="Baja",'Mapa final'!$AL$64="Mayor"),CONCATENATE("R2C",'Mapa final'!$S$64),"")</f>
        <v/>
      </c>
      <c r="AE50" s="39" t="str">
        <f>IF(AND('Mapa final'!$AJ$65="Baja",'Mapa final'!$AL$65="Mayor"),CONCATENATE("R2C",'Mapa final'!$S$65),"")</f>
        <v/>
      </c>
      <c r="AF50" s="39" t="str">
        <f>IF(AND('Mapa final'!$AJ$66="Baja",'Mapa final'!$AL$66="Mayor"),CONCATENATE("R2C",'Mapa final'!$S$66),"")</f>
        <v/>
      </c>
      <c r="AG50" s="39" t="str">
        <f>IF(AND('Mapa final'!$AJ$67="Baja",'Mapa final'!$AL$67="Mayor"),CONCATENATE("R2C",'Mapa final'!$S$67),"")</f>
        <v/>
      </c>
      <c r="AH50" s="40" t="str">
        <f>IF(AND('Mapa final'!$AJ$68="Baja",'Mapa final'!$AL$68="Mayor"),CONCATENATE("R2C",'Mapa final'!$S$68),"")</f>
        <v/>
      </c>
      <c r="AI50" s="41" t="str">
        <f>IF(AND('Mapa final'!$AJ$63="Baja",'Mapa final'!$AL$63="Catastrófico"),CONCATENATE("R2C",'Mapa final'!$S$63),"")</f>
        <v/>
      </c>
      <c r="AJ50" s="42" t="str">
        <f>IF(AND('Mapa final'!$AJ$64="Baja",'Mapa final'!$AL$64="Catastrófico"),CONCATENATE("R2C",'Mapa final'!$S$64),"")</f>
        <v/>
      </c>
      <c r="AK50" s="42" t="str">
        <f>IF(AND('Mapa final'!$AJ$65="Baja",'Mapa final'!$AL$65="Catastrófico"),CONCATENATE("R2C",'Mapa final'!$S$65),"")</f>
        <v/>
      </c>
      <c r="AL50" s="42" t="str">
        <f>IF(AND('Mapa final'!$AJ$66="Baja",'Mapa final'!$AL$66="Catastrófico"),CONCATENATE("R2C",'Mapa final'!$S$66),"")</f>
        <v/>
      </c>
      <c r="AM50" s="42" t="str">
        <f>IF(AND('Mapa final'!$AJ$67="Baja",'Mapa final'!$AL$67="Catastrófico"),CONCATENATE("R2C",'Mapa final'!$S$67),"")</f>
        <v/>
      </c>
      <c r="AN50" s="43" t="str">
        <f>IF(AND('Mapa final'!$AJ$68="Baja",'Mapa final'!$AL$68="Catastrófico"),CONCATENATE("R2C",'Mapa final'!$S$68),"")</f>
        <v/>
      </c>
      <c r="AO50" s="69"/>
      <c r="AP50" s="515"/>
      <c r="AQ50" s="516"/>
      <c r="AR50" s="516"/>
      <c r="AS50" s="516"/>
      <c r="AT50" s="516"/>
      <c r="AU50" s="517"/>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439"/>
      <c r="D51" s="439"/>
      <c r="E51" s="440"/>
      <c r="F51" s="485"/>
      <c r="G51" s="486"/>
      <c r="H51" s="486"/>
      <c r="I51" s="486"/>
      <c r="J51" s="486"/>
      <c r="K51" s="65" t="str">
        <f>IF(AND('Mapa final'!$AJ$69="Baja",'Mapa final'!$AL$69="Leve"),CONCATENATE("R2C",'Mapa final'!$S$69),"")</f>
        <v/>
      </c>
      <c r="L51" s="66" t="str">
        <f>IF(AND('Mapa final'!$AJ$70="Baja",'Mapa final'!$AL$70="Leve"),CONCATENATE("R2C",'Mapa final'!$S$70),"")</f>
        <v/>
      </c>
      <c r="M51" s="66" t="str">
        <f>IF(AND('Mapa final'!$AJ$71="Baja",'Mapa final'!$AL$71="Leve"),CONCATENATE("R2C",'Mapa final'!$S$71),"")</f>
        <v/>
      </c>
      <c r="N51" s="66" t="str">
        <f>IF(AND('Mapa final'!$AJ$72="Baja",'Mapa final'!$AL$72="Leve"),CONCATENATE("R2C",'Mapa final'!$S$72),"")</f>
        <v/>
      </c>
      <c r="O51" s="66" t="str">
        <f>IF(AND('Mapa final'!$AJ$74="Baja",'Mapa final'!$AL$74="Leve"),CONCATENATE("R2C",'Mapa final'!$S$74),"")</f>
        <v/>
      </c>
      <c r="P51" s="67" t="str">
        <f>IF(AND('Mapa final'!$AJ$75="Baja",'Mapa final'!$AL$75="Leve"),CONCATENATE("R2C",'Mapa final'!$S$75),"")</f>
        <v/>
      </c>
      <c r="Q51" s="53" t="str">
        <f>IF(AND('Mapa final'!$AJ$69="Baja",'Mapa final'!$AL$69="Menor"),CONCATENATE("R2C",'Mapa final'!$S$69),"")</f>
        <v/>
      </c>
      <c r="R51" s="54" t="str">
        <f>IF(AND('Mapa final'!$AJ$70="Baja",'Mapa final'!$AL$70="Menor"),CONCATENATE("R2C",'Mapa final'!$S$70),"")</f>
        <v/>
      </c>
      <c r="S51" s="54" t="str">
        <f>IF(AND('Mapa final'!$AJ$71="Baja",'Mapa final'!$AL$71="Menor"),CONCATENATE("R2C",'Mapa final'!$S$71),"")</f>
        <v/>
      </c>
      <c r="T51" s="54" t="str">
        <f>IF(AND('Mapa final'!$AJ$72="Baja",'Mapa final'!$AL$72="Menor"),CONCATENATE("R2C",'Mapa final'!$S$72),"")</f>
        <v/>
      </c>
      <c r="U51" s="54" t="str">
        <f>IF(AND('Mapa final'!$AJ$74="Baja",'Mapa final'!$AL$74="Menor"),CONCATENATE("R2C",'Mapa final'!$S$74),"")</f>
        <v/>
      </c>
      <c r="V51" s="55" t="str">
        <f>IF(AND('Mapa final'!$AJ$75="Baja",'Mapa final'!$AL$75="Menor"),CONCATENATE("R2C",'Mapa final'!$S$75),"")</f>
        <v/>
      </c>
      <c r="W51" s="56" t="str">
        <f>IF(AND('Mapa final'!$AJ$69="Baja",'Mapa final'!$AL$69="Moderado"),CONCATENATE("R2C",'Mapa final'!$S$69),"")</f>
        <v/>
      </c>
      <c r="X51" s="57" t="str">
        <f>IF(AND('Mapa final'!$AJ$70="Baja",'Mapa final'!$AL$70="Moderado"),CONCATENATE("R2C",'Mapa final'!$S$70),"")</f>
        <v/>
      </c>
      <c r="Y51" s="57" t="str">
        <f>IF(AND('Mapa final'!$AJ$71="Baja",'Mapa final'!$AL$71="Moderado"),CONCATENATE("R2C",'Mapa final'!$S$71),"")</f>
        <v/>
      </c>
      <c r="Z51" s="57" t="str">
        <f>IF(AND('Mapa final'!$AJ$72="Baja",'Mapa final'!$AL$72="Moderado"),CONCATENATE("R2C",'Mapa final'!$S$72),"")</f>
        <v/>
      </c>
      <c r="AA51" s="57" t="str">
        <f>IF(AND('Mapa final'!$AJ$74="Baja",'Mapa final'!$AL$74="Moderado"),CONCATENATE("R2C",'Mapa final'!$S$74),"")</f>
        <v/>
      </c>
      <c r="AB51" s="58" t="str">
        <f>IF(AND('Mapa final'!$AJ$75="Baja",'Mapa final'!$AL$75="Moderado"),CONCATENATE("R2C",'Mapa final'!$S$75),"")</f>
        <v/>
      </c>
      <c r="AC51" s="44" t="str">
        <f>IF(AND('Mapa final'!$AJ$69="Baja",'Mapa final'!$AL$69="Mayor"),CONCATENATE("R2C",'Mapa final'!$S$69),"")</f>
        <v/>
      </c>
      <c r="AD51" s="45" t="str">
        <f>IF(AND('Mapa final'!$AJ$70="Baja",'Mapa final'!$AL$70="Mayor"),CONCATENATE("R2C",'Mapa final'!$S$70),"")</f>
        <v/>
      </c>
      <c r="AE51" s="45" t="str">
        <f>IF(AND('Mapa final'!$AJ$71="Baja",'Mapa final'!$AL$71="Mayor"),CONCATENATE("R2C",'Mapa final'!$S$71),"")</f>
        <v/>
      </c>
      <c r="AF51" s="45" t="str">
        <f>IF(AND('Mapa final'!$AJ$72="Baja",'Mapa final'!$AL$72="Mayor"),CONCATENATE("R2C",'Mapa final'!$S$72),"")</f>
        <v/>
      </c>
      <c r="AG51" s="45" t="str">
        <f>IF(AND('Mapa final'!$AJ$74="Baja",'Mapa final'!$AL$74="Mayor"),CONCATENATE("R2C",'Mapa final'!$S$74),"")</f>
        <v/>
      </c>
      <c r="AH51" s="46" t="str">
        <f>IF(AND('Mapa final'!$AJ$75="Baja",'Mapa final'!$AL$75="Mayor"),CONCATENATE("R2C",'Mapa final'!$S$75),"")</f>
        <v/>
      </c>
      <c r="AI51" s="47" t="str">
        <f>IF(AND('Mapa final'!$AJ$69="Baja",'Mapa final'!$AL$69="Catastrófico"),CONCATENATE("R2C",'Mapa final'!$S$69),"")</f>
        <v/>
      </c>
      <c r="AJ51" s="48" t="str">
        <f>IF(AND('Mapa final'!$AJ$70="Baja",'Mapa final'!$AL$70="Catastrófico"),CONCATENATE("R2C",'Mapa final'!$S$70),"")</f>
        <v/>
      </c>
      <c r="AK51" s="48" t="str">
        <f>IF(AND('Mapa final'!$AJ$71="Baja",'Mapa final'!$AL$71="Catastrófico"),CONCATENATE("R2C",'Mapa final'!$S$71),"")</f>
        <v/>
      </c>
      <c r="AL51" s="48" t="str">
        <f>IF(AND('Mapa final'!$AJ$72="Baja",'Mapa final'!$AL$72="Catastrófico"),CONCATENATE("R2C",'Mapa final'!$S$72),"")</f>
        <v/>
      </c>
      <c r="AM51" s="48" t="str">
        <f>IF(AND('Mapa final'!$AJ$74="Baja",'Mapa final'!$AL$74="Catastrófico"),CONCATENATE("R2C",'Mapa final'!$S$74),"")</f>
        <v/>
      </c>
      <c r="AN51" s="49" t="str">
        <f>IF(AND('Mapa final'!$AJ$75="Baja",'Mapa final'!$AL$75="Catastrófico"),CONCATENATE("R2C",'Mapa final'!$S$75),"")</f>
        <v/>
      </c>
      <c r="AO51" s="69"/>
      <c r="AP51" s="518"/>
      <c r="AQ51" s="519"/>
      <c r="AR51" s="519"/>
      <c r="AS51" s="519"/>
      <c r="AT51" s="519"/>
      <c r="AU51" s="520"/>
    </row>
    <row r="52" spans="2:81" ht="41.25" customHeight="1" x14ac:dyDescent="0.35">
      <c r="B52" s="69"/>
      <c r="C52" s="439"/>
      <c r="D52" s="439"/>
      <c r="E52" s="440"/>
      <c r="F52" s="479" t="s">
        <v>112</v>
      </c>
      <c r="G52" s="480"/>
      <c r="H52" s="480"/>
      <c r="I52" s="480"/>
      <c r="J52" s="481"/>
      <c r="K52" s="59" t="str">
        <f ca="1">IF(AND('Mapa final'!$AJ$15="Muy Baja",'Mapa final'!$AL$15="Leve"),CONCATENATE("R2C",'Mapa final'!$D$15),"")</f>
        <v>R2C1</v>
      </c>
      <c r="L52" s="60" t="str">
        <f ca="1">IF(AND('Mapa final'!$AJ$16="Muy Baja",'Mapa final'!$AL$16="Leve"),CONCATENATE("R2C",'Mapa final'!$S$16),"")</f>
        <v/>
      </c>
      <c r="M52" s="60" t="str">
        <f ca="1">IF(AND('Mapa final'!$AJ$17="Muy Baja",'Mapa final'!$AL$17="Leve"),CONCATENATE("R2C",'Mapa final'!$S$17),"")</f>
        <v/>
      </c>
      <c r="N52" s="60" t="str">
        <f ca="1">IF(AND('Mapa final'!$AJ$18="Muy Baja",'Mapa final'!$AL$18="Leve"),CONCATENATE("R2C",'Mapa final'!$S$18),"")</f>
        <v/>
      </c>
      <c r="O52" s="60" t="str">
        <f ca="1">IF(AND('Mapa final'!$AJ$19="Muy Baja",'Mapa final'!$AL$19="Leve"),CONCATENATE("R2C",'Mapa final'!$S$19),"")</f>
        <v/>
      </c>
      <c r="P52" s="61" t="str">
        <f ca="1">IF(AND('Mapa final'!$AJ$20="Muy Baja",'Mapa final'!$AL$20="Leve"),CONCATENATE("R2C",'Mapa final'!$S$20),"")</f>
        <v/>
      </c>
      <c r="Q52" s="59" t="str">
        <f ca="1">IF(AND('Mapa final'!$AJ$15="Muy Baja",'Mapa final'!$AL$15="Menor"),CONCATENATE("R2C",'Mapa final'!$S$15),"")</f>
        <v/>
      </c>
      <c r="R52" s="60" t="str">
        <f ca="1">IF(AND('Mapa final'!$AJ$16="Muy Baja",'Mapa final'!$AL$16="Menore"),CONCATENATE("R2C",'Mapa final'!$S$16),"")</f>
        <v/>
      </c>
      <c r="S52" s="60" t="str">
        <f ca="1">IF(AND('Mapa final'!$AJ$17="Muy Baja",'Mapa final'!$AL$17="Menor"),CONCATENATE("R2C",'Mapa final'!$S$17),"")</f>
        <v/>
      </c>
      <c r="T52" s="60" t="str">
        <f ca="1">IF(AND('Mapa final'!$AJ$18="Muy Baja",'Mapa final'!$AL$18="Menor"),CONCATENATE("R2C",'Mapa final'!$S$18),"")</f>
        <v/>
      </c>
      <c r="U52" s="60" t="str">
        <f ca="1">IF(AND('Mapa final'!$AJ$19="Muy Baja",'Mapa final'!$AL$19="Menor"),CONCATENATE("R2C",'Mapa final'!$S$19),"")</f>
        <v/>
      </c>
      <c r="V52" s="61" t="str">
        <f ca="1">IF(AND('Mapa final'!$AJ$20="Muy Baja",'Mapa final'!$AL$20="Menor"),CONCATENATE("R2C",'Mapa final'!$S$20),"")</f>
        <v/>
      </c>
      <c r="W52" s="50" t="str">
        <f ca="1">IF(AND('Mapa final'!$AJ$15="Muy Baja",'Mapa final'!$AL$15="Moderado"),CONCATENATE("R2C",'Mapa final'!$S$15),"")</f>
        <v/>
      </c>
      <c r="X52" s="68" t="str">
        <f ca="1">IF(AND('Mapa final'!$AJ$16="Muy Baja",'Mapa final'!$AL$16="Moderado"),CONCATENATE("R2C",'Mapa final'!$S$16),"")</f>
        <v/>
      </c>
      <c r="Y52" s="51"/>
      <c r="Z52" s="51" t="str">
        <f ca="1">IF(AND('Mapa final'!$AJ$18="Muy Baja",'Mapa final'!$AL$18="Moderado"),CONCATENATE("R2C",'Mapa final'!$S$18),"")</f>
        <v/>
      </c>
      <c r="AA52" s="51" t="str">
        <f ca="1">IF(AND('Mapa final'!$AJ$19="Muy Baja",'Mapa final'!$AL$19="Moderado"),CONCATENATE("R2C",'Mapa final'!$S$19),"")</f>
        <v/>
      </c>
      <c r="AB52" s="52" t="str">
        <f ca="1">IF(AND('Mapa final'!$AJ$20="Muy Baja",'Mapa final'!$AL$20="Moderado"),CONCATENATE("R2C",'Mapa final'!$S$20),"")</f>
        <v/>
      </c>
      <c r="AC52" s="32" t="str">
        <f ca="1">IF(AND('Mapa final'!$AJ$15="Muy Baja",'Mapa final'!$AL$15="Mayor"),CONCATENATE("R2C",'Mapa final'!$S$15),"")</f>
        <v/>
      </c>
      <c r="AD52" s="33" t="str">
        <f ca="1">IF(AND('Mapa final'!$AJ$16="Muy Baja",'Mapa final'!$AL$16="Mayor"),CONCATENATE("R2C",'Mapa final'!$S$16),"")</f>
        <v/>
      </c>
      <c r="AE52" s="33" t="str">
        <f ca="1">IF(AND('Mapa final'!$AJ$17="Muy Baja",'Mapa final'!$AL$17="Mayor"),CONCATENATE("R2C",'Mapa final'!$S$17),"")</f>
        <v/>
      </c>
      <c r="AF52" s="33" t="str">
        <f ca="1">IF(AND('Mapa final'!$AJ$18="Muy Baja",'Mapa final'!$AL$18="Mayor"),CONCATENATE("R2C",'Mapa final'!$S$18),"")</f>
        <v/>
      </c>
      <c r="AG52" s="33" t="str">
        <f ca="1">IF(AND('Mapa final'!$AJ$19="Muy Baja",'Mapa final'!$AL$19="Mayor"),CONCATENATE("R2C",'Mapa final'!$S$19),"")</f>
        <v/>
      </c>
      <c r="AH52" s="34" t="str">
        <f ca="1">IF(AND('Mapa final'!$AJ$20="Muy Baja",'Mapa final'!$AL$20="Mayor"),CONCATENATE("R2C",'Mapa final'!$S$20),"")</f>
        <v/>
      </c>
      <c r="AI52" s="35" t="str">
        <f ca="1">IF(AND('Mapa final'!$AJ$15="Muy Baja",'Mapa final'!$AL$15="Catastrófico"),CONCATENATE("R2C",'Mapa final'!$S$15),"")</f>
        <v/>
      </c>
      <c r="AJ52" s="36" t="str">
        <f ca="1">IF(AND('Mapa final'!$AJ$16="Muy Baja",'Mapa final'!$AL$16="Catastrófico"),CONCATENATE("R2C",'Mapa final'!$S$16),"")</f>
        <v/>
      </c>
      <c r="AK52" s="36" t="str">
        <f ca="1">IF(AND('Mapa final'!$AJ$17="Muy Baja",'Mapa final'!$AL$17="Catastrófico"),CONCATENATE("R2C",'Mapa final'!$S$17),"")</f>
        <v/>
      </c>
      <c r="AL52" s="36" t="str">
        <f ca="1">IF(AND('Mapa final'!$AJ$18="Muy Baja",'Mapa final'!$AL$18="Catastrófico"),CONCATENATE("R2C",'Mapa final'!$S$18),"")</f>
        <v/>
      </c>
      <c r="AM52" s="36" t="str">
        <f ca="1">IF(AND('Mapa final'!$AJ$19="Muy Baja",'Mapa final'!$AL$19="Catastrófico"),CONCATENATE("R2C",'Mapa final'!$S$19),"")</f>
        <v/>
      </c>
      <c r="AN52" s="37" t="str">
        <f ca="1">IF(AND('Mapa final'!$AJ$20="Muy Baja",'Mapa final'!$AL$20="Catastrófico"),CONCATENATE("R2C",'Mapa final'!$S$20),"")</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439"/>
      <c r="D53" s="439"/>
      <c r="E53" s="440"/>
      <c r="F53" s="498"/>
      <c r="G53" s="483"/>
      <c r="H53" s="483"/>
      <c r="I53" s="483"/>
      <c r="J53" s="484"/>
      <c r="K53" s="62" t="str">
        <f ca="1">IF(AND('Mapa final'!$AJ$21="Muy Baja",'Mapa final'!$AL$21="Leve"),CONCATENATE("R2C",'Mapa final'!$S$21),"")</f>
        <v/>
      </c>
      <c r="L53" s="63" t="str">
        <f>IF(AND('Mapa final'!$AJ$22="Muy Baja",'Mapa final'!$AL$22="Leve"),CONCATENATE("R2C",'Mapa final'!$S$22),"")</f>
        <v/>
      </c>
      <c r="M53" s="63" t="str">
        <f>IF(AND('Mapa final'!$AJ$23="Muy Baja",'Mapa final'!$AL$23="Leve"),CONCATENATE("R2C",'Mapa final'!$S$23),"")</f>
        <v/>
      </c>
      <c r="N53" s="63" t="str">
        <f>IF(AND('Mapa final'!$AJ$24="Muy Baja",'Mapa final'!$AL$24="Leve"),CONCATENATE("R2C",'Mapa final'!$S$24),"")</f>
        <v/>
      </c>
      <c r="O53" s="63" t="str">
        <f>IF(AND('Mapa final'!$AJ$25="Muy Baja",'Mapa final'!$AL$25="Leve"),CONCATENATE("R2C",'Mapa final'!$S$25),"")</f>
        <v/>
      </c>
      <c r="P53" s="64" t="str">
        <f>IF(AND('Mapa final'!$AJ$26="Muy Baja",'Mapa final'!$AL$26="Leve"),CONCATENATE("R2C",'Mapa final'!$S$26),"")</f>
        <v/>
      </c>
      <c r="Q53" s="62" t="str">
        <f ca="1">IF(AND('Mapa final'!$AJ$21="Muy Baja",'Mapa final'!$AL$21="Menor"),CONCATENATE("R2C",'Mapa final'!$S$21),"")</f>
        <v/>
      </c>
      <c r="R53" s="63" t="str">
        <f>IF(AND('Mapa final'!$AJ$22="Muy Baja",'Mapa final'!$AL$22="Menor"),CONCATENATE("R2C",'Mapa final'!$S$22),"")</f>
        <v/>
      </c>
      <c r="S53" s="63" t="str">
        <f>IF(AND('Mapa final'!$AJ$23="Muy Baja",'Mapa final'!$AL$23="Menor"),CONCATENATE("R2C",'Mapa final'!$S$23),"")</f>
        <v/>
      </c>
      <c r="T53" s="63" t="str">
        <f>IF(AND('Mapa final'!$AJ$24="Muy Baja",'Mapa final'!$AL$24="Menor"),CONCATENATE("R2C",'Mapa final'!$S$24),"")</f>
        <v/>
      </c>
      <c r="U53" s="63" t="str">
        <f>IF(AND('Mapa final'!$AJ$25="Muy Baja",'Mapa final'!$AL$25="Menor"),CONCATENATE("R2C",'Mapa final'!$S$25),"")</f>
        <v/>
      </c>
      <c r="V53" s="64" t="str">
        <f>IF(AND('Mapa final'!$AJ$26="Muy Baja",'Mapa final'!$AL$26="Menor"),CONCATENATE("R2C",'Mapa final'!$S$26),"")</f>
        <v/>
      </c>
      <c r="W53" s="53" t="str">
        <f ca="1">IF(AND('Mapa final'!$AJ$21="Muy Baja",'Mapa final'!$AL$21="Moderado"),CONCATENATE("R2C",'Mapa final'!$S$21),"")</f>
        <v/>
      </c>
      <c r="X53" s="54" t="str">
        <f>IF(AND('Mapa final'!$AJ$22="Muy Baja",'Mapa final'!$AL$22="Moderado"),CONCATENATE("R2C",'Mapa final'!$S$22),"")</f>
        <v/>
      </c>
      <c r="Y53" s="54" t="str">
        <f>IF(AND('Mapa final'!$AJ$23="Muy Baja",'Mapa final'!$AL$23="Moderado"),CONCATENATE("R2C",'Mapa final'!$S$23),"")</f>
        <v/>
      </c>
      <c r="Z53" s="54" t="str">
        <f>IF(AND('Mapa final'!$AJ$24="Muy Baja",'Mapa final'!$AL$24="Moderado"),CONCATENATE("R2C",'Mapa final'!$S$24),"")</f>
        <v/>
      </c>
      <c r="AA53" s="54" t="str">
        <f>IF(AND('Mapa final'!$AJ$25="Muy Baja",'Mapa final'!$AL$25="Moderado"),CONCATENATE("R2C",'Mapa final'!$S$25),"")</f>
        <v/>
      </c>
      <c r="AB53" s="55" t="str">
        <f>IF(AND('Mapa final'!$AJ$26="Muy Baja",'Mapa final'!$AL$26="Moderado"),CONCATENATE("R2C",'Mapa final'!$S$26),"")</f>
        <v/>
      </c>
      <c r="AC53" s="38" t="str">
        <f ca="1">IF(AND('Mapa final'!$AJ$21="Muy Baja",'Mapa final'!$AL$21="Mayor"),CONCATENATE("R2C",'Mapa final'!$S$21),"")</f>
        <v/>
      </c>
      <c r="AD53" s="39" t="str">
        <f>IF(AND('Mapa final'!$AJ$22="Muy Baja",'Mapa final'!$AL$22="Mayor"),CONCATENATE("R2C",'Mapa final'!$S$22),"")</f>
        <v/>
      </c>
      <c r="AE53" s="39" t="str">
        <f>IF(AND('Mapa final'!$AJ$23="Muy Baja",'Mapa final'!$AL$23="Mayor"),CONCATENATE("R2C",'Mapa final'!$S$23),"")</f>
        <v/>
      </c>
      <c r="AF53" s="39" t="str">
        <f>IF(AND('Mapa final'!$AJ$24="Muy Baja",'Mapa final'!$AL$24="Mayor"),CONCATENATE("R2C",'Mapa final'!$S$24),"")</f>
        <v/>
      </c>
      <c r="AG53" s="39" t="str">
        <f>IF(AND('Mapa final'!$AJ$25="Muy Baja",'Mapa final'!$AL$25="Mayor"),CONCATENATE("R2C",'Mapa final'!$S$25),"")</f>
        <v/>
      </c>
      <c r="AH53" s="40" t="str">
        <f>IF(AND('Mapa final'!$AJ$26="Muy Baja",'Mapa final'!$AL$26="Mayor"),CONCATENATE("R2C",'Mapa final'!$S$26),"")</f>
        <v/>
      </c>
      <c r="AI53" s="41" t="str">
        <f ca="1">IF(AND('Mapa final'!$AJ$21="Muy Baja",'Mapa final'!$AL$21="Catastrófico"),CONCATENATE("R2C",'Mapa final'!$S$21),"")</f>
        <v/>
      </c>
      <c r="AJ53" s="42" t="str">
        <f>IF(AND('Mapa final'!$AJ$22="Muy Baja",'Mapa final'!$AL$22="Catastrófico"),CONCATENATE("R2C",'Mapa final'!$S$22),"")</f>
        <v/>
      </c>
      <c r="AK53" s="42" t="str">
        <f>IF(AND('Mapa final'!$AJ$23="Muy Baja",'Mapa final'!$AL$23="Catastrófico"),CONCATENATE("R2C",'Mapa final'!$S$23),"")</f>
        <v/>
      </c>
      <c r="AL53" s="42" t="str">
        <f>IF(AND('Mapa final'!$AJ$24="Muy Baja",'Mapa final'!$AL$24="Catastrófico"),CONCATENATE("R2C",'Mapa final'!$S$24),"")</f>
        <v/>
      </c>
      <c r="AM53" s="42" t="str">
        <f>IF(AND('Mapa final'!$AJ$25="Muy Baja",'Mapa final'!$AL$25="Catastrófico"),CONCATENATE("R2C",'Mapa final'!$S$25),"")</f>
        <v/>
      </c>
      <c r="AN53" s="43" t="str">
        <f>IF(AND('Mapa final'!$AJ$26="Muy Baja",'Mapa final'!$AL$26="Catastrófico"),CONCATENATE("R2C",'Mapa final'!$S$26),"")</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439"/>
      <c r="D54" s="439"/>
      <c r="E54" s="440"/>
      <c r="F54" s="498"/>
      <c r="G54" s="483"/>
      <c r="H54" s="483"/>
      <c r="I54" s="483"/>
      <c r="J54" s="484"/>
      <c r="K54" s="62" t="str">
        <f>IF(AND('Mapa final'!$AJ$27="Muy Baja",'Mapa final'!$AL$27="Leve"),CONCATENATE("R2C",'Mapa final'!$S$27),"")</f>
        <v/>
      </c>
      <c r="L54" s="63" t="str">
        <f>IF(AND('Mapa final'!$AJ$28="Muy Baja",'Mapa final'!$AL$28="Leve"),CONCATENATE("R2C",'Mapa final'!$S$28),"")</f>
        <v/>
      </c>
      <c r="M54" s="63" t="str">
        <f>IF(AND('Mapa final'!$AJ$29="Muy Baja",'Mapa final'!$AL$29="Leve"),CONCATENATE("R2C",'Mapa final'!$S$29),"")</f>
        <v/>
      </c>
      <c r="N54" s="63" t="str">
        <f>IF(AND('Mapa final'!$AJ$30="Muy Baja",'Mapa final'!$AL$30="Leve"),CONCATENATE("R2C",'Mapa final'!$S$30),"")</f>
        <v/>
      </c>
      <c r="O54" s="63" t="str">
        <f>IF(AND('Mapa final'!$AJ$31="Muy Baja",'Mapa final'!$AL$31="Leve"),CONCATENATE("R2C",'Mapa final'!$S$31),"")</f>
        <v/>
      </c>
      <c r="P54" s="64" t="str">
        <f>IF(AND('Mapa final'!$AJ$32="Muy Baja",'Mapa final'!$AL$32="Leve"),CONCATENATE("R2C",'Mapa final'!$S$32),"")</f>
        <v/>
      </c>
      <c r="Q54" s="62" t="str">
        <f>IF(AND('Mapa final'!$AJ$27="Muy Baja",'Mapa final'!$AL$27="Menor"),CONCATENATE("R2C",'Mapa final'!$S$27),"")</f>
        <v/>
      </c>
      <c r="R54" s="63" t="str">
        <f>IF(AND('Mapa final'!$AJ$28="Muy Baja",'Mapa final'!$AL$28="Menor"),CONCATENATE("R2C",'Mapa final'!$S$28),"")</f>
        <v/>
      </c>
      <c r="S54" s="63" t="str">
        <f>IF(AND('Mapa final'!$AJ$29="Muy Baja",'Mapa final'!$AL$29="Menor"),CONCATENATE("R2C",'Mapa final'!$S$29),"")</f>
        <v/>
      </c>
      <c r="T54" s="63" t="str">
        <f>IF(AND('Mapa final'!$AJ$30="Muy Baja",'Mapa final'!$AL$30="Menor"),CONCATENATE("R2C",'Mapa final'!$S$30),"")</f>
        <v/>
      </c>
      <c r="U54" s="63" t="str">
        <f>IF(AND('Mapa final'!$AJ$31="Muy Baja",'Mapa final'!$AL$31="Menor"),CONCATENATE("R2C",'Mapa final'!$S$31),"")</f>
        <v/>
      </c>
      <c r="V54" s="64" t="str">
        <f>IF(AND('Mapa final'!$AJ$32="Muy Baja",'Mapa final'!$AL$32="Menor"),CONCATENATE("R2C",'Mapa final'!$S$32),"")</f>
        <v/>
      </c>
      <c r="W54" s="53" t="str">
        <f>IF(AND('Mapa final'!$AJ$27="Muy Baja",'Mapa final'!$AL$27="Moderado"),CONCATENATE("R2C",'Mapa final'!$S$27),"")</f>
        <v/>
      </c>
      <c r="X54" s="54" t="str">
        <f>IF(AND('Mapa final'!$AJ$28="Muy Baja",'Mapa final'!$AL$28="Moderado"),CONCATENATE("R2C",'Mapa final'!$S$28),"")</f>
        <v/>
      </c>
      <c r="Y54" s="54" t="str">
        <f>IF(AND('Mapa final'!$AJ$29="Muy Baja",'Mapa final'!$AL$29="Moderado"),CONCATENATE("R2C",'Mapa final'!$S$29),"")</f>
        <v/>
      </c>
      <c r="Z54" s="54" t="str">
        <f>IF(AND('Mapa final'!$AJ$30="Muy Baja",'Mapa final'!$AL$30="Moderado"),CONCATENATE("R2C",'Mapa final'!$S$30),"")</f>
        <v/>
      </c>
      <c r="AA54" s="54" t="str">
        <f>IF(AND('Mapa final'!$AJ$31="Muy Baja",'Mapa final'!$AL$31="Moderado"),CONCATENATE("R2C",'Mapa final'!$S$31),"")</f>
        <v/>
      </c>
      <c r="AB54" s="55" t="str">
        <f>IF(AND('Mapa final'!$AJ$32="Muy Baja",'Mapa final'!$AL$32="Moderado"),CONCATENATE("R2C",'Mapa final'!$S$32),"")</f>
        <v/>
      </c>
      <c r="AC54" s="38" t="str">
        <f>IF(AND('Mapa final'!$AJ$27="Muy Baja",'Mapa final'!$AL$27="Mayor"),CONCATENATE("R2C",'Mapa final'!$S$27),"")</f>
        <v/>
      </c>
      <c r="AD54" s="39" t="str">
        <f>IF(AND('Mapa final'!$AJ$28="Muy Baja",'Mapa final'!$AL$28="Mayor"),CONCATENATE("R2C",'Mapa final'!$S$28),"")</f>
        <v/>
      </c>
      <c r="AE54" s="39" t="str">
        <f>IF(AND('Mapa final'!$AJ$29="Muy Baja",'Mapa final'!$AL$29="Mayor"),CONCATENATE("R2C",'Mapa final'!$S$29),"")</f>
        <v/>
      </c>
      <c r="AF54" s="39" t="str">
        <f>IF(AND('Mapa final'!$AJ$30="Muy Baja",'Mapa final'!$AL$30="Mayor"),CONCATENATE("R2C",'Mapa final'!$S$30),"")</f>
        <v/>
      </c>
      <c r="AG54" s="39" t="str">
        <f>IF(AND('Mapa final'!$AJ$31="Muy Baja",'Mapa final'!$AL$31="Mayor"),CONCATENATE("R2C",'Mapa final'!$S$31),"")</f>
        <v/>
      </c>
      <c r="AH54" s="40" t="str">
        <f>IF(AND('Mapa final'!$AJ$32="Muy Baja",'Mapa final'!$AL$32="Mayor"),CONCATENATE("R2C",'Mapa final'!$S$32),"")</f>
        <v/>
      </c>
      <c r="AI54" s="41" t="str">
        <f>IF(AND('Mapa final'!$AJ$27="Muy Baja",'Mapa final'!$AL$27="Catastrófico"),CONCATENATE("R2C",'Mapa final'!$S$27),"")</f>
        <v/>
      </c>
      <c r="AJ54" s="42" t="str">
        <f>IF(AND('Mapa final'!$AJ$28="Muy Baja",'Mapa final'!$AL$28="Catastrófico"),CONCATENATE("R2C",'Mapa final'!$S$28),"")</f>
        <v/>
      </c>
      <c r="AK54" s="42" t="str">
        <f>IF(AND('Mapa final'!$AJ$29="Muy Baja",'Mapa final'!$AL$29="Catastrófico"),CONCATENATE("R2C",'Mapa final'!$S$29),"")</f>
        <v/>
      </c>
      <c r="AL54" s="42" t="str">
        <f>IF(AND('Mapa final'!$AJ$30="Muy Baja",'Mapa final'!$AL$30="Catastrófico"),CONCATENATE("R2C",'Mapa final'!$S$30),"")</f>
        <v/>
      </c>
      <c r="AM54" s="42" t="str">
        <f>IF(AND('Mapa final'!$AJ$31="Muy Baja",'Mapa final'!$AL$31="Catastrófico"),CONCATENATE("R2C",'Mapa final'!$S$31),"")</f>
        <v/>
      </c>
      <c r="AN54" s="43" t="str">
        <f>IF(AND('Mapa final'!$AJ$32="Muy Baja",'Mapa final'!$AL$32="Catastrófico"),CONCATENATE("R2C",'Mapa final'!$S$32),"")</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439"/>
      <c r="D55" s="439"/>
      <c r="E55" s="440"/>
      <c r="F55" s="482"/>
      <c r="G55" s="483"/>
      <c r="H55" s="483"/>
      <c r="I55" s="483"/>
      <c r="J55" s="484"/>
      <c r="K55" s="62" t="str">
        <f>IF(AND('Mapa final'!$AJ$33="Muy Baja",'Mapa final'!$AL$33="Leve"),CONCATENATE("R2C",'Mapa final'!$S$33),"")</f>
        <v/>
      </c>
      <c r="L55" s="63" t="str">
        <f>IF(AND('Mapa final'!$AJ$34="Muy Baja",'Mapa final'!$AL$34="Leve"),CONCATENATE("R2C",'Mapa final'!$S$34),"")</f>
        <v/>
      </c>
      <c r="M55" s="63" t="str">
        <f>IF(AND('Mapa final'!$AJ$35="Muy Baja",'Mapa final'!$AL$35="Leve"),CONCATENATE("R2C",'Mapa final'!$S$35),"")</f>
        <v/>
      </c>
      <c r="N55" s="63" t="str">
        <f>IF(AND('Mapa final'!$AJ$36="Muy Baja",'Mapa final'!$AL$36="Leve"),CONCATENATE("R2C",'Mapa final'!$S$36),"")</f>
        <v/>
      </c>
      <c r="O55" s="63" t="str">
        <f>IF(AND('Mapa final'!$AJ$37="Muy Baja",'Mapa final'!$AL$37="Leve"),CONCATENATE("R2C",'Mapa final'!$S$37),"")</f>
        <v/>
      </c>
      <c r="P55" s="64" t="str">
        <f>IF(AND('Mapa final'!$AJ$38="Muy Baja",'Mapa final'!$AL$38="Leve"),CONCATENATE("R2C",'Mapa final'!$S$38),"")</f>
        <v/>
      </c>
      <c r="Q55" s="62" t="str">
        <f>IF(AND('Mapa final'!$AJ$33="Muy Baja",'Mapa final'!$AL$33="Menor"),CONCATENATE("R2C",'Mapa final'!$S$33),"")</f>
        <v/>
      </c>
      <c r="R55" s="63" t="str">
        <f>IF(AND('Mapa final'!$AJ$34="Muy Baja",'Mapa final'!$AL$34="Menor"),CONCATENATE("R2C",'Mapa final'!$S$34),"")</f>
        <v/>
      </c>
      <c r="S55" s="63" t="str">
        <f>IF(AND('Mapa final'!$AJ$35="Muy Baja",'Mapa final'!$AL$35="Menor"),CONCATENATE("R2C",'Mapa final'!$S$35),"")</f>
        <v/>
      </c>
      <c r="T55" s="63" t="str">
        <f>IF(AND('Mapa final'!$AJ$36="Muy Baja",'Mapa final'!$AL$36="Menor"),CONCATENATE("R2C",'Mapa final'!$S$36),"")</f>
        <v/>
      </c>
      <c r="U55" s="63" t="str">
        <f>IF(AND('Mapa final'!$AJ$37="Muy Baja",'Mapa final'!$AL$37="LMenor"),CONCATENATE("R2C",'Mapa final'!$S$37),"")</f>
        <v/>
      </c>
      <c r="V55" s="64" t="str">
        <f>IF(AND('Mapa final'!$AJ$38="Muy Baja",'Mapa final'!$AL$38="Menor"),CONCATENATE("R2C",'Mapa final'!$S$38),"")</f>
        <v/>
      </c>
      <c r="W55" s="53" t="str">
        <f>IF(AND('Mapa final'!$AJ$33="Muy Baja",'Mapa final'!$AL$33="Moderado"),CONCATENATE("R2C",'Mapa final'!$S$33),"")</f>
        <v/>
      </c>
      <c r="X55" s="54" t="str">
        <f>IF(AND('Mapa final'!$AJ$34="Muy Baja",'Mapa final'!$AL$34="Moderado"),CONCATENATE("R2C",'Mapa final'!$S$34),"")</f>
        <v/>
      </c>
      <c r="Y55" s="54" t="str">
        <f>IF(AND('Mapa final'!$AJ$35="Muy Baja",'Mapa final'!$AL$35="Moderado"),CONCATENATE("R2C",'Mapa final'!$S$35),"")</f>
        <v/>
      </c>
      <c r="Z55" s="54" t="str">
        <f>IF(AND('Mapa final'!$AJ$36="Muy Baja",'Mapa final'!$AL$36="Moderado"),CONCATENATE("R2C",'Mapa final'!$S$36),"")</f>
        <v/>
      </c>
      <c r="AA55" s="54" t="str">
        <f>IF(AND('Mapa final'!$AJ$37="Muy Baja",'Mapa final'!$AL$37="Moderado"),CONCATENATE("R2C",'Mapa final'!$S$37),"")</f>
        <v/>
      </c>
      <c r="AB55" s="55" t="str">
        <f>IF(AND('Mapa final'!$AJ$38="Muy Baja",'Mapa final'!$AL$38="Moderado"),CONCATENATE("R2C",'Mapa final'!$S$38),"")</f>
        <v/>
      </c>
      <c r="AC55" s="38" t="str">
        <f>IF(AND('Mapa final'!$AJ$33="Muy Baja",'Mapa final'!$AL$33="Mayor"),CONCATENATE("R2C",'Mapa final'!$S$33),"")</f>
        <v/>
      </c>
      <c r="AD55" s="39" t="str">
        <f>IF(AND('Mapa final'!$AJ$34="Muy Baja",'Mapa final'!$AL$34="Mayor"),CONCATENATE("R2C",'Mapa final'!$S$34),"")</f>
        <v/>
      </c>
      <c r="AE55" s="39" t="str">
        <f>IF(AND('Mapa final'!$AJ$35="Muy Baja",'Mapa final'!$AL$35="Mayor"),CONCATENATE("R2C",'Mapa final'!$S$35),"")</f>
        <v/>
      </c>
      <c r="AF55" s="39" t="str">
        <f>IF(AND('Mapa final'!$AJ$36="Muy Baja",'Mapa final'!$AL$36="Mayor"),CONCATENATE("R2C",'Mapa final'!$S$36),"")</f>
        <v/>
      </c>
      <c r="AG55" s="39" t="str">
        <f>IF(AND('Mapa final'!$AJ$37="Muy Baja",'Mapa final'!$AL$37="Mayor"),CONCATENATE("R2C",'Mapa final'!$S$37),"")</f>
        <v/>
      </c>
      <c r="AH55" s="40" t="str">
        <f>IF(AND('Mapa final'!$AJ$38="Muy Baja",'Mapa final'!$AL$38="Mayor"),CONCATENATE("R2C",'Mapa final'!$S$38),"")</f>
        <v/>
      </c>
      <c r="AI55" s="41" t="str">
        <f>IF(AND('Mapa final'!$AJ$33="Muy Baja",'Mapa final'!$AL$33="Catastrófico"),CONCATENATE("R2C",'Mapa final'!$S$33),"")</f>
        <v/>
      </c>
      <c r="AJ55" s="42" t="str">
        <f>IF(AND('Mapa final'!$AJ$34="Muy Baja",'Mapa final'!$AL$34="Catastrófico"),CONCATENATE("R2C",'Mapa final'!$S$34),"")</f>
        <v/>
      </c>
      <c r="AK55" s="42" t="str">
        <f>IF(AND('Mapa final'!$AJ$35="Muy Baja",'Mapa final'!$AL$35="Catastrófico"),CONCATENATE("R2C",'Mapa final'!$S$35),"")</f>
        <v/>
      </c>
      <c r="AL55" s="42" t="str">
        <f>IF(AND('Mapa final'!$AJ$36="Muy Baja",'Mapa final'!$AL$36="Catastrófico"),CONCATENATE("R2C",'Mapa final'!$S$36),"")</f>
        <v/>
      </c>
      <c r="AM55" s="42" t="str">
        <f>IF(AND('Mapa final'!$AJ$37="Muy Baja",'Mapa final'!$AL$37="LCatastrófico"),CONCATENATE("R2C",'Mapa final'!$S$37),"")</f>
        <v/>
      </c>
      <c r="AN55" s="43" t="str">
        <f>IF(AND('Mapa final'!$AJ$38="Muy Baja",'Mapa final'!$AL$38="Catastrófico"),CONCATENATE("R2C",'Mapa final'!$S$38),"")</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439"/>
      <c r="D56" s="439"/>
      <c r="E56" s="440"/>
      <c r="F56" s="482"/>
      <c r="G56" s="483"/>
      <c r="H56" s="483"/>
      <c r="I56" s="483"/>
      <c r="J56" s="484"/>
      <c r="K56" s="62" t="str">
        <f>IF(AND('Mapa final'!$AJ$39="Muy Baja",'Mapa final'!$AL$39="Leve"),CONCATENATE("R2C",'Mapa final'!$S$39),"")</f>
        <v/>
      </c>
      <c r="L56" s="63" t="str">
        <f>IF(AND('Mapa final'!$AJ$40="Muy Baja",'Mapa final'!$AL$40="Leve"),CONCATENATE("R2C",'Mapa final'!$S$40),"")</f>
        <v/>
      </c>
      <c r="M56" s="63" t="str">
        <f>IF(AND('Mapa final'!$AJ$41="Muy Baja",'Mapa final'!$AL$41="Leve"),CONCATENATE("R2C",'Mapa final'!$S$41),"")</f>
        <v/>
      </c>
      <c r="N56" s="63" t="str">
        <f>IF(AND('Mapa final'!$AJ$42="Muy Baja",'Mapa final'!$AL$42="Leve"),CONCATENATE("R2C",'Mapa final'!$S$42),"")</f>
        <v/>
      </c>
      <c r="O56" s="63" t="str">
        <f>IF(AND('Mapa final'!$AJ$43="Muy Baja",'Mapa final'!$AL$43="Leve"),CONCATENATE("R2C",'Mapa final'!$S$43),"")</f>
        <v/>
      </c>
      <c r="P56" s="64" t="str">
        <f>IF(AND('Mapa final'!$AJ$44="Muy Baja",'Mapa final'!$AL$44="Leve"),CONCATENATE("R2C",'Mapa final'!$S$44),"")</f>
        <v/>
      </c>
      <c r="Q56" s="62" t="str">
        <f>IF(AND('Mapa final'!$AJ$39="Muy Baja",'Mapa final'!$AL$39="Menor"),CONCATENATE("R2C",'Mapa final'!$S$39),"")</f>
        <v/>
      </c>
      <c r="R56" s="63" t="str">
        <f>IF(AND('Mapa final'!$AJ$40="Muy Baja",'Mapa final'!$AL$40="Menor"),CONCATENATE("R2C",'Mapa final'!$S$40),"")</f>
        <v/>
      </c>
      <c r="S56" s="63" t="str">
        <f>IF(AND('Mapa final'!$AJ$41="Muy Baja",'Mapa final'!$AL$41="Menor"),CONCATENATE("R2C",'Mapa final'!$S$41),"")</f>
        <v/>
      </c>
      <c r="T56" s="63" t="str">
        <f>IF(AND('Mapa final'!$AJ$42="Muy Baja",'Mapa final'!$AL$42="Menor"),CONCATENATE("R2C",'Mapa final'!$S$42),"")</f>
        <v/>
      </c>
      <c r="U56" s="63" t="str">
        <f>IF(AND('Mapa final'!$AJ$43="Muy Baja",'Mapa final'!$AL$43="Menor"),CONCATENATE("R2C",'Mapa final'!$S$43),"")</f>
        <v/>
      </c>
      <c r="V56" s="64" t="str">
        <f>IF(AND('Mapa final'!$AJ$44="Muy Baja",'Mapa final'!$AL$44="Menor"),CONCATENATE("R2C",'Mapa final'!$S$44),"")</f>
        <v/>
      </c>
      <c r="W56" s="53" t="str">
        <f>IF(AND('Mapa final'!$AJ$39="Muy Baja",'Mapa final'!$AL$39="Moderado"),CONCATENATE("R2C",'Mapa final'!$S$39),"")</f>
        <v/>
      </c>
      <c r="X56" s="54" t="str">
        <f>IF(AND('Mapa final'!$AJ$40="Muy Baja",'Mapa final'!$AL$40="Moderado"),CONCATENATE("R2C",'Mapa final'!$S$40),"")</f>
        <v/>
      </c>
      <c r="Y56" s="54" t="str">
        <f>IF(AND('Mapa final'!$AJ$41="Muy Baja",'Mapa final'!$AL$41="Moderado"),CONCATENATE("R2C",'Mapa final'!$S$41),"")</f>
        <v/>
      </c>
      <c r="Z56" s="54" t="str">
        <f>IF(AND('Mapa final'!$AJ$42="Muy Baja",'Mapa final'!$AL$42="Moderado"),CONCATENATE("R2C",'Mapa final'!$S$42),"")</f>
        <v/>
      </c>
      <c r="AA56" s="54" t="str">
        <f>IF(AND('Mapa final'!$AJ$43="Muy Baja",'Mapa final'!$AL$43="Moderado"),CONCATENATE("R2C",'Mapa final'!$S$43),"")</f>
        <v/>
      </c>
      <c r="AB56" s="55" t="str">
        <f>IF(AND('Mapa final'!$AJ$44="Muy Baja",'Mapa final'!$AL$44="Moderado"),CONCATENATE("R2C",'Mapa final'!$S$44),"")</f>
        <v/>
      </c>
      <c r="AC56" s="38" t="str">
        <f>IF(AND('Mapa final'!$AJ$39="Muy Baja",'Mapa final'!$AL$39="Mayor"),CONCATENATE("R2C",'Mapa final'!$S$39),"")</f>
        <v/>
      </c>
      <c r="AD56" s="39" t="str">
        <f>IF(AND('Mapa final'!$AJ$40="Muy Baja",'Mapa final'!$AL$40="Mayor"),CONCATENATE("R2C",'Mapa final'!$S$40),"")</f>
        <v/>
      </c>
      <c r="AE56" s="39" t="str">
        <f>IF(AND('Mapa final'!$AJ$41="Muy Baja",'Mapa final'!$AL$41="Mayor"),CONCATENATE("R2C",'Mapa final'!$S$41),"")</f>
        <v/>
      </c>
      <c r="AF56" s="39" t="str">
        <f>IF(AND('Mapa final'!$AJ$42="Muy Baja",'Mapa final'!$AL$42="Mayor"),CONCATENATE("R2C",'Mapa final'!$S$42),"")</f>
        <v/>
      </c>
      <c r="AG56" s="39" t="str">
        <f>IF(AND('Mapa final'!$AJ$43="Muy Baja",'Mapa final'!$AL$43="Mayor"),CONCATENATE("R2C",'Mapa final'!$S$43),"")</f>
        <v/>
      </c>
      <c r="AH56" s="40" t="str">
        <f>IF(AND('Mapa final'!$AJ$44="Muy Baja",'Mapa final'!$AL$44="Mayor"),CONCATENATE("R2C",'Mapa final'!$S$44),"")</f>
        <v/>
      </c>
      <c r="AI56" s="41" t="str">
        <f>IF(AND('Mapa final'!$AJ$39="Muy Baja",'Mapa final'!$AL$39="Catastrófico"),CONCATENATE("R2C",'Mapa final'!$S$39),"")</f>
        <v/>
      </c>
      <c r="AJ56" s="42" t="str">
        <f>IF(AND('Mapa final'!$AJ$40="Muy Baja",'Mapa final'!$AL$40="Catastrófico"),CONCATENATE("R2C",'Mapa final'!$S$40),"")</f>
        <v/>
      </c>
      <c r="AK56" s="42" t="str">
        <f>IF(AND('Mapa final'!$AJ$41="Muy Baja",'Mapa final'!$AL$41="Catastrófico"),CONCATENATE("R2C",'Mapa final'!$S$41),"")</f>
        <v/>
      </c>
      <c r="AL56" s="42" t="str">
        <f>IF(AND('Mapa final'!$AJ$42="Muy Baja",'Mapa final'!$AL$42="Catastrófico"),CONCATENATE("R2C",'Mapa final'!$S$42),"")</f>
        <v/>
      </c>
      <c r="AM56" s="42" t="str">
        <f>IF(AND('Mapa final'!$AJ$43="Muy Baja",'Mapa final'!$AL$43="Catastrófico"),CONCATENATE("R2C",'Mapa final'!$S$43),"")</f>
        <v/>
      </c>
      <c r="AN56" s="43" t="str">
        <f>IF(AND('Mapa final'!$AJ$44="Muy Baja",'Mapa final'!$AL$44="Catastrófico"),CONCATENATE("R2C",'Mapa final'!$S$44),"")</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439"/>
      <c r="D57" s="439"/>
      <c r="E57" s="440"/>
      <c r="F57" s="482"/>
      <c r="G57" s="483"/>
      <c r="H57" s="483"/>
      <c r="I57" s="483"/>
      <c r="J57" s="484"/>
      <c r="K57" s="62" t="str">
        <f>IF(AND('Mapa final'!$AJ$45="Muy Baja",'Mapa final'!$AL$45="Leve"),CONCATENATE("R2C",'Mapa final'!$S$45),"")</f>
        <v/>
      </c>
      <c r="L57" s="63" t="str">
        <f>IF(AND('Mapa final'!$AJ$46="Muy Baja",'Mapa final'!$AL$46="Leve"),CONCATENATE("R2C",'Mapa final'!$S$46),"")</f>
        <v/>
      </c>
      <c r="M57" s="63" t="str">
        <f>IF(AND('Mapa final'!$AJ$47="Muy Baja",'Mapa final'!$AL$47="Leve"),CONCATENATE("R2C",'Mapa final'!$S$47),"")</f>
        <v/>
      </c>
      <c r="N57" s="63" t="str">
        <f>IF(AND('Mapa final'!$AJ$48="Muy Baja",'Mapa final'!$AL$48="Leve"),CONCATENATE("R2C",'Mapa final'!$S$48),"")</f>
        <v/>
      </c>
      <c r="O57" s="63" t="str">
        <f>IF(AND('Mapa final'!$AJ$49="Muy Baja",'Mapa final'!$AL$49="Leve"),CONCATENATE("R2C",'Mapa final'!$S$49),"")</f>
        <v/>
      </c>
      <c r="P57" s="64" t="str">
        <f>IF(AND('Mapa final'!$AJ$60="Muy Baja",'Mapa final'!$AL$50="Leve"),CONCATENATE("R2C",'Mapa final'!$S$50),"")</f>
        <v/>
      </c>
      <c r="Q57" s="62" t="str">
        <f>IF(AND('Mapa final'!$AJ$45="Muy Baja",'Mapa final'!$AL$45="Menor"),CONCATENATE("R2C",'Mapa final'!$S$45),"")</f>
        <v/>
      </c>
      <c r="R57" s="63" t="str">
        <f>IF(AND('Mapa final'!$AJ$46="Muy Baja",'Mapa final'!$AL$46="Menor"),CONCATENATE("R2C",'Mapa final'!$S$46),"")</f>
        <v/>
      </c>
      <c r="S57" s="63" t="str">
        <f>IF(AND('Mapa final'!$AJ$47="Muy Baja",'Mapa final'!$AL$47="Menor"),CONCATENATE("R2C",'Mapa final'!$S$47),"")</f>
        <v/>
      </c>
      <c r="T57" s="63" t="str">
        <f>IF(AND('Mapa final'!$AJ$48="Muy Baja",'Mapa final'!$AL$48="Menor"),CONCATENATE("R2C",'Mapa final'!$S$48),"")</f>
        <v/>
      </c>
      <c r="U57" s="63" t="str">
        <f>IF(AND('Mapa final'!$AJ$49="Muy Baja",'Mapa final'!$AL$49="Menor"),CONCATENATE("R2C",'Mapa final'!$S$49),"")</f>
        <v/>
      </c>
      <c r="V57" s="64" t="str">
        <f>IF(AND('Mapa final'!$AJ$60="Muy Baja",'Mapa final'!$AL$50="Menor"),CONCATENATE("R2C",'Mapa final'!$S$50),"")</f>
        <v/>
      </c>
      <c r="W57" s="53" t="str">
        <f>IF(AND('Mapa final'!$AJ$45="Muy Baja",'Mapa final'!$AL$45="Moderado"),CONCATENATE("R2C",'Mapa final'!$S$45),"")</f>
        <v/>
      </c>
      <c r="X57" s="54" t="str">
        <f>IF(AND('Mapa final'!$AJ$46="Muy Baja",'Mapa final'!$AL$46="Moderado"),CONCATENATE("R2C",'Mapa final'!$S$46),"")</f>
        <v/>
      </c>
      <c r="Y57" s="54" t="str">
        <f>IF(AND('Mapa final'!$AJ$47="Muy Baja",'Mapa final'!$AL$47="Moderado"),CONCATENATE("R2C",'Mapa final'!$S$47),"")</f>
        <v/>
      </c>
      <c r="Z57" s="54" t="str">
        <f>IF(AND('Mapa final'!$AJ$48="Muy Baja",'Mapa final'!$AL$48="Moderado"),CONCATENATE("R2C",'Mapa final'!$S$48),"")</f>
        <v/>
      </c>
      <c r="AA57" s="54" t="str">
        <f>IF(AND('Mapa final'!$AJ$49="Muy Baja",'Mapa final'!$AL$49="Moderado"),CONCATENATE("R2C",'Mapa final'!$S$49),"")</f>
        <v/>
      </c>
      <c r="AB57" s="55" t="str">
        <f>IF(AND('Mapa final'!$AJ$60="Muy Baja",'Mapa final'!$AL$50="Moderado"),CONCATENATE("R2C",'Mapa final'!$S$50),"")</f>
        <v/>
      </c>
      <c r="AC57" s="38" t="str">
        <f>IF(AND('Mapa final'!$AJ$45="Muy Baja",'Mapa final'!$AL$45="Mayor"),CONCATENATE("R2C",'Mapa final'!$S$45),"")</f>
        <v/>
      </c>
      <c r="AD57" s="39" t="str">
        <f>IF(AND('Mapa final'!$AJ$46="Muy Baja",'Mapa final'!$AL$46="Mayor"),CONCATENATE("R2C",'Mapa final'!$S$46),"")</f>
        <v/>
      </c>
      <c r="AE57" s="39" t="str">
        <f>IF(AND('Mapa final'!$AJ$47="Muy Baja",'Mapa final'!$AL$47="Mayor"),CONCATENATE("R2C",'Mapa final'!$S$47),"")</f>
        <v/>
      </c>
      <c r="AF57" s="39" t="str">
        <f>IF(AND('Mapa final'!$AJ$48="Muy Baja",'Mapa final'!$AL$48="Mayor"),CONCATENATE("R2C",'Mapa final'!$S$48),"")</f>
        <v/>
      </c>
      <c r="AG57" s="39" t="str">
        <f>IF(AND('Mapa final'!$AJ$49="Muy Baja",'Mapa final'!$AL$49="Mayor"),CONCATENATE("R2C",'Mapa final'!$S$49),"")</f>
        <v/>
      </c>
      <c r="AH57" s="40" t="str">
        <f>IF(AND('Mapa final'!$AJ$60="Muy Baja",'Mapa final'!$AL$50="Mayor"),CONCATENATE("R2C",'Mapa final'!$S$50),"")</f>
        <v/>
      </c>
      <c r="AI57" s="41" t="str">
        <f>IF(AND('Mapa final'!$AJ$45="Muy Baja",'Mapa final'!$AL$45="Catastrófico"),CONCATENATE("R2C",'Mapa final'!$S$45),"")</f>
        <v/>
      </c>
      <c r="AJ57" s="42" t="str">
        <f>IF(AND('Mapa final'!$AJ$46="Muy Baja",'Mapa final'!$AL$46="Catastrófico"),CONCATENATE("R2C",'Mapa final'!$S$46),"")</f>
        <v/>
      </c>
      <c r="AK57" s="42" t="str">
        <f>IF(AND('Mapa final'!$AJ$47="Muy Baja",'Mapa final'!$AL$47="Catastrófico"),CONCATENATE("R2C",'Mapa final'!$S$47),"")</f>
        <v/>
      </c>
      <c r="AL57" s="42" t="str">
        <f>IF(AND('Mapa final'!$AJ$48="Muy Baja",'Mapa final'!$AL$48="Catastrófico"),CONCATENATE("R2C",'Mapa final'!$S$48),"")</f>
        <v/>
      </c>
      <c r="AM57" s="42" t="str">
        <f>IF(AND('Mapa final'!$AJ$49="Muy Baja",'Mapa final'!$AL$49="Catastrófico"),CONCATENATE("R2C",'Mapa final'!$S$49),"")</f>
        <v/>
      </c>
      <c r="AN57" s="43" t="str">
        <f>IF(AND('Mapa final'!$AJ$60="Muy Baja",'Mapa final'!$AL$50="Catastrófico"),CONCATENATE("R2C",'Mapa final'!$S$50),"")</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439"/>
      <c r="D58" s="439"/>
      <c r="E58" s="440"/>
      <c r="F58" s="482"/>
      <c r="G58" s="483"/>
      <c r="H58" s="483"/>
      <c r="I58" s="483"/>
      <c r="J58" s="484"/>
      <c r="K58" s="62" t="str">
        <f>IF(AND('Mapa final'!$AJ$51="Muy Baja",'Mapa final'!$AL$51="Leve"),CONCATENATE("R2C",'Mapa final'!$S$51),"")</f>
        <v/>
      </c>
      <c r="L58" s="63" t="str">
        <f>IF(AND('Mapa final'!$AJ$52="Muy Baja",'Mapa final'!$AL$52="Leve"),CONCATENATE("R2C",'Mapa final'!$S$52),"")</f>
        <v/>
      </c>
      <c r="M58" s="63" t="str">
        <f>IF(AND('Mapa final'!$AJ$53="Muy Baja",'Mapa final'!$AL$53="Leve"),CONCATENATE("R2C",'Mapa final'!$S$53),"")</f>
        <v/>
      </c>
      <c r="N58" s="63" t="str">
        <f>IF(AND('Mapa final'!$AJ$54="Muy Baja",'Mapa final'!$AL$54="Leve"),CONCATENATE("R2C",'Mapa final'!$S$54),"")</f>
        <v/>
      </c>
      <c r="O58" s="63" t="str">
        <f>IF(AND('Mapa final'!$AJ$55="Muy Baja",'Mapa final'!$AL$55="Leve"),CONCATENATE("R2C",'Mapa final'!$S$55),"")</f>
        <v/>
      </c>
      <c r="P58" s="64" t="str">
        <f>IF(AND('Mapa final'!$AJ$56="Muy Baja",'Mapa final'!$AL$56="Leve"),CONCATENATE("R2C",'Mapa final'!$S$56),"")</f>
        <v/>
      </c>
      <c r="Q58" s="62" t="str">
        <f>IF(AND('Mapa final'!$AJ$51="Muy Baja",'Mapa final'!$AL$51="Menor"),CONCATENATE("R2C",'Mapa final'!$S$51),"")</f>
        <v/>
      </c>
      <c r="R58" s="63" t="str">
        <f>IF(AND('Mapa final'!$AJ$52="Muy Baja",'Mapa final'!$AL$52="Menor"),CONCATENATE("R2C",'Mapa final'!$S$52),"")</f>
        <v/>
      </c>
      <c r="S58" s="63" t="str">
        <f>IF(AND('Mapa final'!$AJ$53="Muy Baja",'Mapa final'!$AL$53="Menor"),CONCATENATE("R2C",'Mapa final'!$S$53),"")</f>
        <v/>
      </c>
      <c r="T58" s="63" t="str">
        <f>IF(AND('Mapa final'!$AJ$54="Muy Baja",'Mapa final'!$AL$54="Menor"),CONCATENATE("R2C",'Mapa final'!$S$54),"")</f>
        <v/>
      </c>
      <c r="U58" s="63" t="str">
        <f>IF(AND('Mapa final'!$AJ$55="Muy Baja",'Mapa final'!$AL$55="Menor"),CONCATENATE("R2C",'Mapa final'!$S$55),"")</f>
        <v/>
      </c>
      <c r="V58" s="64" t="str">
        <f>IF(AND('Mapa final'!$AJ$56="Muy Baja",'Mapa final'!$AL$56="Menor"),CONCATENATE("R2C",'Mapa final'!$S$56),"")</f>
        <v/>
      </c>
      <c r="W58" s="53" t="str">
        <f>IF(AND('Mapa final'!$AJ$51="Muy Baja",'Mapa final'!$AL$51="Moderado"),CONCATENATE("R2C",'Mapa final'!$S$51),"")</f>
        <v/>
      </c>
      <c r="X58" s="54" t="str">
        <f>IF(AND('Mapa final'!$AJ$52="Muy Baja",'Mapa final'!$AL$52="Moderado"),CONCATENATE("R2C",'Mapa final'!$S$52),"")</f>
        <v/>
      </c>
      <c r="Y58" s="54" t="str">
        <f>IF(AND('Mapa final'!$AJ$53="Muy Baja",'Mapa final'!$AL$53="Moderado"),CONCATENATE("R2C",'Mapa final'!$S$53),"")</f>
        <v/>
      </c>
      <c r="Z58" s="54" t="str">
        <f>IF(AND('Mapa final'!$AJ$54="Muy Baja",'Mapa final'!$AL$54="Moderado"),CONCATENATE("R2C",'Mapa final'!$S$54),"")</f>
        <v/>
      </c>
      <c r="AA58" s="54" t="str">
        <f>IF(AND('Mapa final'!$AJ$55="Muy Baja",'Mapa final'!$AL$55="Moderado"),CONCATENATE("R2C",'Mapa final'!$S$55),"")</f>
        <v/>
      </c>
      <c r="AB58" s="55" t="str">
        <f>IF(AND('Mapa final'!$AJ$56="Muy Baja",'Mapa final'!$AL$56="Moderado"),CONCATENATE("R2C",'Mapa final'!$S$56),"")</f>
        <v/>
      </c>
      <c r="AC58" s="38" t="str">
        <f>IF(AND('Mapa final'!$AJ$51="Muy Baja",'Mapa final'!$AL$51="Mayor"),CONCATENATE("R2C",'Mapa final'!$S$51),"")</f>
        <v/>
      </c>
      <c r="AD58" s="39" t="str">
        <f>IF(AND('Mapa final'!$AJ$52="Muy Baja",'Mapa final'!$AL$52="Mayor"),CONCATENATE("R2C",'Mapa final'!$S$52),"")</f>
        <v/>
      </c>
      <c r="AE58" s="39" t="str">
        <f>IF(AND('Mapa final'!$AJ$53="Muy Baja",'Mapa final'!$AL$53="Mayor"),CONCATENATE("R2C",'Mapa final'!$S$53),"")</f>
        <v/>
      </c>
      <c r="AF58" s="39" t="str">
        <f>IF(AND('Mapa final'!$AJ$54="Muy Baja",'Mapa final'!$AL$54="Mayor"),CONCATENATE("R2C",'Mapa final'!$S$54),"")</f>
        <v/>
      </c>
      <c r="AG58" s="39" t="str">
        <f>IF(AND('Mapa final'!$AJ$55="Muy Baja",'Mapa final'!$AL$55="Mayor"),CONCATENATE("R2C",'Mapa final'!$S$55),"")</f>
        <v/>
      </c>
      <c r="AH58" s="40" t="str">
        <f>IF(AND('Mapa final'!$AJ$56="Muy Baja",'Mapa final'!$AL$56="Mayor"),CONCATENATE("R2C",'Mapa final'!$S$56),"")</f>
        <v/>
      </c>
      <c r="AI58" s="41" t="str">
        <f>IF(AND('Mapa final'!$AJ$51="Muy Baja",'Mapa final'!$AL$51="Catastrófico"),CONCATENATE("R2C",'Mapa final'!$S$51),"")</f>
        <v/>
      </c>
      <c r="AJ58" s="42" t="str">
        <f>IF(AND('Mapa final'!$AJ$52="Muy Baja",'Mapa final'!$AL$52="Catastrófico"),CONCATENATE("R2C",'Mapa final'!$S$52),"")</f>
        <v/>
      </c>
      <c r="AK58" s="42" t="str">
        <f>IF(AND('Mapa final'!$AJ$53="Muy Baja",'Mapa final'!$AL$53="Catastrófico"),CONCATENATE("R2C",'Mapa final'!$S$53),"")</f>
        <v/>
      </c>
      <c r="AL58" s="42" t="str">
        <f>IF(AND('Mapa final'!$AJ$54="Muy Baja",'Mapa final'!$AL$54="Catastrófico"),CONCATENATE("R2C",'Mapa final'!$S$54),"")</f>
        <v/>
      </c>
      <c r="AM58" s="42" t="str">
        <f>IF(AND('Mapa final'!$AJ$55="Muy Baja",'Mapa final'!$AL$55="Catastrófico"),CONCATENATE("R2C",'Mapa final'!$S$55),"")</f>
        <v/>
      </c>
      <c r="AN58" s="43" t="str">
        <f>IF(AND('Mapa final'!$AJ$56="Muy Baja",'Mapa final'!$AL$56="Catastrófico"),CONCATENATE("R2C",'Mapa final'!$S$56),"")</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439"/>
      <c r="D59" s="439"/>
      <c r="E59" s="440"/>
      <c r="F59" s="482"/>
      <c r="G59" s="483"/>
      <c r="H59" s="483"/>
      <c r="I59" s="483"/>
      <c r="J59" s="484"/>
      <c r="K59" s="62" t="str">
        <f>IF(AND('Mapa final'!$AJ$57="Muy Baja",'Mapa final'!$AL$57="Leve"),CONCATENATE("R2C",'Mapa final'!$S$57),"")</f>
        <v/>
      </c>
      <c r="L59" s="63" t="str">
        <f>IF(AND('Mapa final'!$AJ$58="Muy Baja",'Mapa final'!$AL$58="Leve"),CONCATENATE("R2C",'Mapa final'!$S$58),"")</f>
        <v/>
      </c>
      <c r="M59" s="63" t="str">
        <f>IF(AND('Mapa final'!$AJ$59="Muy Baja",'Mapa final'!$AL$59="Leve"),CONCATENATE("R2C",'Mapa final'!$S$59),"")</f>
        <v/>
      </c>
      <c r="N59" s="63" t="str">
        <f>IF(AND('Mapa final'!$AJ$60="Muy Baja",'Mapa final'!$AL$60="Leve"),CONCATENATE("R2C",'Mapa final'!$S$60),"")</f>
        <v/>
      </c>
      <c r="O59" s="63" t="str">
        <f>IF(AND('Mapa final'!$AJ$61="Muy Baja",'Mapa final'!$AL$61="Leve"),CONCATENATE("R2C",'Mapa final'!$S$61),"")</f>
        <v/>
      </c>
      <c r="P59" s="64" t="str">
        <f>IF(AND('Mapa final'!$AJ$62="Muy Baja",'Mapa final'!$AL$62="Leve"),CONCATENATE("R2C",'Mapa final'!$S$62),"")</f>
        <v/>
      </c>
      <c r="Q59" s="62" t="str">
        <f>IF(AND('Mapa final'!$AJ$57="Muy Baja",'Mapa final'!$AL$57="Menor"),CONCATENATE("R2C",'Mapa final'!$S$57),"")</f>
        <v/>
      </c>
      <c r="R59" s="63" t="str">
        <f>IF(AND('Mapa final'!$AJ$58="Muy Baja",'Mapa final'!$AL$58="Menor"),CONCATENATE("R2C",'Mapa final'!$S$58),"")</f>
        <v/>
      </c>
      <c r="S59" s="63" t="str">
        <f>IF(AND('Mapa final'!$AJ$59="Muy Baja",'Mapa final'!$AL$59="Menor"),CONCATENATE("R2C",'Mapa final'!$S$59),"")</f>
        <v/>
      </c>
      <c r="T59" s="63" t="str">
        <f>IF(AND('Mapa final'!$AJ$60="Muy Baja",'Mapa final'!$AL$60="Menor"),CONCATENATE("R2C",'Mapa final'!$S$60),"")</f>
        <v/>
      </c>
      <c r="U59" s="63" t="str">
        <f>IF(AND('Mapa final'!$AJ$61="Muy Baja",'Mapa final'!$AL$61="Menor"),CONCATENATE("R2C",'Mapa final'!$S$61),"")</f>
        <v/>
      </c>
      <c r="V59" s="64" t="str">
        <f>IF(AND('Mapa final'!$AJ$62="Muy Baja",'Mapa final'!$AL$62="Menor"),CONCATENATE("R2C",'Mapa final'!$S$62),"")</f>
        <v/>
      </c>
      <c r="W59" s="53" t="str">
        <f>IF(AND('Mapa final'!$AJ$57="Muy Baja",'Mapa final'!$AL$57="Moderado"),CONCATENATE("R2C",'Mapa final'!$S$57),"")</f>
        <v/>
      </c>
      <c r="X59" s="54" t="str">
        <f>IF(AND('Mapa final'!$AJ$58="Muy Baja",'Mapa final'!$AL$58="Moderado"),CONCATENATE("R2C",'Mapa final'!$S$58),"")</f>
        <v/>
      </c>
      <c r="Y59" s="54" t="str">
        <f>IF(AND('Mapa final'!$AJ$59="Muy Baja",'Mapa final'!$AL$59="Moderado"),CONCATENATE("R2C",'Mapa final'!$S$59),"")</f>
        <v/>
      </c>
      <c r="Z59" s="54" t="str">
        <f>IF(AND('Mapa final'!$AJ$60="Muy Baja",'Mapa final'!$AL$60="Moderado"),CONCATENATE("R2C",'Mapa final'!$S$60),"")</f>
        <v/>
      </c>
      <c r="AA59" s="54" t="str">
        <f>IF(AND('Mapa final'!$AJ$61="Muy Baja",'Mapa final'!$AL$61="Moderado"),CONCATENATE("R2C",'Mapa final'!$S$61),"")</f>
        <v/>
      </c>
      <c r="AB59" s="55" t="str">
        <f>IF(AND('Mapa final'!$AJ$62="Muy Baja",'Mapa final'!$AL$62="Moderado"),CONCATENATE("R2C",'Mapa final'!$S$62),"")</f>
        <v/>
      </c>
      <c r="AC59" s="38" t="str">
        <f>IF(AND('Mapa final'!$AJ$57="Muy Baja",'Mapa final'!$AL$57="Mayor"),CONCATENATE("R2C",'Mapa final'!$S$57),"")</f>
        <v/>
      </c>
      <c r="AD59" s="39" t="str">
        <f>IF(AND('Mapa final'!$AJ$58="Muy Baja",'Mapa final'!$AL$58="Mayor"),CONCATENATE("R2C",'Mapa final'!$S$58),"")</f>
        <v/>
      </c>
      <c r="AE59" s="39" t="str">
        <f>IF(AND('Mapa final'!$AJ$59="Muy Baja",'Mapa final'!$AL$59="Mayor"),CONCATENATE("R2C",'Mapa final'!$S$59),"")</f>
        <v/>
      </c>
      <c r="AF59" s="39" t="str">
        <f>IF(AND('Mapa final'!$AJ$60="Muy Baja",'Mapa final'!$AL$60="Mayor"),CONCATENATE("R2C",'Mapa final'!$S$60),"")</f>
        <v/>
      </c>
      <c r="AG59" s="39" t="str">
        <f>IF(AND('Mapa final'!$AJ$61="Muy Baja",'Mapa final'!$AL$61="Mayor"),CONCATENATE("R2C",'Mapa final'!$S$61),"")</f>
        <v/>
      </c>
      <c r="AH59" s="40" t="str">
        <f>IF(AND('Mapa final'!$AJ$62="Muy Baja",'Mapa final'!$AL$62="Mayor"),CONCATENATE("R2C",'Mapa final'!$S$62),"")</f>
        <v/>
      </c>
      <c r="AI59" s="41" t="str">
        <f>IF(AND('Mapa final'!$AJ$57="Muy Baja",'Mapa final'!$AL$57="Catastrófico"),CONCATENATE("R2C",'Mapa final'!$S$57),"")</f>
        <v/>
      </c>
      <c r="AJ59" s="42" t="str">
        <f>IF(AND('Mapa final'!$AJ$58="Muy Baja",'Mapa final'!$AL$58="Catastrófico"),CONCATENATE("R2C",'Mapa final'!$S$58),"")</f>
        <v/>
      </c>
      <c r="AK59" s="42" t="str">
        <f>IF(AND('Mapa final'!$AJ$59="Muy Baja",'Mapa final'!$AL$59="Catastrófico"),CONCATENATE("R2C",'Mapa final'!$S$59),"")</f>
        <v/>
      </c>
      <c r="AL59" s="42" t="str">
        <f>IF(AND('Mapa final'!$AJ$60="Muy Baja",'Mapa final'!$AL$60="Catastrófico"),CONCATENATE("R2C",'Mapa final'!$S$60),"")</f>
        <v/>
      </c>
      <c r="AM59" s="42" t="str">
        <f>IF(AND('Mapa final'!$AJ$61="Muy Baja",'Mapa final'!$AL$61="Catastrófico"),CONCATENATE("R2C",'Mapa final'!$S$61),"")</f>
        <v/>
      </c>
      <c r="AN59" s="43" t="str">
        <f>IF(AND('Mapa final'!$AJ$62="Muy Baja",'Mapa final'!$AL$62="Catastrófico"),CONCATENATE("R2C",'Mapa final'!$S$62),"")</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439"/>
      <c r="D60" s="439"/>
      <c r="E60" s="440"/>
      <c r="F60" s="482"/>
      <c r="G60" s="483"/>
      <c r="H60" s="483"/>
      <c r="I60" s="483"/>
      <c r="J60" s="484"/>
      <c r="K60" s="62" t="str">
        <f>IF(AND('Mapa final'!$AJ$63="Muy Baja",'Mapa final'!$AL$63="Leve"),CONCATENATE("R2C",'Mapa final'!$S$63),"")</f>
        <v/>
      </c>
      <c r="L60" s="63" t="str">
        <f>IF(AND('Mapa final'!$AJ$64="Muy Baja",'Mapa final'!$AL$64="Leve"),CONCATENATE("R2C",'Mapa final'!$S$64),"")</f>
        <v/>
      </c>
      <c r="M60" s="63" t="str">
        <f>IF(AND('Mapa final'!$AJ$65="Muy Baja",'Mapa final'!$AL$65="Leve"),CONCATENATE("R2C",'Mapa final'!$S$65),"")</f>
        <v/>
      </c>
      <c r="N60" s="63" t="str">
        <f>IF(AND('Mapa final'!$AJ$66="Muy Baja",'Mapa final'!$AL$66="Leve"),CONCATENATE("R2C",'Mapa final'!$S$66),"")</f>
        <v/>
      </c>
      <c r="O60" s="63" t="str">
        <f>IF(AND('Mapa final'!$AJ$67="Muy Baja",'Mapa final'!$AL$67="Leve"),CONCATENATE("R2C",'Mapa final'!$S$67),"")</f>
        <v/>
      </c>
      <c r="P60" s="64" t="str">
        <f>IF(AND('Mapa final'!$AJ$68="Muy Baja",'Mapa final'!$AL$68="Leve"),CONCATENATE("R2C",'Mapa final'!$S$68),"")</f>
        <v/>
      </c>
      <c r="Q60" s="62" t="str">
        <f>IF(AND('Mapa final'!$AJ$63="Muy Baja",'Mapa final'!$AL$63="Menor"),CONCATENATE("R2C",'Mapa final'!$S$63),"")</f>
        <v/>
      </c>
      <c r="R60" s="63" t="str">
        <f>IF(AND('Mapa final'!$AJ$64="Muy Baja",'Mapa final'!$AL$64="Menor"),CONCATENATE("R2C",'Mapa final'!$S$64),"")</f>
        <v/>
      </c>
      <c r="S60" s="63" t="str">
        <f>IF(AND('Mapa final'!$AJ$65="Muy Baja",'Mapa final'!$AL$65="Menor"),CONCATENATE("R2C",'Mapa final'!$S$65),"")</f>
        <v/>
      </c>
      <c r="T60" s="63" t="str">
        <f>IF(AND('Mapa final'!$AJ$66="Muy Baja",'Mapa final'!$AL$66="Menor"),CONCATENATE("R2C",'Mapa final'!$S$66),"")</f>
        <v/>
      </c>
      <c r="U60" s="63" t="str">
        <f>IF(AND('Mapa final'!$AJ$67="Muy Baja",'Mapa final'!$AL$67="Menor"),CONCATENATE("R2C",'Mapa final'!$S$67),"")</f>
        <v/>
      </c>
      <c r="V60" s="64" t="str">
        <f>IF(AND('Mapa final'!$AJ$68="Muy Baja",'Mapa final'!$AL$68="Menor"),CONCATENATE("R2C",'Mapa final'!$S$68),"")</f>
        <v/>
      </c>
      <c r="W60" s="53" t="str">
        <f>IF(AND('Mapa final'!$AJ$63="Muy Baja",'Mapa final'!$AL$63="Moderado"),CONCATENATE("R2C",'Mapa final'!$S$63),"")</f>
        <v/>
      </c>
      <c r="X60" s="54" t="str">
        <f>IF(AND('Mapa final'!$AJ$64="Muy Baja",'Mapa final'!$AL$64="Moderado"),CONCATENATE("R2C",'Mapa final'!$S$64),"")</f>
        <v/>
      </c>
      <c r="Y60" s="54" t="str">
        <f>IF(AND('Mapa final'!$AJ$65="Muy Baja",'Mapa final'!$AL$65="Moderado"),CONCATENATE("R2C",'Mapa final'!$S$65),"")</f>
        <v/>
      </c>
      <c r="Z60" s="54" t="str">
        <f>IF(AND('Mapa final'!$AJ$66="Muy Baja",'Mapa final'!$AL$66="Moderado"),CONCATENATE("R2C",'Mapa final'!$S$66),"")</f>
        <v/>
      </c>
      <c r="AA60" s="54" t="str">
        <f>IF(AND('Mapa final'!$AJ$67="Muy Baja",'Mapa final'!$AL$67="Moderado"),CONCATENATE("R2C",'Mapa final'!$S$67),"")</f>
        <v/>
      </c>
      <c r="AB60" s="55" t="str">
        <f>IF(AND('Mapa final'!$AJ$68="Muy Baja",'Mapa final'!$AL$68="Moderado"),CONCATENATE("R2C",'Mapa final'!$S$68),"")</f>
        <v/>
      </c>
      <c r="AC60" s="38" t="str">
        <f>IF(AND('Mapa final'!$AJ$63="Muy Baja",'Mapa final'!$AL$63="Mayor"),CONCATENATE("R2C",'Mapa final'!$S$63),"")</f>
        <v/>
      </c>
      <c r="AD60" s="39" t="str">
        <f>IF(AND('Mapa final'!$AJ$64="Muy Baja",'Mapa final'!$AL$64="Mayor"),CONCATENATE("R2C",'Mapa final'!$S$64),"")</f>
        <v/>
      </c>
      <c r="AE60" s="39" t="str">
        <f>IF(AND('Mapa final'!$AJ$65="Muy Baja",'Mapa final'!$AL$65="Mayor"),CONCATENATE("R2C",'Mapa final'!$S$65),"")</f>
        <v/>
      </c>
      <c r="AF60" s="39" t="str">
        <f>IF(AND('Mapa final'!$AJ$66="Muy Baja",'Mapa final'!$AL$66="Mayor"),CONCATENATE("R2C",'Mapa final'!$S$66),"")</f>
        <v/>
      </c>
      <c r="AG60" s="39" t="str">
        <f>IF(AND('Mapa final'!$AJ$67="Muy Baja",'Mapa final'!$AL$67="Mayor"),CONCATENATE("R2C",'Mapa final'!$S$67),"")</f>
        <v/>
      </c>
      <c r="AH60" s="40" t="str">
        <f>IF(AND('Mapa final'!$AJ$68="Muy Baja",'Mapa final'!$AL$68="Mayor"),CONCATENATE("R2C",'Mapa final'!$S$68),"")</f>
        <v/>
      </c>
      <c r="AI60" s="41" t="str">
        <f>IF(AND('Mapa final'!$AJ$63="Muy Baja",'Mapa final'!$AL$63="Catastrófico"),CONCATENATE("R2C",'Mapa final'!$S$63),"")</f>
        <v/>
      </c>
      <c r="AJ60" s="42" t="str">
        <f>IF(AND('Mapa final'!$AJ$64="Muy Baja",'Mapa final'!$AL$64="Catastrófico"),CONCATENATE("R2C",'Mapa final'!$S$64),"")</f>
        <v/>
      </c>
      <c r="AK60" s="42" t="str">
        <f>IF(AND('Mapa final'!$AJ$65="Muy Baja",'Mapa final'!$AL$65="Catastrófico"),CONCATENATE("R2C",'Mapa final'!$S$65),"")</f>
        <v/>
      </c>
      <c r="AL60" s="42" t="str">
        <f>IF(AND('Mapa final'!$AJ$66="Muy Baja",'Mapa final'!$AL$66="Catastrófico"),CONCATENATE("R2C",'Mapa final'!$S$66),"")</f>
        <v/>
      </c>
      <c r="AM60" s="42" t="str">
        <f>IF(AND('Mapa final'!$AJ$67="Muy Baja",'Mapa final'!$AL$67="Catastrófico"),CONCATENATE("R2C",'Mapa final'!$S$67),"")</f>
        <v/>
      </c>
      <c r="AN60" s="43" t="str">
        <f>IF(AND('Mapa final'!$AJ$68="Muy Baja",'Mapa final'!$AL$68="Catastrófico"),CONCATENATE("R2C",'Mapa final'!$S$68),"")</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439"/>
      <c r="D61" s="439"/>
      <c r="E61" s="440"/>
      <c r="F61" s="485"/>
      <c r="G61" s="486"/>
      <c r="H61" s="486"/>
      <c r="I61" s="486"/>
      <c r="J61" s="487"/>
      <c r="K61" s="65" t="str">
        <f>IF(AND('Mapa final'!$AJ$69="Muy Baja",'Mapa final'!$AL$69="Leve"),CONCATENATE("R2C",'Mapa final'!$S$69),"")</f>
        <v/>
      </c>
      <c r="L61" s="66" t="str">
        <f>IF(AND('Mapa final'!$AJ$70="Muy Baja",'Mapa final'!$AL$70="Leve"),CONCATENATE("R2C",'Mapa final'!$S$70),"")</f>
        <v/>
      </c>
      <c r="M61" s="66" t="str">
        <f>IF(AND('Mapa final'!$AJ$71="Muy Baja",'Mapa final'!$AL$71="Leve"),CONCATENATE("R2C",'Mapa final'!$S$71),"")</f>
        <v/>
      </c>
      <c r="N61" s="66" t="str">
        <f>IF(AND('Mapa final'!$AJ$72="Muy Baja",'Mapa final'!$AL$72="Leve"),CONCATENATE("R2C",'Mapa final'!$S$72),"")</f>
        <v/>
      </c>
      <c r="O61" s="66" t="str">
        <f>IF(AND('Mapa final'!$AJ$74="Muy Baja",'Mapa final'!$AL$74="Leve"),CONCATENATE("R2C",'Mapa final'!$S$74),"")</f>
        <v/>
      </c>
      <c r="P61" s="67" t="str">
        <f>IF(AND('Mapa final'!$AJ$75="Muy Baja",'Mapa final'!$AL$75="Leve"),CONCATENATE("R2C",'Mapa final'!$S$75),"")</f>
        <v/>
      </c>
      <c r="Q61" s="65" t="str">
        <f>IF(AND('Mapa final'!$AJ$69="Muy Baja",'Mapa final'!$AL$69="Menor"),CONCATENATE("R2C",'Mapa final'!$S$69),"")</f>
        <v/>
      </c>
      <c r="R61" s="66" t="str">
        <f>IF(AND('Mapa final'!$AJ$70="Muy Baja",'Mapa final'!$AL$70="Menor"),CONCATENATE("R2C",'Mapa final'!$S$70),"")</f>
        <v/>
      </c>
      <c r="S61" s="66" t="str">
        <f>IF(AND('Mapa final'!$AJ$71="Muy Baja",'Mapa final'!$AL$71="Menor"),CONCATENATE("R2C",'Mapa final'!$S$71),"")</f>
        <v/>
      </c>
      <c r="T61" s="66" t="str">
        <f>IF(AND('Mapa final'!$AJ$72="Muy Baja",'Mapa final'!$AL$72="Menor"),CONCATENATE("R2C",'Mapa final'!$S$72),"")</f>
        <v/>
      </c>
      <c r="U61" s="66" t="str">
        <f>IF(AND('Mapa final'!$AJ$74="Muy Baja",'Mapa final'!$AL$74="Menor"),CONCATENATE("R2C",'Mapa final'!$S$74),"")</f>
        <v/>
      </c>
      <c r="V61" s="67" t="str">
        <f>IF(AND('Mapa final'!$AJ$75="Muy Baja",'Mapa final'!$AL$75="Menor"),CONCATENATE("R2C",'Mapa final'!$S$75),"")</f>
        <v/>
      </c>
      <c r="W61" s="56" t="str">
        <f>IF(AND('Mapa final'!$AJ$69="Muy Baja",'Mapa final'!$AL$69="Moderado"),CONCATENATE("R2C",'Mapa final'!$S$69),"")</f>
        <v/>
      </c>
      <c r="X61" s="57" t="str">
        <f>IF(AND('Mapa final'!$AJ$70="Muy Baja",'Mapa final'!$AL$70="Moderado"),CONCATENATE("R2C",'Mapa final'!$S$70),"")</f>
        <v/>
      </c>
      <c r="Y61" s="57" t="str">
        <f>IF(AND('Mapa final'!$AJ$71="Muy Baja",'Mapa final'!$AL$71="Moderado"),CONCATENATE("R2C",'Mapa final'!$S$71),"")</f>
        <v/>
      </c>
      <c r="Z61" s="57" t="str">
        <f>IF(AND('Mapa final'!$AJ$72="Muy Baja",'Mapa final'!$AL$72="Moderado"),CONCATENATE("R2C",'Mapa final'!$S$72),"")</f>
        <v/>
      </c>
      <c r="AA61" s="57" t="str">
        <f>IF(AND('Mapa final'!$AJ$74="Muy Baja",'Mapa final'!$AL$74="Moderado"),CONCATENATE("R2C",'Mapa final'!$S$74),"")</f>
        <v/>
      </c>
      <c r="AB61" s="58" t="str">
        <f>IF(AND('Mapa final'!$AJ$75="Muy Baja",'Mapa final'!$AL$75="Moderado"),CONCATENATE("R2C",'Mapa final'!$S$75),"")</f>
        <v/>
      </c>
      <c r="AC61" s="44" t="str">
        <f>IF(AND('Mapa final'!$AJ$69="Muy Baja",'Mapa final'!$AL$69="Mayor"),CONCATENATE("R2C",'Mapa final'!$S$69),"")</f>
        <v/>
      </c>
      <c r="AD61" s="45" t="str">
        <f>IF(AND('Mapa final'!$AJ$70="Muy Baja",'Mapa final'!$AL$70="Mayor"),CONCATENATE("R2C",'Mapa final'!$S$70),"")</f>
        <v/>
      </c>
      <c r="AE61" s="45" t="str">
        <f>IF(AND('Mapa final'!$AJ$71="Muy Baja",'Mapa final'!$AL$71="Mayor"),CONCATENATE("R2C",'Mapa final'!$S$71),"")</f>
        <v/>
      </c>
      <c r="AF61" s="45" t="str">
        <f>IF(AND('Mapa final'!$AJ$72="Muy Baja",'Mapa final'!$AL$72="Mayor"),CONCATENATE("R2C",'Mapa final'!$S$72),"")</f>
        <v/>
      </c>
      <c r="AG61" s="45" t="str">
        <f>IF(AND('Mapa final'!$AJ$74="Muy Baja",'Mapa final'!$AL$74="Mayor"),CONCATENATE("R2C",'Mapa final'!$S$74),"")</f>
        <v/>
      </c>
      <c r="AH61" s="46" t="str">
        <f>IF(AND('Mapa final'!$AJ$75="Muy Baja",'Mapa final'!$AL$75="Mayor"),CONCATENATE("R2C",'Mapa final'!$S$75),"")</f>
        <v/>
      </c>
      <c r="AI61" s="47" t="str">
        <f>IF(AND('Mapa final'!$AJ$69="Muy Baja",'Mapa final'!$AL$69="Catastrófico"),CONCATENATE("R2C",'Mapa final'!$S$69),"")</f>
        <v/>
      </c>
      <c r="AJ61" s="48" t="str">
        <f>IF(AND('Mapa final'!$AJ$70="Muy Baja",'Mapa final'!$AL$70="Catastrófico"),CONCATENATE("R2C",'Mapa final'!$S$70),"")</f>
        <v/>
      </c>
      <c r="AK61" s="48" t="str">
        <f>IF(AND('Mapa final'!$AJ$71="Muy Baja",'Mapa final'!$AL$71="Catastrófico"),CONCATENATE("R2C",'Mapa final'!$S$71),"")</f>
        <v/>
      </c>
      <c r="AL61" s="48" t="str">
        <f>IF(AND('Mapa final'!$AJ$72="Muy Baja",'Mapa final'!$AL$72="Catastrófico"),CONCATENATE("R2C",'Mapa final'!$S$72),"")</f>
        <v/>
      </c>
      <c r="AM61" s="48" t="str">
        <f>IF(AND('Mapa final'!$AJ$74="Muy Baja",'Mapa final'!$AL$74="Catastrófico"),CONCATENATE("R2C",'Mapa final'!$S$74),"")</f>
        <v/>
      </c>
      <c r="AN61" s="49" t="str">
        <f>IF(AND('Mapa final'!$AJ$75="Muy Baja",'Mapa final'!$AL$75="Catastrófico"),CONCATENATE("R2C",'Mapa final'!$S$75),"")</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79" t="s">
        <v>111</v>
      </c>
      <c r="L62" s="480"/>
      <c r="M62" s="480"/>
      <c r="N62" s="480"/>
      <c r="O62" s="480"/>
      <c r="P62" s="481"/>
      <c r="Q62" s="479" t="s">
        <v>110</v>
      </c>
      <c r="R62" s="480"/>
      <c r="S62" s="480"/>
      <c r="T62" s="480"/>
      <c r="U62" s="480"/>
      <c r="V62" s="481"/>
      <c r="W62" s="479" t="s">
        <v>109</v>
      </c>
      <c r="X62" s="480"/>
      <c r="Y62" s="480"/>
      <c r="Z62" s="480"/>
      <c r="AA62" s="480"/>
      <c r="AB62" s="481"/>
      <c r="AC62" s="479" t="s">
        <v>108</v>
      </c>
      <c r="AD62" s="488"/>
      <c r="AE62" s="480"/>
      <c r="AF62" s="480"/>
      <c r="AG62" s="480"/>
      <c r="AH62" s="481"/>
      <c r="AI62" s="479" t="s">
        <v>107</v>
      </c>
      <c r="AJ62" s="480"/>
      <c r="AK62" s="480"/>
      <c r="AL62" s="480"/>
      <c r="AM62" s="480"/>
      <c r="AN62" s="481"/>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82"/>
      <c r="L63" s="483"/>
      <c r="M63" s="483"/>
      <c r="N63" s="483"/>
      <c r="O63" s="483"/>
      <c r="P63" s="484"/>
      <c r="Q63" s="482"/>
      <c r="R63" s="483"/>
      <c r="S63" s="483"/>
      <c r="T63" s="483"/>
      <c r="U63" s="483"/>
      <c r="V63" s="484"/>
      <c r="W63" s="482"/>
      <c r="X63" s="483"/>
      <c r="Y63" s="483"/>
      <c r="Z63" s="483"/>
      <c r="AA63" s="483"/>
      <c r="AB63" s="484"/>
      <c r="AC63" s="482"/>
      <c r="AD63" s="483"/>
      <c r="AE63" s="483"/>
      <c r="AF63" s="483"/>
      <c r="AG63" s="483"/>
      <c r="AH63" s="484"/>
      <c r="AI63" s="482"/>
      <c r="AJ63" s="483"/>
      <c r="AK63" s="483"/>
      <c r="AL63" s="483"/>
      <c r="AM63" s="483"/>
      <c r="AN63" s="484"/>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82"/>
      <c r="L64" s="483"/>
      <c r="M64" s="483"/>
      <c r="N64" s="483"/>
      <c r="O64" s="483"/>
      <c r="P64" s="484"/>
      <c r="Q64" s="482"/>
      <c r="R64" s="483"/>
      <c r="S64" s="483"/>
      <c r="T64" s="483"/>
      <c r="U64" s="483"/>
      <c r="V64" s="484"/>
      <c r="W64" s="482"/>
      <c r="X64" s="483"/>
      <c r="Y64" s="483"/>
      <c r="Z64" s="483"/>
      <c r="AA64" s="483"/>
      <c r="AB64" s="484"/>
      <c r="AC64" s="482"/>
      <c r="AD64" s="483"/>
      <c r="AE64" s="483"/>
      <c r="AF64" s="483"/>
      <c r="AG64" s="483"/>
      <c r="AH64" s="484"/>
      <c r="AI64" s="482"/>
      <c r="AJ64" s="483"/>
      <c r="AK64" s="483"/>
      <c r="AL64" s="483"/>
      <c r="AM64" s="483"/>
      <c r="AN64" s="484"/>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82"/>
      <c r="L65" s="483"/>
      <c r="M65" s="483"/>
      <c r="N65" s="483"/>
      <c r="O65" s="483"/>
      <c r="P65" s="484"/>
      <c r="Q65" s="482"/>
      <c r="R65" s="483"/>
      <c r="S65" s="483"/>
      <c r="T65" s="483"/>
      <c r="U65" s="483"/>
      <c r="V65" s="484"/>
      <c r="W65" s="482"/>
      <c r="X65" s="483"/>
      <c r="Y65" s="483"/>
      <c r="Z65" s="483"/>
      <c r="AA65" s="483"/>
      <c r="AB65" s="484"/>
      <c r="AC65" s="482"/>
      <c r="AD65" s="483"/>
      <c r="AE65" s="483"/>
      <c r="AF65" s="483"/>
      <c r="AG65" s="483"/>
      <c r="AH65" s="484"/>
      <c r="AI65" s="482"/>
      <c r="AJ65" s="483"/>
      <c r="AK65" s="483"/>
      <c r="AL65" s="483"/>
      <c r="AM65" s="483"/>
      <c r="AN65" s="484"/>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82"/>
      <c r="L66" s="483"/>
      <c r="M66" s="483"/>
      <c r="N66" s="483"/>
      <c r="O66" s="483"/>
      <c r="P66" s="484"/>
      <c r="Q66" s="482"/>
      <c r="R66" s="483"/>
      <c r="S66" s="483"/>
      <c r="T66" s="483"/>
      <c r="U66" s="483"/>
      <c r="V66" s="484"/>
      <c r="W66" s="482"/>
      <c r="X66" s="483"/>
      <c r="Y66" s="483"/>
      <c r="Z66" s="483"/>
      <c r="AA66" s="483"/>
      <c r="AB66" s="484"/>
      <c r="AC66" s="482"/>
      <c r="AD66" s="483"/>
      <c r="AE66" s="483"/>
      <c r="AF66" s="483"/>
      <c r="AG66" s="483"/>
      <c r="AH66" s="484"/>
      <c r="AI66" s="482"/>
      <c r="AJ66" s="483"/>
      <c r="AK66" s="483"/>
      <c r="AL66" s="483"/>
      <c r="AM66" s="483"/>
      <c r="AN66" s="484"/>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85"/>
      <c r="L67" s="486"/>
      <c r="M67" s="486"/>
      <c r="N67" s="486"/>
      <c r="O67" s="486"/>
      <c r="P67" s="487"/>
      <c r="Q67" s="485"/>
      <c r="R67" s="486"/>
      <c r="S67" s="486"/>
      <c r="T67" s="486"/>
      <c r="U67" s="486"/>
      <c r="V67" s="487"/>
      <c r="W67" s="485"/>
      <c r="X67" s="486"/>
      <c r="Y67" s="486"/>
      <c r="Z67" s="486"/>
      <c r="AA67" s="486"/>
      <c r="AB67" s="487"/>
      <c r="AC67" s="485"/>
      <c r="AD67" s="486"/>
      <c r="AE67" s="486"/>
      <c r="AF67" s="486"/>
      <c r="AG67" s="486"/>
      <c r="AH67" s="487"/>
      <c r="AI67" s="485"/>
      <c r="AJ67" s="486"/>
      <c r="AK67" s="486"/>
      <c r="AL67" s="486"/>
      <c r="AM67" s="486"/>
      <c r="AN67" s="487"/>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C2:J5"/>
    <mergeCell ref="K2:AN5"/>
    <mergeCell ref="AO2:AU2"/>
    <mergeCell ref="AO3:AU3"/>
    <mergeCell ref="AO4:AU4"/>
    <mergeCell ref="AO5:AU5"/>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A8:B8"/>
    <mergeCell ref="K62:P67"/>
    <mergeCell ref="Q62:V67"/>
    <mergeCell ref="W62:AB67"/>
    <mergeCell ref="AC62:AH6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H13" sqref="H13"/>
    </sheetView>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30" t="s">
        <v>244</v>
      </c>
      <c r="C2" s="533" t="s">
        <v>205</v>
      </c>
      <c r="D2" s="534"/>
      <c r="E2" s="124" t="s">
        <v>390</v>
      </c>
      <c r="F2" s="125"/>
    </row>
    <row r="3" spans="1:6" ht="15.75" customHeight="1" x14ac:dyDescent="0.25">
      <c r="B3" s="531"/>
      <c r="C3" s="260"/>
      <c r="D3" s="262"/>
      <c r="E3" s="124" t="s">
        <v>264</v>
      </c>
      <c r="F3" s="125"/>
    </row>
    <row r="4" spans="1:6" ht="16.5" customHeight="1" x14ac:dyDescent="0.25">
      <c r="B4" s="531"/>
      <c r="C4" s="260"/>
      <c r="D4" s="262"/>
      <c r="E4" s="124" t="s">
        <v>389</v>
      </c>
      <c r="F4" s="125"/>
    </row>
    <row r="5" spans="1:6" ht="15" customHeight="1" thickBot="1" x14ac:dyDescent="0.3">
      <c r="B5" s="532"/>
      <c r="C5" s="535"/>
      <c r="D5" s="536"/>
      <c r="E5" s="124" t="s">
        <v>245</v>
      </c>
      <c r="F5" s="125"/>
    </row>
    <row r="7" spans="1:6" x14ac:dyDescent="0.25">
      <c r="A7" s="537" t="s">
        <v>266</v>
      </c>
      <c r="B7" s="142" t="s">
        <v>246</v>
      </c>
      <c r="C7" s="143" t="s">
        <v>247</v>
      </c>
      <c r="D7" s="143" t="s">
        <v>248</v>
      </c>
      <c r="E7" s="143" t="s">
        <v>249</v>
      </c>
    </row>
    <row r="8" spans="1:6" ht="57" x14ac:dyDescent="0.25">
      <c r="A8" s="537"/>
      <c r="B8" s="126">
        <v>45687</v>
      </c>
      <c r="C8" s="127" t="s">
        <v>445</v>
      </c>
      <c r="D8" s="128" t="s">
        <v>446</v>
      </c>
      <c r="E8" s="128" t="s">
        <v>447</v>
      </c>
    </row>
    <row r="9" spans="1:6" x14ac:dyDescent="0.25">
      <c r="A9" s="537"/>
      <c r="B9" s="126"/>
      <c r="C9" s="127"/>
      <c r="D9" s="128"/>
      <c r="E9" s="128"/>
    </row>
    <row r="10" spans="1:6" x14ac:dyDescent="0.25">
      <c r="A10" s="537"/>
      <c r="B10" s="126"/>
      <c r="C10" s="127"/>
      <c r="D10" s="128"/>
      <c r="E10" s="128"/>
    </row>
    <row r="11" spans="1:6" x14ac:dyDescent="0.25">
      <c r="A11" s="537"/>
      <c r="B11" s="126"/>
      <c r="C11" s="127"/>
      <c r="D11" s="128"/>
      <c r="E11" s="128"/>
    </row>
    <row r="12" spans="1:6" x14ac:dyDescent="0.25">
      <c r="A12" s="537"/>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cp:lastModifiedBy>
  <cp:lastPrinted>2020-05-13T01:12:22Z</cp:lastPrinted>
  <dcterms:created xsi:type="dcterms:W3CDTF">2020-03-24T23:12:47Z</dcterms:created>
  <dcterms:modified xsi:type="dcterms:W3CDTF">2025-01-31T17:49:47Z</dcterms:modified>
</cp:coreProperties>
</file>