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codeName="ThisWorkbook" hidePivotFieldList="1" defaultThemeVersion="124226"/>
  <mc:AlternateContent xmlns:mc="http://schemas.openxmlformats.org/markup-compatibility/2006">
    <mc:Choice Requires="x15">
      <x15ac:absPath xmlns:x15ac="http://schemas.microsoft.com/office/spreadsheetml/2010/11/ac" url="https://itceduco-my.sharepoint.com/personal/mipg_itc_edu_co/Documents/SIG/Gestión de riesgos/Matrices de riesgos 2026/Docencia PES/"/>
    </mc:Choice>
  </mc:AlternateContent>
  <xr:revisionPtr revIDLastSave="1645" documentId="8_{40A9DF85-CA35-4856-8FA9-12C035AAE35B}" xr6:coauthVersionLast="47" xr6:coauthVersionMax="47" xr10:uidLastSave="{FDC65603-BE37-CB4C-BCBA-0D97C5631372}"/>
  <bookViews>
    <workbookView xWindow="-38480" yWindow="2060" windowWidth="37480" windowHeight="20360" tabRatio="882" activeTab="1" xr2:uid="{00000000-000D-0000-FFFF-FFFF00000000}"/>
  </bookViews>
  <sheets>
    <sheet name="PORTADA " sheetId="22" r:id="rId1"/>
    <sheet name="Mapa final" sheetId="1" r:id="rId2"/>
    <sheet name="Datos" sheetId="32" state="hidden" r:id="rId3"/>
    <sheet name="Formulas" sheetId="28" state="hidden" r:id="rId4"/>
    <sheet name="CRITERIOS R CORRUPCION" sheetId="27"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iterateDelta="1E-4"/>
  <pivotCaches>
    <pivotCache cacheId="7"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3" i="1" l="1"/>
  <c r="Y23" i="1"/>
  <c r="O28" i="1"/>
  <c r="O19" i="1"/>
  <c r="AB31" i="1" l="1"/>
  <c r="AB30" i="1"/>
  <c r="AB29" i="1"/>
  <c r="AB28" i="1"/>
  <c r="S28" i="1"/>
  <c r="T28" i="1" s="1"/>
  <c r="AK28" i="1" s="1"/>
  <c r="AJ28" i="1" s="1"/>
  <c r="P28" i="1"/>
  <c r="Q28" i="1" s="1"/>
  <c r="AB22" i="1"/>
  <c r="Y22" i="1"/>
  <c r="AI21" i="1"/>
  <c r="AB21" i="1"/>
  <c r="Y21" i="1"/>
  <c r="S21" i="1"/>
  <c r="T21" i="1" s="1"/>
  <c r="P21" i="1"/>
  <c r="Q21" i="1" s="1"/>
  <c r="AI24" i="1"/>
  <c r="AB24" i="1"/>
  <c r="S24" i="1"/>
  <c r="P24" i="1"/>
  <c r="Q24" i="1" s="1"/>
  <c r="AB20" i="1"/>
  <c r="Y20" i="1"/>
  <c r="AI19" i="1"/>
  <c r="AB19" i="1"/>
  <c r="Y19" i="1"/>
  <c r="S19" i="1"/>
  <c r="T19" i="1" s="1"/>
  <c r="P19" i="1"/>
  <c r="AK21" i="1" l="1"/>
  <c r="AJ21" i="1" s="1"/>
  <c r="AK19" i="1"/>
  <c r="AJ19" i="1" s="1"/>
  <c r="U24" i="1"/>
  <c r="U28" i="1"/>
  <c r="U21" i="1"/>
  <c r="AH28" i="1"/>
  <c r="AL28" i="1" s="1"/>
  <c r="AH21" i="1"/>
  <c r="T24" i="1"/>
  <c r="AK24" i="1" s="1"/>
  <c r="AJ24" i="1" s="1"/>
  <c r="U19" i="1"/>
  <c r="AH24" i="1"/>
  <c r="AH19" i="1"/>
  <c r="Q19" i="1"/>
  <c r="AL24" i="1" l="1"/>
  <c r="AL21" i="1"/>
  <c r="AL19" i="1"/>
  <c r="AB17" i="1"/>
  <c r="Y17" i="1"/>
  <c r="AB16" i="1"/>
  <c r="Y16" i="1"/>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Y15" i="1"/>
  <c r="AB33" i="1"/>
  <c r="AB34" i="1"/>
  <c r="P15" i="1" l="1"/>
  <c r="P32" i="1"/>
  <c r="S32" i="1"/>
  <c r="T32" i="1" s="1"/>
  <c r="AK32" i="1" s="1"/>
  <c r="S15" i="1"/>
  <c r="AB15" i="1"/>
  <c r="AB18" i="1"/>
  <c r="AB32" i="1"/>
  <c r="AB35" i="1"/>
  <c r="Y18" i="1"/>
  <c r="AE51" i="19" l="1"/>
  <c r="Q15" i="1" l="1"/>
  <c r="U15" i="1"/>
  <c r="Q32"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M54" i="19"/>
  <c r="L54" i="19"/>
  <c r="K54" i="19"/>
  <c r="AN53" i="19"/>
  <c r="AM53" i="19"/>
  <c r="AL53" i="19"/>
  <c r="AK53" i="19"/>
  <c r="AH53" i="19"/>
  <c r="AG53" i="19"/>
  <c r="AF53" i="19"/>
  <c r="AE53" i="19"/>
  <c r="AB53" i="19"/>
  <c r="AA53" i="19"/>
  <c r="Z53" i="19"/>
  <c r="Y53" i="19"/>
  <c r="V53" i="19"/>
  <c r="U53" i="19"/>
  <c r="T53" i="19"/>
  <c r="S53" i="19"/>
  <c r="P53" i="19"/>
  <c r="O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M44" i="19"/>
  <c r="L44" i="19"/>
  <c r="K44" i="19"/>
  <c r="AN43" i="19"/>
  <c r="AM43" i="19"/>
  <c r="AL43" i="19"/>
  <c r="AK43" i="19"/>
  <c r="AH43" i="19"/>
  <c r="AG43" i="19"/>
  <c r="AF43" i="19"/>
  <c r="AE43" i="19"/>
  <c r="AB43" i="19"/>
  <c r="AA43" i="19"/>
  <c r="Z43" i="19"/>
  <c r="Y43" i="19"/>
  <c r="V43" i="19"/>
  <c r="U43" i="19"/>
  <c r="T43" i="19"/>
  <c r="S43" i="19"/>
  <c r="P43" i="19"/>
  <c r="O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M34" i="19"/>
  <c r="L34" i="19"/>
  <c r="K34" i="19"/>
  <c r="AN33" i="19"/>
  <c r="AM33" i="19"/>
  <c r="AL33" i="19"/>
  <c r="AK33" i="19"/>
  <c r="AH33" i="19"/>
  <c r="AG33" i="19"/>
  <c r="AF33" i="19"/>
  <c r="AE33" i="19"/>
  <c r="AB33" i="19"/>
  <c r="AA33" i="19"/>
  <c r="Z33" i="19"/>
  <c r="Y33" i="19"/>
  <c r="V33" i="19"/>
  <c r="U33" i="19"/>
  <c r="T33" i="19"/>
  <c r="S33" i="19"/>
  <c r="P33" i="19"/>
  <c r="O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M24" i="19"/>
  <c r="L24" i="19"/>
  <c r="K24" i="19"/>
  <c r="AN23" i="19"/>
  <c r="AM23" i="19"/>
  <c r="AL23" i="19"/>
  <c r="AK23" i="19"/>
  <c r="AH23" i="19"/>
  <c r="AG23" i="19"/>
  <c r="AF23" i="19"/>
  <c r="AE23" i="19"/>
  <c r="AB23" i="19"/>
  <c r="AA23" i="19"/>
  <c r="Z23" i="19"/>
  <c r="Y23" i="19"/>
  <c r="V23" i="19"/>
  <c r="U23" i="19"/>
  <c r="T23" i="19"/>
  <c r="S23" i="19"/>
  <c r="P23" i="19"/>
  <c r="O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G15" i="1" l="1"/>
  <c r="AI15" i="1" s="1"/>
  <c r="AI53" i="19"/>
  <c r="AN13" i="18"/>
  <c r="AN29" i="18"/>
  <c r="AN37" i="18"/>
  <c r="AN21" i="18"/>
  <c r="AN45" i="18"/>
  <c r="AH15" i="1" l="1"/>
  <c r="AH32" i="1"/>
  <c r="AI32" i="1"/>
  <c r="F29" i="27"/>
  <c r="E29" i="27"/>
  <c r="G29" i="27" s="1"/>
  <c r="P40"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32" i="1" l="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J32" i="1" l="1"/>
  <c r="Z43" i="18"/>
  <c r="T15" i="1"/>
  <c r="AK15"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T12" i="19"/>
  <c r="T32" i="19"/>
  <c r="AF32" i="19"/>
  <c r="T22" i="19"/>
  <c r="AF52" i="19"/>
  <c r="AL12" i="19"/>
  <c r="AL32" i="19"/>
  <c r="Z12" i="19"/>
  <c r="AF42" i="19"/>
  <c r="AL52" i="19"/>
  <c r="N12" i="19"/>
  <c r="Z42" i="19"/>
  <c r="M52" i="19" l="1"/>
  <c r="AL32" i="1"/>
  <c r="AK52" i="19"/>
  <c r="S42" i="19"/>
  <c r="M42" i="19"/>
  <c r="S32" i="19"/>
  <c r="S22" i="19"/>
  <c r="M32" i="19"/>
  <c r="AE42" i="19"/>
  <c r="AE52" i="19"/>
  <c r="AK32" i="19"/>
  <c r="AK42" i="19"/>
  <c r="M22" i="19"/>
  <c r="AE22" i="19"/>
  <c r="AK22" i="19"/>
  <c r="M12" i="19"/>
  <c r="AE32" i="19"/>
  <c r="AK12" i="19"/>
  <c r="S52" i="19"/>
  <c r="S12" i="19"/>
  <c r="AE12" i="19"/>
  <c r="AJ15" i="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Stefany Parra</author>
  </authors>
  <commentList>
    <comment ref="F13" authorId="0" shapeId="0" xr:uid="{31DE014E-1502-4058-AF14-D12B122223C2}">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Tu versión de Excel te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1816B48D-01BB-448B-AFCC-2FEDB756BA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O15" authorId="7" shapeId="0" xr:uid="{8EDAD757-F43B-2444-93B3-2D65DC37D5F0}">
      <text>
        <r>
          <rPr>
            <b/>
            <sz val="10"/>
            <color rgb="FF000000"/>
            <rFont val="Tahoma"/>
            <family val="2"/>
          </rPr>
          <t>Stefany Parra:</t>
        </r>
        <r>
          <rPr>
            <sz val="10"/>
            <color rgb="FF000000"/>
            <rFont val="Tahoma"/>
            <family val="2"/>
          </rPr>
          <t xml:space="preserve">
</t>
        </r>
        <r>
          <rPr>
            <sz val="10"/>
            <color rgb="FF000000"/>
            <rFont val="Tahoma"/>
            <family val="2"/>
          </rPr>
          <t>Estructuras curriculares</t>
        </r>
      </text>
    </comment>
    <comment ref="O19" authorId="7" shapeId="0" xr:uid="{B438AEED-9E6D-BE48-9191-CEC9F3E3C255}">
      <text>
        <r>
          <rPr>
            <b/>
            <sz val="10"/>
            <color rgb="FF000000"/>
            <rFont val="Tahoma"/>
            <family val="2"/>
          </rPr>
          <t>Stefany Parra:</t>
        </r>
        <r>
          <rPr>
            <sz val="10"/>
            <color rgb="FF000000"/>
            <rFont val="Tahoma"/>
            <family val="2"/>
          </rPr>
          <t xml:space="preserve">
</t>
        </r>
        <r>
          <rPr>
            <sz val="10"/>
            <color rgb="FF000000"/>
            <rFont val="Tahoma"/>
            <family val="2"/>
          </rPr>
          <t>Numero de docuentes planta y cátedra</t>
        </r>
      </text>
    </comment>
    <comment ref="O21" authorId="7" shapeId="0" xr:uid="{543B7F59-15CA-ED46-86AB-06458B47469D}">
      <text>
        <r>
          <rPr>
            <b/>
            <sz val="10"/>
            <color rgb="FF000000"/>
            <rFont val="Tahoma"/>
            <family val="2"/>
          </rPr>
          <t>Stefany Parra:</t>
        </r>
        <r>
          <rPr>
            <sz val="10"/>
            <color rgb="FF000000"/>
            <rFont val="Tahoma"/>
            <family val="2"/>
          </rPr>
          <t xml:space="preserve">
</t>
        </r>
        <r>
          <rPr>
            <sz val="10"/>
            <color rgb="FF000000"/>
            <rFont val="Tahoma"/>
            <family val="2"/>
          </rPr>
          <t>numero de chohortes, programas y asignaturas</t>
        </r>
      </text>
    </comment>
    <comment ref="O24" authorId="7" shapeId="0" xr:uid="{F45585E2-E9BD-A242-8A06-28CA0984E67D}">
      <text>
        <r>
          <rPr>
            <b/>
            <sz val="10"/>
            <color rgb="FF000000"/>
            <rFont val="Tahoma"/>
            <family val="2"/>
          </rPr>
          <t>Stefany Parra:</t>
        </r>
        <r>
          <rPr>
            <sz val="10"/>
            <color rgb="FF000000"/>
            <rFont val="Tahoma"/>
            <family val="2"/>
          </rPr>
          <t xml:space="preserve">
</t>
        </r>
        <r>
          <rPr>
            <sz val="10"/>
            <color rgb="FF000000"/>
            <rFont val="Tahoma"/>
            <family val="2"/>
          </rPr>
          <t>número de decanaturas</t>
        </r>
      </text>
    </comment>
    <comment ref="O28" authorId="7" shapeId="0" xr:uid="{3DEF3C4F-AE91-C14D-978A-1D0A92AECF1C}">
      <text>
        <r>
          <rPr>
            <b/>
            <sz val="10"/>
            <color rgb="FF000000"/>
            <rFont val="Tahoma"/>
            <family val="2"/>
          </rPr>
          <t>Stefany Parra:</t>
        </r>
        <r>
          <rPr>
            <sz val="10"/>
            <color rgb="FF000000"/>
            <rFont val="Tahoma"/>
            <family val="2"/>
          </rPr>
          <t xml:space="preserve">
</t>
        </r>
        <r>
          <rPr>
            <sz val="10"/>
            <color rgb="FF000000"/>
            <rFont val="Tahoma"/>
            <family val="2"/>
          </rPr>
          <t>Numero de docuentes planta y cátedra</t>
        </r>
      </text>
    </comment>
    <comment ref="O32" authorId="7" shapeId="0" xr:uid="{480FC7BE-5DA6-394F-8472-3245869E82F6}">
      <text>
        <r>
          <rPr>
            <b/>
            <sz val="10"/>
            <color rgb="FF000000"/>
            <rFont val="Tahoma"/>
            <family val="2"/>
          </rPr>
          <t>Stefany Parra:</t>
        </r>
        <r>
          <rPr>
            <sz val="10"/>
            <color rgb="FF000000"/>
            <rFont val="Tahoma"/>
            <family val="2"/>
          </rPr>
          <t xml:space="preserve">
</t>
        </r>
        <r>
          <rPr>
            <sz val="10"/>
            <color rgb="FF000000"/>
            <rFont val="Tahoma"/>
            <family val="2"/>
          </rPr>
          <t>número de decanaturas</t>
        </r>
      </text>
    </comment>
  </commentList>
</comments>
</file>

<file path=xl/sharedStrings.xml><?xml version="1.0" encoding="utf-8"?>
<sst xmlns="http://schemas.openxmlformats.org/spreadsheetml/2006/main" count="982" uniqueCount="545">
  <si>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</si>
  <si>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</si>
  <si>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</si>
  <si>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</si>
  <si>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</si>
  <si>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</si>
  <si>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</si>
  <si>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</si>
  <si>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</si>
  <si>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</si>
  <si>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</si>
  <si>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</si>
  <si>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</si>
  <si>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</si>
  <si>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</si>
  <si>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</si>
  <si>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</si>
  <si>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</si>
  <si>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</si>
  <si>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</si>
  <si>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</si>
  <si>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</si>
  <si>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</si>
  <si>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</si>
  <si>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</si>
  <si>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</si>
  <si>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</si>
  <si>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</si>
  <si>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</si>
  <si>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</si>
  <si>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</si>
  <si>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</si>
  <si>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</si>
  <si>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</si>
  <si>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</si>
  <si>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</si>
  <si>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</si>
  <si>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</si>
  <si>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</si>
  <si>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</si>
  <si>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</si>
  <si>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</si>
  <si>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Objetivo:</t>
  </si>
  <si>
    <t>Alcance:</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</si>
  <si>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</si>
  <si>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</si>
  <si>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</si>
  <si>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</si>
  <si>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</si>
  <si>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</si>
  <si>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</si>
  <si>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</si>
  <si>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</si>
  <si>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</si>
  <si>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</si>
  <si>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</si>
  <si>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</si>
  <si>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</si>
  <si>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</si>
  <si>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</si>
  <si>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</si>
  <si>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</si>
  <si>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</si>
  <si>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</si>
  <si>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</si>
  <si>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</si>
  <si>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</si>
  <si>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</si>
  <si>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</si>
  <si>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</si>
  <si>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</si>
  <si>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</si>
  <si>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</si>
  <si>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</si>
  <si>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</si>
  <si>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</si>
  <si>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</si>
  <si>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</si>
  <si>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</si>
  <si>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</si>
  <si>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</si>
  <si>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</si>
  <si>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</si>
  <si>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</si>
  <si>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</si>
  <si>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</si>
  <si>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Evidencias de la ejecución del Control </t>
  </si>
  <si>
    <t>Evidencias de la ejecucióndel Plan de Tratamiento</t>
  </si>
  <si>
    <t xml:space="preserve">Estado del Plan de Acción </t>
  </si>
  <si>
    <t>Fecha Seguimiento</t>
  </si>
  <si>
    <t xml:space="preserve">Ubicación de las evidencias </t>
  </si>
  <si>
    <t xml:space="preserve">Seguimiento y Evaluación
</t>
  </si>
  <si>
    <t>Activo de información afectado</t>
  </si>
  <si>
    <t>Criterio afectado</t>
  </si>
  <si>
    <t>Tipo</t>
  </si>
  <si>
    <t>Implementación</t>
  </si>
  <si>
    <t>Calificación</t>
  </si>
  <si>
    <t>Frecuencia</t>
  </si>
  <si>
    <t>Evidencia</t>
  </si>
  <si>
    <t>Corrupción</t>
  </si>
  <si>
    <t>Detectivo</t>
  </si>
  <si>
    <t>Reducir (mitigar)</t>
  </si>
  <si>
    <t>NA</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</si>
  <si>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</si>
  <si>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r>
      <rPr>
        <b/>
        <sz val="14"/>
        <rFont val="Arial"/>
        <family val="2"/>
      </rPr>
      <t>LIDER DEL PROCESO:</t>
    </r>
    <r>
      <rPr>
        <sz val="14"/>
        <rFont val="Arial"/>
        <family val="2"/>
      </rPr>
      <t xml:space="preserve"> Hno. Ariosto Ardila Silva</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</si>
  <si>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</si>
  <si>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</si>
  <si>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</si>
  <si>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</si>
  <si>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</si>
  <si>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</si>
  <si>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</si>
  <si>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</si>
  <si>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</si>
  <si>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</si>
  <si>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</si>
  <si>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</si>
  <si>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</si>
  <si>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</si>
  <si>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</si>
  <si>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</si>
  <si>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</si>
  <si>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</si>
  <si>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</si>
  <si>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</si>
  <si>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</si>
  <si>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</si>
  <si>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</si>
  <si>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</si>
  <si>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</si>
  <si>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</si>
  <si>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Moderado (Corrupción)</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</si>
  <si>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</si>
  <si>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</si>
  <si>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</si>
  <si>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</si>
  <si>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</si>
  <si>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</si>
  <si>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</si>
  <si>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</si>
  <si>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</si>
  <si>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</si>
  <si>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</si>
  <si>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Gestión</t>
  </si>
  <si>
    <t>•	Procesos</t>
  </si>
  <si>
    <t>Económico</t>
  </si>
  <si>
    <t>Recursos Públicos</t>
  </si>
  <si>
    <t>Evento externo</t>
  </si>
  <si>
    <t>Daños Activos Fisicos</t>
  </si>
  <si>
    <t>Información</t>
  </si>
  <si>
    <t>Confidencialidad</t>
  </si>
  <si>
    <t>Preventivo</t>
  </si>
  <si>
    <t>Automático</t>
  </si>
  <si>
    <t>Documentado</t>
  </si>
  <si>
    <t>Continua</t>
  </si>
  <si>
    <t>Registro Sustancial</t>
  </si>
  <si>
    <t>Aceptar</t>
  </si>
  <si>
    <t>Finalizado</t>
  </si>
  <si>
    <t>•	Talento humano</t>
  </si>
  <si>
    <t>Reputacional</t>
  </si>
  <si>
    <t>Bienes Públicos</t>
  </si>
  <si>
    <t>Financiero</t>
  </si>
  <si>
    <t>Ejecucion y Administracion de procesos</t>
  </si>
  <si>
    <t xml:space="preserve">Software </t>
  </si>
  <si>
    <t>Disponibilidad</t>
  </si>
  <si>
    <t>Manual</t>
  </si>
  <si>
    <t>Sin Documentar</t>
  </si>
  <si>
    <t>Aleatoria</t>
  </si>
  <si>
    <t>Registro Material</t>
  </si>
  <si>
    <t>Evitar</t>
  </si>
  <si>
    <t>En curso</t>
  </si>
  <si>
    <t>Fiscal</t>
  </si>
  <si>
    <t>•	Tecnología</t>
  </si>
  <si>
    <t>Económico y Reputacional</t>
  </si>
  <si>
    <t>Intereses Patrimoniales de Naturaleza Pública</t>
  </si>
  <si>
    <t>Infraestructura</t>
  </si>
  <si>
    <t>Fallas Tecnologicas</t>
  </si>
  <si>
    <t>Hardware</t>
  </si>
  <si>
    <t>Integridad</t>
  </si>
  <si>
    <t>Correctivo</t>
  </si>
  <si>
    <t>Sin registro</t>
  </si>
  <si>
    <t>Reducir</t>
  </si>
  <si>
    <t>•	Infraestructura</t>
  </si>
  <si>
    <t>Procesos</t>
  </si>
  <si>
    <t>Fraude Externo</t>
  </si>
  <si>
    <t>Servicios</t>
  </si>
  <si>
    <t>NO APLICA</t>
  </si>
  <si>
    <t>•	Evento externo</t>
  </si>
  <si>
    <t>Talento humano</t>
  </si>
  <si>
    <t>Fraude Interno</t>
  </si>
  <si>
    <t>Intangibles</t>
  </si>
  <si>
    <t>Reducir (compartir)</t>
  </si>
  <si>
    <t>Tecnología</t>
  </si>
  <si>
    <t>Relaciones Laborales</t>
  </si>
  <si>
    <t>Componentes
de red</t>
  </si>
  <si>
    <t>Usuarios, productos y practicas , organizacionales</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</si>
  <si>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</si>
  <si>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</si>
  <si>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</si>
  <si>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</si>
  <si>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</si>
  <si>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</si>
  <si>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</si>
  <si>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</si>
  <si>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</si>
  <si>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</si>
  <si>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</si>
  <si>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</si>
  <si>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</si>
  <si>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</si>
  <si>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</si>
  <si>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</si>
  <si>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</si>
  <si>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</si>
  <si>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</si>
  <si>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</si>
  <si>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</si>
  <si>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</si>
  <si>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</si>
  <si>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</si>
  <si>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</si>
  <si>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</si>
  <si>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</si>
  <si>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</si>
  <si>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</si>
  <si>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</si>
  <si>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</si>
  <si>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</si>
  <si>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</si>
  <si>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</si>
  <si>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</si>
  <si>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</si>
  <si>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</si>
  <si>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</si>
  <si>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</si>
  <si>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</si>
  <si>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</si>
  <si>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</si>
  <si>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</si>
  <si>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</si>
  <si>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</si>
  <si>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</si>
  <si>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</si>
  <si>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</si>
  <si>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</si>
  <si>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</si>
  <si>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</si>
  <si>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</si>
  <si>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</si>
  <si>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</si>
  <si>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</si>
  <si>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</si>
  <si>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</si>
  <si>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</si>
  <si>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</si>
  <si>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</si>
  <si>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</si>
  <si>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</si>
  <si>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</si>
  <si>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</si>
  <si>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</si>
  <si>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</si>
  <si>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</si>
  <si>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</si>
  <si>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</si>
  <si>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</si>
  <si>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</si>
  <si>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</si>
  <si>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</si>
  <si>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</si>
  <si>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</si>
  <si>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</si>
  <si>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</si>
  <si>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</si>
  <si>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</si>
  <si>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</si>
  <si>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</si>
  <si>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</si>
  <si>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t>X</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</si>
  <si>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</si>
  <si>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</si>
  <si>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</si>
  <si>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</si>
  <si>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</si>
  <si>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</si>
  <si>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</si>
  <si>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</si>
  <si>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</si>
  <si>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</si>
  <si>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</si>
  <si>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</si>
  <si>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</si>
  <si>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</si>
  <si>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</si>
  <si>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</si>
  <si>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</si>
  <si>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</si>
  <si>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</si>
  <si>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</si>
  <si>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</si>
  <si>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</si>
  <si>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</si>
  <si>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</si>
  <si>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</si>
  <si>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</si>
  <si>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</si>
  <si>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</si>
  <si>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</si>
  <si>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</si>
  <si>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</si>
  <si>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</si>
  <si>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</si>
  <si>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</si>
  <si>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</si>
  <si>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</si>
  <si>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</si>
  <si>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</si>
  <si>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</si>
  <si>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</si>
  <si>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</si>
  <si>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</si>
  <si>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</si>
  <si>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</si>
  <si>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</si>
  <si>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</si>
  <si>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</si>
  <si>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</si>
  <si>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</si>
  <si>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</si>
  <si>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</si>
  <si>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</si>
  <si>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</si>
  <si>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</si>
  <si>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</si>
  <si>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</si>
  <si>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</si>
  <si>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</si>
  <si>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</si>
  <si>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</si>
  <si>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</si>
  <si>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</si>
  <si>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</si>
  <si>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</si>
  <si>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</si>
  <si>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</si>
  <si>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</si>
  <si>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</si>
  <si>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</si>
  <si>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</si>
  <si>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</si>
  <si>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</si>
  <si>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</si>
  <si>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</si>
  <si>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</si>
  <si>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</si>
  <si>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</si>
  <si>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</si>
  <si>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</si>
  <si>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</si>
  <si>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</si>
  <si>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</si>
  <si>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</si>
  <si>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</si>
  <si>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</si>
  <si>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</si>
  <si>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</si>
  <si>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</si>
  <si>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</si>
  <si>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</si>
  <si>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</si>
  <si>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</si>
  <si>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</si>
  <si>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</si>
  <si>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</si>
  <si>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</si>
  <si>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</si>
  <si>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</si>
  <si>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</si>
  <si>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</si>
  <si>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</si>
  <si>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</si>
  <si>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</si>
  <si>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</si>
  <si>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</si>
  <si>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</si>
  <si>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</si>
  <si>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</si>
  <si>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</si>
  <si>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</si>
  <si>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</si>
  <si>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</si>
  <si>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</si>
  <si>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</si>
  <si>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</si>
  <si>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</si>
  <si>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</si>
  <si>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</si>
  <si>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</si>
  <si>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</si>
  <si>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</si>
  <si>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</si>
  <si>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</si>
  <si>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</si>
  <si>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</si>
  <si>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</si>
  <si>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</si>
  <si>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</si>
  <si>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</si>
  <si>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</si>
  <si>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</si>
  <si>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</si>
  <si>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</si>
  <si>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</si>
  <si>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</si>
  <si>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</si>
  <si>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</si>
  <si>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</si>
  <si>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Seguimiento</t>
  </si>
  <si>
    <t>Avance de Ejecución de Control(es)</t>
  </si>
  <si>
    <t>Avance de Ejecución de Plan de Tratamiento</t>
  </si>
  <si>
    <t>Aprobación de estructuras curriculares desactualizadas o no alineadas con los lineamientos del MEN y el ICFES</t>
  </si>
  <si>
    <t xml:space="preserve">Descripción del Riesgo
</t>
  </si>
  <si>
    <t>El líder del proceso curricular revisa y valida semestralmente los microcurrículos y estructuras curriculares de los programas académicos, mediante sesiones de análisis técnico y académico registradas en actas, con el fin de verificar su coherencia con los resultados de aprendizaje, lineamientos institucionales y normatividad vigente.
En caso de evidenciar inconsistencias o desactualización, se solicita la reformulación y ajuste correspondiente antes de su aprobación.</t>
  </si>
  <si>
    <t>El programa académico consulta bianualmente a egresados, docentes y representantes del sector productivo sobre la pertinencia y actualización de los contenidos curriculares, mediante mesas de trabajo o encuestas, con el fin de fortalecer la alineación de los programas con las necesidades del entorno y la normatividad vigente.
En caso de identificar oportunidades de mejora, estas son presentadas a la vicerectoría académica y Audoevaluación para su evaluación y posible incorporación.</t>
  </si>
  <si>
    <t>PES-PC-03 Administración del curriculo</t>
  </si>
  <si>
    <t>Pendiente documentar</t>
  </si>
  <si>
    <t>GSI-CA-PC-05 procedimiento acciones correctivas, preventivas u oportunidades de mejora</t>
  </si>
  <si>
    <t>Profesional de Planeación Estratégica Vicerrectoría Académica</t>
  </si>
  <si>
    <t>Procedimiento actualizado y socializado</t>
  </si>
  <si>
    <t>Durante la vigencia 2026</t>
  </si>
  <si>
    <t>Líder del proceso curricular</t>
  </si>
  <si>
    <t>Syllabus actualizados con fechas y visto bueno</t>
  </si>
  <si>
    <t>Verificar semestralmente la evidencia del proceso de actualización de Syllabus y el cumplimiento del mismo por parte de los docentes</t>
  </si>
  <si>
    <t>Decano / Vicerrector Académico</t>
  </si>
  <si>
    <t>Documento de autoevaluación factor 3 actualizado</t>
  </si>
  <si>
    <t>Vicerrector Académico</t>
  </si>
  <si>
    <t>DOCENCIA PROGRAMAS DE EDUCACIÓN SUPERIOR (DOCENCIA PES)</t>
  </si>
  <si>
    <t xml:space="preserve">Formar personas integrales, creativas y competentes en los niveles técnico, tecnológica y de ingeniería, capaces de solucionar problemas a través de la investigación aplicada </t>
  </si>
  <si>
    <t>Inicia con el diseño curricular y finaliza con la graduación de los estudiantes en los respectivos niveles.</t>
  </si>
  <si>
    <t xml:space="preserve">falta de revisión periódica y sistemática de los microcurrículos y baja participación de docentes en el proceso curricular.  </t>
  </si>
  <si>
    <r>
      <t xml:space="preserve">Posibilidad de afectación reputacional  </t>
    </r>
    <r>
      <rPr>
        <b/>
        <sz val="11"/>
        <color theme="1"/>
        <rFont val="Arial Narrow"/>
        <family val="2"/>
      </rPr>
      <t>por</t>
    </r>
    <r>
      <rPr>
        <sz val="11"/>
        <color theme="1"/>
        <rFont val="Arial Narrow"/>
        <family val="2"/>
      </rPr>
      <t xml:space="preserve"> deficiencias en la aplicación, seguimiento e intervención de las evaluaciones de desempeño docente, especialmente frente a docentes con bajas calificaciones, </t>
    </r>
    <r>
      <rPr>
        <b/>
        <sz val="11"/>
        <color theme="1"/>
        <rFont val="Arial Narrow"/>
        <family val="2"/>
      </rPr>
      <t>debido</t>
    </r>
    <r>
      <rPr>
        <sz val="11"/>
        <color theme="1"/>
        <rFont val="Arial Narrow"/>
        <family val="2"/>
      </rPr>
      <t xml:space="preserve"> a debilidades en los mecanismos institucionales de evaluación, retroalimentación e implementación acciones de mejora.</t>
    </r>
  </si>
  <si>
    <t>deficiencias en la aplicación, seguimiento e intervención de las evaluaciones de desempeño docente, especialmente frente a docentes con bajas calificaciones</t>
  </si>
  <si>
    <t>debilidades en los mecanismos institucionales de evaluación, retroalimentación e implementación acciones de mejora.</t>
  </si>
  <si>
    <t>generación de sobrecupos, cruces de horarios y subutilización de aulas, talleres y laboratorios en la programación académica</t>
  </si>
  <si>
    <t>deficiencias en la asignación de espacios, docentes y franjas horarias, así como a limitaciones en la capacidad instalada y errores en la programación académica.</t>
  </si>
  <si>
    <t>desactualización del acervo bibliográfico físico y digital de la biblioteca</t>
  </si>
  <si>
    <t>demoras en los procesos de adquisición y deficiencias en la articulación entre las necesidades de los programas académicos y la planeación de compras institucionales.</t>
  </si>
  <si>
    <t>Posibilidad de afectación reputacional y económica por el favorecimiento indebido en la asignación de cursos, vinculación docente y distribución de recursos asociados a la gestión de la Vicerrectoría Académica, para beneficio propio o de terceros, debido a debilidades en la segregación de funciones y ausencia de mecanismos accesibles de denuncia y control.</t>
  </si>
  <si>
    <t>favorecimiento indebido en la asignación de cursos, vinculación docente y distribución de recursos asociados a la gestión de la Vicerrectoría Académica, para beneficio propio o de terceros</t>
  </si>
  <si>
    <t>debilidades en la segregación de funciones y ausencia de mecanismos accesibles de denuncia y control.</t>
  </si>
  <si>
    <t>adquisición de equipos de laboratorio que no cumplan las especificaciones técnicas y necesidades de los programas académicos</t>
  </si>
  <si>
    <t>deficiencias en la definición de requerimientos, supervisión técnica y verificación de los bienes adquiridos, generando pérdida de recursos públicos y afectación en el desarrollo de las prácticas académicas.</t>
  </si>
  <si>
    <t xml:space="preserve">Posibilidad de efecto dañoso sobre los recursos de la entidad por la adquisición de equipos de laboratorio que no cumplan las especificaciones técnicas y necesidades de los programas académicos, debido a deficiencias en la definición de requerimientos, supervisión técnica y verificación de los bienes adquiridos, generando pérdida de recursos públicos y afectación en el desarrollo de las prácticas académicas.
</t>
  </si>
  <si>
    <t>DES-PC-05 Evaluación Desempeño del Personal Docente</t>
  </si>
  <si>
    <t>El Decano realiza semestralmente seguimiento a la aplicación de las evaluaciones de desempeño docente por parte de estudiantes y directivos, mediante la verificación de los resultados registrados en el sistema institucional y los reportes generados conforme al procedimiento de evaluación docente establecido por la ETITC, con el fin de garantizar la aplicación oportuna y sistemática del proceso de evaluación docente institucional.
La ejecución del control se evidencia mediante reportes de evaluación docente y registros de seguimiento
En caso de identificar incumplimientos en la aplicación de las evaluaciones o baja participación en el proceso evaluativo, el Decano y/o Director de Programa realiza las gestiones de seguimiento y socialización correspondientes con los responsables, dejando evidencia de las acciones efectuadas.</t>
  </si>
  <si>
    <t>Reportes de evaluación docente y registros de seguimiento</t>
  </si>
  <si>
    <t>El Decano analiza semestralmente los resultados de las evaluaciones de desempeño docente, mediante la identificación de docentes con bajas calificaciones y la formulación de acciones de mejora y acompañamiento académico, con el fin de fortalecer el desempeño docente y la calidad del proceso formativo.
La ejecución del control se evidencia mediante actas de consejo de facultad, Informe de evaluación docuente y plan de mejoramiento
En caso de evidenciar reincidencia en bajas calificaciones o incumplimiento de los compromisos definidos, el Decano informa a las instancias correspondientes para la adopción de acciones adicionales conforme a la normatividad institucional vigente.</t>
  </si>
  <si>
    <t>actas de consejo de facultad, Informe de evaluación docuente y plan de mejoramiento
Correo electrónico informando los casos de desviación</t>
  </si>
  <si>
    <t>Implementar mecanismos de consolidación y análisis de resultados de evaluación docente para identificar tendencias, reincidencias y oportunidades de mejora institucional.</t>
  </si>
  <si>
    <t>Revisar y actualizar el procedimiento de evaluación docente conforme a lineamientos institucionales, necesidades académicas y resultados de autoevaluación.</t>
  </si>
  <si>
    <t>Tablero de analítica de datos (2026-I en adelante)</t>
  </si>
  <si>
    <r>
      <t xml:space="preserve">Posibilidad de afectación reputacional </t>
    </r>
    <r>
      <rPr>
        <b/>
        <sz val="11"/>
        <rFont val="Arial Narrow"/>
        <family val="2"/>
      </rPr>
      <t>por</t>
    </r>
    <r>
      <rPr>
        <sz val="11"/>
        <rFont val="Arial Narrow"/>
        <family val="2"/>
      </rPr>
      <t xml:space="preserve"> la generación de sobrecupos, cruces de horarios, sobreocupación ó subutilización de aulas, talleres y laboratorios en la programación académica, </t>
    </r>
    <r>
      <rPr>
        <b/>
        <sz val="11"/>
        <rFont val="Arial Narrow"/>
        <family val="2"/>
      </rPr>
      <t>debido a</t>
    </r>
    <r>
      <rPr>
        <sz val="11"/>
        <rFont val="Arial Narrow"/>
        <family val="2"/>
      </rPr>
      <t xml:space="preserve"> deficiencias en la asignación de espacios, docentes y franjas horarias, así como a limitaciones en la capacidad instalada.</t>
    </r>
  </si>
  <si>
    <t>Reportes de ocupación</t>
  </si>
  <si>
    <t>Registros de programación académica en el sistema institucional</t>
  </si>
  <si>
    <t>Profesional de Apoyo Vicerrectoría Académica</t>
  </si>
  <si>
    <t xml:space="preserve">
Establecer y aplicar un mecanismo de reporte de ocupación que permita identificar y realizar seguimiento al uso correcto de aulas, talleres y laboratorios conforme el alcance del espacio y la asignación otorgada por programación académica para identificar oportunidades de mejora 
</t>
  </si>
  <si>
    <t xml:space="preserve">
Implementar mesas de articulación entre Docencia PES, Planeación, Vicerrectoria Administrativa y Financiera, Autoevaluación e Infraestructura para consolidar necesidades académicas y disponibilidad de espacios antes de cada periodo académico.
</t>
  </si>
  <si>
    <t>Procedimiento y formato definido y socializado</t>
  </si>
  <si>
    <t>Desde la Coordinación del Centro de Biblioteca y Recursos Educativos, se socializa, valida y  ejecuta el proceso de requerimiento de material bibliográfico para el proceso de actualización bibliográfica conforme los programas y planes de estudios respectivos.
La ejecución del control se evidencia mediante el Formato  DES-FO-40, plan de necesidades anual, registro de inventario y repositorio en sistema KOHA
En caso de identificar desactualización del acervo bibliográfico y digital de la biblioteca por deficiencias en la articulación de necesidades entre los programas académicos y la planeación de compra se realizan los ajustes correspondientes.</t>
  </si>
  <si>
    <t>Formato  DES-FO-40
Plan de necesidades annual
Inventario actualizado
Sistema KOHA</t>
  </si>
  <si>
    <t>Implementar mecanismos de analítica para seguimiento a  la gestión bibliográfica que permita evaluar: obsolescencia, uso del material, identificar recursos subutilizados o de alta demanda y dar respuesta a los procesos de autoevaluación, registros calificados y planes de adquisición institucional</t>
  </si>
  <si>
    <t>Coordinación del Centro de Biblioteca y Recursos Educativos</t>
  </si>
  <si>
    <t>Analítica y resultados por indicadores</t>
  </si>
  <si>
    <t>El Vicerrector Académico verifica semestralmente o conforme necesidad, mediante formato DES-FO15, que la asignación de cursos se realizó conforme a los criterios institucionales definidos, los perfiles docentes requeridos y la normatividad vigente, con el fin de garantizar la transparencia en la vinculación docente y prevenir conflictos de interés. 
La ejecución del control se evidencia con eel formato DES-FO15 didligenciado y aprobado
En caso de identificar asignaciones que no correspondan a los criterios establecidos o que evidencien posibles conflictos de interés, informa al Decano para la revisión y corrección correspondiente.</t>
  </si>
  <si>
    <t>Formato DES-FO15 didligenciado y aprobado</t>
  </si>
  <si>
    <t xml:space="preserve">La Oficina de Control Interno realiza anualmente una auditoría aleatoria a los procesos de asignación de cursos y vinculación docente, verificando la correspondencia entre las decisiones adoptadas y los criterios institucionales definidos, mediante revisión documental y entrevistas a partes interesadas, con el fin de detectar posibles irregularidades o prácticas de favorecimiento indebido. 
El control se evidencia en informe de auditoría interna, plan de mejoramiento con responsables y fechas y/o registro de seguimiento en sistema de información institucional 
En caso de identificar hallazgos, emite informe con recomendaciones y realiza seguimiento al plan de mejoramiento adoptado.
</t>
  </si>
  <si>
    <t>Informe de auditoría interna
Registro de seguimiento planes de tratamiento sistema de información</t>
  </si>
  <si>
    <t>Comunicados de gestión entre las áreas, Registro de reclamaciones y tiempos de respuesta en el SIAC; comunicaciones oficiales de respuesta ante reclamaciones</t>
  </si>
  <si>
    <t>Tablero de seguimiento con acceso de visualización a Control Interno</t>
  </si>
  <si>
    <t>Diseñar e implementar un tablero de seguimiento (analítica de datos) que permita visualizar la distribución de cargas académicas, número de cursos asignados por docente, tipo de vinculación y recursos asignados por programa, para facilitar la detección de concentraciones atípicas o inconsistencias.</t>
  </si>
  <si>
    <t xml:space="preserve">Actualizar el procedimiento DES-PC-09 "SELECCIÓN, VINCULACIÓN Y RETIRO POR DESVINCULACIÓN DE PROFESORES HORA CÁTEDRA PARA LOS PROGRAMAS DE EDUCACIÓN SUPERIOR" y DES-PC-10 "SELECCIÓN, VINCULACIÓN Y RETIRO POR DESVINCULACIÓN DE PROFESORES OCASIONALES PARA LOS PROGRAMAS DE EDUCACIÓN SUPERIOR" para garantizar la segregación de funciones y la declaración de conflicto de intereses.
</t>
  </si>
  <si>
    <t>Profesional de Planeación estratégica Vicerrectoría Académica</t>
  </si>
  <si>
    <t>Procedimientos y formatos actualizados y socializados</t>
  </si>
  <si>
    <t>Reportes de ejecución presupuestal por proyecto Informe técnico de avance por responsable de proyecto
Concepto sobre informe técnico y presupuestal
Comunicados de alertas y actas de retroalimentación conforme revisión trimestral firmadas</t>
  </si>
  <si>
    <t xml:space="preserve">La Vicerrectoría Académica, en coordinación con la Oficina Jurídica, Secretaria General y demás áreas relacionadas revisa y resuelve formalmente, en los plazos correspondientes, las reclamaciones o alertas relacionadas con posibles actos de favorecimiento indebido en asignación de cursos, vinculación docente, uso de recursos, con el fin de corregir oportunamente las decisiones irregulares y restablecer la equidad en los procesos académicos. 
La ejecución del control se evidencia en comunicados de gestión entre las áreas, Registro de reclamaciones y tiempos de respuesta en el SIAC; comunicaciones oficiales de respuesta ante reclamaciones
En caso de confirmar irregularidades, inicia los procedimientos a que haya lugar.
</t>
  </si>
  <si>
    <t>Incorporar en el plan anual de auditoría de la Oficina de Control Interno una revisión específica sobre los procesos de asignación y ejecución de recursos de proyectos de la Vicerrectoría Académica, con enfoque en la verificación de criterios aplicados, soportes de gasto y posibles conflictos de interés.</t>
  </si>
  <si>
    <t>Profesional de Planeación estratégica Vicerrectoría Académica y Control Interno</t>
  </si>
  <si>
    <t>Plan actualizado</t>
  </si>
  <si>
    <t xml:space="preserve">
Elaborar y documentar el procedimiento institucional para la formulación de proyectos, aprobación, asignación de recursos, seguimiento y cierre de proyectos de la Vicerrectoría Académica, articulado con el sistema de planeación institucional y los lineamientos del MIPG.
Diseñar e implementar un formato estandarizado de informe de supervisión de proyectos de la Vicerrectoría Académica, de uso obligatorio y periodicidad trimestral, que incluya la verificación de la correspondencia entre recursos ejecutados, actividades desarrolladas y productos entregados, como mecanismo de trazabilidad y rendición de cuentas interna.
Articular el seguimiento a la ejecución de proyectos de la Vicerrectoría Académica con el ciclo de autoevaluación institucional y los reportes al Comité Institucional de Gestión y Desempeño, garantizando que la información sobre asignación y ejecución de recursos sea de conocimiento de las instancias de segunda línea de defensa conforme a los lineamientos del MIPG.
</t>
  </si>
  <si>
    <t>La Coordinación de Talleres y laboratorios, elabora y remite anualmente el estudio de necesidades técnicas de equipos de laboratorio para aprobación de las Decanaturas mediante formato institucional que incluye las especificaciones técnicas mínimas, la justificación pedagógica y la alineación con los resultados de aprendizaje del programa, con el fin de incluirlas en el plan anual de necesidades y garantizar que las adquisiciones respondan a necesidades reales y verificables de los programas académicos. 
La ejecución del control se evidencia en Formato de necesidades técnicas por programa , Concepto de la Decanatura y formato anual de Plan de necesidades
En caso de recibir propuestas de compra que no correspondan a las especificaciones remitidas, el Decano emite concepto técnico de objeción formal antes de la apertura del proceso contractual.</t>
  </si>
  <si>
    <t>Estudios previos revisados y aprobados por Vicerrectoría Académica y Decanatura
Registro de comunicaciones al área contractual</t>
  </si>
  <si>
    <t>La Vicerrectoría Administrativa, en coordinación con la Vicerrectoría Académica, activa el procedimiento de reclamación ante el proveedor y, si aplica, ante la aseguradora de la póliza de calidad de los bienes, cuando se identifiquen equipos de laboratorio que no cumplan las especificaciones técnicas o que presenten fallas durante el período de garantía, con el fin de restablecer las condiciones de calidad pactadas y salvaguardar los recursos públicos invertidos. 
La ejecución del control se evidencia en Comunicación de reclamación al proveedor y/o aseguradora; respuesta del provedor; acta de corrección o reposición del bien
En caso de no prosperar la reclamación, remite el caso a la Oficina Jurídica para las acciones legales correspondientes.</t>
  </si>
  <si>
    <t>Comunicación de reclamación al proveedor y/o aseguradora; 
Respuesta del provedor
Acta de corrección o reposición del bien</t>
  </si>
  <si>
    <t>Procedimiento y formato actualizado</t>
  </si>
  <si>
    <t xml:space="preserve">El Coordinador de Talleres y laboratorios o en caso de un supervisor cuyo contrato tenga alguna obligación relacionada con la adquisición de equipos de laboratorio, verifica en cada entrega parcial o total que los bienes recibidos correspondan en marca, modelo, cantidad y especificaciones técnicas a los establecidos en el contrato y los estudios previos, mediante acta de recibo a satisfacción o acta de recibo parcial con observaciones, con el fin de detectar oportunamente incumplimientos del proveedor antes de la aprobación del pago.
La ejecución del control se evidencia en acta de recibo a satisfacción, acta de recibido parcial con observaciones, Acta de almacén y Registro fotográfico de los bienes recibidos y, comunicación formal al contratista en caso de no conformidad 
En caso de identificar no conformidades, el supervisor suspende el trámite de pago e inicia el procedimiento de reclamación al contratista conforme a la normatividad contractual vigente.
</t>
  </si>
  <si>
    <t xml:space="preserve">Procedimiento actualizado y formatos correspondientes  </t>
  </si>
  <si>
    <t>Implementar indicadores de seguimiento a la ejecución y calidad de las adquisiciones de equipos de laboratorio (porcentaje de bienes recibidos a satisfacción, tiempo de resolución de no conformidades, tasa de reclamaciones por contrato), para alimentar los reportes de gestión de la Vicerrectoría Académica y los procesos de autoevaluación.</t>
  </si>
  <si>
    <t xml:space="preserve">Plan de indicadores y procedimiento para su implementación </t>
  </si>
  <si>
    <r>
      <rPr>
        <sz val="10"/>
        <color theme="1"/>
        <rFont val="Arial Narrow"/>
        <family val="2"/>
      </rPr>
      <t>Profesionales de apoyo de las decanaturas y auxiliares de laboratorio</t>
    </r>
    <r>
      <rPr>
        <sz val="10"/>
        <rFont val="Arial Narrow"/>
        <family val="2"/>
      </rPr>
      <t xml:space="preserve"> realizan semestralmente seguimiento a la ocupación y uso de aulas, talleres y laboratorios asignados para el desarrollo académico, mediante la verificación de uso de los espacios asignados conforme la programación académica, con el fin de optimizar el uso de los recursos académicos y evitar sobrecupos o subutilización de espacios.
La ejecución del control se evidencia mediante reportes de ocupación
En caso de identificar sobreocupación, subutilización o limitaciones en la disponibilidad de espacios, se gestionan ajustes en la programación académica y reasignación de ambientes conforme a la disponibilidad institucional.</t>
    </r>
  </si>
  <si>
    <r>
      <t>El Decano verifica</t>
    </r>
    <r>
      <rPr>
        <sz val="10"/>
        <color theme="1"/>
        <rFont val="Arial Narrow"/>
        <family val="2"/>
      </rPr>
      <t xml:space="preserve"> semestralmente</t>
    </r>
    <r>
      <rPr>
        <sz val="10"/>
        <rFont val="Arial Narrow"/>
        <family val="2"/>
      </rPr>
      <t xml:space="preserve"> la correspondencia entre los microcurrículos y las condiciones de calidad del Decreto 1330/2019, mediante con evidencia en sistema académico, con el fin de garantizar la coherencia y alineación de los contenidos académicos con la normatividad vigente.
En caso de identificar inconsistencias, desactualización o incumplimiento de las condiciones de calidad, solicita los ajustes correspondientes al área o docente responsable y realiza seguimiento hasta su actualización, dejando evidencia de las acciones efectuadas.</t>
    </r>
  </si>
  <si>
    <t xml:space="preserve">1. Comunicado de Syllabus revisados y aprobados
</t>
  </si>
  <si>
    <t xml:space="preserve">
1. Actas de reunión
2. Comunicados de ajuste o actualización de syllabus 
2. Syllabus revisados y aprobados</t>
  </si>
  <si>
    <t>1. Informes de pertinencia bianuales que incluya los instrumentos de medición para el análisis cuantitativo y cualitativo de los programas</t>
  </si>
  <si>
    <t>El Decano realiza seguimiento semestral al cumplimiento de los planes de mejoramiento docente derivados de procesos de autoevaluación, acreditación y revisión curricular, mediante informes y mesas de trabajo académicas, con el fin de asegurar la actualización oportuna de los microcurrículos.
En caso de identificar incumplimientos o retrasos, solicita acciones de mejora y establece compromisos de cumplimiento con los responsables.</t>
  </si>
  <si>
    <t>1. Reporte trimestral de planes de mejoramiento con sus respectivas evidencias
2. Registro en el sistema de información de la accion de mejora y tratamiento aplicado en caso de desviación</t>
  </si>
  <si>
    <t xml:space="preserve">Actualizar el procedimiento PES-PC-03 Administración del curriculo </t>
  </si>
  <si>
    <t>Establecer ciclo de revisión curricular bianual con participación de docentes, egresados, y sector productivo; actualizar guías de diseño curricular con lineamientos MEN vigentes.</t>
  </si>
  <si>
    <t>Actualizar y dar cumplimiento a la normativa relacionada con la conformación y funcionamiento del Comité Curricular</t>
  </si>
  <si>
    <t>Acto administrativo
Actas de Comité Curricular</t>
  </si>
  <si>
    <r>
      <t xml:space="preserve">Posible aprobación de estructuras curriculares desactualizadas o no alineadas con los lineamientos del MEN y el ICFES, </t>
    </r>
    <r>
      <rPr>
        <b/>
        <sz val="11"/>
        <rFont val="Arial Narrow"/>
        <family val="2"/>
      </rPr>
      <t>debido</t>
    </r>
    <r>
      <rPr>
        <sz val="11"/>
        <rFont val="Arial Narrow"/>
        <family val="2"/>
      </rPr>
      <t xml:space="preserve"> a la falta de revisión periódica y sistemática de los microcurrículos y baja participación de docentes en el proceso curricular</t>
    </r>
  </si>
  <si>
    <t>El profesional de apoyo de la vicerrectoria académica consolida y verifica semestralmente la programación académica de los cursos, asigna aulas, talleres, laboratorios y docentes conforme franjas horarias en el sistema académico institucional, con el fin de garantizar la adecuada distribución de espacios y prevenir sobrecupos, cruces de horarios y subutilización de recursos académicos.
La ejecución del control se evidencia mediante la matriz de programación académica y registros de validación en el sistema institucional.
En caso de identificar inconsistencias, cruces de horarios, limitaciones de capacidad o errores en la programación, se realizan los ajustes correspondientes dejando evidencia de las modificaciones efectuadas.</t>
  </si>
  <si>
    <t>Procedimiento de programación académica DES-PC-02</t>
  </si>
  <si>
    <r>
      <t>La Oficina Asesora de Planeación, Vicerrectoría Administrativa y el área de Infraestructura informan semestralmente a Docencia PES plan de  entrega/habilitación de aulas, talleres y laboratorios en los diferentes lugares de desarrollo, conforme a la proyección de programas nuevos y vigentes y, aumento de estudiantes matriculados conforme las metas institucionales, con el fin de garantizar una adecuada asignación de ambientes de aprendizaje y prevenir cruces de horarios, sobreocupación y/o subutilización de espacios académicos.</t>
    </r>
    <r>
      <rPr>
        <sz val="10"/>
        <color rgb="FFFF0000"/>
        <rFont val="Arial Narrow"/>
        <family val="2"/>
      </rPr>
      <t xml:space="preserve">
</t>
    </r>
    <r>
      <rPr>
        <sz val="10"/>
        <rFont val="Arial Narrow"/>
        <family val="2"/>
      </rPr>
      <t>La ejecución del control se evidencia mediante cronograma de proyectos de infraestructura nueva, reportes de capacidad instalada, informe de proyección de apertura de programas nuevos por lugares de desarrollo que incluya indicadores de estudiantes, plan de vinculación docente y plan financiero de recursos y medios para oferta académica conforme metas institucionales comunicadas oficialmente a Docencia PES.
En caso de identificar limitaciones en la disponibilidad de espacios, inconsistencias en la asignación o insuficiencia de capacidad instalada frente a la demanda académica proyectada, se gestionan ajustes en la programación académica y priorización de espacios conforme a las necesidades institucionales.</t>
    </r>
  </si>
  <si>
    <t xml:space="preserve">Cronograma de proyectos de infraestructura nueva
Reportes de capacidad instalada 
Informe de proyección de apertura de programas nuevos por lugares de desarrollo que incluya indicadores de estudiantes
Plan de vinculación docente 
Plan financiero de recursos y medios para oferta académica </t>
  </si>
  <si>
    <t xml:space="preserve">
Implementar indicadores periódicos de ocupación, sobrecupos, subutilización y cruces de horarios para apoyar la mejora continua de la programación académica
</t>
  </si>
  <si>
    <t>Plan de indicadores
Reporte de indicadores conforme implementación del plan</t>
  </si>
  <si>
    <t>Actas de mesa técnica y entregables conforme compromisos</t>
  </si>
  <si>
    <r>
      <t xml:space="preserve">Posibilidad de afectación reputacional </t>
    </r>
    <r>
      <rPr>
        <b/>
        <sz val="11"/>
        <rFont val="Arial Narrow"/>
        <family val="2"/>
      </rPr>
      <t>por</t>
    </r>
    <r>
      <rPr>
        <sz val="11"/>
        <rFont val="Arial Narrow"/>
        <family val="2"/>
      </rPr>
      <t xml:space="preserve"> desactualización </t>
    </r>
    <r>
      <rPr>
        <sz val="11"/>
        <color theme="5"/>
        <rFont val="Arial Narrow"/>
        <family val="2"/>
      </rPr>
      <t>de recursos y medios educativos ( acervo bibliográfico físico y digital de la biblioteca, equipos laboratorio, software y hardware)</t>
    </r>
    <r>
      <rPr>
        <sz val="11"/>
        <rFont val="Arial Narrow"/>
        <family val="2"/>
      </rPr>
      <t xml:space="preserve">  </t>
    </r>
    <r>
      <rPr>
        <b/>
        <sz val="11"/>
        <rFont val="Arial Narrow"/>
        <family val="2"/>
      </rPr>
      <t xml:space="preserve">debido </t>
    </r>
    <r>
      <rPr>
        <sz val="11"/>
        <rFont val="Arial Narrow"/>
        <family val="2"/>
      </rPr>
      <t>a demoras en los procesos de adquisición y deficiencias en la articulación entre las necesidades de los programas académicos y la planeación de compras institucionales.</t>
    </r>
  </si>
  <si>
    <t>DES-PC-16 Adquisición material bibiográfico</t>
  </si>
  <si>
    <t>El Coordinador de Laboratorios y Talleres verifica semestralmente que las necesidades de recursos y medios educativos priorizados por los programas académicos estén incorporados en el plan de adquisiciones vigente, con el fin de detectar omisiones o retrasos en la planeación de compras que puedan afectar la disponibilidad oportuna de los recursos educativos.
La ejecución del control se evidencia mediante matriz de necesidades Decanaturas vs. Plan de necesidades remitido a Vicerrectoria Administrativa/Oficina Planeación; comunicados de alertas formales remitidas a la Vicerrectoría Académica y Estudios previos radicados para adquisición de recursos
En caso de identificar necesidades no incorporadas o procesos de adquisición con retrasos significativos, remite alerta formal a la Vicerrectoría Académica para su escalamiento ante las instancias competentes</t>
  </si>
  <si>
    <t>Matriz de necesidades Decanaturas vs. Plan de necesidades remitido a Vicerrectoria Administrativa/Oficina Planeación Comunicados de alertas formales remitidas a la Vicerrectoría Académica 
Estudios previos radicados para adquisición de recursos</t>
  </si>
  <si>
    <t>Coordinador de Laboratorios y Talleres</t>
  </si>
  <si>
    <t>Matriz de diagnósitco semestral de recursos y medios
Inventario actualizado
Notificación formal de rrecursos en estado crítico</t>
  </si>
  <si>
    <t>Solicitud formal documentada
Respuesta instancias competentes
Registro de acciones adoptadas</t>
  </si>
  <si>
    <t>La Vicerrectoría Académica, en coordinación con la Vicerrectoría Administrativa y Financiera y la Oficina de Planeación, gestiona la inclusión de modificaciones o adiciones al plan de adquisiciones institucional cuando se identifiquen recursos y medios educativos en estado crítico de desactualización u obsolescencia que afecten el desarrollo de las prácticas académicas, mediante solicitud formal sustentada con el diagnóstico técnico y la justificación pedagógica, con el fin de corregir oportunamente las brechas de disponibilidad de recursos educativos y mitigar el impacto reputacional. 
La ejecución del control se evidencia mediante la solicitud formal documentada, la respuesta de las instancias competentes y el registro de las acciones adoptadas. 
En caso de que la gestión no prospere en la vigencia en curso, incorpora la necesidad como prioritaria en el plan de adquisiciones de la siguiente vigencia con justificación técnica y pedagógica.</t>
  </si>
  <si>
    <t>Diseñar e implementar estrategias de acceso complementario a recursos educativos digitales (bases de datos académicas en acceso abierto, repositorios institucionales, plataformas de simulación virtual, software libre validado pedagógicamente) como alternativa sostenible ante las limitaciones de adquisición presupuestal, articuladas con las necesidades de los programas académicos y los estándares de calidad del MEN.</t>
  </si>
  <si>
    <t>Coordinación del Centro de Biblioteca y Recursos Educativos/ Decanaturas</t>
  </si>
  <si>
    <t>4, 5 y 6</t>
  </si>
  <si>
    <t>Formato anual de necesidades técnicas por programa  
Concepto de la Decanatura
Plan de necesidades decanaturas</t>
  </si>
  <si>
    <t>Acta de recibo a satisfacción
Acta de recibido parcial con observaciones (Si aplica) 
Acta de almacén y Registro fotográfico de los bienes recibidos 
Comunicación formal al contratista en caso de no conformidad</t>
  </si>
  <si>
    <t xml:space="preserve">DES-PC-09 y DES-PC-10 - Selección, vinculación y retiro profesores hora cátedra y ocasionales </t>
  </si>
  <si>
    <t>GCI-PC-04 Auditoria Interna</t>
  </si>
  <si>
    <t>GSC-PC-01 Comunicaciones oficiales y/o PQRSD
GSC-PC-02
Gestión de PQRSD anónimas</t>
  </si>
  <si>
    <t xml:space="preserve">El Profesional de Planeación Estratégica de la Vicerrectoría Académica o quien haga las veces verifica trimestralmente que la ejecución de los recursos asignados a cada proyecto adscrito al despacho de la Vicerrectoria Académica corresponda al plan de trabajo aprobado, los productos comprometidos y las actividades programadas, mediante revisión del reporte de ejecución presupuestal y el informe técnico de avance del responsable del proyecto, con el fin de prevenir desviaciones, subejecuciones o usos indebidos de los recursos públicos asignados. 
La ejecución del control se evidencia mediante el concepto sobre los informes de seguimiento trimestrales del responsable del proyecto adscrito a la Vicerrectoría Académica. 
En caso de identificar inconsistencias entre la ejecución reportada y los productos comprometidos, solicita justificación formal al responsable del proyecto, al supervisor y eleva el caso a la Vicerrectoría Académica para la decisión correspondiente.
</t>
  </si>
  <si>
    <t>Sin documentar</t>
  </si>
  <si>
    <t xml:space="preserve">La Vicerrectoría Académica, en coordinación con los Decanos y el Coordinador de Talleres y laboratorios, revisa y avala técnicamente los estudios previos  previo al inicio del proceso contractual, mediante concepto escrito, con el fin de verificar la pertinencia, suficiencia y coherencia de las especificaciones técnicas con las necesidades de los programas académicos. 
La ejecución del control se evidencia en Estudios previos con firma de revisión y aprobación de la Vicerrectoría Académica y la Decanatura correspondiente
En caso de identificar especificaciones inadecuadas, ambiguas o que no correspondan a las necesidades reales, la Decanatura solicita su ajuste antes de la continuidad del proceso de adquisiciones
</t>
  </si>
  <si>
    <t>Los procesos de adquisiciones son muy generales y están definidos por tipo de proceso de compra, pero no detalla la especificidad de esto</t>
  </si>
  <si>
    <t>GRF-PC-03 Procedimiento Administración  Manejo y Control de Activos Fijos</t>
  </si>
  <si>
    <t xml:space="preserve"> El GRF-PC-03 Procedimiento Administración  Manejo y Control de Activos Fijos no define que hacer en caso de reclamación</t>
  </si>
  <si>
    <t>Diseñar y documentar un procedimiento unificado de gestión de recursos y medios educativos del proceso Docencia PES, que articule los subprocesos de diagnóstico, planeación de necesidades, gestión de adquisiciones, recibo técnico y seguimiento a la actualización de bibliografía, equipos de laboratorio, software y hardware.</t>
  </si>
  <si>
    <t>Diagnosticar el estado de actualización de recursos y medios bajo su responsabilidad (obsolescencia, licencias vencidas, equipos en mal estado, equipos pendientes de mantenimiento) con el fin de identificar oportunamente los recursos que requieren reposición, actualización o adquisición prioritaria y docuementar la actividad dentro del SIACET</t>
  </si>
  <si>
    <t>Catalogo de recursos digitales complementarios validados por programa
Evidencia de socialización con docentes y estudiantes
Registro de acceso y uso
Documento controlado en el SIACET y socializado</t>
  </si>
  <si>
    <t xml:space="preserve">Procedimientos y formatos desarrollados y socializados
Acta CIGD </t>
  </si>
  <si>
    <t>Documentar e implementar un mecanismo de participación técnica de Docencia PES en la revisión de estudios previos de procesos de adquisición de equipos de laboratorio, mediante la inclusión formal del aval técnico del Decano en el expediente contractual como requisito previo a la apertura del proceso.</t>
  </si>
  <si>
    <t>Diseñar, documentar e implementar la lista de chequeo de verificación técnica y funcional de equipos de laboratorio, de uso obligatorio en el proceso de recibo de bienes adquiridos, que permita constatar el cumplimiento de especificaciones contractuales y la aptitud de los equipos para el desarrollo de las prácticas académicas.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</si>
</sst>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0">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family val="2"/>
      <scheme val="minor"/>
    </font>
    <font>
      <b/>
      <sz val="11"/>
      <name val="Arial"/>
      <family val="2"/>
    </font>
    <font>
      <b/>
      <sz val="10"/>
      <color rgb="FF000000"/>
      <name val="Arial"/>
      <family val="2"/>
    </font>
    <font>
      <sz val="11"/>
      <color rgb="FF000000"/>
      <name val="Calibri"/>
      <family val="2"/>
    </font>
    <font>
      <sz val="10"/>
      <color theme="1"/>
      <name val="Arial Narrow"/>
      <family val="2"/>
    </font>
    <font>
      <sz val="14"/>
      <color rgb="FF000000"/>
      <name val="-webkit-standard"/>
    </font>
    <font>
      <b/>
      <sz val="36"/>
      <color rgb="FF000000"/>
      <name val="Calibri"/>
      <family val="2"/>
      <scheme val="minor"/>
    </font>
    <font>
      <sz val="36"/>
      <color rgb="FF000000"/>
      <name val="Calibri"/>
      <family val="2"/>
      <scheme val="minor"/>
    </font>
    <font>
      <sz val="10"/>
      <color rgb="FFFF0000"/>
      <name val="Arial Narrow"/>
      <family val="2"/>
    </font>
    <font>
      <sz val="11"/>
      <color theme="1"/>
      <name val="Arial Narrow"/>
      <family val="2"/>
    </font>
    <font>
      <sz val="10"/>
      <color rgb="FF000000"/>
      <name val="Tahoma"/>
      <family val="2"/>
    </font>
    <font>
      <b/>
      <sz val="10"/>
      <color rgb="FF000000"/>
      <name val="Tahoma"/>
      <family val="2"/>
    </font>
    <font>
      <sz val="11"/>
      <color theme="5"/>
      <name val="Arial Narrow"/>
      <family val="2"/>
    </font>
  </fonts>
  <fills count="3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4.9989318521683403E-2"/>
        <bgColor indexed="64"/>
      </patternFill>
    </fill>
    <fill>
      <patternFill patternType="solid">
        <fgColor theme="6" tint="-0.499984740745262"/>
        <bgColor indexed="64"/>
      </patternFill>
    </fill>
    <fill>
      <patternFill patternType="solid">
        <fgColor theme="6" tint="0.79998168889431442"/>
        <bgColor indexed="64"/>
      </patternFill>
    </fill>
  </fills>
  <borders count="119">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medium">
        <color indexed="64"/>
      </bottom>
      <diagonal/>
    </border>
    <border>
      <left style="thin">
        <color theme="1"/>
      </left>
      <right style="thin">
        <color theme="1"/>
      </right>
      <top style="thin">
        <color theme="1"/>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cellStyleXfs>
  <cellXfs count="772">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0" fillId="0" borderId="0" xfId="0" applyFont="1" applyAlignment="1">
      <alignment horizontal="center" vertical="center" wrapText="1"/>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0" fontId="90" fillId="3" borderId="0" xfId="0" applyFont="1" applyFill="1" applyAlignment="1">
      <alignment horizontal="center" vertical="center" wrapText="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6" fillId="3" borderId="0" xfId="5" applyNumberFormat="1" applyFill="1" applyAlignment="1">
      <alignment horizontal="center" vertical="center" wrapText="1"/>
    </xf>
    <xf numFmtId="0" fontId="96" fillId="3" borderId="0" xfId="5" applyFill="1" applyAlignment="1">
      <alignment horizontal="center" vertical="center" wrapText="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84" fillId="16" borderId="63" xfId="0" applyFont="1" applyFill="1" applyBorder="1" applyAlignment="1">
      <alignment horizontal="center" vertical="center"/>
    </xf>
    <xf numFmtId="0" fontId="99" fillId="0" borderId="21" xfId="0" applyFont="1" applyBorder="1" applyAlignment="1">
      <alignment horizontal="left" vertical="center"/>
    </xf>
    <xf numFmtId="0" fontId="84" fillId="16" borderId="101" xfId="0" applyFont="1" applyFill="1" applyBorder="1" applyAlignment="1">
      <alignment horizontal="center" vertical="center" textRotation="90"/>
    </xf>
    <xf numFmtId="0" fontId="93" fillId="16" borderId="101" xfId="0" applyFont="1" applyFill="1" applyBorder="1" applyAlignment="1">
      <alignment horizontal="center" vertical="center" wrapText="1"/>
    </xf>
    <xf numFmtId="0" fontId="90" fillId="0" borderId="100" xfId="0" applyFont="1" applyBorder="1" applyAlignment="1">
      <alignment horizontal="center" vertical="center" wrapText="1"/>
    </xf>
    <xf numFmtId="0" fontId="45" fillId="0" borderId="100" xfId="0" applyFont="1" applyBorder="1" applyAlignment="1" applyProtection="1">
      <alignment horizontal="justify" vertical="center" wrapText="1"/>
      <protection locked="0"/>
    </xf>
    <xf numFmtId="0" fontId="101" fillId="0" borderId="100" xfId="0" applyFont="1" applyBorder="1" applyAlignment="1" applyProtection="1">
      <alignment horizontal="left" vertical="center" wrapText="1"/>
      <protection locked="0"/>
    </xf>
    <xf numFmtId="0" fontId="90" fillId="0" borderId="100" xfId="0" applyFont="1" applyBorder="1" applyAlignment="1" applyProtection="1">
      <alignment horizontal="center" vertical="center" wrapText="1"/>
      <protection hidden="1"/>
    </xf>
    <xf numFmtId="0" fontId="90" fillId="0" borderId="100" xfId="0" applyFont="1" applyBorder="1" applyAlignment="1" applyProtection="1">
      <alignment horizontal="center" vertical="center" textRotation="90" wrapText="1"/>
      <protection locked="0"/>
    </xf>
    <xf numFmtId="9" fontId="90" fillId="0" borderId="100" xfId="0" applyNumberFormat="1" applyFont="1" applyBorder="1" applyAlignment="1" applyProtection="1">
      <alignment horizontal="center" vertical="center" wrapText="1"/>
      <protection hidden="1"/>
    </xf>
    <xf numFmtId="0" fontId="1" fillId="0" borderId="28" xfId="0" applyFont="1" applyBorder="1" applyAlignment="1">
      <alignment horizontal="center" vertical="center"/>
    </xf>
    <xf numFmtId="0" fontId="45" fillId="0" borderId="28" xfId="0" applyFont="1" applyBorder="1" applyAlignment="1" applyProtection="1">
      <alignment horizontal="justify" vertical="center" wrapText="1"/>
      <protection locked="0"/>
    </xf>
    <xf numFmtId="0" fontId="45" fillId="0" borderId="28" xfId="0" applyFont="1" applyBorder="1" applyAlignment="1" applyProtection="1">
      <alignment horizontal="left" vertical="center" wrapText="1"/>
      <protection locked="0"/>
    </xf>
    <xf numFmtId="0" fontId="90" fillId="0" borderId="28" xfId="0" applyFont="1" applyBorder="1" applyAlignment="1" applyProtection="1">
      <alignment horizontal="center" vertical="center" wrapText="1"/>
      <protection hidden="1"/>
    </xf>
    <xf numFmtId="0" fontId="90" fillId="0" borderId="28" xfId="0" applyFont="1" applyBorder="1" applyAlignment="1" applyProtection="1">
      <alignment horizontal="center" vertical="center" textRotation="90" wrapText="1"/>
      <protection locked="0"/>
    </xf>
    <xf numFmtId="9" fontId="90" fillId="0" borderId="28" xfId="0" applyNumberFormat="1" applyFont="1" applyBorder="1" applyAlignment="1" applyProtection="1">
      <alignment horizontal="center" vertical="center" wrapText="1"/>
      <protection hidden="1"/>
    </xf>
    <xf numFmtId="0" fontId="102" fillId="0" borderId="0" xfId="0" applyFont="1"/>
    <xf numFmtId="0" fontId="103" fillId="0" borderId="0" xfId="0" applyFont="1"/>
    <xf numFmtId="0" fontId="104" fillId="0" borderId="0" xfId="0" applyFont="1"/>
    <xf numFmtId="0" fontId="90" fillId="0" borderId="21" xfId="0" applyFont="1" applyBorder="1" applyAlignment="1">
      <alignment horizontal="center" vertical="center" wrapText="1"/>
    </xf>
    <xf numFmtId="0" fontId="43" fillId="0" borderId="21" xfId="0" applyFont="1" applyBorder="1" applyAlignment="1" applyProtection="1">
      <alignment horizontal="center" vertical="center" wrapText="1"/>
      <protection locked="0"/>
    </xf>
    <xf numFmtId="0" fontId="43" fillId="0" borderId="100" xfId="0" applyFont="1" applyBorder="1" applyAlignment="1" applyProtection="1">
      <alignment horizontal="center" vertical="center" wrapText="1"/>
      <protection locked="0"/>
    </xf>
    <xf numFmtId="0" fontId="87" fillId="0" borderId="0" xfId="0" applyFont="1" applyAlignment="1" applyProtection="1">
      <alignment horizontal="center" vertical="center"/>
      <protection locked="0"/>
    </xf>
    <xf numFmtId="0" fontId="83" fillId="3" borderId="0" xfId="0" applyFont="1" applyFill="1" applyAlignment="1">
      <alignment horizontal="center" vertical="center"/>
    </xf>
    <xf numFmtId="0" fontId="45" fillId="0" borderId="100" xfId="0" applyFont="1" applyBorder="1" applyAlignment="1" applyProtection="1">
      <alignment horizontal="left" vertical="center" wrapText="1"/>
      <protection locked="0"/>
    </xf>
    <xf numFmtId="0" fontId="90" fillId="17" borderId="100" xfId="0" applyFont="1" applyFill="1" applyBorder="1" applyAlignment="1">
      <alignment horizontal="center" vertical="center" wrapText="1"/>
    </xf>
    <xf numFmtId="0" fontId="90" fillId="17" borderId="28" xfId="0" applyFont="1" applyFill="1" applyBorder="1" applyAlignment="1">
      <alignment horizontal="center" vertical="center" wrapText="1"/>
    </xf>
    <xf numFmtId="0" fontId="90" fillId="17" borderId="21" xfId="0" applyFont="1" applyFill="1" applyBorder="1" applyAlignment="1">
      <alignment horizontal="center" vertical="center" wrapText="1"/>
    </xf>
    <xf numFmtId="0" fontId="90" fillId="0" borderId="101" xfId="0" applyFont="1" applyBorder="1" applyAlignment="1" applyProtection="1">
      <alignment horizontal="center" vertical="center" wrapText="1"/>
      <protection hidden="1"/>
    </xf>
    <xf numFmtId="0" fontId="90" fillId="0" borderId="101" xfId="0" applyFont="1" applyBorder="1" applyAlignment="1" applyProtection="1">
      <alignment horizontal="center" vertical="center" textRotation="90" wrapText="1"/>
      <protection locked="0"/>
    </xf>
    <xf numFmtId="9" fontId="90" fillId="0" borderId="101" xfId="0" applyNumberFormat="1" applyFont="1" applyBorder="1" applyAlignment="1" applyProtection="1">
      <alignment horizontal="center" vertical="center" wrapText="1"/>
      <protection hidden="1"/>
    </xf>
    <xf numFmtId="0" fontId="43" fillId="0" borderId="101" xfId="0" applyFont="1" applyBorder="1" applyAlignment="1" applyProtection="1">
      <alignment horizontal="center" vertical="center" wrapText="1"/>
      <protection locked="0"/>
    </xf>
    <xf numFmtId="0" fontId="45" fillId="0" borderId="101" xfId="0" applyFont="1" applyBorder="1" applyAlignment="1" applyProtection="1">
      <alignment horizontal="left" vertical="center" wrapText="1"/>
      <protection locked="0"/>
    </xf>
    <xf numFmtId="0" fontId="90" fillId="0" borderId="21" xfId="0" applyFont="1" applyBorder="1" applyAlignment="1" applyProtection="1">
      <alignment vertical="center" wrapText="1"/>
      <protection hidden="1"/>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9" fontId="90" fillId="0" borderId="83" xfId="0" applyNumberFormat="1" applyFont="1" applyBorder="1" applyAlignment="1" applyProtection="1">
      <alignment horizontal="center" vertical="center" wrapText="1"/>
      <protection hidden="1"/>
    </xf>
    <xf numFmtId="0" fontId="90" fillId="0" borderId="101" xfId="0" applyFont="1" applyBorder="1" applyAlignment="1" applyProtection="1">
      <alignment horizontal="center" vertical="center" wrapText="1"/>
      <protection hidden="1"/>
    </xf>
    <xf numFmtId="0" fontId="90" fillId="0" borderId="113" xfId="0" applyFont="1" applyBorder="1" applyAlignment="1" applyProtection="1">
      <alignment horizontal="center" vertical="center" wrapText="1"/>
      <protection hidden="1"/>
    </xf>
    <xf numFmtId="0" fontId="90" fillId="0" borderId="101" xfId="0" applyFont="1" applyBorder="1" applyAlignment="1" applyProtection="1">
      <alignment horizontal="center" vertical="center" textRotation="90" wrapText="1"/>
      <protection locked="0"/>
    </xf>
    <xf numFmtId="0" fontId="90" fillId="0" borderId="113" xfId="0" applyFont="1" applyBorder="1" applyAlignment="1" applyProtection="1">
      <alignment horizontal="center" vertical="center" textRotation="90" wrapText="1"/>
      <protection locked="0"/>
    </xf>
    <xf numFmtId="9" fontId="90" fillId="0" borderId="101" xfId="0" applyNumberFormat="1" applyFont="1" applyBorder="1" applyAlignment="1" applyProtection="1">
      <alignment horizontal="center" vertical="center" wrapText="1"/>
      <protection hidden="1"/>
    </xf>
    <xf numFmtId="9" fontId="90" fillId="0" borderId="113" xfId="0" applyNumberFormat="1" applyFont="1" applyBorder="1" applyAlignment="1" applyProtection="1">
      <alignment horizontal="center" vertical="center" wrapText="1"/>
      <protection hidden="1"/>
    </xf>
    <xf numFmtId="0" fontId="43" fillId="0" borderId="101" xfId="0" applyFont="1" applyBorder="1" applyAlignment="1" applyProtection="1">
      <alignment horizontal="center" vertical="center" wrapText="1"/>
      <protection locked="0"/>
    </xf>
    <xf numFmtId="0" fontId="43" fillId="0" borderId="113" xfId="0" applyFont="1" applyBorder="1" applyAlignment="1" applyProtection="1">
      <alignment horizontal="center" vertical="center" wrapText="1"/>
      <protection locked="0"/>
    </xf>
    <xf numFmtId="9" fontId="90" fillId="0" borderId="102" xfId="0" applyNumberFormat="1" applyFont="1" applyBorder="1" applyAlignment="1" applyProtection="1">
      <alignment horizontal="center" vertical="center" wrapText="1"/>
      <protection hidden="1"/>
    </xf>
    <xf numFmtId="0" fontId="95" fillId="0" borderId="100" xfId="0" applyFont="1" applyBorder="1" applyAlignment="1" applyProtection="1">
      <alignment horizontal="center" vertical="center" textRotation="90" wrapText="1"/>
      <protection hidden="1"/>
    </xf>
    <xf numFmtId="0" fontId="95" fillId="0" borderId="21" xfId="0" applyFont="1" applyBorder="1" applyAlignment="1" applyProtection="1">
      <alignment horizontal="center" vertical="center" textRotation="90" wrapText="1"/>
      <protection hidden="1"/>
    </xf>
    <xf numFmtId="0" fontId="95" fillId="0" borderId="28" xfId="0" applyFont="1" applyBorder="1" applyAlignment="1" applyProtection="1">
      <alignment horizontal="center" vertical="center" textRotation="90" wrapText="1"/>
      <protection hidden="1"/>
    </xf>
    <xf numFmtId="9" fontId="90" fillId="0" borderId="100" xfId="0" applyNumberFormat="1" applyFont="1" applyBorder="1" applyAlignment="1" applyProtection="1">
      <alignment horizontal="center" vertical="center" wrapText="1"/>
      <protection hidden="1"/>
    </xf>
    <xf numFmtId="9" fontId="90" fillId="0" borderId="21" xfId="0" applyNumberFormat="1" applyFont="1" applyBorder="1" applyAlignment="1" applyProtection="1">
      <alignment horizontal="center" vertical="center" wrapText="1"/>
      <protection hidden="1"/>
    </xf>
    <xf numFmtId="9" fontId="90" fillId="0" borderId="28" xfId="0" applyNumberFormat="1" applyFont="1" applyBorder="1" applyAlignment="1" applyProtection="1">
      <alignment horizontal="center" vertical="center" wrapText="1"/>
      <protection hidden="1"/>
    </xf>
    <xf numFmtId="0" fontId="90" fillId="0" borderId="100" xfId="0" applyFont="1" applyBorder="1" applyAlignment="1" applyProtection="1">
      <alignment horizontal="center" vertical="center" textRotation="90" wrapText="1"/>
      <protection locked="0"/>
    </xf>
    <xf numFmtId="0" fontId="90" fillId="0" borderId="21" xfId="0" applyFont="1" applyBorder="1" applyAlignment="1" applyProtection="1">
      <alignment horizontal="center" vertical="center" textRotation="90" wrapText="1"/>
      <protection locked="0"/>
    </xf>
    <xf numFmtId="0" fontId="90" fillId="0" borderId="28" xfId="0" applyFont="1" applyBorder="1" applyAlignment="1" applyProtection="1">
      <alignment horizontal="center" vertical="center" textRotation="90" wrapText="1"/>
      <protection locked="0"/>
    </xf>
    <xf numFmtId="0" fontId="95" fillId="0" borderId="100" xfId="0" applyFont="1" applyBorder="1" applyAlignment="1" applyProtection="1">
      <alignment horizontal="center" vertical="center" wrapText="1"/>
      <protection hidden="1"/>
    </xf>
    <xf numFmtId="0" fontId="95" fillId="0" borderId="21" xfId="0" applyFont="1" applyBorder="1" applyAlignment="1" applyProtection="1">
      <alignment horizontal="center" vertical="center" wrapText="1"/>
      <protection hidden="1"/>
    </xf>
    <xf numFmtId="0" fontId="95" fillId="0" borderId="28" xfId="0" applyFont="1" applyBorder="1" applyAlignment="1" applyProtection="1">
      <alignment horizontal="center" vertical="center" wrapText="1"/>
      <protection hidden="1"/>
    </xf>
    <xf numFmtId="0" fontId="90" fillId="0" borderId="100" xfId="0" applyFont="1" applyBorder="1" applyAlignment="1">
      <alignment horizontal="center" vertical="center" wrapText="1"/>
    </xf>
    <xf numFmtId="0" fontId="90" fillId="0" borderId="21" xfId="0" applyFont="1" applyBorder="1" applyAlignment="1">
      <alignment horizontal="center" vertical="center" wrapText="1"/>
    </xf>
    <xf numFmtId="0" fontId="90" fillId="0" borderId="28" xfId="0" applyFont="1" applyBorder="1" applyAlignment="1">
      <alignment horizontal="center" vertical="center" wrapText="1"/>
    </xf>
    <xf numFmtId="0" fontId="90" fillId="17" borderId="100" xfId="0" applyFont="1" applyFill="1" applyBorder="1" applyAlignment="1">
      <alignment horizontal="center" vertical="center" wrapText="1"/>
    </xf>
    <xf numFmtId="0" fontId="90" fillId="17" borderId="21" xfId="0" applyFont="1" applyFill="1" applyBorder="1" applyAlignment="1">
      <alignment horizontal="center" vertical="center" wrapText="1"/>
    </xf>
    <xf numFmtId="0" fontId="90" fillId="17" borderId="28" xfId="0" applyFont="1" applyFill="1" applyBorder="1" applyAlignment="1">
      <alignment horizontal="center" vertical="center" wrapText="1"/>
    </xf>
    <xf numFmtId="0" fontId="1" fillId="0" borderId="10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28" xfId="0" applyFont="1" applyBorder="1" applyAlignment="1" applyProtection="1">
      <alignment horizontal="center" vertical="center" wrapText="1"/>
      <protection locked="0"/>
    </xf>
    <xf numFmtId="0" fontId="106" fillId="0" borderId="100" xfId="0" applyFont="1" applyBorder="1" applyAlignment="1" applyProtection="1">
      <alignment horizontal="center" vertical="center" wrapText="1"/>
      <protection locked="0"/>
    </xf>
    <xf numFmtId="0" fontId="106" fillId="0" borderId="21" xfId="0" applyFont="1" applyBorder="1" applyAlignment="1" applyProtection="1">
      <alignment horizontal="center" vertical="center" wrapText="1"/>
      <protection locked="0"/>
    </xf>
    <xf numFmtId="0" fontId="106" fillId="0" borderId="28" xfId="0" applyFont="1" applyBorder="1" applyAlignment="1" applyProtection="1">
      <alignment horizontal="center" vertical="center" wrapText="1"/>
      <protection locked="0"/>
    </xf>
    <xf numFmtId="0" fontId="90" fillId="0" borderId="100" xfId="0" applyFont="1" applyBorder="1" applyAlignment="1" applyProtection="1">
      <alignment horizontal="center" vertical="center" wrapText="1"/>
      <protection locked="0"/>
    </xf>
    <xf numFmtId="0" fontId="90" fillId="0" borderId="21" xfId="0" applyFont="1" applyBorder="1" applyAlignment="1" applyProtection="1">
      <alignment horizontal="center" vertical="center" wrapText="1"/>
      <protection locked="0"/>
    </xf>
    <xf numFmtId="0" fontId="90" fillId="0" borderId="28" xfId="0" applyFont="1" applyBorder="1" applyAlignment="1" applyProtection="1">
      <alignment horizontal="center" vertical="center" wrapText="1"/>
      <protection locked="0"/>
    </xf>
    <xf numFmtId="0" fontId="90" fillId="17" borderId="100" xfId="0" applyFont="1" applyFill="1" applyBorder="1" applyAlignment="1" applyProtection="1">
      <alignment horizontal="center" vertical="center" wrapText="1"/>
      <protection locked="0"/>
    </xf>
    <xf numFmtId="0" fontId="90" fillId="17" borderId="21" xfId="0" applyFont="1" applyFill="1" applyBorder="1" applyAlignment="1" applyProtection="1">
      <alignment horizontal="center" vertical="center" wrapText="1"/>
      <protection locked="0"/>
    </xf>
    <xf numFmtId="0" fontId="90" fillId="17" borderId="28" xfId="0" applyFont="1" applyFill="1" applyBorder="1" applyAlignment="1" applyProtection="1">
      <alignment horizontal="center" vertical="center" wrapText="1"/>
      <protection locked="0"/>
    </xf>
    <xf numFmtId="0" fontId="98" fillId="0" borderId="100" xfId="0" applyFont="1" applyBorder="1" applyAlignment="1" applyProtection="1">
      <alignment horizontal="center" vertical="center" wrapText="1"/>
      <protection hidden="1"/>
    </xf>
    <xf numFmtId="0" fontId="98" fillId="0" borderId="21" xfId="0" applyFont="1" applyBorder="1" applyAlignment="1" applyProtection="1">
      <alignment horizontal="center" vertical="center" wrapText="1"/>
      <protection hidden="1"/>
    </xf>
    <xf numFmtId="0" fontId="98" fillId="0" borderId="28" xfId="0" applyFont="1" applyBorder="1" applyAlignment="1" applyProtection="1">
      <alignment horizontal="center" vertical="center" wrapText="1"/>
      <protection hidden="1"/>
    </xf>
    <xf numFmtId="9" fontId="90" fillId="0" borderId="100" xfId="0" applyNumberFormat="1" applyFont="1" applyBorder="1" applyAlignment="1" applyProtection="1">
      <alignment horizontal="center" vertical="center" wrapText="1"/>
      <protection locked="0"/>
    </xf>
    <xf numFmtId="9" fontId="90" fillId="0" borderId="21" xfId="0" applyNumberFormat="1" applyFont="1" applyBorder="1" applyAlignment="1" applyProtection="1">
      <alignment horizontal="center" vertical="center" wrapText="1"/>
      <protection locked="0"/>
    </xf>
    <xf numFmtId="9" fontId="90" fillId="0" borderId="28" xfId="0" applyNumberFormat="1" applyFont="1" applyBorder="1" applyAlignment="1" applyProtection="1">
      <alignment horizontal="center" vertical="center" wrapText="1"/>
      <protection locked="0"/>
    </xf>
    <xf numFmtId="9" fontId="90" fillId="0" borderId="100" xfId="1" applyFont="1" applyBorder="1" applyAlignment="1">
      <alignment horizontal="center" vertical="center" wrapText="1"/>
    </xf>
    <xf numFmtId="9" fontId="90" fillId="0" borderId="21" xfId="1" applyFont="1" applyBorder="1" applyAlignment="1">
      <alignment horizontal="center" vertical="center" wrapText="1"/>
    </xf>
    <xf numFmtId="9" fontId="90" fillId="0" borderId="28" xfId="1" applyFont="1" applyBorder="1" applyAlignment="1">
      <alignment horizontal="center" vertical="center" wrapText="1"/>
    </xf>
    <xf numFmtId="0" fontId="1" fillId="0" borderId="83" xfId="0" applyFont="1" applyBorder="1" applyAlignment="1" applyProtection="1">
      <alignment horizontal="center" vertical="center" wrapText="1"/>
      <protection locked="0"/>
    </xf>
    <xf numFmtId="0" fontId="1" fillId="0" borderId="102" xfId="0" applyFont="1" applyBorder="1" applyAlignment="1" applyProtection="1">
      <alignment horizontal="center" vertical="center" wrapText="1"/>
      <protection locked="0"/>
    </xf>
    <xf numFmtId="0" fontId="1" fillId="0" borderId="113" xfId="0" applyFont="1" applyBorder="1" applyAlignment="1" applyProtection="1">
      <alignment horizontal="center" vertical="center" wrapText="1"/>
      <protection locked="0"/>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07"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08"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4" fillId="16" borderId="21" xfId="0" applyFont="1" applyFill="1" applyBorder="1" applyAlignment="1">
      <alignment horizontal="center" vertical="center" textRotation="90" wrapText="1"/>
    </xf>
    <xf numFmtId="0" fontId="84" fillId="16" borderId="101" xfId="0" applyFont="1" applyFill="1" applyBorder="1" applyAlignment="1">
      <alignment horizontal="center" vertical="center" textRotation="90" wrapText="1"/>
    </xf>
    <xf numFmtId="0" fontId="84" fillId="16" borderId="21" xfId="0" applyFont="1" applyFill="1" applyBorder="1" applyAlignment="1">
      <alignment horizontal="center" vertical="center" wrapText="1"/>
    </xf>
    <xf numFmtId="0" fontId="84" fillId="16" borderId="101" xfId="0" applyFont="1" applyFill="1" applyBorder="1" applyAlignment="1">
      <alignment horizontal="center" vertical="center" wrapText="1"/>
    </xf>
    <xf numFmtId="0" fontId="84" fillId="16" borderId="102" xfId="0" applyFont="1" applyFill="1" applyBorder="1" applyAlignment="1">
      <alignment horizontal="center" vertical="center" wrapText="1"/>
    </xf>
    <xf numFmtId="0" fontId="84" fillId="16" borderId="21" xfId="0" applyFont="1" applyFill="1" applyBorder="1" applyAlignment="1">
      <alignment horizontal="center" vertical="center"/>
    </xf>
    <xf numFmtId="0" fontId="84" fillId="16" borderId="22" xfId="0" applyFont="1" applyFill="1" applyBorder="1" applyAlignment="1">
      <alignment horizontal="center" vertical="center"/>
    </xf>
    <xf numFmtId="0" fontId="84" fillId="16" borderId="101" xfId="0" applyFont="1" applyFill="1" applyBorder="1" applyAlignment="1">
      <alignment horizontal="center" vertical="center"/>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0" fontId="84" fillId="16" borderId="99" xfId="0" applyFont="1" applyFill="1" applyBorder="1" applyAlignment="1">
      <alignment horizontal="center" vertical="center" wrapText="1"/>
    </xf>
    <xf numFmtId="0" fontId="84" fillId="16" borderId="104"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5" xfId="0" applyFont="1" applyFill="1" applyBorder="1" applyAlignment="1">
      <alignment horizontal="center" vertical="center" wrapText="1"/>
    </xf>
    <xf numFmtId="14" fontId="90" fillId="26" borderId="112" xfId="0" applyNumberFormat="1" applyFont="1" applyFill="1" applyBorder="1" applyAlignment="1">
      <alignment horizontal="center" vertical="center" wrapText="1"/>
    </xf>
    <xf numFmtId="14" fontId="90" fillId="26" borderId="114" xfId="0" applyNumberFormat="1" applyFont="1" applyFill="1" applyBorder="1" applyAlignment="1">
      <alignment horizontal="center" vertical="center" wrapText="1"/>
    </xf>
    <xf numFmtId="0" fontId="84" fillId="16" borderId="77" xfId="0" applyFont="1" applyFill="1" applyBorder="1" applyAlignment="1">
      <alignment horizontal="center" vertical="center" wrapText="1"/>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14" fontId="90" fillId="26" borderId="106" xfId="0" applyNumberFormat="1" applyFont="1" applyFill="1" applyBorder="1" applyAlignment="1">
      <alignment horizontal="center" vertical="center" wrapText="1"/>
    </xf>
    <xf numFmtId="14" fontId="90" fillId="26" borderId="102" xfId="0" applyNumberFormat="1" applyFont="1" applyFill="1" applyBorder="1" applyAlignment="1">
      <alignment horizontal="center" vertical="center" wrapText="1"/>
    </xf>
    <xf numFmtId="0" fontId="84" fillId="16" borderId="67" xfId="0" applyFont="1" applyFill="1" applyBorder="1" applyAlignment="1">
      <alignment horizontal="center" vertical="center" wrapText="1"/>
    </xf>
    <xf numFmtId="14" fontId="89" fillId="28" borderId="112" xfId="0" applyNumberFormat="1" applyFont="1" applyFill="1" applyBorder="1" applyAlignment="1">
      <alignment horizontal="center" vertical="center" wrapText="1"/>
    </xf>
    <xf numFmtId="14" fontId="89" fillId="28" borderId="114" xfId="0" applyNumberFormat="1" applyFont="1" applyFill="1" applyBorder="1" applyAlignment="1">
      <alignment horizontal="center" vertical="center" wrapText="1"/>
    </xf>
    <xf numFmtId="0" fontId="84" fillId="16" borderId="112" xfId="0" applyFont="1" applyFill="1" applyBorder="1" applyAlignment="1">
      <alignment horizontal="center" vertical="center" wrapText="1"/>
    </xf>
    <xf numFmtId="0" fontId="58" fillId="0" borderId="68" xfId="0" applyFont="1" applyBorder="1" applyAlignment="1">
      <alignment horizontal="center" vertical="center" wrapText="1"/>
    </xf>
    <xf numFmtId="0" fontId="59" fillId="0" borderId="68" xfId="0" applyFont="1" applyBorder="1" applyAlignment="1">
      <alignment horizontal="center" vertical="center" wrapText="1"/>
    </xf>
    <xf numFmtId="0" fontId="65" fillId="0" borderId="64" xfId="0" applyFont="1" applyBorder="1" applyAlignment="1">
      <alignment horizontal="left" vertical="center" wrapText="1"/>
    </xf>
    <xf numFmtId="0" fontId="84" fillId="16" borderId="102" xfId="0" applyFont="1" applyFill="1" applyBorder="1" applyAlignment="1">
      <alignment horizontal="center" vertical="center" textRotation="90" wrapText="1"/>
    </xf>
    <xf numFmtId="0" fontId="84" fillId="16" borderId="21" xfId="0" applyFont="1" applyFill="1" applyBorder="1" applyAlignment="1">
      <alignment horizontal="center" vertical="center" textRotation="90"/>
    </xf>
    <xf numFmtId="0" fontId="84" fillId="16" borderId="101" xfId="0" applyFont="1" applyFill="1" applyBorder="1" applyAlignment="1">
      <alignment horizontal="center" vertical="center" textRotation="90"/>
    </xf>
    <xf numFmtId="0" fontId="0" fillId="0" borderId="103" xfId="0" applyBorder="1" applyAlignment="1">
      <alignment horizontal="left" wrapText="1"/>
    </xf>
    <xf numFmtId="0" fontId="0" fillId="0" borderId="103" xfId="0" applyBorder="1" applyAlignment="1">
      <alignment horizontal="left"/>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84" fillId="16" borderId="102" xfId="0" applyFont="1" applyFill="1" applyBorder="1" applyAlignment="1">
      <alignment horizontal="center" vertical="center" textRotation="90"/>
    </xf>
    <xf numFmtId="0" fontId="76" fillId="0" borderId="0" xfId="0" applyFont="1" applyAlignment="1">
      <alignment horizontal="center"/>
    </xf>
    <xf numFmtId="0" fontId="76" fillId="0" borderId="72" xfId="0" applyFont="1" applyBorder="1" applyAlignment="1">
      <alignment horizontal="center"/>
    </xf>
    <xf numFmtId="0" fontId="84" fillId="16" borderId="102" xfId="0" applyFont="1" applyFill="1" applyBorder="1" applyAlignment="1">
      <alignment horizontal="center" vertical="center"/>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91" fillId="0" borderId="21" xfId="0" applyFont="1" applyBorder="1" applyAlignment="1">
      <alignment horizontal="left" vertical="center" wrapText="1"/>
    </xf>
    <xf numFmtId="0" fontId="0" fillId="5" borderId="0" xfId="0" applyFill="1" applyAlignment="1">
      <alignment horizontal="center"/>
    </xf>
    <xf numFmtId="0" fontId="97" fillId="0" borderId="109" xfId="0" applyFont="1" applyBorder="1" applyAlignment="1">
      <alignment horizontal="center" wrapText="1"/>
    </xf>
    <xf numFmtId="0" fontId="97" fillId="0" borderId="110" xfId="0" applyFont="1" applyBorder="1" applyAlignment="1">
      <alignment horizontal="center" wrapText="1"/>
    </xf>
    <xf numFmtId="0" fontId="97" fillId="0" borderId="111" xfId="0" applyFont="1" applyBorder="1" applyAlignment="1">
      <alignment horizontal="center" wrapText="1"/>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6" fillId="25" borderId="0" xfId="0" applyFont="1" applyFill="1" applyAlignment="1">
      <alignment horizontal="center" vertical="center" wrapText="1" readingOrder="1"/>
    </xf>
    <xf numFmtId="0" fontId="18" fillId="11" borderId="0" xfId="0" applyFont="1" applyFill="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vertical="center" wrapText="1" readingOrder="1"/>
      <protection hidden="1"/>
    </xf>
    <xf numFmtId="0" fontId="15" fillId="0" borderId="7" xfId="0" applyFont="1" applyBorder="1" applyAlignment="1">
      <alignment horizontal="center" vertical="center" wrapText="1"/>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8" fillId="11" borderId="8"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5" fillId="0" borderId="12" xfId="0" applyFont="1" applyBorder="1" applyAlignment="1">
      <alignment horizontal="center" vertical="center" wrapText="1"/>
    </xf>
    <xf numFmtId="0" fontId="18" fillId="11" borderId="9"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7"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22" fillId="0" borderId="0" xfId="0" applyFont="1" applyAlignment="1">
      <alignment horizontal="center" vertical="center" wrapText="1"/>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1" fillId="0" borderId="0" xfId="0" applyFont="1" applyAlignment="1">
      <alignment horizontal="center"/>
    </xf>
    <xf numFmtId="0" fontId="39" fillId="0" borderId="12" xfId="0" applyFont="1" applyBorder="1" applyAlignment="1">
      <alignment horizontal="center" vertical="center" wrapText="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164" fontId="65" fillId="0" borderId="23" xfId="0" applyNumberFormat="1" applyFont="1" applyBorder="1" applyAlignment="1">
      <alignment horizontal="center" vertical="center"/>
    </xf>
    <xf numFmtId="164"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71" fillId="0" borderId="28" xfId="0" applyFont="1" applyBorder="1" applyAlignment="1" applyProtection="1">
      <alignment horizontal="center" vertical="center" wrapText="1"/>
      <protection locked="0"/>
    </xf>
    <xf numFmtId="0" fontId="90" fillId="0" borderId="101" xfId="0" applyFont="1" applyBorder="1" applyAlignment="1">
      <alignment horizontal="center" vertical="center" wrapText="1"/>
    </xf>
    <xf numFmtId="0" fontId="90" fillId="17" borderId="101" xfId="0" applyFont="1" applyFill="1" applyBorder="1" applyAlignment="1">
      <alignment horizontal="center" vertical="center" wrapText="1"/>
    </xf>
    <xf numFmtId="0" fontId="1" fillId="0" borderId="101" xfId="0" applyFont="1" applyBorder="1" applyAlignment="1" applyProtection="1">
      <alignment horizontal="center" vertical="center" wrapText="1"/>
      <protection locked="0"/>
    </xf>
    <xf numFmtId="0" fontId="106" fillId="0" borderId="101" xfId="0" applyFont="1" applyBorder="1" applyAlignment="1" applyProtection="1">
      <alignment horizontal="center" vertical="center" wrapText="1"/>
      <protection locked="0"/>
    </xf>
    <xf numFmtId="0" fontId="90" fillId="0" borderId="101" xfId="0" applyFont="1" applyBorder="1" applyAlignment="1" applyProtection="1">
      <alignment horizontal="center" vertical="center" wrapText="1"/>
      <protection locked="0"/>
    </xf>
    <xf numFmtId="0" fontId="90" fillId="17" borderId="101" xfId="0" applyFont="1" applyFill="1" applyBorder="1" applyAlignment="1" applyProtection="1">
      <alignment horizontal="center" vertical="center" wrapText="1"/>
      <protection locked="0"/>
    </xf>
    <xf numFmtId="0" fontId="98" fillId="0" borderId="101" xfId="0" applyFont="1" applyBorder="1" applyAlignment="1" applyProtection="1">
      <alignment horizontal="center" vertical="center" wrapText="1"/>
      <protection hidden="1"/>
    </xf>
    <xf numFmtId="9" fontId="90" fillId="0" borderId="101" xfId="0" applyNumberFormat="1" applyFont="1" applyBorder="1" applyAlignment="1" applyProtection="1">
      <alignment horizontal="center" vertical="center" wrapText="1"/>
      <protection locked="0"/>
    </xf>
    <xf numFmtId="0" fontId="95" fillId="0" borderId="101" xfId="0" applyFont="1" applyBorder="1" applyAlignment="1" applyProtection="1">
      <alignment horizontal="center" vertical="center" wrapText="1"/>
      <protection hidden="1"/>
    </xf>
    <xf numFmtId="0" fontId="1" fillId="0" borderId="101" xfId="0" applyFont="1" applyBorder="1" applyAlignment="1">
      <alignment horizontal="center" vertical="center"/>
    </xf>
    <xf numFmtId="0" fontId="45" fillId="0" borderId="101" xfId="0" applyFont="1" applyBorder="1" applyAlignment="1" applyProtection="1">
      <alignment horizontal="justify" vertical="center" wrapText="1"/>
      <protection locked="0"/>
    </xf>
    <xf numFmtId="9" fontId="90" fillId="0" borderId="101" xfId="1" applyFont="1" applyBorder="1" applyAlignment="1">
      <alignment horizontal="center" vertical="center" wrapText="1"/>
    </xf>
    <xf numFmtId="0" fontId="95" fillId="0" borderId="101" xfId="0" applyFont="1" applyBorder="1" applyAlignment="1" applyProtection="1">
      <alignment horizontal="center" vertical="center" textRotation="90" wrapText="1"/>
      <protection hidden="1"/>
    </xf>
    <xf numFmtId="0" fontId="90" fillId="0" borderId="21" xfId="0" applyFont="1" applyBorder="1" applyAlignment="1">
      <alignment vertical="center" wrapText="1"/>
    </xf>
    <xf numFmtId="14" fontId="90" fillId="0" borderId="21" xfId="0" applyNumberFormat="1" applyFont="1" applyBorder="1" applyAlignment="1" applyProtection="1">
      <alignment vertical="center" wrapText="1"/>
      <protection locked="0"/>
    </xf>
    <xf numFmtId="14" fontId="90" fillId="27" borderId="21" xfId="0" applyNumberFormat="1" applyFont="1" applyFill="1" applyBorder="1" applyAlignment="1" applyProtection="1">
      <alignment vertical="center" wrapText="1"/>
      <protection locked="0"/>
    </xf>
    <xf numFmtId="14" fontId="90" fillId="27" borderId="21" xfId="0" applyNumberFormat="1" applyFont="1" applyFill="1" applyBorder="1" applyAlignment="1" applyProtection="1">
      <alignment horizontal="center" vertical="center" wrapText="1"/>
      <protection locked="0"/>
    </xf>
    <xf numFmtId="14" fontId="90" fillId="29" borderId="21" xfId="0" applyNumberFormat="1" applyFont="1" applyFill="1" applyBorder="1" applyAlignment="1" applyProtection="1">
      <alignment horizontal="center" vertical="center" wrapText="1"/>
      <protection locked="0"/>
    </xf>
    <xf numFmtId="14" fontId="90" fillId="17" borderId="21" xfId="0" applyNumberFormat="1" applyFont="1" applyFill="1" applyBorder="1" applyAlignment="1">
      <alignment vertical="center" wrapText="1"/>
    </xf>
    <xf numFmtId="0" fontId="96" fillId="17" borderId="21" xfId="5" applyFill="1" applyBorder="1" applyAlignment="1">
      <alignment horizontal="center" vertical="center" wrapText="1"/>
    </xf>
    <xf numFmtId="14" fontId="90" fillId="25" borderId="21" xfId="0" applyNumberFormat="1" applyFont="1" applyFill="1" applyBorder="1" applyAlignment="1" applyProtection="1">
      <alignment vertical="center" wrapText="1"/>
      <protection locked="0"/>
    </xf>
    <xf numFmtId="0" fontId="95" fillId="0" borderId="91" xfId="0" applyFont="1" applyBorder="1" applyAlignment="1">
      <alignment horizontal="center" vertical="center" wrapText="1"/>
    </xf>
    <xf numFmtId="0" fontId="90" fillId="0" borderId="100" xfId="0" applyFont="1" applyBorder="1" applyAlignment="1">
      <alignment vertical="center" wrapText="1"/>
    </xf>
    <xf numFmtId="14" fontId="90" fillId="0" borderId="100" xfId="0" applyNumberFormat="1" applyFont="1" applyBorder="1" applyAlignment="1" applyProtection="1">
      <alignment vertical="center" wrapText="1"/>
      <protection locked="0"/>
    </xf>
    <xf numFmtId="14" fontId="90" fillId="27" borderId="100" xfId="0" applyNumberFormat="1" applyFont="1" applyFill="1" applyBorder="1" applyAlignment="1" applyProtection="1">
      <alignment vertical="center" wrapText="1"/>
      <protection locked="0"/>
    </xf>
    <xf numFmtId="14" fontId="90" fillId="27" borderId="100" xfId="0" applyNumberFormat="1" applyFont="1" applyFill="1" applyBorder="1" applyAlignment="1" applyProtection="1">
      <alignment horizontal="center" vertical="center" wrapText="1"/>
      <protection locked="0"/>
    </xf>
    <xf numFmtId="14" fontId="90" fillId="29" borderId="100" xfId="0" applyNumberFormat="1" applyFont="1" applyFill="1" applyBorder="1" applyAlignment="1" applyProtection="1">
      <alignment horizontal="center" vertical="center" wrapText="1"/>
      <protection locked="0"/>
    </xf>
    <xf numFmtId="14" fontId="90" fillId="17" borderId="100" xfId="0" applyNumberFormat="1" applyFont="1" applyFill="1" applyBorder="1" applyAlignment="1">
      <alignment vertical="center" wrapText="1"/>
    </xf>
    <xf numFmtId="0" fontId="96" fillId="17" borderId="100" xfId="5" applyFill="1" applyBorder="1" applyAlignment="1">
      <alignment horizontal="center" vertical="center" wrapText="1"/>
    </xf>
    <xf numFmtId="14" fontId="90" fillId="25" borderId="100" xfId="0" applyNumberFormat="1" applyFont="1" applyFill="1" applyBorder="1" applyAlignment="1" applyProtection="1">
      <alignment vertical="center" wrapText="1"/>
      <protection locked="0"/>
    </xf>
    <xf numFmtId="0" fontId="90" fillId="25" borderId="117" xfId="0" applyFont="1" applyFill="1" applyBorder="1" applyAlignment="1" applyProtection="1">
      <alignment horizontal="center" vertical="center" wrapText="1"/>
      <protection locked="0"/>
    </xf>
    <xf numFmtId="0" fontId="95" fillId="0" borderId="25" xfId="0" applyFont="1" applyBorder="1" applyAlignment="1">
      <alignment horizontal="center" vertical="center" wrapText="1"/>
    </xf>
    <xf numFmtId="0" fontId="90" fillId="25" borderId="26" xfId="0" applyFont="1" applyFill="1" applyBorder="1" applyAlignment="1" applyProtection="1">
      <alignment horizontal="center" vertical="center" wrapText="1"/>
      <protection locked="0"/>
    </xf>
    <xf numFmtId="0" fontId="95" fillId="0" borderId="27" xfId="0" applyFont="1" applyBorder="1" applyAlignment="1">
      <alignment horizontal="center" vertical="center" wrapText="1"/>
    </xf>
    <xf numFmtId="0" fontId="90" fillId="0" borderId="28" xfId="0" applyFont="1" applyBorder="1" applyAlignment="1">
      <alignment vertical="center"/>
    </xf>
    <xf numFmtId="14" fontId="90" fillId="0" borderId="28" xfId="0" applyNumberFormat="1" applyFont="1" applyBorder="1" applyAlignment="1" applyProtection="1">
      <alignment vertical="center" wrapText="1"/>
      <protection locked="0"/>
    </xf>
    <xf numFmtId="14" fontId="90" fillId="27" borderId="28" xfId="0" applyNumberFormat="1" applyFont="1" applyFill="1" applyBorder="1" applyAlignment="1" applyProtection="1">
      <alignment vertical="center" wrapText="1"/>
      <protection locked="0"/>
    </xf>
    <xf numFmtId="14" fontId="90" fillId="27" borderId="28" xfId="0" applyNumberFormat="1" applyFont="1" applyFill="1" applyBorder="1" applyAlignment="1" applyProtection="1">
      <alignment horizontal="center" vertical="center" wrapText="1"/>
      <protection locked="0"/>
    </xf>
    <xf numFmtId="14" fontId="90" fillId="29" borderId="28" xfId="0" applyNumberFormat="1" applyFont="1" applyFill="1" applyBorder="1" applyAlignment="1" applyProtection="1">
      <alignment horizontal="center" vertical="center" wrapText="1"/>
      <protection locked="0"/>
    </xf>
    <xf numFmtId="14" fontId="90" fillId="17" borderId="28" xfId="0" applyNumberFormat="1" applyFont="1" applyFill="1" applyBorder="1" applyAlignment="1">
      <alignment vertical="center" wrapText="1"/>
    </xf>
    <xf numFmtId="0" fontId="96" fillId="17" borderId="28" xfId="5" applyFill="1" applyBorder="1" applyAlignment="1">
      <alignment horizontal="center" vertical="center" wrapText="1"/>
    </xf>
    <xf numFmtId="14" fontId="90" fillId="25" borderId="28" xfId="0" applyNumberFormat="1" applyFont="1" applyFill="1" applyBorder="1" applyAlignment="1" applyProtection="1">
      <alignment vertical="center" wrapText="1"/>
      <protection locked="0"/>
    </xf>
    <xf numFmtId="0" fontId="90" fillId="25" borderId="29" xfId="0" applyFont="1" applyFill="1" applyBorder="1" applyAlignment="1" applyProtection="1">
      <alignment horizontal="center" vertical="center" wrapText="1"/>
      <protection locked="0"/>
    </xf>
    <xf numFmtId="0" fontId="95" fillId="0" borderId="116" xfId="0" applyFont="1" applyBorder="1" applyAlignment="1">
      <alignment horizontal="center" vertical="center" wrapText="1"/>
    </xf>
    <xf numFmtId="0" fontId="90" fillId="0" borderId="101" xfId="0" applyFont="1" applyBorder="1" applyAlignment="1">
      <alignment vertical="center" wrapText="1"/>
    </xf>
    <xf numFmtId="14" fontId="90" fillId="0" borderId="101" xfId="0" applyNumberFormat="1" applyFont="1" applyBorder="1" applyAlignment="1" applyProtection="1">
      <alignment vertical="center" wrapText="1"/>
      <protection locked="0"/>
    </xf>
    <xf numFmtId="14" fontId="90" fillId="27" borderId="101" xfId="0" applyNumberFormat="1" applyFont="1" applyFill="1" applyBorder="1" applyAlignment="1" applyProtection="1">
      <alignment vertical="center" wrapText="1"/>
      <protection locked="0"/>
    </xf>
    <xf numFmtId="14" fontId="90" fillId="27" borderId="101" xfId="0" applyNumberFormat="1" applyFont="1" applyFill="1" applyBorder="1" applyAlignment="1" applyProtection="1">
      <alignment horizontal="center" vertical="center" wrapText="1"/>
      <protection locked="0"/>
    </xf>
    <xf numFmtId="14" fontId="90" fillId="29" borderId="101" xfId="0" applyNumberFormat="1" applyFont="1" applyFill="1" applyBorder="1" applyAlignment="1" applyProtection="1">
      <alignment horizontal="center" vertical="center" wrapText="1"/>
      <protection locked="0"/>
    </xf>
    <xf numFmtId="14" fontId="90" fillId="17" borderId="101" xfId="0" applyNumberFormat="1" applyFont="1" applyFill="1" applyBorder="1" applyAlignment="1">
      <alignment vertical="center" wrapText="1"/>
    </xf>
    <xf numFmtId="0" fontId="90" fillId="17" borderId="101" xfId="0" applyFont="1" applyFill="1" applyBorder="1" applyAlignment="1">
      <alignment horizontal="center" vertical="center" wrapText="1"/>
    </xf>
    <xf numFmtId="0" fontId="96" fillId="17" borderId="101" xfId="5" applyFill="1" applyBorder="1" applyAlignment="1">
      <alignment horizontal="center" vertical="center" wrapText="1"/>
    </xf>
    <xf numFmtId="14" fontId="90" fillId="25" borderId="101" xfId="0" applyNumberFormat="1" applyFont="1" applyFill="1" applyBorder="1" applyAlignment="1" applyProtection="1">
      <alignment vertical="center" wrapText="1"/>
      <protection locked="0"/>
    </xf>
    <xf numFmtId="0" fontId="90" fillId="25" borderId="118" xfId="0" applyFont="1" applyFill="1" applyBorder="1" applyAlignment="1" applyProtection="1">
      <alignment horizontal="center" vertical="center" wrapText="1"/>
      <protection locked="0"/>
    </xf>
    <xf numFmtId="0" fontId="1" fillId="0" borderId="21" xfId="0" applyFont="1" applyBorder="1" applyAlignment="1" applyProtection="1">
      <alignment vertical="center" wrapText="1"/>
      <protection locked="0"/>
    </xf>
    <xf numFmtId="14" fontId="1" fillId="0" borderId="21" xfId="0" applyNumberFormat="1" applyFont="1" applyBorder="1" applyAlignment="1" applyProtection="1">
      <alignment horizontal="center" vertical="center" wrapText="1"/>
      <protection locked="0"/>
    </xf>
    <xf numFmtId="0" fontId="1" fillId="0" borderId="100" xfId="0" applyFont="1" applyBorder="1" applyAlignment="1" applyProtection="1">
      <alignment vertical="center" wrapText="1"/>
      <protection locked="0"/>
    </xf>
    <xf numFmtId="14" fontId="1" fillId="0" borderId="100" xfId="0" applyNumberFormat="1" applyFont="1" applyBorder="1" applyAlignment="1" applyProtection="1">
      <alignment horizontal="center" vertical="center" wrapText="1"/>
      <protection locked="0"/>
    </xf>
    <xf numFmtId="14" fontId="96" fillId="17" borderId="100" xfId="5" applyNumberFormat="1" applyFill="1" applyBorder="1" applyAlignment="1">
      <alignment horizontal="center" vertical="center" wrapText="1"/>
    </xf>
    <xf numFmtId="0" fontId="106" fillId="0" borderId="101" xfId="0" applyFont="1" applyBorder="1" applyAlignment="1" applyProtection="1">
      <alignment vertical="center" wrapText="1"/>
      <protection locked="0"/>
    </xf>
    <xf numFmtId="14" fontId="106" fillId="0" borderId="101" xfId="0" applyNumberFormat="1" applyFont="1" applyBorder="1" applyAlignment="1" applyProtection="1">
      <alignment horizontal="center" vertical="center" wrapText="1"/>
      <protection locked="0"/>
    </xf>
    <xf numFmtId="0" fontId="90" fillId="0" borderId="101" xfId="0" applyFont="1" applyBorder="1" applyAlignment="1">
      <alignment horizontal="center" vertical="center" wrapText="1"/>
    </xf>
    <xf numFmtId="0" fontId="95" fillId="0" borderId="82" xfId="0" applyFont="1" applyBorder="1" applyAlignment="1">
      <alignment horizontal="center" vertical="center" wrapText="1"/>
    </xf>
    <xf numFmtId="0" fontId="95" fillId="0" borderId="115" xfId="0" applyFont="1" applyBorder="1" applyAlignment="1">
      <alignment horizontal="center" vertical="center" wrapText="1"/>
    </xf>
    <xf numFmtId="14" fontId="65" fillId="0" borderId="100" xfId="0" applyNumberFormat="1" applyFont="1" applyBorder="1" applyAlignment="1" applyProtection="1">
      <alignment vertical="center" wrapText="1"/>
      <protection locked="0"/>
    </xf>
    <xf numFmtId="0" fontId="90" fillId="0" borderId="83" xfId="0" applyFont="1" applyBorder="1" applyAlignment="1">
      <alignment horizontal="center" vertical="center" wrapText="1"/>
    </xf>
    <xf numFmtId="0" fontId="90" fillId="0" borderId="102" xfId="0" applyFont="1" applyBorder="1" applyAlignment="1">
      <alignment horizontal="center" vertical="center" wrapText="1"/>
    </xf>
    <xf numFmtId="0" fontId="90" fillId="0" borderId="113" xfId="0" applyFont="1" applyBorder="1" applyAlignment="1">
      <alignment horizontal="center" vertical="center" wrapText="1"/>
    </xf>
    <xf numFmtId="0" fontId="90" fillId="17" borderId="83" xfId="0" applyFont="1" applyFill="1" applyBorder="1" applyAlignment="1">
      <alignment horizontal="center" vertical="center" wrapText="1"/>
    </xf>
    <xf numFmtId="0" fontId="90" fillId="17" borderId="102" xfId="0" applyFont="1" applyFill="1" applyBorder="1" applyAlignment="1">
      <alignment horizontal="center" vertical="center" wrapText="1"/>
    </xf>
    <xf numFmtId="0" fontId="90" fillId="17" borderId="113" xfId="0" applyFont="1" applyFill="1" applyBorder="1" applyAlignment="1">
      <alignment horizontal="center" vertical="center" wrapText="1"/>
    </xf>
    <xf numFmtId="0" fontId="90" fillId="0" borderId="83" xfId="0" applyFont="1" applyBorder="1" applyAlignment="1" applyProtection="1">
      <alignment horizontal="center" vertical="center" wrapText="1"/>
      <protection locked="0"/>
    </xf>
    <xf numFmtId="0" fontId="90" fillId="0" borderId="102" xfId="0" applyFont="1" applyBorder="1" applyAlignment="1" applyProtection="1">
      <alignment horizontal="center" vertical="center" wrapText="1"/>
      <protection locked="0"/>
    </xf>
    <xf numFmtId="0" fontId="90" fillId="0" borderId="113" xfId="0" applyFont="1" applyBorder="1" applyAlignment="1" applyProtection="1">
      <alignment horizontal="center" vertical="center" wrapText="1"/>
      <protection locked="0"/>
    </xf>
    <xf numFmtId="0" fontId="90" fillId="17" borderId="83" xfId="0" applyFont="1" applyFill="1" applyBorder="1" applyAlignment="1" applyProtection="1">
      <alignment horizontal="center" vertical="center" wrapText="1"/>
      <protection locked="0"/>
    </xf>
    <xf numFmtId="0" fontId="90" fillId="17" borderId="102" xfId="0" applyFont="1" applyFill="1" applyBorder="1" applyAlignment="1" applyProtection="1">
      <alignment horizontal="center" vertical="center" wrapText="1"/>
      <protection locked="0"/>
    </xf>
    <xf numFmtId="0" fontId="90" fillId="17" borderId="113" xfId="0" applyFont="1" applyFill="1" applyBorder="1" applyAlignment="1" applyProtection="1">
      <alignment horizontal="center" vertical="center" wrapText="1"/>
      <protection locked="0"/>
    </xf>
    <xf numFmtId="0" fontId="98" fillId="0" borderId="83" xfId="0" applyFont="1" applyBorder="1" applyAlignment="1" applyProtection="1">
      <alignment horizontal="center" vertical="center" wrapText="1"/>
      <protection hidden="1"/>
    </xf>
    <xf numFmtId="0" fontId="98" fillId="0" borderId="102" xfId="0" applyFont="1" applyBorder="1" applyAlignment="1" applyProtection="1">
      <alignment horizontal="center" vertical="center" wrapText="1"/>
      <protection hidden="1"/>
    </xf>
    <xf numFmtId="0" fontId="98" fillId="0" borderId="113" xfId="0" applyFont="1" applyBorder="1" applyAlignment="1" applyProtection="1">
      <alignment horizontal="center" vertical="center" wrapText="1"/>
      <protection hidden="1"/>
    </xf>
    <xf numFmtId="9" fontId="90" fillId="0" borderId="100" xfId="0" applyNumberFormat="1" applyFont="1" applyBorder="1" applyAlignment="1" applyProtection="1">
      <alignment vertical="center" wrapText="1"/>
      <protection hidden="1"/>
    </xf>
    <xf numFmtId="9" fontId="90" fillId="0" borderId="21" xfId="0" applyNumberFormat="1" applyFont="1" applyBorder="1" applyAlignment="1" applyProtection="1">
      <alignment vertical="center" wrapText="1"/>
      <protection hidden="1"/>
    </xf>
    <xf numFmtId="9" fontId="90" fillId="0" borderId="83" xfId="0" applyNumberFormat="1" applyFont="1" applyBorder="1" applyAlignment="1" applyProtection="1">
      <alignment horizontal="center" vertical="center" wrapText="1"/>
      <protection locked="0"/>
    </xf>
    <xf numFmtId="9" fontId="90" fillId="0" borderId="102" xfId="0" applyNumberFormat="1" applyFont="1" applyBorder="1" applyAlignment="1" applyProtection="1">
      <alignment horizontal="center" vertical="center" wrapText="1"/>
      <protection locked="0"/>
    </xf>
    <xf numFmtId="9" fontId="90" fillId="0" borderId="113" xfId="0" applyNumberFormat="1" applyFont="1" applyBorder="1" applyAlignment="1" applyProtection="1">
      <alignment horizontal="center" vertical="center" wrapText="1"/>
      <protection locked="0"/>
    </xf>
    <xf numFmtId="0" fontId="95" fillId="0" borderId="83" xfId="0" applyFont="1" applyBorder="1" applyAlignment="1" applyProtection="1">
      <alignment horizontal="center" vertical="center" wrapText="1"/>
      <protection hidden="1"/>
    </xf>
    <xf numFmtId="0" fontId="95" fillId="0" borderId="102" xfId="0" applyFont="1" applyBorder="1" applyAlignment="1" applyProtection="1">
      <alignment horizontal="center" vertical="center" wrapText="1"/>
      <protection hidden="1"/>
    </xf>
    <xf numFmtId="0" fontId="95" fillId="0" borderId="113" xfId="0" applyFont="1" applyBorder="1" applyAlignment="1" applyProtection="1">
      <alignment horizontal="center" vertical="center" wrapText="1"/>
      <protection hidden="1"/>
    </xf>
    <xf numFmtId="0" fontId="45" fillId="0" borderId="21" xfId="0" applyFont="1" applyBorder="1" applyAlignment="1" applyProtection="1">
      <alignment vertical="center" wrapText="1"/>
      <protection locked="0"/>
    </xf>
    <xf numFmtId="0" fontId="90" fillId="0" borderId="21" xfId="0" applyFont="1" applyBorder="1" applyAlignment="1" applyProtection="1">
      <alignment vertical="center" textRotation="90" wrapText="1"/>
      <protection locked="0"/>
    </xf>
    <xf numFmtId="0" fontId="43" fillId="0" borderId="21" xfId="0" applyFont="1" applyBorder="1" applyAlignment="1" applyProtection="1">
      <alignment vertical="center" wrapText="1"/>
      <protection locked="0"/>
    </xf>
    <xf numFmtId="0" fontId="43" fillId="0" borderId="100" xfId="0" applyFont="1" applyBorder="1" applyAlignment="1" applyProtection="1">
      <alignment vertical="center" wrapText="1"/>
      <protection locked="0"/>
    </xf>
    <xf numFmtId="0" fontId="45" fillId="0" borderId="100" xfId="0" applyFont="1" applyBorder="1" applyAlignment="1" applyProtection="1">
      <alignment vertical="center" wrapText="1"/>
      <protection locked="0"/>
    </xf>
    <xf numFmtId="0" fontId="90" fillId="0" borderId="100" xfId="0" applyFont="1" applyBorder="1" applyAlignment="1" applyProtection="1">
      <alignment vertical="center" wrapText="1"/>
      <protection hidden="1"/>
    </xf>
    <xf numFmtId="0" fontId="90" fillId="0" borderId="100" xfId="0" applyFont="1" applyBorder="1" applyAlignment="1" applyProtection="1">
      <alignment vertical="center" textRotation="90" wrapText="1"/>
      <protection locked="0"/>
    </xf>
    <xf numFmtId="0" fontId="1" fillId="0" borderId="101" xfId="0" applyFont="1" applyBorder="1" applyAlignment="1">
      <alignment horizontal="center" vertical="center"/>
    </xf>
    <xf numFmtId="0" fontId="1" fillId="0" borderId="113" xfId="0" applyFont="1" applyBorder="1" applyAlignment="1">
      <alignment horizontal="center" vertical="center"/>
    </xf>
    <xf numFmtId="0" fontId="45" fillId="0" borderId="101" xfId="0" applyFont="1" applyBorder="1" applyAlignment="1" applyProtection="1">
      <alignment horizontal="center" vertical="center" wrapText="1"/>
      <protection locked="0"/>
    </xf>
    <xf numFmtId="0" fontId="45" fillId="0" borderId="113" xfId="0" applyFont="1" applyBorder="1" applyAlignment="1" applyProtection="1">
      <alignment horizontal="center" vertical="center" wrapText="1"/>
      <protection locked="0"/>
    </xf>
    <xf numFmtId="0" fontId="90" fillId="0" borderId="21" xfId="0" applyFont="1" applyBorder="1" applyAlignment="1">
      <alignment horizontal="center" vertical="center"/>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96">
    <dxf>
      <fill>
        <patternFill>
          <bgColor rgb="FFFFFF00"/>
        </patternFill>
      </fill>
    </dxf>
    <dxf>
      <fill>
        <patternFill>
          <bgColor rgb="FF00B050"/>
        </patternFill>
      </fill>
    </dxf>
    <dxf>
      <fill>
        <patternFill>
          <bgColor rgb="FFFF0000"/>
        </patternFill>
      </fill>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831473" y="1761289"/>
          <a:ext cx="9571790" cy="3920290"/>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287110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6850"/>
          <a:ext cx="676275" cy="7461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7"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95" dataDxfId="94">
  <autoFilter ref="B209:C219" xr:uid="{00000000-0009-0000-0100-000001000000}"/>
  <tableColumns count="2">
    <tableColumn id="1" xr3:uid="{00000000-0010-0000-0000-000001000000}" name="Criterios" dataDxfId="93"/>
    <tableColumn id="2" xr3:uid="{00000000-0010-0000-0000-000002000000}" name="Subcriterios" dataDxfId="9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P13" sqref="P13"/>
    </sheetView>
  </sheetViews>
  <sheetFormatPr baseColWidth="10" defaultColWidth="11.5" defaultRowHeight="15"/>
  <cols>
    <col min="1" max="1" width="3.6640625" style="68" customWidth="1"/>
    <col min="2" max="2" width="16.6640625" customWidth="1"/>
    <col min="3" max="3" width="25" customWidth="1"/>
    <col min="4" max="12" width="10.6640625" customWidth="1"/>
    <col min="13" max="13" width="13.33203125" customWidth="1"/>
    <col min="14" max="14" width="15.5" customWidth="1"/>
    <col min="15" max="16384" width="11.5" style="68"/>
  </cols>
  <sheetData>
    <row r="1" spans="2:14" ht="12.75" customHeight="1" thickBot="1">
      <c r="B1" s="68"/>
      <c r="C1" s="68"/>
      <c r="D1" s="68"/>
      <c r="E1" s="68"/>
      <c r="F1" s="68"/>
      <c r="G1" s="68"/>
      <c r="H1" s="68"/>
      <c r="I1" s="68"/>
      <c r="J1" s="68"/>
      <c r="K1" s="68"/>
      <c r="L1" s="68"/>
      <c r="M1" s="68"/>
      <c r="N1" s="68"/>
    </row>
    <row r="2" spans="2:14" ht="18.75" customHeight="1">
      <c r="B2" s="255" t="s">
        <v>0</v>
      </c>
      <c r="C2" s="256"/>
      <c r="D2" s="246" t="s">
        <v>1</v>
      </c>
      <c r="E2" s="247"/>
      <c r="F2" s="247"/>
      <c r="G2" s="247"/>
      <c r="H2" s="247"/>
      <c r="I2" s="247"/>
      <c r="J2" s="247"/>
      <c r="K2" s="247"/>
      <c r="L2" s="248"/>
      <c r="M2" s="261" t="s">
        <v>2</v>
      </c>
      <c r="N2" s="262"/>
    </row>
    <row r="3" spans="2:14" ht="15.75" customHeight="1">
      <c r="B3" s="257"/>
      <c r="C3" s="258"/>
      <c r="D3" s="249"/>
      <c r="E3" s="250"/>
      <c r="F3" s="250"/>
      <c r="G3" s="250"/>
      <c r="H3" s="250"/>
      <c r="I3" s="250"/>
      <c r="J3" s="250"/>
      <c r="K3" s="250"/>
      <c r="L3" s="251"/>
      <c r="M3" s="263" t="s">
        <v>3</v>
      </c>
      <c r="N3" s="264"/>
    </row>
    <row r="4" spans="2:14" ht="18.75" customHeight="1">
      <c r="B4" s="257"/>
      <c r="C4" s="258"/>
      <c r="D4" s="249"/>
      <c r="E4" s="250"/>
      <c r="F4" s="250"/>
      <c r="G4" s="250"/>
      <c r="H4" s="250"/>
      <c r="I4" s="250"/>
      <c r="J4" s="250"/>
      <c r="K4" s="250"/>
      <c r="L4" s="251"/>
      <c r="M4" s="263" t="s">
        <v>4</v>
      </c>
      <c r="N4" s="264"/>
    </row>
    <row r="5" spans="2:14" ht="29.25" customHeight="1" thickBot="1">
      <c r="B5" s="259"/>
      <c r="C5" s="260"/>
      <c r="D5" s="252"/>
      <c r="E5" s="253"/>
      <c r="F5" s="253"/>
      <c r="G5" s="253"/>
      <c r="H5" s="253"/>
      <c r="I5" s="253"/>
      <c r="J5" s="253"/>
      <c r="K5" s="253"/>
      <c r="L5" s="254"/>
      <c r="M5" s="265" t="s">
        <v>5</v>
      </c>
      <c r="N5" s="266"/>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245" t="s">
        <v>6</v>
      </c>
      <c r="E31" s="245"/>
      <c r="N31" s="130"/>
    </row>
    <row r="32" spans="2:14">
      <c r="B32" s="129"/>
      <c r="D32" s="245"/>
      <c r="E32" s="245"/>
      <c r="N32" s="130"/>
    </row>
    <row r="33" spans="2:14">
      <c r="B33" s="129"/>
      <c r="N33" s="130"/>
    </row>
    <row r="34" spans="2:14">
      <c r="B34" s="129"/>
      <c r="N34" s="130"/>
    </row>
    <row r="35" spans="2:14">
      <c r="B35" s="129"/>
      <c r="N35" s="130"/>
    </row>
    <row r="36" spans="2:14">
      <c r="B36" s="129"/>
      <c r="N36" s="130"/>
    </row>
    <row r="37" spans="2:14">
      <c r="B37" s="129"/>
      <c r="N37" s="130"/>
    </row>
    <row r="38" spans="2:14" ht="16"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5" defaultRowHeight="15"/>
  <cols>
    <col min="1" max="1" width="10.33203125" style="116" customWidth="1"/>
    <col min="2" max="2" width="32.5" style="116" customWidth="1"/>
    <col min="3" max="3" width="77" style="116" customWidth="1"/>
    <col min="4" max="4" width="21" style="116" customWidth="1"/>
    <col min="5" max="5" width="23.6640625" style="116" customWidth="1"/>
    <col min="6" max="16384" width="11.5" style="116"/>
  </cols>
  <sheetData>
    <row r="1" spans="1:6" ht="8" customHeight="1"/>
    <row r="2" spans="1:6" ht="15.75" customHeight="1">
      <c r="B2" s="565" t="s">
        <v>268</v>
      </c>
      <c r="C2" s="568" t="s">
        <v>1</v>
      </c>
      <c r="D2" s="247"/>
      <c r="E2" s="199" t="s">
        <v>2</v>
      </c>
      <c r="F2" s="117"/>
    </row>
    <row r="3" spans="1:6" ht="15.75" customHeight="1">
      <c r="B3" s="566"/>
      <c r="C3" s="569"/>
      <c r="D3" s="250"/>
      <c r="E3" s="200" t="s">
        <v>3</v>
      </c>
      <c r="F3" s="117"/>
    </row>
    <row r="4" spans="1:6" ht="16.5" customHeight="1">
      <c r="B4" s="566"/>
      <c r="C4" s="569"/>
      <c r="D4" s="250"/>
      <c r="E4" s="200" t="s">
        <v>4</v>
      </c>
      <c r="F4" s="117"/>
    </row>
    <row r="5" spans="1:6" ht="15" customHeight="1">
      <c r="B5" s="567"/>
      <c r="C5" s="570"/>
      <c r="D5" s="253"/>
      <c r="E5" s="201" t="s">
        <v>5</v>
      </c>
      <c r="F5" s="117"/>
    </row>
    <row r="7" spans="1:6">
      <c r="A7" s="571" t="s">
        <v>9</v>
      </c>
      <c r="B7" s="134" t="s">
        <v>269</v>
      </c>
      <c r="C7" s="135" t="s">
        <v>270</v>
      </c>
      <c r="D7" s="135" t="s">
        <v>271</v>
      </c>
      <c r="E7" s="135" t="s">
        <v>272</v>
      </c>
    </row>
    <row r="8" spans="1:6" ht="30">
      <c r="A8" s="571"/>
      <c r="B8" s="118">
        <v>45687</v>
      </c>
      <c r="C8" s="196" t="s">
        <v>273</v>
      </c>
      <c r="D8" s="120" t="s">
        <v>274</v>
      </c>
      <c r="E8" s="120" t="s">
        <v>275</v>
      </c>
    </row>
    <row r="9" spans="1:6" ht="161.5" customHeight="1">
      <c r="A9" s="571"/>
      <c r="B9" s="118">
        <v>45777</v>
      </c>
      <c r="C9" s="196" t="s">
        <v>276</v>
      </c>
      <c r="D9" s="120" t="s">
        <v>274</v>
      </c>
      <c r="E9" s="120" t="s">
        <v>275</v>
      </c>
    </row>
    <row r="10" spans="1:6">
      <c r="A10" s="571"/>
      <c r="B10" s="118"/>
      <c r="C10" s="119"/>
      <c r="D10" s="120"/>
      <c r="E10" s="120"/>
    </row>
    <row r="11" spans="1:6">
      <c r="A11" s="571"/>
      <c r="B11" s="118"/>
      <c r="C11" s="119"/>
      <c r="D11" s="120"/>
      <c r="E11" s="120"/>
    </row>
    <row r="12" spans="1:6">
      <c r="A12" s="571"/>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5"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4" zoomScale="80" zoomScaleNormal="80" workbookViewId="0">
      <selection activeCell="H20" sqref="H20"/>
    </sheetView>
  </sheetViews>
  <sheetFormatPr baseColWidth="10" defaultColWidth="11.5" defaultRowHeight="15"/>
  <cols>
    <col min="1" max="1" width="2.6640625" style="68" customWidth="1"/>
    <col min="2" max="3" width="24.6640625" style="68" customWidth="1"/>
    <col min="4" max="4" width="16" style="68" customWidth="1"/>
    <col min="5" max="5" width="24.6640625" style="68" customWidth="1"/>
    <col min="6" max="6" width="27.6640625" style="68" customWidth="1"/>
    <col min="7" max="8" width="24.6640625" style="68" customWidth="1"/>
    <col min="9" max="10" width="11.5" style="142"/>
    <col min="11" max="16384" width="11.5" style="68"/>
  </cols>
  <sheetData>
    <row r="1" spans="2:10" ht="16" thickBot="1"/>
    <row r="2" spans="2:10" ht="18" customHeight="1">
      <c r="B2" s="589" t="s">
        <v>277</v>
      </c>
      <c r="C2" s="590"/>
      <c r="D2" s="590"/>
      <c r="E2" s="590"/>
      <c r="F2" s="590"/>
      <c r="G2" s="590"/>
      <c r="H2" s="591"/>
      <c r="J2" s="143" t="s">
        <v>278</v>
      </c>
    </row>
    <row r="3" spans="2:10" ht="20">
      <c r="B3" s="69"/>
      <c r="C3" s="70"/>
      <c r="D3" s="70"/>
      <c r="E3" s="70"/>
      <c r="F3" s="70"/>
      <c r="G3" s="70"/>
      <c r="H3" s="71"/>
      <c r="J3" s="143"/>
    </row>
    <row r="4" spans="2:10" ht="63" customHeight="1">
      <c r="B4" s="592" t="s">
        <v>279</v>
      </c>
      <c r="C4" s="593"/>
      <c r="D4" s="593"/>
      <c r="E4" s="593"/>
      <c r="F4" s="593"/>
      <c r="G4" s="593"/>
      <c r="H4" s="594"/>
    </row>
    <row r="5" spans="2:10" ht="63" customHeight="1">
      <c r="B5" s="595"/>
      <c r="C5" s="596"/>
      <c r="D5" s="596"/>
      <c r="E5" s="596"/>
      <c r="F5" s="596"/>
      <c r="G5" s="596"/>
      <c r="H5" s="597"/>
    </row>
    <row r="6" spans="2:10">
      <c r="B6" s="598" t="s">
        <v>280</v>
      </c>
      <c r="C6" s="599"/>
      <c r="D6" s="599"/>
      <c r="E6" s="599"/>
      <c r="F6" s="599"/>
      <c r="G6" s="599"/>
      <c r="H6" s="600"/>
    </row>
    <row r="7" spans="2:10" ht="95.25" customHeight="1">
      <c r="B7" s="608" t="s">
        <v>281</v>
      </c>
      <c r="C7" s="609"/>
      <c r="D7" s="609"/>
      <c r="E7" s="609"/>
      <c r="F7" s="609"/>
      <c r="G7" s="609"/>
      <c r="H7" s="610"/>
    </row>
    <row r="8" spans="2:10">
      <c r="B8" s="101"/>
      <c r="C8" s="102"/>
      <c r="D8" s="102"/>
      <c r="E8" s="102"/>
      <c r="F8" s="102"/>
      <c r="G8" s="102"/>
      <c r="H8" s="103"/>
    </row>
    <row r="9" spans="2:10" ht="16.5" customHeight="1">
      <c r="B9" s="601" t="s">
        <v>282</v>
      </c>
      <c r="C9" s="602"/>
      <c r="D9" s="602"/>
      <c r="E9" s="602"/>
      <c r="F9" s="602"/>
      <c r="G9" s="602"/>
      <c r="H9" s="603"/>
    </row>
    <row r="10" spans="2:10" ht="44.25" customHeight="1">
      <c r="B10" s="601"/>
      <c r="C10" s="602"/>
      <c r="D10" s="602"/>
      <c r="E10" s="602"/>
      <c r="F10" s="602"/>
      <c r="G10" s="602"/>
      <c r="H10" s="603"/>
    </row>
    <row r="11" spans="2:10" ht="16" thickBot="1">
      <c r="B11" s="90"/>
      <c r="C11" s="93"/>
      <c r="D11" s="98"/>
      <c r="E11" s="99"/>
      <c r="F11" s="99"/>
      <c r="G11" s="100"/>
      <c r="H11" s="94"/>
    </row>
    <row r="12" spans="2:10" ht="16" thickTop="1">
      <c r="B12" s="90"/>
      <c r="C12" s="604" t="s">
        <v>283</v>
      </c>
      <c r="D12" s="605"/>
      <c r="E12" s="606" t="s">
        <v>284</v>
      </c>
      <c r="F12" s="607"/>
      <c r="G12" s="93"/>
      <c r="H12" s="94"/>
    </row>
    <row r="13" spans="2:10" ht="35.25" customHeight="1">
      <c r="B13" s="90"/>
      <c r="C13" s="576" t="s">
        <v>285</v>
      </c>
      <c r="D13" s="577"/>
      <c r="E13" s="578" t="s">
        <v>286</v>
      </c>
      <c r="F13" s="579"/>
      <c r="G13" s="93"/>
      <c r="H13" s="94"/>
    </row>
    <row r="14" spans="2:10" ht="17.25" customHeight="1">
      <c r="B14" s="90"/>
      <c r="C14" s="576" t="s">
        <v>287</v>
      </c>
      <c r="D14" s="577"/>
      <c r="E14" s="578" t="s">
        <v>288</v>
      </c>
      <c r="F14" s="579"/>
      <c r="G14" s="93"/>
      <c r="H14" s="94"/>
    </row>
    <row r="15" spans="2:10" ht="19.5" customHeight="1">
      <c r="B15" s="90"/>
      <c r="C15" s="576" t="s">
        <v>289</v>
      </c>
      <c r="D15" s="577"/>
      <c r="E15" s="578" t="s">
        <v>290</v>
      </c>
      <c r="F15" s="579"/>
      <c r="G15" s="93"/>
      <c r="H15" s="94"/>
    </row>
    <row r="16" spans="2:10" ht="69.75" customHeight="1">
      <c r="B16" s="90"/>
      <c r="C16" s="576" t="s">
        <v>291</v>
      </c>
      <c r="D16" s="577"/>
      <c r="E16" s="578" t="s">
        <v>292</v>
      </c>
      <c r="F16" s="579"/>
      <c r="G16" s="93"/>
      <c r="H16" s="94"/>
    </row>
    <row r="17" spans="2:8" ht="34.5" customHeight="1">
      <c r="B17" s="90"/>
      <c r="C17" s="580" t="s">
        <v>56</v>
      </c>
      <c r="D17" s="581"/>
      <c r="E17" s="572" t="s">
        <v>293</v>
      </c>
      <c r="F17" s="573"/>
      <c r="G17" s="93"/>
      <c r="H17" s="94"/>
    </row>
    <row r="18" spans="2:8" ht="27.75" customHeight="1">
      <c r="B18" s="90"/>
      <c r="C18" s="580" t="s">
        <v>294</v>
      </c>
      <c r="D18" s="581"/>
      <c r="E18" s="572" t="s">
        <v>295</v>
      </c>
      <c r="F18" s="573"/>
      <c r="G18" s="93"/>
      <c r="H18" s="94"/>
    </row>
    <row r="19" spans="2:8" ht="28.5" customHeight="1">
      <c r="B19" s="90"/>
      <c r="C19" s="580" t="s">
        <v>296</v>
      </c>
      <c r="D19" s="581"/>
      <c r="E19" s="572" t="s">
        <v>297</v>
      </c>
      <c r="F19" s="573"/>
      <c r="G19" s="93"/>
      <c r="H19" s="94"/>
    </row>
    <row r="20" spans="2:8" ht="72.75" customHeight="1">
      <c r="B20" s="90"/>
      <c r="C20" s="580" t="s">
        <v>298</v>
      </c>
      <c r="D20" s="581"/>
      <c r="E20" s="572" t="s">
        <v>299</v>
      </c>
      <c r="F20" s="573"/>
      <c r="G20" s="93"/>
      <c r="H20" s="94"/>
    </row>
    <row r="21" spans="2:8" ht="64.5" customHeight="1">
      <c r="B21" s="90"/>
      <c r="C21" s="580" t="s">
        <v>61</v>
      </c>
      <c r="D21" s="581"/>
      <c r="E21" s="572" t="s">
        <v>300</v>
      </c>
      <c r="F21" s="573"/>
      <c r="G21" s="93"/>
      <c r="H21" s="94"/>
    </row>
    <row r="22" spans="2:8" ht="71.25" customHeight="1">
      <c r="B22" s="90"/>
      <c r="C22" s="580" t="s">
        <v>301</v>
      </c>
      <c r="D22" s="581"/>
      <c r="E22" s="572" t="s">
        <v>302</v>
      </c>
      <c r="F22" s="573"/>
      <c r="G22" s="93"/>
      <c r="H22" s="94"/>
    </row>
    <row r="23" spans="2:8" ht="55.5" customHeight="1">
      <c r="B23" s="90"/>
      <c r="C23" s="574" t="s">
        <v>303</v>
      </c>
      <c r="D23" s="575"/>
      <c r="E23" s="572" t="s">
        <v>304</v>
      </c>
      <c r="F23" s="573"/>
      <c r="G23" s="93"/>
      <c r="H23" s="94"/>
    </row>
    <row r="24" spans="2:8" ht="42" customHeight="1">
      <c r="B24" s="90"/>
      <c r="C24" s="574" t="s">
        <v>68</v>
      </c>
      <c r="D24" s="575"/>
      <c r="E24" s="572" t="s">
        <v>305</v>
      </c>
      <c r="F24" s="573"/>
      <c r="G24" s="93"/>
      <c r="H24" s="94"/>
    </row>
    <row r="25" spans="2:8" ht="59.25" customHeight="1">
      <c r="B25" s="90"/>
      <c r="C25" s="574" t="s">
        <v>306</v>
      </c>
      <c r="D25" s="575"/>
      <c r="E25" s="572" t="s">
        <v>307</v>
      </c>
      <c r="F25" s="573"/>
      <c r="G25" s="93"/>
      <c r="H25" s="94"/>
    </row>
    <row r="26" spans="2:8" ht="23.25" customHeight="1">
      <c r="B26" s="90"/>
      <c r="C26" s="574" t="s">
        <v>72</v>
      </c>
      <c r="D26" s="575"/>
      <c r="E26" s="572" t="s">
        <v>308</v>
      </c>
      <c r="F26" s="573"/>
      <c r="G26" s="93"/>
      <c r="H26" s="94"/>
    </row>
    <row r="27" spans="2:8" ht="30.75" customHeight="1">
      <c r="B27" s="90"/>
      <c r="C27" s="574" t="s">
        <v>309</v>
      </c>
      <c r="D27" s="575"/>
      <c r="E27" s="572" t="s">
        <v>310</v>
      </c>
      <c r="F27" s="573"/>
      <c r="G27" s="93"/>
      <c r="H27" s="94"/>
    </row>
    <row r="28" spans="2:8" ht="35.25" customHeight="1">
      <c r="B28" s="90"/>
      <c r="C28" s="574" t="s">
        <v>311</v>
      </c>
      <c r="D28" s="575"/>
      <c r="E28" s="572" t="s">
        <v>312</v>
      </c>
      <c r="F28" s="573"/>
      <c r="G28" s="93"/>
      <c r="H28" s="94"/>
    </row>
    <row r="29" spans="2:8" ht="33" customHeight="1">
      <c r="B29" s="90"/>
      <c r="C29" s="574" t="s">
        <v>311</v>
      </c>
      <c r="D29" s="575"/>
      <c r="E29" s="572" t="s">
        <v>312</v>
      </c>
      <c r="F29" s="573"/>
      <c r="G29" s="93"/>
      <c r="H29" s="94"/>
    </row>
    <row r="30" spans="2:8" ht="30" customHeight="1">
      <c r="B30" s="90"/>
      <c r="C30" s="574" t="s">
        <v>313</v>
      </c>
      <c r="D30" s="575"/>
      <c r="E30" s="572" t="s">
        <v>314</v>
      </c>
      <c r="F30" s="573"/>
      <c r="G30" s="93"/>
      <c r="H30" s="94"/>
    </row>
    <row r="31" spans="2:8" ht="35.25" customHeight="1">
      <c r="B31" s="90"/>
      <c r="C31" s="574" t="s">
        <v>315</v>
      </c>
      <c r="D31" s="575"/>
      <c r="E31" s="572" t="s">
        <v>316</v>
      </c>
      <c r="F31" s="573"/>
      <c r="G31" s="93"/>
      <c r="H31" s="94"/>
    </row>
    <row r="32" spans="2:8" ht="31.5" customHeight="1">
      <c r="B32" s="90"/>
      <c r="C32" s="574" t="s">
        <v>317</v>
      </c>
      <c r="D32" s="575"/>
      <c r="E32" s="572" t="s">
        <v>318</v>
      </c>
      <c r="F32" s="573"/>
      <c r="G32" s="93"/>
      <c r="H32" s="94"/>
    </row>
    <row r="33" spans="2:8" ht="35.25" customHeight="1">
      <c r="B33" s="90"/>
      <c r="C33" s="574" t="s">
        <v>319</v>
      </c>
      <c r="D33" s="575"/>
      <c r="E33" s="572" t="s">
        <v>320</v>
      </c>
      <c r="F33" s="573"/>
      <c r="G33" s="93"/>
      <c r="H33" s="94"/>
    </row>
    <row r="34" spans="2:8" ht="59.25" customHeight="1">
      <c r="B34" s="90"/>
      <c r="C34" s="574" t="s">
        <v>321</v>
      </c>
      <c r="D34" s="575"/>
      <c r="E34" s="572" t="s">
        <v>322</v>
      </c>
      <c r="F34" s="573"/>
      <c r="G34" s="93"/>
      <c r="H34" s="94"/>
    </row>
    <row r="35" spans="2:8" ht="29.25" customHeight="1">
      <c r="B35" s="90"/>
      <c r="C35" s="574" t="s">
        <v>78</v>
      </c>
      <c r="D35" s="575"/>
      <c r="E35" s="572" t="s">
        <v>323</v>
      </c>
      <c r="F35" s="573"/>
      <c r="G35" s="93"/>
      <c r="H35" s="94"/>
    </row>
    <row r="36" spans="2:8" ht="82.5" customHeight="1">
      <c r="B36" s="90"/>
      <c r="C36" s="574" t="s">
        <v>324</v>
      </c>
      <c r="D36" s="575"/>
      <c r="E36" s="572" t="s">
        <v>325</v>
      </c>
      <c r="F36" s="573"/>
      <c r="G36" s="93"/>
      <c r="H36" s="94"/>
    </row>
    <row r="37" spans="2:8" ht="46.5" customHeight="1">
      <c r="B37" s="90"/>
      <c r="C37" s="574" t="s">
        <v>326</v>
      </c>
      <c r="D37" s="575"/>
      <c r="E37" s="572" t="s">
        <v>327</v>
      </c>
      <c r="F37" s="573"/>
      <c r="G37" s="93"/>
      <c r="H37" s="94"/>
    </row>
    <row r="38" spans="2:8" ht="6.75" customHeight="1" thickBot="1">
      <c r="B38" s="90"/>
      <c r="C38" s="585"/>
      <c r="D38" s="586"/>
      <c r="E38" s="587"/>
      <c r="F38" s="588"/>
      <c r="G38" s="93"/>
      <c r="H38" s="94"/>
    </row>
    <row r="39" spans="2:8" ht="16" thickTop="1">
      <c r="B39" s="90"/>
      <c r="C39" s="91"/>
      <c r="D39" s="91"/>
      <c r="E39" s="92"/>
      <c r="F39" s="92"/>
      <c r="G39" s="93"/>
      <c r="H39" s="94"/>
    </row>
    <row r="40" spans="2:8" ht="21" customHeight="1">
      <c r="B40" s="582" t="s">
        <v>328</v>
      </c>
      <c r="C40" s="583"/>
      <c r="D40" s="583"/>
      <c r="E40" s="583"/>
      <c r="F40" s="583"/>
      <c r="G40" s="583"/>
      <c r="H40" s="584"/>
    </row>
    <row r="41" spans="2:8" ht="20.25" customHeight="1">
      <c r="B41" s="582" t="s">
        <v>329</v>
      </c>
      <c r="C41" s="583"/>
      <c r="D41" s="583"/>
      <c r="E41" s="583"/>
      <c r="F41" s="583"/>
      <c r="G41" s="583"/>
      <c r="H41" s="584"/>
    </row>
    <row r="42" spans="2:8" ht="20.25" customHeight="1">
      <c r="B42" s="582" t="s">
        <v>330</v>
      </c>
      <c r="C42" s="583"/>
      <c r="D42" s="583"/>
      <c r="E42" s="583"/>
      <c r="F42" s="583"/>
      <c r="G42" s="583"/>
      <c r="H42" s="584"/>
    </row>
    <row r="43" spans="2:8" ht="20.25" customHeight="1">
      <c r="B43" s="582" t="s">
        <v>331</v>
      </c>
      <c r="C43" s="583"/>
      <c r="D43" s="583"/>
      <c r="E43" s="583"/>
      <c r="F43" s="583"/>
      <c r="G43" s="583"/>
      <c r="H43" s="584"/>
    </row>
    <row r="44" spans="2:8" ht="15" customHeight="1">
      <c r="B44" s="582" t="s">
        <v>332</v>
      </c>
      <c r="C44" s="583"/>
      <c r="D44" s="583"/>
      <c r="E44" s="583"/>
      <c r="F44" s="583"/>
      <c r="G44" s="583"/>
      <c r="H44" s="584"/>
    </row>
    <row r="45" spans="2:8" ht="16" thickBot="1">
      <c r="B45" s="95"/>
      <c r="C45" s="96"/>
      <c r="D45" s="96"/>
      <c r="E45" s="96"/>
      <c r="F45" s="96"/>
      <c r="G45" s="96"/>
      <c r="H45" s="97"/>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5" defaultRowHeight="15"/>
  <sheetData>
    <row r="1" spans="1:4">
      <c r="A1" t="s">
        <v>333</v>
      </c>
      <c r="B1" t="s">
        <v>58</v>
      </c>
      <c r="C1" t="s">
        <v>140</v>
      </c>
      <c r="D1" t="s">
        <v>141</v>
      </c>
    </row>
    <row r="2" spans="1:4">
      <c r="A2" t="s">
        <v>334</v>
      </c>
      <c r="B2" t="s">
        <v>147</v>
      </c>
      <c r="C2" t="s">
        <v>177</v>
      </c>
      <c r="D2" t="s">
        <v>150</v>
      </c>
    </row>
    <row r="3" spans="1:4">
      <c r="A3" t="s">
        <v>99</v>
      </c>
      <c r="B3" t="s">
        <v>161</v>
      </c>
      <c r="C3" t="s">
        <v>335</v>
      </c>
      <c r="D3" t="s">
        <v>164</v>
      </c>
    </row>
    <row r="4" spans="1:4">
      <c r="A4" t="s">
        <v>336</v>
      </c>
      <c r="B4" t="s">
        <v>175</v>
      </c>
      <c r="C4" t="s">
        <v>185</v>
      </c>
      <c r="D4" t="s">
        <v>178</v>
      </c>
    </row>
    <row r="5" spans="1:4">
      <c r="A5" t="s">
        <v>161</v>
      </c>
      <c r="B5" t="s">
        <v>183</v>
      </c>
      <c r="C5" t="s">
        <v>337</v>
      </c>
      <c r="D5" t="s">
        <v>102</v>
      </c>
    </row>
    <row r="6" spans="1:4">
      <c r="A6" t="s">
        <v>143</v>
      </c>
      <c r="B6" t="s">
        <v>188</v>
      </c>
      <c r="C6" t="s">
        <v>102</v>
      </c>
    </row>
    <row r="7" spans="1:4">
      <c r="A7" t="s">
        <v>338</v>
      </c>
      <c r="B7" t="s">
        <v>192</v>
      </c>
    </row>
    <row r="8" spans="1:4">
      <c r="A8" t="s">
        <v>339</v>
      </c>
    </row>
    <row r="9" spans="1:4">
      <c r="A9" t="s">
        <v>340</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5"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baseColWidth="10" defaultColWidth="11.5" defaultRowHeight="15"/>
  <cols>
    <col min="1" max="1" width="2.5" style="68" customWidth="1"/>
    <col min="2" max="2" width="33.33203125" style="68" customWidth="1"/>
    <col min="3" max="4" width="11.5" style="68"/>
    <col min="5" max="5" width="5.6640625" style="68" customWidth="1"/>
    <col min="6" max="6" width="16.33203125" style="68" customWidth="1"/>
    <col min="7" max="7" width="11.5" style="68"/>
    <col min="8" max="8" width="13.6640625" style="68" customWidth="1"/>
    <col min="9" max="9" width="14.33203125" style="68" customWidth="1"/>
    <col min="10" max="10" width="14.6640625" style="68" customWidth="1"/>
    <col min="11" max="11" width="7.5" style="68" customWidth="1"/>
    <col min="12" max="12" width="2.33203125" style="68" customWidth="1"/>
    <col min="13" max="16384" width="11.5" style="68"/>
  </cols>
  <sheetData>
    <row r="1" spans="2:11" ht="6" customHeight="1" thickBot="1"/>
    <row r="2" spans="2:11" ht="15" customHeight="1">
      <c r="B2" s="648" t="s">
        <v>248</v>
      </c>
      <c r="C2" s="651" t="s">
        <v>1</v>
      </c>
      <c r="D2" s="652"/>
      <c r="E2" s="652"/>
      <c r="F2" s="652"/>
      <c r="G2" s="652"/>
      <c r="H2" s="652"/>
      <c r="I2" s="652"/>
      <c r="J2" s="399" t="s">
        <v>249</v>
      </c>
      <c r="K2" s="262"/>
    </row>
    <row r="3" spans="2:11" ht="15" customHeight="1">
      <c r="B3" s="649"/>
      <c r="C3" s="653"/>
      <c r="D3" s="654"/>
      <c r="E3" s="654"/>
      <c r="F3" s="654"/>
      <c r="G3" s="654"/>
      <c r="H3" s="654"/>
      <c r="I3" s="654"/>
      <c r="J3" s="400" t="s">
        <v>341</v>
      </c>
      <c r="K3" s="264"/>
    </row>
    <row r="4" spans="2:11" ht="15" customHeight="1">
      <c r="B4" s="649"/>
      <c r="C4" s="653"/>
      <c r="D4" s="654"/>
      <c r="E4" s="654"/>
      <c r="F4" s="654"/>
      <c r="G4" s="654"/>
      <c r="H4" s="654"/>
      <c r="I4" s="654"/>
      <c r="J4" s="400" t="s">
        <v>250</v>
      </c>
      <c r="K4" s="264" t="s">
        <v>250</v>
      </c>
    </row>
    <row r="5" spans="2:11" ht="15" customHeight="1" thickBot="1">
      <c r="B5" s="650"/>
      <c r="C5" s="655"/>
      <c r="D5" s="656"/>
      <c r="E5" s="656"/>
      <c r="F5" s="656"/>
      <c r="G5" s="656"/>
      <c r="H5" s="656"/>
      <c r="I5" s="656"/>
      <c r="J5" s="401" t="s">
        <v>5</v>
      </c>
      <c r="K5" s="266" t="s">
        <v>5</v>
      </c>
    </row>
    <row r="6" spans="2:11" ht="16" thickBot="1"/>
    <row r="7" spans="2:11" customFormat="1" ht="16" thickBot="1">
      <c r="B7" s="642" t="s">
        <v>269</v>
      </c>
      <c r="C7" s="643"/>
      <c r="D7" s="644" t="s">
        <v>342</v>
      </c>
      <c r="E7" s="645"/>
      <c r="F7" s="644" t="s">
        <v>343</v>
      </c>
      <c r="G7" s="646"/>
      <c r="H7" s="646"/>
      <c r="I7" s="646"/>
      <c r="J7" s="646"/>
      <c r="K7" s="647"/>
    </row>
    <row r="8" spans="2:11" customFormat="1" ht="18" customHeight="1" thickBot="1">
      <c r="B8" s="611"/>
      <c r="C8" s="612"/>
      <c r="D8" s="613">
        <v>1</v>
      </c>
      <c r="E8" s="614"/>
      <c r="F8" s="615"/>
      <c r="G8" s="615"/>
      <c r="H8" s="615"/>
      <c r="I8" s="615"/>
      <c r="J8" s="615"/>
      <c r="K8" s="616"/>
    </row>
    <row r="9" spans="2:11" customFormat="1" ht="18" customHeight="1" thickBot="1">
      <c r="B9" s="611"/>
      <c r="C9" s="612"/>
      <c r="D9" s="613">
        <v>2</v>
      </c>
      <c r="E9" s="614"/>
      <c r="F9" s="615"/>
      <c r="G9" s="615"/>
      <c r="H9" s="615"/>
      <c r="I9" s="615"/>
      <c r="J9" s="615"/>
      <c r="K9" s="616"/>
    </row>
    <row r="10" spans="2:11" customFormat="1" ht="18" customHeight="1" thickBot="1">
      <c r="B10" s="611"/>
      <c r="C10" s="612"/>
      <c r="D10" s="613">
        <v>3</v>
      </c>
      <c r="E10" s="614"/>
      <c r="F10" s="615"/>
      <c r="G10" s="615"/>
      <c r="H10" s="615"/>
      <c r="I10" s="615"/>
      <c r="J10" s="615"/>
      <c r="K10" s="616"/>
    </row>
    <row r="11" spans="2:11" customFormat="1" ht="18" customHeight="1" thickBot="1">
      <c r="B11" s="611"/>
      <c r="C11" s="612"/>
      <c r="D11" s="613">
        <v>4</v>
      </c>
      <c r="E11" s="614"/>
      <c r="F11" s="615"/>
      <c r="G11" s="615"/>
      <c r="H11" s="615"/>
      <c r="I11" s="615"/>
      <c r="J11" s="615"/>
      <c r="K11" s="616"/>
    </row>
    <row r="12" spans="2:11" customFormat="1" ht="18" customHeight="1" thickBot="1">
      <c r="B12" s="611"/>
      <c r="C12" s="612"/>
      <c r="D12" s="613">
        <v>5</v>
      </c>
      <c r="E12" s="614"/>
      <c r="F12" s="615"/>
      <c r="G12" s="615"/>
      <c r="H12" s="615"/>
      <c r="I12" s="615"/>
      <c r="J12" s="615"/>
      <c r="K12" s="616"/>
    </row>
    <row r="13" spans="2:11" customFormat="1" ht="18" customHeight="1" thickBot="1">
      <c r="B13" s="611"/>
      <c r="C13" s="612"/>
      <c r="D13" s="613">
        <v>6</v>
      </c>
      <c r="E13" s="614"/>
      <c r="F13" s="615"/>
      <c r="G13" s="615"/>
      <c r="H13" s="615"/>
      <c r="I13" s="615"/>
      <c r="J13" s="615"/>
      <c r="K13" s="616"/>
    </row>
    <row r="14" spans="2:11" customFormat="1" ht="18" customHeight="1" thickBot="1">
      <c r="B14" s="611"/>
      <c r="C14" s="612"/>
      <c r="D14" s="613">
        <v>7</v>
      </c>
      <c r="E14" s="614"/>
      <c r="F14" s="615"/>
      <c r="G14" s="615"/>
      <c r="H14" s="615"/>
      <c r="I14" s="615"/>
      <c r="J14" s="615"/>
      <c r="K14" s="616"/>
    </row>
    <row r="15" spans="2:11" customFormat="1" ht="18" customHeight="1">
      <c r="B15" s="611">
        <v>45352</v>
      </c>
      <c r="C15" s="612"/>
      <c r="D15" s="613">
        <v>8</v>
      </c>
      <c r="E15" s="614"/>
      <c r="F15" s="615" t="s">
        <v>344</v>
      </c>
      <c r="G15" s="615"/>
      <c r="H15" s="615"/>
      <c r="I15" s="615"/>
      <c r="J15" s="615"/>
      <c r="K15" s="616"/>
    </row>
    <row r="16" spans="2:11" customFormat="1" ht="150.75" customHeight="1">
      <c r="B16" s="611" t="s">
        <v>345</v>
      </c>
      <c r="C16" s="612"/>
      <c r="D16" s="613">
        <v>9</v>
      </c>
      <c r="E16" s="614"/>
      <c r="F16" s="615" t="s">
        <v>346</v>
      </c>
      <c r="G16" s="615"/>
      <c r="H16" s="615"/>
      <c r="I16" s="615"/>
      <c r="J16" s="615"/>
      <c r="K16" s="616"/>
    </row>
    <row r="17" spans="2:12" customFormat="1" ht="15.75" customHeight="1">
      <c r="B17" s="629"/>
      <c r="C17" s="629"/>
      <c r="D17" s="629"/>
      <c r="E17" s="629"/>
      <c r="F17" s="629"/>
      <c r="G17" s="629"/>
      <c r="H17" s="629"/>
      <c r="I17" s="629"/>
      <c r="J17" s="629"/>
      <c r="K17" s="629"/>
    </row>
    <row r="18" spans="2:12" customFormat="1" ht="15.75" customHeight="1" thickBot="1">
      <c r="B18" s="630" t="s">
        <v>347</v>
      </c>
      <c r="C18" s="631"/>
      <c r="D18" s="631"/>
      <c r="E18" s="632"/>
      <c r="F18" s="633" t="s">
        <v>348</v>
      </c>
      <c r="G18" s="634"/>
      <c r="H18" s="635"/>
      <c r="I18" s="636" t="s">
        <v>349</v>
      </c>
      <c r="J18" s="637"/>
      <c r="K18" s="632"/>
    </row>
    <row r="19" spans="2:12" customFormat="1" ht="27" customHeight="1">
      <c r="B19" s="638"/>
      <c r="C19" s="639"/>
      <c r="D19" s="639"/>
      <c r="E19" s="639"/>
      <c r="F19" s="639"/>
      <c r="G19" s="639"/>
      <c r="H19" s="639"/>
      <c r="I19" s="640"/>
      <c r="J19" s="640"/>
      <c r="K19" s="641"/>
    </row>
    <row r="20" spans="2:12" customFormat="1" ht="15" customHeight="1">
      <c r="B20" s="618" t="s">
        <v>350</v>
      </c>
      <c r="C20" s="619"/>
      <c r="D20" s="619"/>
      <c r="E20" s="619"/>
      <c r="F20" s="620" t="s">
        <v>351</v>
      </c>
      <c r="G20" s="620"/>
      <c r="H20" s="621"/>
      <c r="I20" s="620" t="s">
        <v>351</v>
      </c>
      <c r="J20" s="620"/>
      <c r="K20" s="621"/>
    </row>
    <row r="21" spans="2:12" customFormat="1" ht="22.5" customHeight="1" thickBot="1">
      <c r="B21" s="622" t="s">
        <v>352</v>
      </c>
      <c r="C21" s="623"/>
      <c r="D21" s="623"/>
      <c r="E21" s="623"/>
      <c r="F21" s="623" t="s">
        <v>353</v>
      </c>
      <c r="G21" s="623"/>
      <c r="H21" s="624"/>
      <c r="I21" s="623" t="s">
        <v>353</v>
      </c>
      <c r="J21" s="623"/>
      <c r="K21" s="624"/>
    </row>
    <row r="22" spans="2:12" customFormat="1" ht="9" customHeight="1" thickBot="1">
      <c r="B22" s="625"/>
      <c r="C22" s="625"/>
      <c r="D22" s="625"/>
      <c r="E22" s="625"/>
      <c r="F22" s="625"/>
      <c r="G22" s="625"/>
      <c r="H22" s="625"/>
      <c r="I22" s="625"/>
      <c r="J22" s="625"/>
      <c r="K22" s="625"/>
    </row>
    <row r="23" spans="2:12" customFormat="1" ht="16" thickBot="1">
      <c r="B23" s="626" t="s">
        <v>107</v>
      </c>
      <c r="C23" s="627"/>
      <c r="D23" s="628"/>
      <c r="E23" s="123" t="s">
        <v>108</v>
      </c>
      <c r="F23" s="626" t="s">
        <v>109</v>
      </c>
      <c r="G23" s="628"/>
      <c r="H23" s="124" t="s">
        <v>110</v>
      </c>
      <c r="I23" s="626" t="s">
        <v>111</v>
      </c>
      <c r="J23" s="628"/>
      <c r="K23" s="125">
        <v>1</v>
      </c>
    </row>
    <row r="24" spans="2:12" ht="8.25" customHeight="1"/>
    <row r="25" spans="2:12">
      <c r="B25" s="617" t="s">
        <v>354</v>
      </c>
      <c r="C25" s="617"/>
      <c r="D25" s="617"/>
      <c r="E25" s="617"/>
      <c r="F25" s="617"/>
      <c r="G25" s="617"/>
      <c r="H25" s="617"/>
      <c r="I25" s="617"/>
      <c r="J25" s="617"/>
      <c r="K25" s="617"/>
      <c r="L25" s="617"/>
    </row>
    <row r="26" spans="2:12">
      <c r="B26" s="617" t="s">
        <v>355</v>
      </c>
      <c r="C26" s="617"/>
      <c r="D26" s="617"/>
      <c r="E26" s="617"/>
      <c r="F26" s="617"/>
      <c r="G26" s="617"/>
      <c r="H26" s="617"/>
      <c r="I26" s="617"/>
      <c r="J26" s="617"/>
      <c r="K26" s="617"/>
      <c r="L26" s="617"/>
    </row>
    <row r="27" spans="2:12" ht="9" customHeight="1"/>
  </sheetData>
  <mergeCells count="55">
    <mergeCell ref="B2:B5"/>
    <mergeCell ref="C2:I5"/>
    <mergeCell ref="J2:K2"/>
    <mergeCell ref="J3:K3"/>
    <mergeCell ref="J4:K4"/>
    <mergeCell ref="J5:K5"/>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17:K17"/>
    <mergeCell ref="B18:E18"/>
    <mergeCell ref="F18:H18"/>
    <mergeCell ref="I18:K18"/>
    <mergeCell ref="B19:E19"/>
    <mergeCell ref="F19:H19"/>
    <mergeCell ref="I19:K19"/>
    <mergeCell ref="B26:L26"/>
    <mergeCell ref="B20:E20"/>
    <mergeCell ref="F20:H20"/>
    <mergeCell ref="I20:K20"/>
    <mergeCell ref="B21:E21"/>
    <mergeCell ref="F21:H21"/>
    <mergeCell ref="I21:K21"/>
    <mergeCell ref="B22:K22"/>
    <mergeCell ref="B23:D23"/>
    <mergeCell ref="F23:G23"/>
    <mergeCell ref="I23:J23"/>
    <mergeCell ref="B25:L2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B4" sqref="B4:B8"/>
    </sheetView>
  </sheetViews>
  <sheetFormatPr baseColWidth="10" defaultColWidth="11.5" defaultRowHeight="15"/>
  <cols>
    <col min="2" max="2" width="24.33203125" customWidth="1"/>
    <col min="3" max="3" width="70.33203125" customWidth="1"/>
    <col min="4" max="4" width="29.6640625" customWidth="1"/>
  </cols>
  <sheetData>
    <row r="1" spans="1:37" ht="23">
      <c r="A1" s="68"/>
      <c r="B1" s="657" t="s">
        <v>356</v>
      </c>
      <c r="C1" s="657"/>
      <c r="D1" s="657"/>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6">
      <c r="A3" s="68"/>
      <c r="B3" s="3"/>
      <c r="C3" s="4" t="s">
        <v>357</v>
      </c>
      <c r="D3" s="4" t="s">
        <v>252</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2">
      <c r="A4" s="68"/>
      <c r="B4" s="5" t="s">
        <v>358</v>
      </c>
      <c r="C4" s="6" t="s">
        <v>359</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2">
      <c r="A5" s="68"/>
      <c r="B5" s="8" t="s">
        <v>360</v>
      </c>
      <c r="C5" s="9" t="s">
        <v>361</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2">
      <c r="A6" s="68"/>
      <c r="B6" s="11" t="s">
        <v>362</v>
      </c>
      <c r="C6" s="9" t="s">
        <v>363</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52">
      <c r="A7" s="68"/>
      <c r="B7" s="12" t="s">
        <v>364</v>
      </c>
      <c r="C7" s="9" t="s">
        <v>365</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2">
      <c r="A8" s="68"/>
      <c r="B8" s="13" t="s">
        <v>366</v>
      </c>
      <c r="C8" s="9" t="s">
        <v>367</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zoomScale="55" zoomScaleNormal="55" workbookViewId="0">
      <selection activeCell="C27" sqref="C27"/>
    </sheetView>
  </sheetViews>
  <sheetFormatPr baseColWidth="10" defaultColWidth="11.5" defaultRowHeight="15"/>
  <cols>
    <col min="2" max="2" width="40.5" customWidth="1"/>
    <col min="3" max="3" width="74.6640625" customWidth="1"/>
    <col min="4" max="4" width="135" bestFit="1" customWidth="1"/>
    <col min="5" max="5" width="144.6640625" bestFit="1" customWidth="1"/>
    <col min="6" max="6" width="136.5" bestFit="1" customWidth="1"/>
  </cols>
  <sheetData>
    <row r="1" spans="1:21" ht="33">
      <c r="A1" s="68"/>
      <c r="B1" s="658" t="s">
        <v>368</v>
      </c>
      <c r="C1" s="658"/>
      <c r="D1" s="658"/>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31">
      <c r="A3" s="68"/>
      <c r="B3" s="85"/>
      <c r="C3" s="22" t="s">
        <v>369</v>
      </c>
      <c r="D3" s="22" t="s">
        <v>370</v>
      </c>
      <c r="E3" s="68"/>
      <c r="F3" s="68"/>
      <c r="G3" s="68"/>
      <c r="H3" s="68"/>
      <c r="I3" s="68"/>
      <c r="J3" s="68"/>
      <c r="K3" s="68"/>
      <c r="L3" s="68"/>
      <c r="M3" s="68"/>
      <c r="N3" s="68"/>
      <c r="O3" s="68"/>
      <c r="P3" s="68"/>
      <c r="Q3" s="68"/>
      <c r="R3" s="68"/>
      <c r="S3" s="68"/>
      <c r="T3" s="68"/>
      <c r="U3" s="68"/>
    </row>
    <row r="4" spans="1:21" ht="34">
      <c r="A4" s="84" t="s">
        <v>371</v>
      </c>
      <c r="B4" s="25" t="s">
        <v>372</v>
      </c>
      <c r="C4" s="30" t="s">
        <v>373</v>
      </c>
      <c r="D4" s="23" t="s">
        <v>374</v>
      </c>
      <c r="E4" s="68"/>
      <c r="F4" s="68"/>
      <c r="G4" s="68"/>
      <c r="H4" s="68"/>
      <c r="I4" s="68"/>
      <c r="J4" s="68"/>
      <c r="K4" s="68"/>
      <c r="L4" s="68"/>
      <c r="M4" s="68"/>
      <c r="N4" s="68"/>
      <c r="O4" s="68"/>
      <c r="P4" s="68"/>
      <c r="Q4" s="68"/>
      <c r="R4" s="68"/>
      <c r="S4" s="68"/>
      <c r="T4" s="68"/>
      <c r="U4" s="68"/>
    </row>
    <row r="5" spans="1:21" ht="68">
      <c r="A5" s="84" t="s">
        <v>119</v>
      </c>
      <c r="B5" s="26" t="s">
        <v>375</v>
      </c>
      <c r="C5" s="31" t="s">
        <v>376</v>
      </c>
      <c r="D5" s="24" t="s">
        <v>377</v>
      </c>
      <c r="E5" s="68"/>
      <c r="F5" s="68"/>
      <c r="G5" s="68"/>
      <c r="H5" s="68"/>
      <c r="I5" s="68"/>
      <c r="J5" s="68"/>
      <c r="K5" s="68"/>
      <c r="L5" s="68"/>
      <c r="M5" s="68"/>
      <c r="N5" s="68"/>
      <c r="O5" s="68"/>
      <c r="P5" s="68"/>
      <c r="Q5" s="68"/>
      <c r="R5" s="68"/>
      <c r="S5" s="68"/>
      <c r="T5" s="68"/>
      <c r="U5" s="68"/>
    </row>
    <row r="6" spans="1:21" ht="68">
      <c r="A6" s="84" t="s">
        <v>121</v>
      </c>
      <c r="B6" s="27" t="s">
        <v>378</v>
      </c>
      <c r="C6" s="31" t="s">
        <v>379</v>
      </c>
      <c r="D6" s="24" t="s">
        <v>380</v>
      </c>
      <c r="E6" s="68"/>
      <c r="F6" s="68"/>
      <c r="G6" s="68"/>
      <c r="H6" s="68"/>
      <c r="I6" s="68"/>
      <c r="J6" s="68"/>
      <c r="K6" s="68"/>
      <c r="L6" s="68"/>
      <c r="M6" s="68"/>
      <c r="N6" s="68"/>
      <c r="O6" s="68"/>
      <c r="P6" s="68"/>
      <c r="Q6" s="68"/>
      <c r="R6" s="68"/>
      <c r="S6" s="68"/>
      <c r="T6" s="68"/>
      <c r="U6" s="68"/>
    </row>
    <row r="7" spans="1:21" ht="68">
      <c r="A7" s="84" t="s">
        <v>123</v>
      </c>
      <c r="B7" s="28" t="s">
        <v>381</v>
      </c>
      <c r="C7" s="31" t="s">
        <v>382</v>
      </c>
      <c r="D7" s="24" t="s">
        <v>383</v>
      </c>
      <c r="E7" s="68"/>
      <c r="F7" s="68"/>
      <c r="G7" s="68"/>
      <c r="H7" s="68"/>
      <c r="I7" s="68"/>
      <c r="J7" s="68"/>
      <c r="K7" s="68"/>
      <c r="L7" s="68"/>
      <c r="M7" s="68"/>
      <c r="N7" s="68"/>
      <c r="O7" s="68"/>
      <c r="P7" s="68"/>
      <c r="Q7" s="68"/>
      <c r="R7" s="68"/>
      <c r="S7" s="68"/>
      <c r="T7" s="68"/>
      <c r="U7" s="68"/>
    </row>
    <row r="8" spans="1:21" ht="68">
      <c r="A8" s="84" t="s">
        <v>125</v>
      </c>
      <c r="B8" s="29" t="s">
        <v>384</v>
      </c>
      <c r="C8" s="31" t="s">
        <v>385</v>
      </c>
      <c r="D8" s="24" t="s">
        <v>386</v>
      </c>
      <c r="E8" s="68"/>
      <c r="F8" s="68"/>
      <c r="G8" s="68"/>
      <c r="H8" s="68"/>
      <c r="I8" s="68"/>
      <c r="J8" s="68"/>
      <c r="K8" s="68"/>
      <c r="L8" s="68"/>
      <c r="M8" s="68"/>
      <c r="N8" s="68"/>
      <c r="O8" s="68"/>
      <c r="P8" s="68"/>
      <c r="Q8" s="68"/>
      <c r="R8" s="68"/>
      <c r="S8" s="68"/>
      <c r="T8" s="68"/>
      <c r="U8" s="68"/>
    </row>
    <row r="9" spans="1:21" ht="20">
      <c r="A9" s="84"/>
      <c r="B9" s="84"/>
      <c r="C9" s="86"/>
      <c r="D9" s="86"/>
      <c r="E9" s="68"/>
      <c r="F9" s="68"/>
      <c r="G9" s="68"/>
      <c r="H9" s="68"/>
      <c r="I9" s="68"/>
      <c r="J9" s="68"/>
      <c r="K9" s="68"/>
      <c r="L9" s="68"/>
      <c r="M9" s="68"/>
      <c r="N9" s="68"/>
      <c r="O9" s="68"/>
      <c r="P9" s="68"/>
      <c r="Q9" s="68"/>
      <c r="R9" s="68"/>
      <c r="S9" s="68"/>
      <c r="T9" s="68"/>
      <c r="U9" s="68"/>
    </row>
    <row r="10" spans="1:21">
      <c r="A10" s="84"/>
      <c r="B10" s="87"/>
      <c r="C10" s="87"/>
      <c r="D10" s="87"/>
      <c r="E10" s="68"/>
      <c r="F10" s="68"/>
      <c r="G10" s="68"/>
      <c r="H10" s="68"/>
      <c r="I10" s="68"/>
      <c r="J10" s="68"/>
      <c r="K10" s="68"/>
      <c r="L10" s="68"/>
      <c r="M10" s="68"/>
      <c r="N10" s="68"/>
      <c r="O10" s="68"/>
      <c r="P10" s="68"/>
      <c r="Q10" s="68"/>
      <c r="R10" s="68"/>
      <c r="S10" s="68"/>
      <c r="T10" s="68"/>
      <c r="U10" s="68"/>
    </row>
    <row r="11" spans="1:21">
      <c r="A11" s="84"/>
      <c r="B11" s="84" t="s">
        <v>387</v>
      </c>
      <c r="C11" s="84" t="s">
        <v>116</v>
      </c>
      <c r="D11" s="84" t="s">
        <v>126</v>
      </c>
      <c r="E11" s="68"/>
      <c r="F11" s="68"/>
      <c r="G11" s="68"/>
      <c r="H11" s="68"/>
      <c r="I11" s="68"/>
      <c r="J11" s="68"/>
      <c r="K11" s="68"/>
      <c r="L11" s="68"/>
      <c r="M11" s="68"/>
      <c r="N11" s="68"/>
      <c r="O11" s="68"/>
      <c r="P11" s="68"/>
      <c r="Q11" s="68"/>
      <c r="R11" s="68"/>
      <c r="S11" s="68"/>
      <c r="T11" s="68"/>
      <c r="U11" s="68"/>
    </row>
    <row r="12" spans="1:21">
      <c r="A12" s="84"/>
      <c r="B12" s="84" t="s">
        <v>388</v>
      </c>
      <c r="C12" s="84" t="s">
        <v>118</v>
      </c>
      <c r="D12" s="84" t="s">
        <v>127</v>
      </c>
      <c r="E12" s="68"/>
      <c r="F12" s="68"/>
      <c r="G12" s="68"/>
      <c r="H12" s="68"/>
      <c r="I12" s="68"/>
      <c r="J12" s="68"/>
      <c r="K12" s="68"/>
      <c r="L12" s="68"/>
      <c r="M12" s="68"/>
      <c r="N12" s="68"/>
      <c r="O12" s="68"/>
      <c r="P12" s="68"/>
      <c r="Q12" s="68"/>
      <c r="R12" s="68"/>
      <c r="S12" s="68"/>
      <c r="T12" s="68"/>
      <c r="U12" s="68"/>
    </row>
    <row r="13" spans="1:21" ht="18">
      <c r="A13" s="84"/>
      <c r="B13" s="227"/>
      <c r="C13" s="84" t="s">
        <v>120</v>
      </c>
      <c r="D13" s="84" t="s">
        <v>128</v>
      </c>
      <c r="E13" s="68"/>
      <c r="F13" s="68"/>
      <c r="G13" s="68"/>
      <c r="H13" s="68"/>
      <c r="I13" s="68"/>
      <c r="J13" s="68"/>
      <c r="K13" s="68"/>
      <c r="L13" s="68"/>
      <c r="M13" s="68"/>
      <c r="N13" s="68"/>
      <c r="O13" s="68"/>
      <c r="P13" s="68"/>
      <c r="Q13" s="68"/>
      <c r="R13" s="68"/>
      <c r="S13" s="68"/>
      <c r="T13" s="68"/>
      <c r="U13" s="68"/>
    </row>
    <row r="14" spans="1:21">
      <c r="A14" s="84"/>
      <c r="B14" s="84"/>
      <c r="C14" s="84" t="s">
        <v>122</v>
      </c>
      <c r="D14" s="84" t="s">
        <v>129</v>
      </c>
      <c r="E14" s="68"/>
      <c r="F14" s="68"/>
      <c r="G14" s="68"/>
      <c r="H14" s="68"/>
      <c r="I14" s="68"/>
      <c r="J14" s="68"/>
      <c r="K14" s="68"/>
      <c r="L14" s="68"/>
      <c r="M14" s="68"/>
      <c r="N14" s="68"/>
      <c r="O14" s="68"/>
      <c r="P14" s="68"/>
      <c r="Q14" s="68"/>
      <c r="R14" s="68"/>
      <c r="S14" s="68"/>
      <c r="T14" s="68"/>
      <c r="U14" s="68"/>
    </row>
    <row r="15" spans="1:21">
      <c r="A15" s="84"/>
      <c r="B15" s="84"/>
      <c r="C15" s="84" t="s">
        <v>124</v>
      </c>
      <c r="D15" s="84" t="s">
        <v>130</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
      <c r="A22" s="84"/>
      <c r="B22" s="84"/>
      <c r="C22" s="86"/>
      <c r="D22" s="86"/>
      <c r="E22" s="68"/>
      <c r="F22" s="68"/>
      <c r="G22" s="68"/>
      <c r="H22" s="68"/>
      <c r="I22" s="68"/>
      <c r="J22" s="68"/>
      <c r="K22" s="68"/>
      <c r="L22" s="68"/>
      <c r="M22" s="68"/>
      <c r="N22" s="68"/>
      <c r="O22" s="68"/>
    </row>
    <row r="23" spans="1:15" ht="20">
      <c r="A23" s="84"/>
      <c r="B23" s="84"/>
      <c r="C23" s="86"/>
      <c r="D23" s="86"/>
      <c r="E23" s="68"/>
      <c r="F23" s="68"/>
      <c r="G23" s="68"/>
      <c r="H23" s="68"/>
      <c r="I23" s="68"/>
      <c r="J23" s="68"/>
      <c r="K23" s="68"/>
      <c r="L23" s="68"/>
      <c r="M23" s="68"/>
      <c r="N23" s="68"/>
      <c r="O23" s="68"/>
    </row>
    <row r="24" spans="1:15" ht="20">
      <c r="A24" s="84"/>
      <c r="B24" s="84"/>
      <c r="C24" s="86"/>
      <c r="D24" s="86"/>
      <c r="E24" s="68"/>
      <c r="F24" s="68"/>
      <c r="G24" s="68"/>
      <c r="H24" s="68"/>
      <c r="I24" s="68"/>
      <c r="J24" s="68"/>
      <c r="K24" s="68"/>
      <c r="L24" s="68"/>
      <c r="M24" s="68"/>
      <c r="N24" s="68"/>
      <c r="O24" s="68"/>
    </row>
    <row r="25" spans="1:15" ht="20">
      <c r="A25" s="84"/>
      <c r="B25" s="84"/>
      <c r="C25" s="86"/>
      <c r="D25" s="86"/>
      <c r="E25" s="68"/>
      <c r="F25" s="68"/>
      <c r="G25" s="68"/>
      <c r="H25" s="68"/>
      <c r="I25" s="68"/>
      <c r="J25" s="68"/>
      <c r="K25" s="68"/>
      <c r="L25" s="68"/>
      <c r="M25" s="68"/>
      <c r="N25" s="68"/>
      <c r="O25" s="68"/>
    </row>
    <row r="26" spans="1:15" ht="20">
      <c r="A26" s="84"/>
      <c r="B26" s="84"/>
      <c r="C26" s="86"/>
      <c r="D26" s="86"/>
      <c r="E26" s="68"/>
      <c r="F26" s="68"/>
      <c r="G26" s="68"/>
      <c r="H26" s="68"/>
      <c r="I26" s="68"/>
      <c r="J26" s="68"/>
      <c r="K26" s="68"/>
      <c r="L26" s="68"/>
      <c r="M26" s="68"/>
      <c r="N26" s="68"/>
      <c r="O26" s="68"/>
    </row>
    <row r="27" spans="1:15" ht="20">
      <c r="A27" s="84"/>
      <c r="B27" s="84"/>
      <c r="C27" s="86"/>
      <c r="D27" s="86"/>
      <c r="E27" s="68"/>
      <c r="F27" s="68"/>
      <c r="G27" s="68"/>
      <c r="H27" s="68"/>
      <c r="I27" s="68"/>
      <c r="J27" s="68"/>
      <c r="K27" s="68"/>
      <c r="L27" s="68"/>
      <c r="M27" s="68"/>
      <c r="N27" s="68"/>
      <c r="O27" s="68"/>
    </row>
    <row r="28" spans="1:15" ht="20">
      <c r="A28" s="84"/>
      <c r="B28" s="84"/>
      <c r="C28" s="86"/>
      <c r="D28" s="86"/>
      <c r="E28" s="68"/>
      <c r="F28" s="68"/>
      <c r="G28" s="68"/>
      <c r="H28" s="68"/>
      <c r="I28" s="68"/>
      <c r="J28" s="68"/>
      <c r="K28" s="68"/>
      <c r="L28" s="68"/>
      <c r="M28" s="68"/>
      <c r="N28" s="68"/>
      <c r="O28" s="68"/>
    </row>
    <row r="29" spans="1:15" ht="20">
      <c r="A29" s="84"/>
      <c r="B29" s="84"/>
      <c r="C29" s="86"/>
      <c r="D29" s="86"/>
      <c r="E29" s="68"/>
      <c r="F29" s="68"/>
      <c r="G29" s="68"/>
      <c r="H29" s="68"/>
      <c r="I29" s="68"/>
      <c r="J29" s="68"/>
      <c r="K29" s="68"/>
      <c r="L29" s="68"/>
      <c r="M29" s="68"/>
      <c r="N29" s="68"/>
      <c r="O29" s="68"/>
    </row>
    <row r="30" spans="1:15" ht="20">
      <c r="A30" s="84"/>
      <c r="B30" s="84"/>
      <c r="C30" s="86"/>
      <c r="D30" s="86"/>
      <c r="E30" s="68"/>
      <c r="F30" s="68"/>
      <c r="G30" s="68"/>
      <c r="H30" s="68"/>
      <c r="I30" s="68"/>
      <c r="J30" s="68"/>
      <c r="K30" s="68"/>
      <c r="L30" s="68"/>
      <c r="M30" s="68"/>
      <c r="N30" s="68"/>
      <c r="O30" s="68"/>
    </row>
    <row r="31" spans="1:15" ht="20">
      <c r="A31" s="84"/>
      <c r="B31" s="84"/>
      <c r="C31" s="86"/>
      <c r="D31" s="86"/>
      <c r="E31" s="68"/>
      <c r="F31" s="68"/>
      <c r="G31" s="68"/>
      <c r="H31" s="68"/>
      <c r="I31" s="68"/>
      <c r="J31" s="68"/>
      <c r="K31" s="68"/>
      <c r="L31" s="68"/>
      <c r="M31" s="68"/>
      <c r="N31" s="68"/>
      <c r="O31" s="68"/>
    </row>
    <row r="32" spans="1:15" ht="20">
      <c r="A32" s="84"/>
      <c r="B32" s="84"/>
      <c r="C32" s="86"/>
      <c r="D32" s="86"/>
      <c r="E32" s="68"/>
      <c r="F32" s="68"/>
      <c r="G32" s="68"/>
      <c r="H32" s="68"/>
      <c r="I32" s="68"/>
      <c r="J32" s="68"/>
      <c r="K32" s="68"/>
      <c r="L32" s="68"/>
      <c r="M32" s="68"/>
      <c r="N32" s="68"/>
      <c r="O32" s="68"/>
    </row>
    <row r="33" spans="1:15" ht="20">
      <c r="A33" s="84"/>
      <c r="B33" s="84"/>
      <c r="C33" s="86"/>
      <c r="D33" s="86"/>
      <c r="E33" s="68"/>
      <c r="F33" s="68"/>
      <c r="G33" s="68"/>
      <c r="H33" s="68"/>
      <c r="I33" s="68"/>
      <c r="J33" s="68"/>
      <c r="K33" s="68"/>
      <c r="L33" s="68"/>
      <c r="M33" s="68"/>
      <c r="N33" s="68"/>
      <c r="O33" s="68"/>
    </row>
    <row r="34" spans="1:15" ht="20">
      <c r="A34" s="84"/>
      <c r="B34" s="84"/>
      <c r="C34" s="86"/>
      <c r="D34" s="86"/>
      <c r="E34" s="68"/>
      <c r="F34" s="68"/>
      <c r="G34" s="68"/>
      <c r="H34" s="68"/>
      <c r="I34" s="68"/>
      <c r="J34" s="68"/>
      <c r="K34" s="68"/>
      <c r="L34" s="68"/>
      <c r="M34" s="68"/>
      <c r="N34" s="68"/>
      <c r="O34" s="68"/>
    </row>
    <row r="35" spans="1:15" ht="20">
      <c r="A35" s="84"/>
      <c r="B35" s="84"/>
      <c r="C35" s="86"/>
      <c r="D35" s="86"/>
      <c r="E35" s="68"/>
      <c r="F35" s="68"/>
      <c r="G35" s="68"/>
      <c r="H35" s="68"/>
      <c r="I35" s="68"/>
      <c r="J35" s="68"/>
      <c r="K35" s="68"/>
      <c r="L35" s="68"/>
      <c r="M35" s="68"/>
      <c r="N35" s="68"/>
      <c r="O35" s="68"/>
    </row>
    <row r="36" spans="1:15" ht="20">
      <c r="A36" s="84"/>
      <c r="B36" s="84"/>
      <c r="C36" s="86"/>
      <c r="D36" s="86"/>
      <c r="E36" s="68"/>
      <c r="F36" s="68"/>
      <c r="G36" s="68"/>
      <c r="H36" s="68"/>
      <c r="I36" s="68"/>
      <c r="J36" s="68"/>
      <c r="K36" s="68"/>
      <c r="L36" s="68"/>
      <c r="M36" s="68"/>
      <c r="N36" s="68"/>
      <c r="O36" s="68"/>
    </row>
    <row r="37" spans="1:15" ht="20">
      <c r="A37" s="84"/>
      <c r="B37" s="84"/>
      <c r="C37" s="86"/>
      <c r="D37" s="86"/>
      <c r="E37" s="68"/>
      <c r="F37" s="68"/>
      <c r="G37" s="68"/>
      <c r="H37" s="68"/>
      <c r="I37" s="68"/>
      <c r="J37" s="68"/>
      <c r="K37" s="68"/>
      <c r="L37" s="68"/>
      <c r="M37" s="68"/>
      <c r="N37" s="68"/>
      <c r="O37" s="68"/>
    </row>
    <row r="38" spans="1:15" ht="20">
      <c r="A38" s="84"/>
      <c r="B38" s="84"/>
      <c r="C38" s="86"/>
      <c r="D38" s="86"/>
      <c r="E38" s="68"/>
      <c r="F38" s="68"/>
      <c r="G38" s="68"/>
      <c r="H38" s="68"/>
      <c r="I38" s="68"/>
      <c r="J38" s="68"/>
      <c r="K38" s="68"/>
      <c r="L38" s="68"/>
      <c r="M38" s="68"/>
      <c r="N38" s="68"/>
      <c r="O38" s="68"/>
    </row>
    <row r="39" spans="1:15" ht="20">
      <c r="A39" s="84"/>
      <c r="B39" s="84"/>
      <c r="C39" s="86"/>
      <c r="D39" s="86"/>
      <c r="E39" s="68"/>
      <c r="F39" s="68"/>
      <c r="G39" s="68"/>
      <c r="H39" s="68"/>
      <c r="I39" s="68"/>
      <c r="J39" s="68"/>
      <c r="K39" s="68"/>
      <c r="L39" s="68"/>
      <c r="M39" s="68"/>
      <c r="N39" s="68"/>
      <c r="O39" s="68"/>
    </row>
    <row r="40" spans="1:15" ht="20">
      <c r="A40" s="84"/>
      <c r="B40" s="84"/>
      <c r="C40" s="86"/>
      <c r="D40" s="86"/>
      <c r="E40" s="68"/>
      <c r="F40" s="68"/>
      <c r="G40" s="68"/>
      <c r="H40" s="68"/>
      <c r="I40" s="68"/>
      <c r="J40" s="68"/>
      <c r="K40" s="68"/>
      <c r="L40" s="68"/>
      <c r="M40" s="68"/>
      <c r="N40" s="68"/>
      <c r="O40" s="68"/>
    </row>
    <row r="41" spans="1:15" ht="20">
      <c r="A41" s="84"/>
      <c r="B41" s="84"/>
      <c r="C41" s="86"/>
      <c r="D41" s="86"/>
      <c r="E41" s="68"/>
      <c r="F41" s="68"/>
      <c r="G41" s="68"/>
      <c r="H41" s="68"/>
      <c r="I41" s="68"/>
      <c r="J41" s="68"/>
      <c r="K41" s="68"/>
      <c r="L41" s="68"/>
      <c r="M41" s="68"/>
      <c r="N41" s="68"/>
      <c r="O41" s="68"/>
    </row>
    <row r="42" spans="1:15" ht="20">
      <c r="A42" s="84"/>
      <c r="B42" s="84"/>
      <c r="C42" s="86"/>
      <c r="D42" s="86"/>
      <c r="E42" s="68"/>
      <c r="F42" s="68"/>
      <c r="G42" s="68"/>
      <c r="H42" s="68"/>
      <c r="I42" s="68"/>
      <c r="J42" s="68"/>
      <c r="K42" s="68"/>
      <c r="L42" s="68"/>
      <c r="M42" s="68"/>
      <c r="N42" s="68"/>
      <c r="O42" s="68"/>
    </row>
    <row r="43" spans="1:15" ht="20">
      <c r="A43" s="84"/>
      <c r="B43" s="84"/>
      <c r="C43" s="86"/>
      <c r="D43" s="86"/>
      <c r="E43" s="68"/>
      <c r="F43" s="68"/>
      <c r="G43" s="68"/>
      <c r="H43" s="68"/>
      <c r="I43" s="68"/>
      <c r="J43" s="68"/>
      <c r="K43" s="68"/>
      <c r="L43" s="68"/>
      <c r="M43" s="68"/>
      <c r="N43" s="68"/>
      <c r="O43" s="68"/>
    </row>
    <row r="44" spans="1:15" ht="20">
      <c r="A44" s="84"/>
      <c r="B44" s="84"/>
      <c r="C44" s="86"/>
      <c r="D44" s="86"/>
      <c r="E44" s="68"/>
      <c r="F44" s="68"/>
      <c r="G44" s="68"/>
      <c r="H44" s="68"/>
      <c r="I44" s="68"/>
      <c r="J44" s="68"/>
      <c r="K44" s="68"/>
      <c r="L44" s="68"/>
      <c r="M44" s="68"/>
      <c r="N44" s="68"/>
      <c r="O44" s="68"/>
    </row>
    <row r="45" spans="1:15" ht="20">
      <c r="A45" s="84"/>
      <c r="B45" s="84"/>
      <c r="C45" s="86"/>
      <c r="D45" s="86"/>
      <c r="E45" s="68"/>
      <c r="F45" s="68"/>
      <c r="G45" s="68"/>
      <c r="H45" s="68"/>
      <c r="I45" s="68"/>
      <c r="J45" s="68"/>
      <c r="K45" s="68"/>
      <c r="L45" s="68"/>
      <c r="M45" s="68"/>
      <c r="N45" s="68"/>
      <c r="O45" s="68"/>
    </row>
    <row r="46" spans="1:15" ht="20">
      <c r="A46" s="84"/>
      <c r="B46" s="84"/>
      <c r="C46" s="86"/>
      <c r="D46" s="86"/>
      <c r="E46" s="68"/>
      <c r="F46" s="68"/>
      <c r="G46" s="68"/>
      <c r="H46" s="68"/>
      <c r="I46" s="68"/>
      <c r="J46" s="68"/>
      <c r="K46" s="68"/>
      <c r="L46" s="68"/>
      <c r="M46" s="68"/>
      <c r="N46" s="68"/>
      <c r="O46" s="68"/>
    </row>
    <row r="47" spans="1:15" ht="20">
      <c r="A47" s="84"/>
      <c r="B47" s="84"/>
      <c r="C47" s="86"/>
      <c r="D47" s="86"/>
      <c r="E47" s="68"/>
      <c r="F47" s="68"/>
      <c r="G47" s="68"/>
      <c r="H47" s="68"/>
      <c r="I47" s="68"/>
      <c r="J47" s="68"/>
      <c r="K47" s="68"/>
      <c r="L47" s="68"/>
      <c r="M47" s="68"/>
      <c r="N47" s="68"/>
      <c r="O47" s="68"/>
    </row>
    <row r="48" spans="1:15" ht="20">
      <c r="A48" s="84"/>
      <c r="B48" s="84"/>
      <c r="C48" s="86"/>
      <c r="D48" s="86"/>
      <c r="E48" s="68"/>
      <c r="F48" s="68"/>
      <c r="G48" s="68"/>
      <c r="H48" s="68"/>
      <c r="I48" s="68"/>
      <c r="J48" s="68"/>
      <c r="K48" s="68"/>
      <c r="L48" s="68"/>
      <c r="M48" s="68"/>
      <c r="N48" s="68"/>
      <c r="O48" s="68"/>
    </row>
    <row r="49" spans="1:15" ht="20">
      <c r="A49" s="84"/>
      <c r="B49" s="84"/>
      <c r="C49" s="86"/>
      <c r="D49" s="86"/>
      <c r="E49" s="68"/>
      <c r="F49" s="68"/>
      <c r="G49" s="68"/>
      <c r="H49" s="68"/>
      <c r="I49" s="68"/>
      <c r="J49" s="68"/>
      <c r="K49" s="68"/>
      <c r="L49" s="68"/>
      <c r="M49" s="68"/>
      <c r="N49" s="68"/>
      <c r="O49" s="68"/>
    </row>
    <row r="50" spans="1:15" ht="20">
      <c r="A50" s="84"/>
      <c r="B50" s="84"/>
      <c r="C50" s="86"/>
      <c r="D50" s="86"/>
      <c r="E50" s="68"/>
      <c r="F50" s="68"/>
      <c r="G50" s="68"/>
      <c r="H50" s="68"/>
      <c r="I50" s="68"/>
      <c r="J50" s="68"/>
      <c r="K50" s="68"/>
      <c r="L50" s="68"/>
      <c r="M50" s="68"/>
      <c r="N50" s="68"/>
      <c r="O50" s="68"/>
    </row>
    <row r="51" spans="1:15" ht="20">
      <c r="A51" s="84"/>
      <c r="B51" s="84"/>
      <c r="C51" s="86"/>
      <c r="D51" s="86"/>
      <c r="E51" s="68"/>
      <c r="F51" s="68"/>
      <c r="G51" s="68"/>
      <c r="H51" s="68"/>
      <c r="I51" s="68"/>
      <c r="J51" s="68"/>
      <c r="K51" s="68"/>
      <c r="L51" s="68"/>
      <c r="M51" s="68"/>
      <c r="N51" s="68"/>
      <c r="O51" s="68"/>
    </row>
    <row r="52" spans="1:15" ht="20">
      <c r="A52" s="84"/>
      <c r="B52" s="15"/>
      <c r="C52" s="20"/>
      <c r="D52" s="20"/>
    </row>
    <row r="53" spans="1:15" ht="20">
      <c r="A53" s="84"/>
      <c r="B53" s="15"/>
      <c r="C53" s="20"/>
      <c r="D53" s="20"/>
    </row>
    <row r="54" spans="1:15" ht="20">
      <c r="A54" s="84"/>
      <c r="B54" s="15"/>
      <c r="C54" s="20"/>
      <c r="D54" s="20"/>
    </row>
    <row r="55" spans="1:15" ht="20">
      <c r="A55" s="84"/>
      <c r="B55" s="15"/>
      <c r="C55" s="20"/>
      <c r="D55" s="20"/>
    </row>
    <row r="56" spans="1:15" ht="20">
      <c r="A56" s="84"/>
      <c r="B56" s="15"/>
      <c r="C56" s="20"/>
      <c r="D56" s="20"/>
    </row>
    <row r="57" spans="1:15" ht="20">
      <c r="A57" s="84"/>
      <c r="B57" s="15"/>
      <c r="C57" s="20"/>
      <c r="D57" s="20"/>
    </row>
    <row r="58" spans="1:15" ht="20">
      <c r="A58" s="84"/>
      <c r="B58" s="15"/>
      <c r="C58" s="20"/>
      <c r="D58" s="20"/>
    </row>
    <row r="59" spans="1:15" ht="20">
      <c r="A59" s="84"/>
      <c r="B59" s="15"/>
      <c r="C59" s="20"/>
      <c r="D59" s="20"/>
    </row>
    <row r="60" spans="1:15" ht="20">
      <c r="A60" s="84"/>
      <c r="B60" s="15"/>
      <c r="C60" s="20"/>
      <c r="D60" s="20"/>
    </row>
    <row r="61" spans="1:15" ht="20">
      <c r="A61" s="84"/>
      <c r="B61" s="15"/>
      <c r="C61" s="20"/>
      <c r="D61" s="20"/>
    </row>
    <row r="62" spans="1:15" ht="20">
      <c r="A62" s="84"/>
      <c r="B62" s="15"/>
      <c r="C62" s="20"/>
      <c r="D62" s="20"/>
    </row>
    <row r="63" spans="1:15" ht="20">
      <c r="A63" s="84"/>
      <c r="B63" s="15"/>
      <c r="C63" s="20"/>
      <c r="D63" s="20"/>
    </row>
    <row r="64" spans="1:15" ht="20">
      <c r="A64" s="84"/>
      <c r="B64" s="15"/>
      <c r="C64" s="20"/>
      <c r="D64" s="20"/>
    </row>
    <row r="65" spans="1:4" ht="20">
      <c r="A65" s="84"/>
      <c r="B65" s="15"/>
      <c r="C65" s="20"/>
      <c r="D65" s="20"/>
    </row>
    <row r="66" spans="1:4" ht="20">
      <c r="A66" s="84"/>
      <c r="B66" s="15"/>
      <c r="C66" s="20"/>
      <c r="D66" s="20"/>
    </row>
    <row r="67" spans="1:4" ht="20">
      <c r="A67" s="84"/>
      <c r="B67" s="15"/>
      <c r="C67" s="20"/>
      <c r="D67" s="20"/>
    </row>
    <row r="68" spans="1:4" ht="20">
      <c r="A68" s="84"/>
      <c r="B68" s="15"/>
      <c r="C68" s="20"/>
      <c r="D68" s="20"/>
    </row>
    <row r="69" spans="1:4" ht="20">
      <c r="A69" s="84"/>
      <c r="B69" s="15"/>
      <c r="C69" s="20"/>
      <c r="D69" s="20"/>
    </row>
    <row r="70" spans="1:4" ht="20">
      <c r="A70" s="84"/>
      <c r="B70" s="15"/>
      <c r="C70" s="20"/>
      <c r="D70" s="20"/>
    </row>
    <row r="71" spans="1:4" ht="20">
      <c r="A71" s="84"/>
      <c r="B71" s="15"/>
      <c r="C71" s="20"/>
      <c r="D71" s="20"/>
    </row>
    <row r="72" spans="1:4" ht="20">
      <c r="A72" s="84"/>
      <c r="B72" s="15"/>
      <c r="C72" s="20"/>
      <c r="D72" s="20"/>
    </row>
    <row r="73" spans="1:4" ht="20">
      <c r="A73" s="84"/>
      <c r="B73" s="15"/>
      <c r="C73" s="20"/>
      <c r="D73" s="20"/>
    </row>
    <row r="74" spans="1:4" ht="20">
      <c r="A74" s="84"/>
      <c r="B74" s="15"/>
      <c r="C74" s="20"/>
      <c r="D74" s="20"/>
    </row>
    <row r="75" spans="1:4" ht="20">
      <c r="A75" s="84"/>
      <c r="B75" s="15"/>
      <c r="C75" s="20"/>
      <c r="D75" s="20"/>
    </row>
    <row r="76" spans="1:4" ht="20">
      <c r="A76" s="84"/>
      <c r="B76" s="15"/>
      <c r="C76" s="20"/>
      <c r="D76" s="20"/>
    </row>
    <row r="77" spans="1:4" ht="20">
      <c r="A77" s="84"/>
      <c r="B77" s="15"/>
      <c r="C77" s="20"/>
      <c r="D77" s="20"/>
    </row>
    <row r="78" spans="1:4" ht="20">
      <c r="A78" s="84"/>
      <c r="B78" s="15"/>
      <c r="C78" s="20"/>
      <c r="D78" s="20"/>
    </row>
    <row r="79" spans="1:4" ht="20">
      <c r="A79" s="84"/>
      <c r="B79" s="15"/>
      <c r="C79" s="20"/>
      <c r="D79" s="20"/>
    </row>
    <row r="80" spans="1:4" ht="20">
      <c r="A80" s="84"/>
      <c r="B80" s="15"/>
      <c r="C80" s="20"/>
      <c r="D80" s="20"/>
    </row>
    <row r="81" spans="1:4" ht="20">
      <c r="A81" s="84"/>
      <c r="B81" s="15"/>
      <c r="C81" s="20"/>
      <c r="D81" s="20"/>
    </row>
    <row r="82" spans="1:4" ht="20">
      <c r="A82" s="84"/>
      <c r="B82" s="15"/>
      <c r="C82" s="20"/>
      <c r="D82" s="20"/>
    </row>
    <row r="83" spans="1:4" ht="20">
      <c r="A83" s="84"/>
      <c r="B83" s="15"/>
      <c r="C83" s="20"/>
      <c r="D83" s="20"/>
    </row>
    <row r="84" spans="1:4" ht="20">
      <c r="A84" s="84"/>
      <c r="B84" s="15"/>
      <c r="C84" s="20"/>
      <c r="D84" s="20"/>
    </row>
    <row r="85" spans="1:4" ht="20">
      <c r="A85" s="84"/>
      <c r="B85" s="15"/>
      <c r="C85" s="20"/>
      <c r="D85" s="20"/>
    </row>
    <row r="86" spans="1:4" ht="20">
      <c r="A86" s="84"/>
      <c r="B86" s="15"/>
      <c r="C86" s="20"/>
      <c r="D86" s="20"/>
    </row>
    <row r="87" spans="1:4" ht="20">
      <c r="A87" s="84"/>
      <c r="B87" s="15"/>
      <c r="C87" s="20"/>
      <c r="D87" s="20"/>
    </row>
    <row r="88" spans="1:4" ht="20">
      <c r="A88" s="84"/>
      <c r="B88" s="15"/>
      <c r="C88" s="20"/>
      <c r="D88" s="20"/>
    </row>
    <row r="89" spans="1:4" ht="20">
      <c r="A89" s="84"/>
      <c r="B89" s="15"/>
      <c r="C89" s="20"/>
      <c r="D89" s="20"/>
    </row>
    <row r="90" spans="1:4" ht="20">
      <c r="A90" s="84"/>
      <c r="B90" s="15"/>
      <c r="C90" s="20"/>
      <c r="D90" s="20"/>
    </row>
    <row r="91" spans="1:4" ht="20">
      <c r="A91" s="84"/>
      <c r="B91" s="15"/>
      <c r="C91" s="20"/>
      <c r="D91" s="20"/>
    </row>
    <row r="92" spans="1:4" ht="20">
      <c r="A92" s="84"/>
      <c r="B92" s="15"/>
      <c r="C92" s="20"/>
      <c r="D92" s="20"/>
    </row>
    <row r="93" spans="1:4" ht="20">
      <c r="A93" s="84"/>
      <c r="B93" s="15"/>
      <c r="C93" s="20"/>
      <c r="D93" s="20"/>
    </row>
    <row r="94" spans="1:4" ht="20">
      <c r="A94" s="84"/>
      <c r="B94" s="15"/>
      <c r="C94" s="20"/>
      <c r="D94" s="20"/>
    </row>
    <row r="95" spans="1:4" ht="20">
      <c r="A95" s="84"/>
      <c r="B95" s="15"/>
      <c r="C95" s="20"/>
      <c r="D95" s="20"/>
    </row>
    <row r="96" spans="1:4" ht="20">
      <c r="A96" s="84"/>
      <c r="B96" s="15"/>
      <c r="C96" s="20"/>
      <c r="D96" s="20"/>
    </row>
    <row r="97" spans="1:4" ht="20">
      <c r="A97" s="84"/>
      <c r="B97" s="15"/>
      <c r="C97" s="20"/>
      <c r="D97" s="20"/>
    </row>
    <row r="98" spans="1:4" ht="20">
      <c r="A98" s="84"/>
      <c r="B98" s="15"/>
      <c r="C98" s="20"/>
      <c r="D98" s="20"/>
    </row>
    <row r="99" spans="1:4" ht="20">
      <c r="A99" s="84"/>
      <c r="B99" s="15"/>
      <c r="C99" s="20"/>
      <c r="D99" s="20"/>
    </row>
    <row r="100" spans="1:4" ht="20">
      <c r="A100" s="84"/>
      <c r="B100" s="15"/>
      <c r="C100" s="20"/>
      <c r="D100" s="20"/>
    </row>
    <row r="101" spans="1:4" ht="20">
      <c r="A101" s="84"/>
      <c r="B101" s="15"/>
      <c r="C101" s="20"/>
      <c r="D101" s="20"/>
    </row>
    <row r="102" spans="1:4" ht="20">
      <c r="A102" s="84"/>
      <c r="B102" s="15"/>
      <c r="C102" s="20"/>
      <c r="D102" s="20"/>
    </row>
    <row r="103" spans="1:4" ht="20">
      <c r="A103" s="84"/>
      <c r="B103" s="15"/>
      <c r="C103" s="20"/>
      <c r="D103" s="20"/>
    </row>
    <row r="104" spans="1:4" ht="20">
      <c r="A104" s="84"/>
      <c r="B104" s="15"/>
      <c r="C104" s="20"/>
      <c r="D104" s="20"/>
    </row>
    <row r="105" spans="1:4" ht="20">
      <c r="A105" s="84"/>
      <c r="B105" s="15"/>
      <c r="C105" s="20"/>
      <c r="D105" s="20"/>
    </row>
    <row r="106" spans="1:4" ht="20">
      <c r="A106" s="84"/>
      <c r="B106" s="15"/>
      <c r="C106" s="20"/>
      <c r="D106" s="20"/>
    </row>
    <row r="107" spans="1:4" ht="20">
      <c r="A107" s="84"/>
      <c r="B107" s="15"/>
      <c r="C107" s="20"/>
      <c r="D107" s="20"/>
    </row>
    <row r="108" spans="1:4" ht="20">
      <c r="A108" s="84"/>
      <c r="B108" s="15"/>
      <c r="C108" s="20"/>
      <c r="D108" s="20"/>
    </row>
    <row r="109" spans="1:4" ht="20">
      <c r="A109" s="84"/>
      <c r="B109" s="15"/>
      <c r="C109" s="20"/>
      <c r="D109" s="20"/>
    </row>
    <row r="110" spans="1:4" ht="20">
      <c r="A110" s="84"/>
      <c r="B110" s="15"/>
      <c r="C110" s="20"/>
      <c r="D110" s="20"/>
    </row>
    <row r="111" spans="1:4" ht="20">
      <c r="A111" s="84"/>
      <c r="B111" s="15"/>
      <c r="C111" s="20"/>
      <c r="D111" s="20"/>
    </row>
    <row r="112" spans="1:4" ht="20">
      <c r="A112" s="84"/>
      <c r="B112" s="15"/>
      <c r="C112" s="20"/>
      <c r="D112" s="20"/>
    </row>
    <row r="113" spans="1:4" ht="20">
      <c r="A113" s="84"/>
      <c r="B113" s="15"/>
      <c r="C113" s="20"/>
      <c r="D113" s="20"/>
    </row>
    <row r="114" spans="1:4" ht="20">
      <c r="A114" s="84"/>
      <c r="B114" s="15"/>
      <c r="C114" s="20"/>
      <c r="D114" s="20"/>
    </row>
    <row r="115" spans="1:4" ht="20">
      <c r="A115" s="84"/>
      <c r="B115" s="15"/>
      <c r="C115" s="20"/>
      <c r="D115" s="20"/>
    </row>
    <row r="116" spans="1:4" ht="20">
      <c r="A116" s="84"/>
      <c r="B116" s="15"/>
      <c r="C116" s="20"/>
      <c r="D116" s="20"/>
    </row>
    <row r="117" spans="1:4" ht="20">
      <c r="A117" s="84"/>
      <c r="B117" s="15"/>
      <c r="C117" s="20"/>
      <c r="D117" s="20"/>
    </row>
    <row r="118" spans="1:4" ht="20">
      <c r="A118" s="84"/>
      <c r="B118" s="15"/>
      <c r="C118" s="20"/>
      <c r="D118" s="20"/>
    </row>
    <row r="119" spans="1:4" ht="20">
      <c r="A119" s="84"/>
      <c r="B119" s="15"/>
      <c r="C119" s="20"/>
      <c r="D119" s="20"/>
    </row>
    <row r="120" spans="1:4" ht="20">
      <c r="A120" s="84"/>
      <c r="B120" s="15"/>
      <c r="C120" s="20"/>
      <c r="D120" s="20"/>
    </row>
    <row r="121" spans="1:4" ht="20">
      <c r="A121" s="84"/>
      <c r="B121" s="15"/>
      <c r="C121" s="20"/>
      <c r="D121" s="20"/>
    </row>
    <row r="122" spans="1:4" ht="20">
      <c r="A122" s="84"/>
      <c r="B122" s="15"/>
      <c r="C122" s="20"/>
      <c r="D122" s="20"/>
    </row>
    <row r="123" spans="1:4" ht="20">
      <c r="A123" s="84"/>
      <c r="B123" s="15"/>
      <c r="C123" s="20"/>
      <c r="D123" s="20"/>
    </row>
    <row r="124" spans="1:4" ht="20">
      <c r="A124" s="84"/>
      <c r="B124" s="15"/>
      <c r="C124" s="20"/>
      <c r="D124" s="20"/>
    </row>
    <row r="125" spans="1:4" ht="20">
      <c r="A125" s="84"/>
      <c r="B125" s="15"/>
      <c r="C125" s="20"/>
      <c r="D125" s="20"/>
    </row>
    <row r="126" spans="1:4" ht="20">
      <c r="A126" s="84"/>
      <c r="B126" s="15"/>
      <c r="C126" s="20"/>
      <c r="D126" s="20"/>
    </row>
    <row r="127" spans="1:4" ht="20">
      <c r="A127" s="84"/>
      <c r="B127" s="15"/>
      <c r="C127" s="20"/>
      <c r="D127" s="20"/>
    </row>
    <row r="128" spans="1:4" ht="20">
      <c r="A128" s="84"/>
      <c r="B128" s="15"/>
      <c r="C128" s="20"/>
      <c r="D128" s="20"/>
    </row>
    <row r="129" spans="1:4" ht="20">
      <c r="A129" s="84"/>
      <c r="B129" s="15"/>
      <c r="C129" s="20"/>
      <c r="D129" s="20"/>
    </row>
    <row r="130" spans="1:4" ht="20">
      <c r="A130" s="84"/>
      <c r="B130" s="15"/>
      <c r="C130" s="20"/>
      <c r="D130" s="20"/>
    </row>
    <row r="131" spans="1:4" ht="20">
      <c r="A131" s="84"/>
      <c r="B131" s="15"/>
      <c r="C131" s="20"/>
      <c r="D131" s="20"/>
    </row>
    <row r="132" spans="1:4" ht="20">
      <c r="A132" s="84"/>
      <c r="B132" s="15"/>
      <c r="C132" s="20"/>
      <c r="D132" s="20"/>
    </row>
    <row r="133" spans="1:4" ht="20">
      <c r="A133" s="84"/>
      <c r="B133" s="15"/>
      <c r="C133" s="20"/>
      <c r="D133" s="20"/>
    </row>
    <row r="134" spans="1:4" ht="20">
      <c r="A134" s="84"/>
      <c r="B134" s="15"/>
      <c r="C134" s="20"/>
      <c r="D134" s="20"/>
    </row>
    <row r="135" spans="1:4" ht="20">
      <c r="A135" s="84"/>
      <c r="B135" s="15"/>
      <c r="C135" s="20"/>
      <c r="D135" s="20"/>
    </row>
    <row r="136" spans="1:4" ht="20">
      <c r="A136" s="84"/>
      <c r="B136" s="15"/>
      <c r="C136" s="20"/>
      <c r="D136" s="20"/>
    </row>
    <row r="137" spans="1:4" ht="20">
      <c r="A137" s="84"/>
      <c r="B137" s="15"/>
      <c r="C137" s="20"/>
      <c r="D137" s="20"/>
    </row>
    <row r="138" spans="1:4" ht="20">
      <c r="A138" s="84"/>
      <c r="B138" s="15"/>
      <c r="C138" s="20"/>
      <c r="D138" s="20"/>
    </row>
    <row r="139" spans="1:4" ht="20">
      <c r="A139" s="84"/>
      <c r="B139" s="15"/>
      <c r="C139" s="20"/>
      <c r="D139" s="20"/>
    </row>
    <row r="140" spans="1:4" ht="20">
      <c r="A140" s="84"/>
      <c r="B140" s="15"/>
      <c r="C140" s="20"/>
      <c r="D140" s="20"/>
    </row>
    <row r="141" spans="1:4" ht="20">
      <c r="A141" s="84"/>
      <c r="B141" s="15"/>
      <c r="C141" s="20"/>
      <c r="D141" s="20"/>
    </row>
    <row r="142" spans="1:4" ht="20">
      <c r="A142" s="84"/>
      <c r="B142" s="15"/>
      <c r="C142" s="20"/>
      <c r="D142" s="20"/>
    </row>
    <row r="143" spans="1:4" ht="20">
      <c r="A143" s="84"/>
      <c r="B143" s="15"/>
      <c r="C143" s="20"/>
      <c r="D143" s="20"/>
    </row>
    <row r="144" spans="1:4" ht="20">
      <c r="A144" s="84"/>
      <c r="B144" s="15"/>
      <c r="C144" s="20"/>
      <c r="D144" s="20"/>
    </row>
    <row r="145" spans="1:4" ht="20">
      <c r="A145" s="84"/>
      <c r="B145" s="15"/>
      <c r="C145" s="20"/>
      <c r="D145" s="20"/>
    </row>
    <row r="146" spans="1:4" ht="20">
      <c r="A146" s="84"/>
      <c r="B146" s="15"/>
      <c r="C146" s="20"/>
      <c r="D146" s="20"/>
    </row>
    <row r="147" spans="1:4" ht="20">
      <c r="A147" s="84"/>
      <c r="B147" s="15"/>
      <c r="C147" s="20"/>
      <c r="D147" s="20"/>
    </row>
    <row r="148" spans="1:4" ht="20">
      <c r="A148" s="84"/>
      <c r="B148" s="15"/>
      <c r="C148" s="20"/>
      <c r="D148" s="20"/>
    </row>
    <row r="149" spans="1:4" ht="20">
      <c r="A149" s="84"/>
      <c r="B149" s="15"/>
      <c r="C149" s="20"/>
      <c r="D149" s="20"/>
    </row>
    <row r="150" spans="1:4" ht="20">
      <c r="A150" s="84"/>
      <c r="B150" s="15"/>
      <c r="C150" s="20"/>
      <c r="D150" s="20"/>
    </row>
    <row r="151" spans="1:4" ht="20">
      <c r="A151" s="84"/>
      <c r="B151" s="15"/>
      <c r="C151" s="20"/>
      <c r="D151" s="20"/>
    </row>
    <row r="152" spans="1:4" ht="20">
      <c r="A152" s="84"/>
      <c r="B152" s="15"/>
      <c r="C152" s="20"/>
      <c r="D152" s="20"/>
    </row>
    <row r="153" spans="1:4" ht="20">
      <c r="A153" s="84"/>
      <c r="B153" s="15"/>
      <c r="C153" s="20"/>
      <c r="D153" s="20"/>
    </row>
    <row r="154" spans="1:4" ht="20">
      <c r="A154" s="84"/>
      <c r="B154" s="15"/>
      <c r="C154" s="20"/>
      <c r="D154" s="20"/>
    </row>
    <row r="155" spans="1:4" ht="20">
      <c r="A155" s="84"/>
      <c r="B155" s="15"/>
      <c r="C155" s="20"/>
      <c r="D155" s="20"/>
    </row>
    <row r="156" spans="1:4" ht="20">
      <c r="A156" s="84"/>
      <c r="B156" s="15"/>
      <c r="C156" s="20"/>
      <c r="D156" s="20"/>
    </row>
    <row r="157" spans="1:4" ht="20">
      <c r="A157" s="84"/>
      <c r="B157" s="15"/>
      <c r="C157" s="20"/>
      <c r="D157" s="20"/>
    </row>
    <row r="158" spans="1:4" ht="20">
      <c r="A158" s="84"/>
      <c r="B158" s="15"/>
      <c r="C158" s="20"/>
      <c r="D158" s="20"/>
    </row>
    <row r="159" spans="1:4" ht="20">
      <c r="A159" s="84"/>
      <c r="B159" s="15"/>
      <c r="C159" s="20"/>
      <c r="D159" s="20"/>
    </row>
    <row r="160" spans="1:4" ht="20">
      <c r="A160" s="84"/>
      <c r="B160" s="15"/>
      <c r="C160" s="20"/>
      <c r="D160" s="20"/>
    </row>
    <row r="161" spans="1:4" ht="20">
      <c r="A161" s="84"/>
      <c r="B161" s="15"/>
      <c r="C161" s="20"/>
      <c r="D161" s="20"/>
    </row>
    <row r="162" spans="1:4" ht="20">
      <c r="A162" s="84"/>
      <c r="B162" s="15"/>
      <c r="C162" s="20"/>
      <c r="D162" s="20"/>
    </row>
    <row r="163" spans="1:4" ht="20">
      <c r="A163" s="84"/>
      <c r="B163" s="15"/>
      <c r="C163" s="20"/>
      <c r="D163" s="20"/>
    </row>
    <row r="164" spans="1:4" ht="20">
      <c r="A164" s="84"/>
      <c r="B164" s="15"/>
      <c r="C164" s="20"/>
      <c r="D164" s="20"/>
    </row>
    <row r="165" spans="1:4" ht="20">
      <c r="A165" s="84"/>
      <c r="B165" s="15"/>
      <c r="C165" s="20"/>
      <c r="D165" s="20"/>
    </row>
    <row r="166" spans="1:4" ht="20">
      <c r="A166" s="84"/>
      <c r="B166" s="15"/>
      <c r="C166" s="20"/>
      <c r="D166" s="20"/>
    </row>
    <row r="167" spans="1:4" ht="20">
      <c r="A167" s="84"/>
      <c r="B167" s="15"/>
      <c r="C167" s="20"/>
      <c r="D167" s="20"/>
    </row>
    <row r="168" spans="1:4" ht="20">
      <c r="A168" s="84"/>
      <c r="B168" s="15"/>
      <c r="C168" s="20"/>
      <c r="D168" s="20"/>
    </row>
    <row r="169" spans="1:4" ht="20">
      <c r="A169" s="84"/>
      <c r="B169" s="15"/>
      <c r="C169" s="20"/>
      <c r="D169" s="20"/>
    </row>
    <row r="170" spans="1:4" ht="20">
      <c r="A170" s="84"/>
      <c r="B170" s="15"/>
      <c r="C170" s="20"/>
      <c r="D170" s="20"/>
    </row>
    <row r="171" spans="1:4" ht="20">
      <c r="A171" s="84"/>
      <c r="B171" s="15"/>
      <c r="C171" s="20"/>
      <c r="D171" s="20"/>
    </row>
    <row r="172" spans="1:4" ht="20">
      <c r="A172" s="84"/>
      <c r="B172" s="15"/>
      <c r="C172" s="20"/>
      <c r="D172" s="20"/>
    </row>
    <row r="173" spans="1:4" ht="20">
      <c r="A173" s="84"/>
      <c r="B173" s="15"/>
      <c r="C173" s="20"/>
      <c r="D173" s="20"/>
    </row>
    <row r="174" spans="1:4" ht="20">
      <c r="A174" s="84"/>
      <c r="B174" s="15"/>
      <c r="C174" s="20"/>
      <c r="D174" s="20"/>
    </row>
    <row r="175" spans="1:4" ht="20">
      <c r="A175" s="84"/>
      <c r="B175" s="15"/>
      <c r="C175" s="20"/>
      <c r="D175" s="20"/>
    </row>
    <row r="176" spans="1:4" ht="20">
      <c r="A176" s="84"/>
      <c r="B176" s="15"/>
      <c r="C176" s="20"/>
      <c r="D176" s="20"/>
    </row>
    <row r="177" spans="1:4" ht="20">
      <c r="A177" s="84"/>
      <c r="B177" s="15"/>
      <c r="C177" s="20"/>
      <c r="D177" s="20"/>
    </row>
    <row r="178" spans="1:4" ht="20">
      <c r="A178" s="84"/>
      <c r="B178" s="15"/>
      <c r="C178" s="20"/>
      <c r="D178" s="20"/>
    </row>
    <row r="179" spans="1:4" ht="20">
      <c r="A179" s="84"/>
      <c r="B179" s="15"/>
      <c r="C179" s="20"/>
      <c r="D179" s="20"/>
    </row>
    <row r="180" spans="1:4" ht="20">
      <c r="A180" s="84"/>
      <c r="B180" s="15"/>
      <c r="C180" s="20"/>
      <c r="D180" s="20"/>
    </row>
    <row r="181" spans="1:4" ht="20">
      <c r="A181" s="84"/>
      <c r="B181" s="15"/>
      <c r="C181" s="20"/>
      <c r="D181" s="20"/>
    </row>
    <row r="182" spans="1:4" ht="20">
      <c r="A182" s="84"/>
      <c r="B182" s="15"/>
      <c r="C182" s="20"/>
      <c r="D182" s="20"/>
    </row>
    <row r="183" spans="1:4" ht="20">
      <c r="A183" s="84"/>
      <c r="B183" s="15"/>
      <c r="C183" s="20"/>
      <c r="D183" s="20"/>
    </row>
    <row r="184" spans="1:4" ht="20">
      <c r="A184" s="84"/>
      <c r="B184" s="15"/>
      <c r="C184" s="20"/>
      <c r="D184" s="20"/>
    </row>
    <row r="185" spans="1:4" ht="20">
      <c r="A185" s="84"/>
      <c r="B185" s="15"/>
      <c r="C185" s="20"/>
      <c r="D185" s="20"/>
    </row>
    <row r="186" spans="1:4" ht="20">
      <c r="A186" s="84"/>
      <c r="B186" s="15"/>
      <c r="C186" s="20"/>
      <c r="D186" s="20"/>
    </row>
    <row r="187" spans="1:4" ht="20">
      <c r="A187" s="84"/>
      <c r="B187" s="15"/>
      <c r="C187" s="20"/>
      <c r="D187" s="20"/>
    </row>
    <row r="188" spans="1:4" ht="20">
      <c r="A188" s="84"/>
      <c r="B188" s="15"/>
      <c r="C188" s="20"/>
      <c r="D188" s="20"/>
    </row>
    <row r="189" spans="1:4" ht="20">
      <c r="A189" s="84"/>
      <c r="B189" s="15"/>
      <c r="C189" s="20"/>
      <c r="D189" s="20"/>
    </row>
    <row r="190" spans="1:4" ht="20">
      <c r="A190" s="84"/>
      <c r="B190" s="15"/>
      <c r="C190" s="20"/>
      <c r="D190" s="20"/>
    </row>
    <row r="191" spans="1:4" ht="20">
      <c r="A191" s="84"/>
      <c r="B191" s="15"/>
      <c r="C191" s="20"/>
      <c r="D191" s="20"/>
    </row>
    <row r="192" spans="1:4" ht="20">
      <c r="A192" s="84"/>
      <c r="B192" s="15"/>
      <c r="C192" s="20"/>
      <c r="D192" s="20"/>
    </row>
    <row r="193" spans="1:4" ht="20">
      <c r="A193" s="84"/>
      <c r="B193" s="15"/>
      <c r="C193" s="20"/>
      <c r="D193" s="20"/>
    </row>
    <row r="194" spans="1:4" ht="20">
      <c r="A194" s="84"/>
      <c r="B194" s="15"/>
      <c r="C194" s="20"/>
      <c r="D194" s="20"/>
    </row>
    <row r="195" spans="1:4" ht="20">
      <c r="A195" s="84"/>
      <c r="B195" s="15"/>
      <c r="C195" s="20"/>
      <c r="D195" s="20"/>
    </row>
    <row r="196" spans="1:4" ht="20">
      <c r="A196" s="84"/>
      <c r="B196" s="15"/>
      <c r="C196" s="20"/>
      <c r="D196" s="20"/>
    </row>
    <row r="197" spans="1:4" ht="20">
      <c r="A197" s="84"/>
      <c r="B197" s="15"/>
      <c r="C197" s="20"/>
      <c r="D197" s="20"/>
    </row>
    <row r="198" spans="1:4" ht="20">
      <c r="A198" s="84"/>
      <c r="B198" s="15"/>
      <c r="C198" s="20"/>
      <c r="D198" s="20"/>
    </row>
    <row r="199" spans="1:4" ht="20">
      <c r="A199" s="84"/>
      <c r="B199" s="15"/>
      <c r="C199" s="20"/>
      <c r="D199" s="20"/>
    </row>
    <row r="200" spans="1:4" ht="20">
      <c r="A200" s="84"/>
      <c r="B200" s="15"/>
      <c r="C200" s="20"/>
      <c r="D200" s="20"/>
    </row>
    <row r="201" spans="1:4" ht="20">
      <c r="A201" s="84"/>
      <c r="B201" s="15"/>
      <c r="C201" s="20"/>
      <c r="D201" s="20"/>
    </row>
    <row r="202" spans="1:4" ht="20">
      <c r="A202" s="84"/>
      <c r="B202" s="15"/>
      <c r="C202" s="20"/>
      <c r="D202" s="20"/>
    </row>
    <row r="203" spans="1:4" ht="20">
      <c r="A203" s="84"/>
      <c r="B203" s="15"/>
      <c r="C203" s="20"/>
      <c r="D203" s="20"/>
    </row>
    <row r="204" spans="1:4" ht="20">
      <c r="A204" s="84"/>
      <c r="B204" s="15"/>
      <c r="C204" s="20"/>
      <c r="D204" s="20"/>
    </row>
    <row r="205" spans="1:4" ht="20">
      <c r="A205" s="84"/>
      <c r="B205" s="15"/>
      <c r="C205" s="20"/>
      <c r="D205" s="20"/>
    </row>
    <row r="206" spans="1:4" ht="20">
      <c r="A206" s="84"/>
      <c r="B206" s="15"/>
      <c r="C206" s="20"/>
      <c r="D206" s="20"/>
    </row>
    <row r="207" spans="1:4" ht="20">
      <c r="A207" s="84"/>
      <c r="B207" s="15"/>
      <c r="C207" s="20"/>
      <c r="D207" s="20"/>
    </row>
    <row r="208" spans="1:4">
      <c r="A208" s="68"/>
      <c r="B208" s="15"/>
      <c r="C208" s="15"/>
      <c r="D208" s="15"/>
    </row>
    <row r="209" spans="1:8" ht="20">
      <c r="A209" s="68"/>
      <c r="B209" s="16" t="s">
        <v>389</v>
      </c>
      <c r="C209" s="16" t="s">
        <v>390</v>
      </c>
      <c r="D209" s="19" t="s">
        <v>389</v>
      </c>
      <c r="E209" s="19" t="s">
        <v>390</v>
      </c>
    </row>
    <row r="210" spans="1:8" ht="21">
      <c r="A210" s="68"/>
      <c r="B210" s="17" t="s">
        <v>391</v>
      </c>
      <c r="C210" s="17" t="s">
        <v>392</v>
      </c>
      <c r="D210" t="s">
        <v>391</v>
      </c>
      <c r="F210" t="str">
        <f>IF(NOT(ISBLANK(D210)),D210,IF(NOT(ISBLANK(E210)),"     "&amp;E210,FALSE))</f>
        <v>Afectación Económica o presupuestal</v>
      </c>
      <c r="G210" t="s">
        <v>391</v>
      </c>
      <c r="H210" t="str">
        <f>IF(NOT(ISERROR(MATCH(G210,_xlfn.ANCHORARRAY(B221),0))),F223&amp;"Por favor no seleccionar los criterios de impacto",G210)</f>
        <v>❌Por favor no seleccionar los criterios de impacto</v>
      </c>
    </row>
    <row r="211" spans="1:8" ht="21">
      <c r="A211" s="68"/>
      <c r="B211" s="17" t="s">
        <v>391</v>
      </c>
      <c r="C211" s="17" t="s">
        <v>376</v>
      </c>
      <c r="E211" t="s">
        <v>392</v>
      </c>
      <c r="F211" t="str">
        <f t="shared" ref="F211:F221" si="0">IF(NOT(ISBLANK(D211)),D211,IF(NOT(ISBLANK(E211)),"     "&amp;E211,FALSE))</f>
        <v xml:space="preserve">     Afectación menor a 10 SMLMV .</v>
      </c>
    </row>
    <row r="212" spans="1:8" ht="21">
      <c r="A212" s="68"/>
      <c r="B212" s="17" t="s">
        <v>391</v>
      </c>
      <c r="C212" s="17" t="s">
        <v>379</v>
      </c>
      <c r="E212" t="s">
        <v>376</v>
      </c>
      <c r="F212" t="str">
        <f t="shared" si="0"/>
        <v xml:space="preserve">     Entre 10 y 50 SMLMV </v>
      </c>
    </row>
    <row r="213" spans="1:8" ht="21">
      <c r="A213" s="68"/>
      <c r="B213" s="17" t="s">
        <v>391</v>
      </c>
      <c r="C213" s="17" t="s">
        <v>382</v>
      </c>
      <c r="E213" t="s">
        <v>379</v>
      </c>
      <c r="F213" t="str">
        <f t="shared" si="0"/>
        <v xml:space="preserve">     Entre 50 y 100 SMLMV </v>
      </c>
    </row>
    <row r="214" spans="1:8" ht="21">
      <c r="A214" s="68"/>
      <c r="B214" s="17" t="s">
        <v>391</v>
      </c>
      <c r="C214" s="17" t="s">
        <v>385</v>
      </c>
      <c r="E214" t="s">
        <v>382</v>
      </c>
      <c r="F214" t="str">
        <f t="shared" si="0"/>
        <v xml:space="preserve">     Entre 100 y 500 SMLMV </v>
      </c>
    </row>
    <row r="215" spans="1:8" ht="21">
      <c r="A215" s="68"/>
      <c r="B215" s="17" t="s">
        <v>370</v>
      </c>
      <c r="C215" s="17" t="s">
        <v>374</v>
      </c>
      <c r="E215" t="s">
        <v>385</v>
      </c>
      <c r="F215" t="str">
        <f t="shared" si="0"/>
        <v xml:space="preserve">     Mayor a 500 SMLMV </v>
      </c>
    </row>
    <row r="216" spans="1:8" ht="21">
      <c r="A216" s="68"/>
      <c r="B216" s="17" t="s">
        <v>370</v>
      </c>
      <c r="C216" s="17" t="s">
        <v>377</v>
      </c>
      <c r="D216" t="s">
        <v>370</v>
      </c>
      <c r="F216" t="str">
        <f t="shared" si="0"/>
        <v>Pérdida Reputacional</v>
      </c>
    </row>
    <row r="217" spans="1:8" ht="21">
      <c r="A217" s="68"/>
      <c r="B217" s="17" t="s">
        <v>370</v>
      </c>
      <c r="C217" s="17" t="s">
        <v>380</v>
      </c>
      <c r="E217" t="s">
        <v>374</v>
      </c>
      <c r="F217" t="str">
        <f t="shared" si="0"/>
        <v xml:space="preserve">     El riesgo afecta la imagen de alguna área de la organización</v>
      </c>
    </row>
    <row r="218" spans="1:8" ht="21">
      <c r="A218" s="68"/>
      <c r="B218" s="17" t="s">
        <v>370</v>
      </c>
      <c r="C218" s="17" t="s">
        <v>393</v>
      </c>
      <c r="E218" t="s">
        <v>377</v>
      </c>
      <c r="F218" t="str">
        <f t="shared" si="0"/>
        <v xml:space="preserve">     El riesgo afecta la imagen de la entidad internamente, de conocimiento general, nivel interno, de junta dircetiva y accionistas y/o de provedores</v>
      </c>
    </row>
    <row r="219" spans="1:8" ht="21">
      <c r="A219" s="68"/>
      <c r="B219" s="17" t="s">
        <v>370</v>
      </c>
      <c r="C219" s="17" t="s">
        <v>386</v>
      </c>
      <c r="E219" t="s">
        <v>380</v>
      </c>
      <c r="F219" t="str">
        <f t="shared" si="0"/>
        <v xml:space="preserve">     El riesgo afecta la imagen de la entidad con algunos usuarios de relevancia frente al logro de los objetivos</v>
      </c>
    </row>
    <row r="220" spans="1:8">
      <c r="A220" s="68"/>
      <c r="B220" s="18"/>
      <c r="C220" s="18"/>
      <c r="E220" t="s">
        <v>393</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386</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394</v>
      </c>
    </row>
    <row r="224" spans="1:8">
      <c r="B224" s="14"/>
      <c r="C224" s="14"/>
      <c r="F224" s="21" t="s">
        <v>395</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workbookViewId="0">
      <selection activeCell="I11" sqref="I11"/>
    </sheetView>
  </sheetViews>
  <sheetFormatPr baseColWidth="10" defaultColWidth="14.33203125" defaultRowHeight="14"/>
  <cols>
    <col min="1" max="2" width="14.33203125" style="73"/>
    <col min="3" max="3" width="17" style="73" customWidth="1"/>
    <col min="4" max="4" width="14.33203125" style="73"/>
    <col min="5" max="5" width="46" style="73" customWidth="1"/>
    <col min="6" max="16384" width="14.33203125" style="73"/>
  </cols>
  <sheetData>
    <row r="1" spans="2:6" ht="24" customHeight="1" thickBot="1">
      <c r="B1" s="659" t="s">
        <v>396</v>
      </c>
      <c r="C1" s="660"/>
      <c r="D1" s="660"/>
      <c r="E1" s="660"/>
      <c r="F1" s="661"/>
    </row>
    <row r="2" spans="2:6" ht="17" thickBot="1">
      <c r="B2" s="74"/>
      <c r="C2" s="74"/>
      <c r="D2" s="74"/>
      <c r="E2" s="74"/>
      <c r="F2" s="74"/>
    </row>
    <row r="3" spans="2:6" ht="18" thickBot="1">
      <c r="B3" s="663" t="s">
        <v>397</v>
      </c>
      <c r="C3" s="664"/>
      <c r="D3" s="664"/>
      <c r="E3" s="203" t="s">
        <v>398</v>
      </c>
      <c r="F3" s="83" t="s">
        <v>399</v>
      </c>
    </row>
    <row r="4" spans="2:6" ht="34">
      <c r="B4" s="665" t="s">
        <v>400</v>
      </c>
      <c r="C4" s="667" t="s">
        <v>94</v>
      </c>
      <c r="D4" s="204" t="s">
        <v>151</v>
      </c>
      <c r="E4" s="75" t="s">
        <v>401</v>
      </c>
      <c r="F4" s="76">
        <v>0.25</v>
      </c>
    </row>
    <row r="5" spans="2:6" ht="51">
      <c r="B5" s="666"/>
      <c r="C5" s="668"/>
      <c r="D5" s="205" t="s">
        <v>100</v>
      </c>
      <c r="E5" s="77" t="s">
        <v>402</v>
      </c>
      <c r="F5" s="78">
        <v>0.15</v>
      </c>
    </row>
    <row r="6" spans="2:6" ht="34">
      <c r="B6" s="666"/>
      <c r="C6" s="668"/>
      <c r="D6" s="205" t="s">
        <v>179</v>
      </c>
      <c r="E6" s="77" t="s">
        <v>403</v>
      </c>
      <c r="F6" s="78">
        <v>0.1</v>
      </c>
    </row>
    <row r="7" spans="2:6" ht="51">
      <c r="B7" s="666"/>
      <c r="C7" s="668" t="s">
        <v>95</v>
      </c>
      <c r="D7" s="205" t="s">
        <v>152</v>
      </c>
      <c r="E7" s="77" t="s">
        <v>404</v>
      </c>
      <c r="F7" s="78">
        <v>0.25</v>
      </c>
    </row>
    <row r="8" spans="2:6" ht="34">
      <c r="B8" s="666"/>
      <c r="C8" s="668"/>
      <c r="D8" s="205" t="s">
        <v>165</v>
      </c>
      <c r="E8" s="77" t="s">
        <v>405</v>
      </c>
      <c r="F8" s="78">
        <v>0.15</v>
      </c>
    </row>
    <row r="9" spans="2:6" ht="51">
      <c r="B9" s="666" t="s">
        <v>406</v>
      </c>
      <c r="C9" s="668" t="s">
        <v>51</v>
      </c>
      <c r="D9" s="205" t="s">
        <v>153</v>
      </c>
      <c r="E9" s="77" t="s">
        <v>407</v>
      </c>
      <c r="F9" s="79" t="s">
        <v>408</v>
      </c>
    </row>
    <row r="10" spans="2:6" ht="51">
      <c r="B10" s="666"/>
      <c r="C10" s="668"/>
      <c r="D10" s="205" t="s">
        <v>166</v>
      </c>
      <c r="E10" s="77" t="s">
        <v>409</v>
      </c>
      <c r="F10" s="79" t="s">
        <v>408</v>
      </c>
    </row>
    <row r="11" spans="2:6" ht="34">
      <c r="B11" s="666"/>
      <c r="C11" s="668" t="s">
        <v>97</v>
      </c>
      <c r="D11" s="205" t="s">
        <v>154</v>
      </c>
      <c r="E11" s="77" t="s">
        <v>410</v>
      </c>
      <c r="F11" s="79" t="s">
        <v>408</v>
      </c>
    </row>
    <row r="12" spans="2:6" ht="34">
      <c r="B12" s="666"/>
      <c r="C12" s="668"/>
      <c r="D12" s="205" t="s">
        <v>167</v>
      </c>
      <c r="E12" s="77" t="s">
        <v>411</v>
      </c>
      <c r="F12" s="79" t="s">
        <v>408</v>
      </c>
    </row>
    <row r="13" spans="2:6" ht="34">
      <c r="B13" s="666"/>
      <c r="C13" s="668" t="s">
        <v>98</v>
      </c>
      <c r="D13" s="205" t="s">
        <v>412</v>
      </c>
      <c r="E13" s="77" t="s">
        <v>413</v>
      </c>
      <c r="F13" s="79" t="s">
        <v>408</v>
      </c>
    </row>
    <row r="14" spans="2:6" ht="18" thickBot="1">
      <c r="B14" s="669"/>
      <c r="C14" s="670"/>
      <c r="D14" s="206" t="s">
        <v>414</v>
      </c>
      <c r="E14" s="80" t="s">
        <v>415</v>
      </c>
      <c r="F14" s="81" t="s">
        <v>408</v>
      </c>
    </row>
    <row r="15" spans="2:6" ht="49.5" customHeight="1">
      <c r="B15" s="662" t="s">
        <v>416</v>
      </c>
      <c r="C15" s="662"/>
      <c r="D15" s="662"/>
      <c r="E15" s="662"/>
      <c r="F15" s="662"/>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42"/>
  <sheetViews>
    <sheetView tabSelected="1" topLeftCell="B1" zoomScale="91" zoomScaleNormal="91" workbookViewId="0">
      <selection activeCell="AP34" sqref="AP34"/>
    </sheetView>
  </sheetViews>
  <sheetFormatPr baseColWidth="10" defaultColWidth="11.5" defaultRowHeight="14" outlineLevelCol="1"/>
  <cols>
    <col min="1" max="1" width="0" style="169" hidden="1" customWidth="1"/>
    <col min="2" max="2" width="4.5" style="169" customWidth="1"/>
    <col min="3" max="3" width="6.33203125" style="169" customWidth="1"/>
    <col min="4" max="4" width="4.6640625" style="170" customWidth="1"/>
    <col min="5" max="5" width="21" style="170" customWidth="1"/>
    <col min="6" max="7" width="20.6640625" style="170" customWidth="1" outlineLevel="1"/>
    <col min="8" max="8" width="18.33203125" style="170" customWidth="1" outlineLevel="1"/>
    <col min="9" max="9" width="31" style="170" customWidth="1" outlineLevel="1"/>
    <col min="10" max="10" width="25.5" style="170" customWidth="1" outlineLevel="1"/>
    <col min="11" max="11" width="58.33203125" style="169" customWidth="1"/>
    <col min="12" max="12" width="25.5" style="171" customWidth="1" outlineLevel="1"/>
    <col min="13" max="13" width="31.83203125" style="171" customWidth="1" outlineLevel="1"/>
    <col min="14" max="14" width="23.83203125" style="171" customWidth="1" outlineLevel="1"/>
    <col min="15" max="15" width="17.1640625" style="169" customWidth="1" outlineLevel="1"/>
    <col min="16" max="16" width="16.5" style="169" customWidth="1" outlineLevel="1"/>
    <col min="17" max="17" width="8.83203125" style="169" customWidth="1" outlineLevel="1"/>
    <col min="18" max="18" width="21.33203125" style="169" customWidth="1" outlineLevel="1"/>
    <col min="19" max="19" width="17.5" style="169" customWidth="1" outlineLevel="1"/>
    <col min="20" max="20" width="10.5" style="169" customWidth="1" outlineLevel="1"/>
    <col min="21" max="21" width="16" style="169" customWidth="1" outlineLevel="1"/>
    <col min="22" max="22" width="5.6640625" style="169" customWidth="1" outlineLevel="1"/>
    <col min="23" max="23" width="63.5" style="169" customWidth="1"/>
    <col min="24" max="24" width="40.6640625" style="169" customWidth="1"/>
    <col min="25" max="25" width="15.33203125" style="169" customWidth="1" outlineLevel="1"/>
    <col min="26" max="26" width="6.6640625" style="169" customWidth="1" outlineLevel="1"/>
    <col min="27" max="27" width="5" style="169" customWidth="1" outlineLevel="1"/>
    <col min="28" max="28" width="5.5" style="169" customWidth="1" outlineLevel="1"/>
    <col min="29" max="29" width="7.33203125" style="169" customWidth="1" outlineLevel="1"/>
    <col min="30" max="30" width="6.6640625" style="169" customWidth="1" outlineLevel="1"/>
    <col min="31" max="31" width="8.33203125" style="169" customWidth="1" outlineLevel="1"/>
    <col min="32" max="32" width="16.33203125" style="169" customWidth="1" outlineLevel="1"/>
    <col min="33" max="33" width="13.6640625" style="169" customWidth="1" outlineLevel="1"/>
    <col min="34" max="34" width="16.1640625" style="169" customWidth="1" outlineLevel="1"/>
    <col min="35" max="35" width="6.1640625" style="169" customWidth="1" outlineLevel="1"/>
    <col min="36" max="36" width="16.1640625" style="169" customWidth="1" outlineLevel="1"/>
    <col min="37" max="37" width="6" style="169" customWidth="1" outlineLevel="1"/>
    <col min="38" max="38" width="16.1640625" style="169" customWidth="1" outlineLevel="1"/>
    <col min="39" max="40" width="7.33203125" style="169" customWidth="1" outlineLevel="1"/>
    <col min="41" max="41" width="46.5" style="169" customWidth="1"/>
    <col min="42" max="42" width="24.33203125" style="169" customWidth="1"/>
    <col min="43" max="43" width="36.5" style="169" customWidth="1"/>
    <col min="44" max="46" width="19.6640625" style="169" customWidth="1"/>
    <col min="47" max="47" width="35.5" style="169" customWidth="1"/>
    <col min="48" max="50" width="34.6640625" style="169" customWidth="1"/>
    <col min="51" max="51" width="29" style="169" customWidth="1"/>
    <col min="52" max="52" width="23.33203125" style="169" customWidth="1"/>
    <col min="53" max="53" width="68.5" style="169" customWidth="1"/>
    <col min="54" max="54" width="31.5" style="169" customWidth="1"/>
    <col min="55" max="55" width="30.5" style="169" customWidth="1"/>
    <col min="56" max="56" width="53" style="169" customWidth="1"/>
    <col min="57" max="59" width="0" style="169" hidden="1" customWidth="1"/>
    <col min="60" max="61" width="11.5" style="169" hidden="1" customWidth="1"/>
    <col min="62" max="63" width="0" style="169" hidden="1" customWidth="1"/>
    <col min="64" max="16384" width="11.5" style="169"/>
  </cols>
  <sheetData>
    <row r="1" spans="1:82" ht="15" thickBot="1"/>
    <row r="2" spans="1:82" ht="27.75" customHeight="1">
      <c r="D2" s="319" t="s">
        <v>37</v>
      </c>
      <c r="E2" s="320"/>
      <c r="F2" s="320"/>
      <c r="G2" s="320"/>
      <c r="H2" s="321"/>
      <c r="I2" s="328" t="s">
        <v>38</v>
      </c>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328"/>
      <c r="AT2" s="328"/>
      <c r="AU2" s="328"/>
      <c r="AV2" s="328"/>
      <c r="AW2" s="328"/>
      <c r="AX2" s="328"/>
      <c r="AY2" s="328"/>
      <c r="AZ2" s="328"/>
      <c r="BA2" s="328"/>
      <c r="BB2" s="328"/>
      <c r="BC2" s="328"/>
      <c r="BD2" s="209" t="s">
        <v>8</v>
      </c>
    </row>
    <row r="3" spans="1:82" ht="27.75" customHeight="1">
      <c r="D3" s="322"/>
      <c r="E3" s="323"/>
      <c r="F3" s="323"/>
      <c r="G3" s="323"/>
      <c r="H3" s="324"/>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28"/>
      <c r="AX3" s="328"/>
      <c r="AY3" s="328"/>
      <c r="AZ3" s="328"/>
      <c r="BA3" s="328"/>
      <c r="BB3" s="328"/>
      <c r="BC3" s="328"/>
      <c r="BD3" s="212" t="s">
        <v>39</v>
      </c>
    </row>
    <row r="4" spans="1:82" ht="27.75" customHeight="1">
      <c r="D4" s="322"/>
      <c r="E4" s="323"/>
      <c r="F4" s="323"/>
      <c r="G4" s="323"/>
      <c r="H4" s="324"/>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c r="BA4" s="328"/>
      <c r="BB4" s="328"/>
      <c r="BC4" s="328"/>
      <c r="BD4" s="210" t="s">
        <v>4</v>
      </c>
    </row>
    <row r="5" spans="1:82" ht="27.75" customHeight="1" thickBot="1">
      <c r="D5" s="325"/>
      <c r="E5" s="326"/>
      <c r="F5" s="326"/>
      <c r="G5" s="326"/>
      <c r="H5" s="327"/>
      <c r="I5" s="328"/>
      <c r="J5" s="328"/>
      <c r="K5" s="328"/>
      <c r="L5" s="328"/>
      <c r="M5" s="328"/>
      <c r="N5" s="328"/>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8"/>
      <c r="AT5" s="328"/>
      <c r="AU5" s="328"/>
      <c r="AV5" s="328"/>
      <c r="AW5" s="328"/>
      <c r="AX5" s="328"/>
      <c r="AY5" s="328"/>
      <c r="AZ5" s="328"/>
      <c r="BA5" s="328"/>
      <c r="BB5" s="328"/>
      <c r="BC5" s="328"/>
      <c r="BD5" s="210" t="s">
        <v>40</v>
      </c>
    </row>
    <row r="6" spans="1:82" ht="14"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233"/>
      <c r="AT6" s="233"/>
      <c r="AU6" s="233"/>
      <c r="AV6" s="233"/>
      <c r="AW6" s="233"/>
      <c r="AX6" s="233"/>
      <c r="AY6" s="233"/>
      <c r="AZ6" s="172"/>
      <c r="BA6" s="172"/>
      <c r="BB6" s="172"/>
      <c r="BC6" s="172"/>
      <c r="BD6" s="115"/>
    </row>
    <row r="7" spans="1:82" ht="26.25" customHeight="1">
      <c r="D7" s="339" t="s">
        <v>41</v>
      </c>
      <c r="E7" s="340"/>
      <c r="F7" s="340"/>
      <c r="G7" s="341"/>
      <c r="H7" s="329" t="s">
        <v>436</v>
      </c>
      <c r="I7" s="330"/>
      <c r="J7" s="330"/>
      <c r="K7" s="330"/>
      <c r="L7" s="330"/>
      <c r="M7" s="330"/>
      <c r="N7" s="330"/>
      <c r="O7" s="330"/>
      <c r="P7" s="330"/>
      <c r="Q7" s="330"/>
      <c r="R7" s="330"/>
      <c r="S7" s="330"/>
      <c r="T7" s="330"/>
      <c r="U7" s="330"/>
      <c r="V7" s="330"/>
      <c r="W7" s="330"/>
      <c r="X7" s="330"/>
      <c r="Y7" s="330"/>
      <c r="Z7" s="330"/>
      <c r="AA7" s="330"/>
      <c r="AB7" s="330"/>
      <c r="AC7" s="330"/>
      <c r="AD7" s="330"/>
      <c r="AE7" s="330"/>
      <c r="AF7" s="330"/>
      <c r="AG7" s="330"/>
      <c r="AH7" s="330"/>
      <c r="AI7" s="330"/>
      <c r="AJ7" s="330"/>
      <c r="AK7" s="330"/>
      <c r="AL7" s="330"/>
      <c r="AM7" s="330"/>
      <c r="AN7" s="330"/>
      <c r="AO7" s="330"/>
      <c r="AP7" s="330"/>
      <c r="AQ7" s="330"/>
      <c r="AR7" s="330"/>
      <c r="AS7" s="330"/>
      <c r="AT7" s="330"/>
      <c r="AU7" s="330"/>
      <c r="AV7" s="330"/>
      <c r="AW7" s="330"/>
      <c r="AX7" s="330"/>
      <c r="AY7" s="330"/>
      <c r="AZ7" s="330"/>
      <c r="BA7" s="330"/>
      <c r="BB7" s="330"/>
      <c r="BC7" s="330"/>
      <c r="BD7" s="330"/>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30" customHeight="1">
      <c r="D8" s="339" t="s">
        <v>42</v>
      </c>
      <c r="E8" s="340"/>
      <c r="F8" s="340"/>
      <c r="G8" s="341"/>
      <c r="H8" s="329" t="s">
        <v>437</v>
      </c>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I8" s="330"/>
      <c r="AJ8" s="330"/>
      <c r="AK8" s="330"/>
      <c r="AL8" s="330"/>
      <c r="AM8" s="330"/>
      <c r="AN8" s="330"/>
      <c r="AO8" s="330"/>
      <c r="AP8" s="330"/>
      <c r="AQ8" s="330"/>
      <c r="AR8" s="330"/>
      <c r="AS8" s="330"/>
      <c r="AT8" s="330"/>
      <c r="AU8" s="330"/>
      <c r="AV8" s="330"/>
      <c r="AW8" s="330"/>
      <c r="AX8" s="330"/>
      <c r="AY8" s="330"/>
      <c r="AZ8" s="330"/>
      <c r="BA8" s="330"/>
      <c r="BB8" s="330"/>
      <c r="BC8" s="330"/>
      <c r="BD8" s="330"/>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c r="D9" s="339" t="s">
        <v>43</v>
      </c>
      <c r="E9" s="340"/>
      <c r="F9" s="340"/>
      <c r="G9" s="341"/>
      <c r="H9" s="329" t="s">
        <v>438</v>
      </c>
      <c r="I9" s="330"/>
      <c r="J9" s="330"/>
      <c r="K9" s="330"/>
      <c r="L9" s="330"/>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0"/>
      <c r="AL9" s="330"/>
      <c r="AM9" s="330"/>
      <c r="AN9" s="330"/>
      <c r="AO9" s="330"/>
      <c r="AP9" s="330"/>
      <c r="AQ9" s="330"/>
      <c r="AR9" s="330"/>
      <c r="AS9" s="330"/>
      <c r="AT9" s="330"/>
      <c r="AU9" s="330"/>
      <c r="AV9" s="330"/>
      <c r="AW9" s="330"/>
      <c r="AX9" s="330"/>
      <c r="AY9" s="330"/>
      <c r="AZ9" s="330"/>
      <c r="BA9" s="330"/>
      <c r="BB9" s="330"/>
      <c r="BC9" s="330"/>
      <c r="BD9" s="330"/>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34"/>
      <c r="AT10" s="234"/>
      <c r="AU10" s="234"/>
      <c r="AV10" s="234"/>
      <c r="AW10" s="234"/>
      <c r="AX10" s="234"/>
      <c r="AY10" s="234"/>
      <c r="AZ10" s="179"/>
      <c r="BA10" s="179"/>
      <c r="BB10" s="179"/>
      <c r="BC10" s="179"/>
      <c r="BD10" s="179"/>
    </row>
    <row r="11" spans="1:82" s="174" customFormat="1" ht="25.5" customHeight="1">
      <c r="A11" s="370" t="s">
        <v>9</v>
      </c>
      <c r="B11" s="370"/>
      <c r="C11" s="371"/>
      <c r="D11" s="351" t="s">
        <v>44</v>
      </c>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8" t="s">
        <v>45</v>
      </c>
      <c r="AT11" s="358"/>
      <c r="AU11" s="358"/>
      <c r="AV11" s="358"/>
      <c r="AW11" s="358"/>
      <c r="AX11" s="358"/>
      <c r="AY11" s="358"/>
      <c r="AZ11" s="342" t="s">
        <v>46</v>
      </c>
      <c r="BA11" s="343"/>
      <c r="BB11" s="343"/>
      <c r="BC11" s="344" t="s">
        <v>47</v>
      </c>
      <c r="BD11" s="345"/>
    </row>
    <row r="12" spans="1:82" ht="27" customHeight="1">
      <c r="D12" s="336" t="s">
        <v>48</v>
      </c>
      <c r="E12" s="336"/>
      <c r="F12" s="336"/>
      <c r="G12" s="336"/>
      <c r="H12" s="336"/>
      <c r="I12" s="337"/>
      <c r="J12" s="337"/>
      <c r="K12" s="337"/>
      <c r="L12" s="337"/>
      <c r="M12" s="337"/>
      <c r="N12" s="337"/>
      <c r="O12" s="337"/>
      <c r="P12" s="337" t="s">
        <v>49</v>
      </c>
      <c r="Q12" s="337"/>
      <c r="R12" s="337"/>
      <c r="S12" s="337"/>
      <c r="T12" s="337"/>
      <c r="U12" s="337"/>
      <c r="V12" s="337" t="s">
        <v>50</v>
      </c>
      <c r="W12" s="337"/>
      <c r="X12" s="337"/>
      <c r="Y12" s="337"/>
      <c r="Z12" s="337"/>
      <c r="AA12" s="337"/>
      <c r="AB12" s="337"/>
      <c r="AC12" s="337"/>
      <c r="AD12" s="337"/>
      <c r="AE12" s="337"/>
      <c r="AF12" s="364" t="s">
        <v>51</v>
      </c>
      <c r="AG12" s="337" t="s">
        <v>52</v>
      </c>
      <c r="AH12" s="337"/>
      <c r="AI12" s="337"/>
      <c r="AJ12" s="337"/>
      <c r="AK12" s="337"/>
      <c r="AL12" s="337"/>
      <c r="AM12" s="337"/>
      <c r="AN12" s="211"/>
      <c r="AO12" s="351" t="s">
        <v>53</v>
      </c>
      <c r="AP12" s="352"/>
      <c r="AQ12" s="352"/>
      <c r="AR12" s="352"/>
      <c r="AS12" s="358"/>
      <c r="AT12" s="358"/>
      <c r="AU12" s="358"/>
      <c r="AV12" s="358"/>
      <c r="AW12" s="358"/>
      <c r="AX12" s="358"/>
      <c r="AY12" s="358"/>
      <c r="AZ12" s="342"/>
      <c r="BA12" s="343"/>
      <c r="BB12" s="343"/>
      <c r="BC12" s="346"/>
      <c r="BD12" s="347"/>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29" customHeight="1">
      <c r="D13" s="363" t="s">
        <v>54</v>
      </c>
      <c r="E13" s="333" t="s">
        <v>55</v>
      </c>
      <c r="F13" s="338" t="s">
        <v>56</v>
      </c>
      <c r="G13" s="334" t="s">
        <v>57</v>
      </c>
      <c r="H13" s="336" t="s">
        <v>58</v>
      </c>
      <c r="I13" s="333" t="s">
        <v>59</v>
      </c>
      <c r="J13" s="333" t="s">
        <v>60</v>
      </c>
      <c r="K13" s="333" t="s">
        <v>421</v>
      </c>
      <c r="L13" s="334" t="s">
        <v>61</v>
      </c>
      <c r="M13" s="367" t="s">
        <v>62</v>
      </c>
      <c r="N13" s="368"/>
      <c r="O13" s="333" t="s">
        <v>63</v>
      </c>
      <c r="P13" s="333" t="s">
        <v>64</v>
      </c>
      <c r="Q13" s="336" t="s">
        <v>65</v>
      </c>
      <c r="R13" s="333" t="s">
        <v>66</v>
      </c>
      <c r="S13" s="333" t="s">
        <v>67</v>
      </c>
      <c r="T13" s="336" t="s">
        <v>65</v>
      </c>
      <c r="U13" s="333" t="s">
        <v>68</v>
      </c>
      <c r="V13" s="331" t="s">
        <v>69</v>
      </c>
      <c r="W13" s="333" t="s">
        <v>70</v>
      </c>
      <c r="X13" s="333" t="s">
        <v>71</v>
      </c>
      <c r="Y13" s="333" t="s">
        <v>72</v>
      </c>
      <c r="Z13" s="333" t="s">
        <v>73</v>
      </c>
      <c r="AA13" s="333"/>
      <c r="AB13" s="333"/>
      <c r="AC13" s="333"/>
      <c r="AD13" s="333"/>
      <c r="AE13" s="333"/>
      <c r="AF13" s="369"/>
      <c r="AG13" s="331" t="s">
        <v>74</v>
      </c>
      <c r="AH13" s="331" t="s">
        <v>75</v>
      </c>
      <c r="AI13" s="332" t="s">
        <v>65</v>
      </c>
      <c r="AJ13" s="331" t="s">
        <v>76</v>
      </c>
      <c r="AK13" s="331" t="s">
        <v>65</v>
      </c>
      <c r="AL13" s="331" t="s">
        <v>77</v>
      </c>
      <c r="AM13" s="331" t="s">
        <v>78</v>
      </c>
      <c r="AN13" s="331" t="s">
        <v>79</v>
      </c>
      <c r="AO13" s="333" t="s">
        <v>80</v>
      </c>
      <c r="AP13" s="333" t="s">
        <v>81</v>
      </c>
      <c r="AQ13" s="333" t="s">
        <v>82</v>
      </c>
      <c r="AR13" s="344" t="s">
        <v>83</v>
      </c>
      <c r="AS13" s="348" t="s">
        <v>84</v>
      </c>
      <c r="AT13" s="348" t="s">
        <v>85</v>
      </c>
      <c r="AU13" s="356" t="s">
        <v>418</v>
      </c>
      <c r="AV13" s="356" t="s">
        <v>86</v>
      </c>
      <c r="AW13" s="348" t="s">
        <v>419</v>
      </c>
      <c r="AX13" s="348" t="s">
        <v>87</v>
      </c>
      <c r="AY13" s="348" t="s">
        <v>88</v>
      </c>
      <c r="AZ13" s="355" t="s">
        <v>89</v>
      </c>
      <c r="BA13" s="333" t="s">
        <v>417</v>
      </c>
      <c r="BB13" s="333" t="s">
        <v>90</v>
      </c>
      <c r="BC13" s="353" t="s">
        <v>89</v>
      </c>
      <c r="BD13" s="353" t="s">
        <v>91</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29" customHeight="1" thickBot="1">
      <c r="A14" s="180"/>
      <c r="B14" s="180"/>
      <c r="C14" s="180"/>
      <c r="D14" s="364"/>
      <c r="E14" s="334"/>
      <c r="F14" s="372"/>
      <c r="G14" s="335"/>
      <c r="H14" s="338"/>
      <c r="I14" s="334"/>
      <c r="J14" s="334"/>
      <c r="K14" s="338"/>
      <c r="L14" s="335"/>
      <c r="M14" s="214" t="s">
        <v>92</v>
      </c>
      <c r="N14" s="214" t="s">
        <v>93</v>
      </c>
      <c r="O14" s="334"/>
      <c r="P14" s="334"/>
      <c r="Q14" s="338"/>
      <c r="R14" s="334"/>
      <c r="S14" s="338"/>
      <c r="T14" s="338"/>
      <c r="U14" s="334"/>
      <c r="V14" s="332"/>
      <c r="W14" s="334"/>
      <c r="X14" s="334"/>
      <c r="Y14" s="334"/>
      <c r="Z14" s="213" t="s">
        <v>94</v>
      </c>
      <c r="AA14" s="213" t="s">
        <v>95</v>
      </c>
      <c r="AB14" s="213" t="s">
        <v>96</v>
      </c>
      <c r="AC14" s="213" t="s">
        <v>51</v>
      </c>
      <c r="AD14" s="213" t="s">
        <v>97</v>
      </c>
      <c r="AE14" s="213" t="s">
        <v>98</v>
      </c>
      <c r="AF14" s="369"/>
      <c r="AG14" s="332"/>
      <c r="AH14" s="332"/>
      <c r="AI14" s="362"/>
      <c r="AJ14" s="332"/>
      <c r="AK14" s="332"/>
      <c r="AL14" s="332"/>
      <c r="AM14" s="332"/>
      <c r="AN14" s="332"/>
      <c r="AO14" s="334"/>
      <c r="AP14" s="334"/>
      <c r="AQ14" s="334"/>
      <c r="AR14" s="350"/>
      <c r="AS14" s="349"/>
      <c r="AT14" s="349"/>
      <c r="AU14" s="357"/>
      <c r="AV14" s="357"/>
      <c r="AW14" s="349"/>
      <c r="AX14" s="349"/>
      <c r="AY14" s="349"/>
      <c r="AZ14" s="345"/>
      <c r="BA14" s="334"/>
      <c r="BB14" s="334"/>
      <c r="BC14" s="354"/>
      <c r="BD14" s="354"/>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188" customFormat="1" ht="151.5" customHeight="1">
      <c r="D15" s="693">
        <v>1</v>
      </c>
      <c r="E15" s="289" t="s">
        <v>143</v>
      </c>
      <c r="F15" s="289" t="s">
        <v>159</v>
      </c>
      <c r="G15" s="292"/>
      <c r="H15" s="289" t="s">
        <v>183</v>
      </c>
      <c r="I15" s="295" t="s">
        <v>420</v>
      </c>
      <c r="J15" s="295" t="s">
        <v>439</v>
      </c>
      <c r="K15" s="295" t="s">
        <v>509</v>
      </c>
      <c r="L15" s="301" t="s">
        <v>162</v>
      </c>
      <c r="M15" s="304"/>
      <c r="N15" s="304"/>
      <c r="O15" s="301">
        <v>13</v>
      </c>
      <c r="P15" s="307" t="str">
        <f>IF(O15&lt;=0,"",IF(O15&lt;=2,"Muy Baja",IF(O15&lt;=24,"Baja",IF(O15&lt;=500,"Media",IF(O15&lt;=5000,"Alta","Muy Alta")))))</f>
        <v>Baja</v>
      </c>
      <c r="Q15" s="280">
        <f>IF(P15="","",IF(P15="Muy Baja",0.2,IF(P15="Baja",0.4,IF(P15="Media",0.6,IF(P15="Alta",0.8,IF(P15="Muy Alta",1,))))))</f>
        <v>0.4</v>
      </c>
      <c r="R15" s="310" t="s">
        <v>129</v>
      </c>
      <c r="S15" s="286" t="str">
        <f>IFERROR(VLOOKUP(R15,Criterios[],2,FALSE),"")</f>
        <v>Mayor</v>
      </c>
      <c r="T15" s="280">
        <f t="shared" ref="T15" si="0">IF(S15="","",IF(S15="Leve",0.2,IF(S15="Menor",0.4,IF(S15="Moderado",0.6,IF(S15="Mayor",0.8,IF(S15="Catastrófico",1,))))))</f>
        <v>0.8</v>
      </c>
      <c r="U15" s="286"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Alto</v>
      </c>
      <c r="V15" s="215">
        <v>1</v>
      </c>
      <c r="W15" s="216" t="s">
        <v>499</v>
      </c>
      <c r="X15" s="217" t="s">
        <v>500</v>
      </c>
      <c r="Y15" s="218" t="str">
        <f>IF(OR(Z15="Preventivo",Z15="Detectivo"),"Probabilidad",IF(Z15="Correctivo","Impacto",""))</f>
        <v>Impacto</v>
      </c>
      <c r="Z15" s="219" t="s">
        <v>179</v>
      </c>
      <c r="AA15" s="219" t="s">
        <v>165</v>
      </c>
      <c r="AB15" s="220" t="str">
        <f t="shared" ref="AB15:AB35" si="1">IF(AND(Z15="Preventivo",AA15="Automático"),"50%",IF(AND(Z15="Preventivo",AA15="Manual"),"40%",IF(AND(Z15="Detectivo",AA15="Automático"),"40%",IF(AND(Z15="Detectivo",AA15="Manual"),"30%",IF(AND(Z15="Correctivo",AA15="Automático"),"35%",IF(AND(Z15="Correctivo",AA15="Manual"),"25%",""))))))</f>
        <v>25%</v>
      </c>
      <c r="AC15" s="219" t="s">
        <v>153</v>
      </c>
      <c r="AD15" s="219" t="s">
        <v>154</v>
      </c>
      <c r="AE15" s="219" t="s">
        <v>412</v>
      </c>
      <c r="AF15" s="232" t="s">
        <v>424</v>
      </c>
      <c r="AG15" s="313">
        <f>IFERROR(IF(Y15="Probabilidad",Q15-(Q15*((AB15+AB18)/2)),IF(Y15="Impacto",Q15,"")),"")</f>
        <v>0.4</v>
      </c>
      <c r="AH15" s="277" t="str">
        <f>IFERROR(IF(AG15="","",IF(AG15&lt;=0.2,"Muy Baja",IF(AG15&lt;=0.4,"Baja",IF(AG15&lt;=0.6,"Media",IF(AG15&lt;=0.8,"Alta","Muy Alta"))))),"")</f>
        <v>Baja</v>
      </c>
      <c r="AI15" s="280">
        <f>+AG15</f>
        <v>0.4</v>
      </c>
      <c r="AJ15" s="277" t="str">
        <f>IFERROR(IF(AK15="","",IF(AK15&lt;=0.2,"Leve",IF(AK15&lt;=0.4,"Menor",IF(AK15&lt;=0.6,"Moderado",IF(AK15&lt;=0.8,"Mayor","Catastrófico"))))),"")</f>
        <v>Moderado</v>
      </c>
      <c r="AK15" s="280">
        <f>IFERROR(IF(Y15="Impacto",(T15-(T15*((AB15+AB18)/2))),IF(Y15="Probabilidad",T15,"")),"")</f>
        <v>0.60000000000000009</v>
      </c>
      <c r="AL15" s="277" t="str">
        <f>IFERROR(IF(OR(AND(AH15="Muy Baja",AJ15="Leve"),AND(AH15="Muy Baja",AJ15="Menor"),
AND(AH15="Baja",AJ15="Leve")
),"Bajo",IF(OR(AND(AH15="Muy Baja",AJ15="Moderado"),AND(AH15="Baja",AJ15="Menor"),
AND(AH15="Baja",AJ15="Moderado"),AND(AH15="Media",AJ15="Leve"),
AND(AH15="Media",AJ15="Menor"),
AND(AH15="Media",AJ15="Moderado"),AND(AH15="Alta",AJ15="Leve"),
AND(AH15="Alta",AJ15="Menor")
),
"Moderado",
IF(
OR(
AND(AH15="Muy Baja",AJ15="Mayor"),
AND(AH15="Alta",AJ15="Moderado"),AND(AH15="Alta",AJ15="Mayor"),
AND(AH15="Muy Alta",AJ15="Leve"),AND(AH15="Muy Alta",AJ15="Menor"),
AND(AH15="Muy Alta",AJ15="Moderado"),
AND(AH15="Muy Alta",AJ15="Mayor"),
AND(AH15="Baja",AJ15="Mayor"),
AND(AH15="Media",AJ15="Mayor")
),"Alto",
IF(
AJ15="Catastrófico",
"Extremo",""
)
)
)
),
"")</f>
        <v>Moderado</v>
      </c>
      <c r="AM15" s="283" t="s">
        <v>101</v>
      </c>
      <c r="AN15" s="215">
        <v>1</v>
      </c>
      <c r="AO15" s="728" t="s">
        <v>505</v>
      </c>
      <c r="AP15" s="729" t="s">
        <v>427</v>
      </c>
      <c r="AQ15" s="729" t="s">
        <v>428</v>
      </c>
      <c r="AR15" s="729" t="s">
        <v>429</v>
      </c>
      <c r="AS15" s="696"/>
      <c r="AT15" s="696"/>
      <c r="AU15" s="697"/>
      <c r="AV15" s="697"/>
      <c r="AW15" s="698"/>
      <c r="AX15" s="698"/>
      <c r="AY15" s="698"/>
      <c r="AZ15" s="699"/>
      <c r="BA15" s="236"/>
      <c r="BB15" s="730"/>
      <c r="BC15" s="701"/>
      <c r="BD15" s="702"/>
      <c r="BE15" s="207"/>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row>
    <row r="16" spans="1:82" s="188" customFormat="1" ht="115.5" customHeight="1">
      <c r="D16" s="703"/>
      <c r="E16" s="290"/>
      <c r="F16" s="290"/>
      <c r="G16" s="293"/>
      <c r="H16" s="290"/>
      <c r="I16" s="296"/>
      <c r="J16" s="296"/>
      <c r="K16" s="296"/>
      <c r="L16" s="302"/>
      <c r="M16" s="305"/>
      <c r="N16" s="305"/>
      <c r="O16" s="302"/>
      <c r="P16" s="308"/>
      <c r="Q16" s="281"/>
      <c r="R16" s="311"/>
      <c r="S16" s="287"/>
      <c r="T16" s="281"/>
      <c r="U16" s="287"/>
      <c r="V16" s="195">
        <v>2</v>
      </c>
      <c r="W16" s="189" t="s">
        <v>422</v>
      </c>
      <c r="X16" s="190" t="s">
        <v>501</v>
      </c>
      <c r="Y16" s="191" t="str">
        <f t="shared" ref="Y16:Y17" si="2">IF(OR(Z16="Preventivo",Z16="Detectivo"),"Probabilidad",IF(Z16="Correctivo","Impacto",""))</f>
        <v>Probabilidad</v>
      </c>
      <c r="Z16" s="192" t="s">
        <v>151</v>
      </c>
      <c r="AA16" s="192" t="s">
        <v>165</v>
      </c>
      <c r="AB16" s="193" t="str">
        <f t="shared" ref="AB16:AB17" si="3">IF(AND(Z16="Preventivo",AA16="Automático"),"50%",IF(AND(Z16="Preventivo",AA16="Manual"),"40%",IF(AND(Z16="Detectivo",AA16="Automático"),"40%",IF(AND(Z16="Detectivo",AA16="Manual"),"30%",IF(AND(Z16="Correctivo",AA16="Automático"),"35%",IF(AND(Z16="Correctivo",AA16="Manual"),"25%",""))))))</f>
        <v>40%</v>
      </c>
      <c r="AC16" s="192" t="s">
        <v>153</v>
      </c>
      <c r="AD16" s="192" t="s">
        <v>154</v>
      </c>
      <c r="AE16" s="192" t="s">
        <v>412</v>
      </c>
      <c r="AF16" s="231" t="s">
        <v>424</v>
      </c>
      <c r="AG16" s="314"/>
      <c r="AH16" s="278"/>
      <c r="AI16" s="281"/>
      <c r="AJ16" s="278"/>
      <c r="AK16" s="281"/>
      <c r="AL16" s="278"/>
      <c r="AM16" s="284"/>
      <c r="AN16" s="195">
        <v>2</v>
      </c>
      <c r="AO16" s="726" t="s">
        <v>432</v>
      </c>
      <c r="AP16" s="727" t="s">
        <v>430</v>
      </c>
      <c r="AQ16" s="727" t="s">
        <v>431</v>
      </c>
      <c r="AR16" s="727" t="s">
        <v>429</v>
      </c>
      <c r="AS16" s="687"/>
      <c r="AT16" s="687"/>
      <c r="AU16" s="688"/>
      <c r="AV16" s="688"/>
      <c r="AW16" s="689"/>
      <c r="AX16" s="689"/>
      <c r="AY16" s="689"/>
      <c r="AZ16" s="690"/>
      <c r="BA16" s="238"/>
      <c r="BB16" s="691"/>
      <c r="BC16" s="692"/>
      <c r="BD16" s="704"/>
      <c r="BE16" s="208"/>
      <c r="BF16" s="194"/>
      <c r="BG16" s="194"/>
      <c r="BH16" s="194"/>
      <c r="BI16" s="194"/>
      <c r="BJ16" s="194"/>
      <c r="BK16" s="194"/>
      <c r="BL16" s="194"/>
      <c r="BM16" s="194"/>
      <c r="BN16" s="194"/>
      <c r="BO16" s="194"/>
      <c r="BP16" s="194"/>
      <c r="BQ16" s="194"/>
      <c r="BR16" s="194"/>
      <c r="BS16" s="194"/>
      <c r="BT16" s="194"/>
      <c r="BU16" s="194"/>
      <c r="BV16" s="194"/>
      <c r="BW16" s="194"/>
      <c r="BX16" s="194"/>
      <c r="BY16" s="194"/>
      <c r="BZ16" s="194"/>
      <c r="CA16" s="194"/>
      <c r="CB16" s="194"/>
      <c r="CC16" s="194"/>
      <c r="CD16" s="194"/>
    </row>
    <row r="17" spans="4:82" s="188" customFormat="1" ht="122.25" customHeight="1">
      <c r="D17" s="703"/>
      <c r="E17" s="290"/>
      <c r="F17" s="290"/>
      <c r="G17" s="293"/>
      <c r="H17" s="290"/>
      <c r="I17" s="296"/>
      <c r="J17" s="296"/>
      <c r="K17" s="296"/>
      <c r="L17" s="302"/>
      <c r="M17" s="305"/>
      <c r="N17" s="305"/>
      <c r="O17" s="302"/>
      <c r="P17" s="308"/>
      <c r="Q17" s="281"/>
      <c r="R17" s="311"/>
      <c r="S17" s="287"/>
      <c r="T17" s="281"/>
      <c r="U17" s="287"/>
      <c r="V17" s="230">
        <v>3</v>
      </c>
      <c r="W17" s="189" t="s">
        <v>423</v>
      </c>
      <c r="X17" s="190" t="s">
        <v>502</v>
      </c>
      <c r="Y17" s="191" t="str">
        <f t="shared" si="2"/>
        <v>Probabilidad</v>
      </c>
      <c r="Z17" s="192" t="s">
        <v>151</v>
      </c>
      <c r="AA17" s="192" t="s">
        <v>165</v>
      </c>
      <c r="AB17" s="193" t="str">
        <f t="shared" si="3"/>
        <v>40%</v>
      </c>
      <c r="AC17" s="192" t="s">
        <v>166</v>
      </c>
      <c r="AD17" s="192" t="s">
        <v>154</v>
      </c>
      <c r="AE17" s="192" t="s">
        <v>412</v>
      </c>
      <c r="AF17" s="231" t="s">
        <v>425</v>
      </c>
      <c r="AG17" s="314"/>
      <c r="AH17" s="278"/>
      <c r="AI17" s="281"/>
      <c r="AJ17" s="278"/>
      <c r="AK17" s="281"/>
      <c r="AL17" s="278"/>
      <c r="AM17" s="284"/>
      <c r="AN17" s="195">
        <v>3</v>
      </c>
      <c r="AO17" s="726" t="s">
        <v>506</v>
      </c>
      <c r="AP17" s="727" t="s">
        <v>433</v>
      </c>
      <c r="AQ17" s="727" t="s">
        <v>434</v>
      </c>
      <c r="AR17" s="727" t="s">
        <v>429</v>
      </c>
      <c r="AS17" s="687"/>
      <c r="AT17" s="687"/>
      <c r="AU17" s="688"/>
      <c r="AV17" s="688"/>
      <c r="AW17" s="689"/>
      <c r="AX17" s="689"/>
      <c r="AY17" s="689"/>
      <c r="AZ17" s="690"/>
      <c r="BA17" s="238"/>
      <c r="BB17" s="691"/>
      <c r="BC17" s="692"/>
      <c r="BD17" s="704"/>
      <c r="BE17" s="194"/>
      <c r="BF17" s="208"/>
      <c r="BG17" s="194"/>
      <c r="BH17" s="194"/>
      <c r="BI17" s="194"/>
      <c r="BJ17" s="194"/>
      <c r="BK17" s="194"/>
      <c r="BL17" s="194"/>
      <c r="BM17" s="194"/>
      <c r="BN17" s="194"/>
      <c r="BO17" s="194"/>
      <c r="BP17" s="194"/>
      <c r="BQ17" s="194"/>
      <c r="BR17" s="194"/>
      <c r="BS17" s="194"/>
      <c r="BT17" s="194"/>
      <c r="BU17" s="194"/>
      <c r="BV17" s="194"/>
      <c r="BW17" s="194"/>
      <c r="BX17" s="194"/>
      <c r="BY17" s="194"/>
      <c r="BZ17" s="194"/>
      <c r="CA17" s="194"/>
      <c r="CB17" s="194"/>
      <c r="CC17" s="194"/>
      <c r="CD17" s="194"/>
    </row>
    <row r="18" spans="4:82" s="188" customFormat="1" ht="115.5" customHeight="1" thickBot="1">
      <c r="D18" s="715"/>
      <c r="E18" s="672"/>
      <c r="F18" s="672"/>
      <c r="G18" s="673"/>
      <c r="H18" s="672"/>
      <c r="I18" s="674"/>
      <c r="J18" s="674"/>
      <c r="K18" s="674"/>
      <c r="L18" s="676"/>
      <c r="M18" s="677"/>
      <c r="N18" s="677"/>
      <c r="O18" s="676"/>
      <c r="P18" s="678"/>
      <c r="Q18" s="272"/>
      <c r="R18" s="679"/>
      <c r="S18" s="680"/>
      <c r="T18" s="272"/>
      <c r="U18" s="680"/>
      <c r="V18" s="681">
        <v>4</v>
      </c>
      <c r="W18" s="682" t="s">
        <v>503</v>
      </c>
      <c r="X18" s="243" t="s">
        <v>504</v>
      </c>
      <c r="Y18" s="239" t="str">
        <f t="shared" ref="Y18" si="4">IF(OR(Z18="Preventivo",Z18="Detectivo"),"Probabilidad",IF(Z18="Correctivo","Impacto",""))</f>
        <v>Impacto</v>
      </c>
      <c r="Z18" s="240" t="s">
        <v>179</v>
      </c>
      <c r="AA18" s="240" t="s">
        <v>165</v>
      </c>
      <c r="AB18" s="241" t="str">
        <f t="shared" si="1"/>
        <v>25%</v>
      </c>
      <c r="AC18" s="240" t="s">
        <v>166</v>
      </c>
      <c r="AD18" s="240" t="s">
        <v>154</v>
      </c>
      <c r="AE18" s="240" t="s">
        <v>412</v>
      </c>
      <c r="AF18" s="242" t="s">
        <v>426</v>
      </c>
      <c r="AG18" s="683"/>
      <c r="AH18" s="684"/>
      <c r="AI18" s="272"/>
      <c r="AJ18" s="684"/>
      <c r="AK18" s="272"/>
      <c r="AL18" s="684"/>
      <c r="AM18" s="270"/>
      <c r="AN18" s="681">
        <v>4</v>
      </c>
      <c r="AO18" s="731" t="s">
        <v>507</v>
      </c>
      <c r="AP18" s="732" t="s">
        <v>435</v>
      </c>
      <c r="AQ18" s="732" t="s">
        <v>508</v>
      </c>
      <c r="AR18" s="732" t="s">
        <v>429</v>
      </c>
      <c r="AS18" s="718"/>
      <c r="AT18" s="718"/>
      <c r="AU18" s="719"/>
      <c r="AV18" s="719"/>
      <c r="AW18" s="720"/>
      <c r="AX18" s="720"/>
      <c r="AY18" s="720"/>
      <c r="AZ18" s="721"/>
      <c r="BA18" s="722"/>
      <c r="BB18" s="723"/>
      <c r="BC18" s="724"/>
      <c r="BD18" s="725"/>
      <c r="BE18" s="208"/>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row>
    <row r="19" spans="4:82" s="188" customFormat="1" ht="222.75" customHeight="1">
      <c r="D19" s="693">
        <v>2</v>
      </c>
      <c r="E19" s="289" t="s">
        <v>143</v>
      </c>
      <c r="F19" s="289" t="s">
        <v>159</v>
      </c>
      <c r="G19" s="292"/>
      <c r="H19" s="289" t="s">
        <v>188</v>
      </c>
      <c r="I19" s="295" t="s">
        <v>441</v>
      </c>
      <c r="J19" s="295" t="s">
        <v>442</v>
      </c>
      <c r="K19" s="298" t="s">
        <v>440</v>
      </c>
      <c r="L19" s="301" t="s">
        <v>162</v>
      </c>
      <c r="M19" s="304"/>
      <c r="N19" s="304"/>
      <c r="O19" s="301">
        <f>94+307</f>
        <v>401</v>
      </c>
      <c r="P19" s="307" t="str">
        <f>IF(O19&lt;=0,"",IF(O19&lt;=2,"Muy Baja",IF(O19&lt;=24,"Baja",IF(O19&lt;=500,"Media",IF(O19&lt;=5000,"Alta","Muy Alta")))))</f>
        <v>Media</v>
      </c>
      <c r="Q19" s="280">
        <f t="shared" ref="Q19" si="5">IF(P19="","",IF(P19="Muy Baja",0.2,IF(P19="Baja",0.4,IF(P19="Media",0.6,IF(P19="Alta",0.8,IF(P19="Muy Alta",1,))))))</f>
        <v>0.6</v>
      </c>
      <c r="R19" s="310" t="s">
        <v>128</v>
      </c>
      <c r="S19" s="286" t="str">
        <f>IFERROR(VLOOKUP(R19,Criterios[],2,FALSE),"")</f>
        <v>Moderado</v>
      </c>
      <c r="T19" s="280">
        <f t="shared" ref="T19" si="6">IF(S19="","",IF(S19="Leve",0.2,IF(S19="Menor",0.4,IF(S19="Moderado",0.6,IF(S19="Mayor",0.8,IF(S19="Catastrófico",1,))))))</f>
        <v>0.6</v>
      </c>
      <c r="U19" s="286"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Moderado</v>
      </c>
      <c r="V19" s="215">
        <v>1</v>
      </c>
      <c r="W19" s="216" t="s">
        <v>454</v>
      </c>
      <c r="X19" s="235" t="s">
        <v>455</v>
      </c>
      <c r="Y19" s="218" t="str">
        <f t="shared" ref="Y19:Y20" si="7">IF(OR(Z19="Preventivo",Z19="Detectivo"),"Probabilidad",IF(Z19="Correctivo","Impacto",""))</f>
        <v>Probabilidad</v>
      </c>
      <c r="Z19" s="219" t="s">
        <v>100</v>
      </c>
      <c r="AA19" s="219" t="s">
        <v>165</v>
      </c>
      <c r="AB19" s="220" t="str">
        <f t="shared" ref="AB19:AB31" si="8">IF(AND(Z19="Preventivo",AA19="Automático"),"50%",IF(AND(Z19="Preventivo",AA19="Manual"),"40%",IF(AND(Z19="Detectivo",AA19="Automático"),"40%",IF(AND(Z19="Detectivo",AA19="Manual"),"30%",IF(AND(Z19="Correctivo",AA19="Automático"),"35%",IF(AND(Z19="Correctivo",AA19="Manual"),"25%",""))))))</f>
        <v>30%</v>
      </c>
      <c r="AC19" s="219" t="s">
        <v>153</v>
      </c>
      <c r="AD19" s="219" t="s">
        <v>154</v>
      </c>
      <c r="AE19" s="219" t="s">
        <v>412</v>
      </c>
      <c r="AF19" s="232" t="s">
        <v>453</v>
      </c>
      <c r="AG19" s="313">
        <v>0.4</v>
      </c>
      <c r="AH19" s="277" t="str">
        <f>IFERROR(IF(AG19="","",IF(AG19&lt;=0.2,"Muy Baja",IF(AG19&lt;=0.4,"Baja",IF(AG19&lt;=0.6,"Media",IF(AG19&lt;=0.8,"Alta","Muy Alta"))))),"")</f>
        <v>Baja</v>
      </c>
      <c r="AI19" s="280">
        <f t="shared" ref="AI19" si="9">+AG19</f>
        <v>0.4</v>
      </c>
      <c r="AJ19" s="277" t="str">
        <f t="shared" ref="AJ19" si="10">IFERROR(IF(AK19="","",IF(AK19&lt;=0.2,"Leve",IF(AK19&lt;=0.4,"Menor",IF(AK19&lt;=0.6,"Moderado",IF(AK19&lt;=0.8,"Mayor","Catastrófico"))))),"")</f>
        <v>Moderado</v>
      </c>
      <c r="AK19" s="280">
        <f>IFERROR(IF(Y19="Impacto",(T19-(T19*((AB19+#REF!+#REF!+AB20)/4))),IF(Y19="Probabilidad",T19,"")),"")</f>
        <v>0.6</v>
      </c>
      <c r="AL19" s="277" t="str">
        <f>IFERROR(IF(OR(AND(AH19="Muy Baja",AJ19="Leve"),AND(AH19="Muy Baja",AJ19="Menor"),
AND(AH19="Baja",AJ19="Leve")
),"Bajo",IF(OR(AND(AH19="Muy Baja",AJ19="Moderado"),AND(AH19="Baja",AJ19="Menor"),
AND(AH19="Baja",AJ19="Moderado"),AND(AH19="Media",AJ19="Leve"),
AND(AH19="Media",AJ19="Menor"),
AND(AH19="Media",AJ19="Moderado"),AND(AH19="Alta",AJ19="Leve"),
AND(AH19="Alta",AJ19="Menor")
),
"Moderado",
IF(
OR(
AND(AH19="Muy Baja",AJ19="Mayor"),
AND(AH19="Alta",AJ19="Moderado"),AND(AH19="Alta",AJ19="Mayor"),
AND(AH19="Muy Alta",AJ19="Leve"),AND(AH19="Muy Alta",AJ19="Menor"),
AND(AH19="Muy Alta",AJ19="Moderado"),
AND(AH19="Muy Alta",AJ19="Mayor"),
AND(AH19="Baja",AJ19="Mayor"),
AND(AH19="Media",AJ19="Mayor")
),"Alto",
IF(
AJ19="Catastrófico",
"Extremo",""
)
)
)
),
"")</f>
        <v>Moderado</v>
      </c>
      <c r="AM19" s="283" t="s">
        <v>101</v>
      </c>
      <c r="AN19" s="215">
        <v>1</v>
      </c>
      <c r="AO19" s="695" t="s">
        <v>458</v>
      </c>
      <c r="AP19" s="695" t="s">
        <v>427</v>
      </c>
      <c r="AQ19" s="695" t="s">
        <v>460</v>
      </c>
      <c r="AR19" s="695" t="s">
        <v>429</v>
      </c>
      <c r="AS19" s="696"/>
      <c r="AT19" s="696"/>
      <c r="AU19" s="697"/>
      <c r="AV19" s="697"/>
      <c r="AW19" s="698"/>
      <c r="AX19" s="698"/>
      <c r="AY19" s="698"/>
      <c r="AZ19" s="699"/>
      <c r="BA19" s="236"/>
      <c r="BB19" s="700"/>
      <c r="BC19" s="701"/>
      <c r="BD19" s="702"/>
      <c r="BE19" s="194"/>
      <c r="BF19" s="208"/>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c r="CC19" s="194"/>
      <c r="CD19" s="194"/>
    </row>
    <row r="20" spans="4:82" s="188" customFormat="1" ht="170.25" customHeight="1" thickBot="1">
      <c r="D20" s="715"/>
      <c r="E20" s="672"/>
      <c r="F20" s="672"/>
      <c r="G20" s="673"/>
      <c r="H20" s="672"/>
      <c r="I20" s="674"/>
      <c r="J20" s="674"/>
      <c r="K20" s="675"/>
      <c r="L20" s="676"/>
      <c r="M20" s="677"/>
      <c r="N20" s="677"/>
      <c r="O20" s="676"/>
      <c r="P20" s="678"/>
      <c r="Q20" s="272"/>
      <c r="R20" s="679"/>
      <c r="S20" s="680"/>
      <c r="T20" s="272"/>
      <c r="U20" s="680"/>
      <c r="V20" s="681">
        <v>2</v>
      </c>
      <c r="W20" s="682" t="s">
        <v>456</v>
      </c>
      <c r="X20" s="243" t="s">
        <v>457</v>
      </c>
      <c r="Y20" s="239" t="str">
        <f t="shared" si="7"/>
        <v>Impacto</v>
      </c>
      <c r="Z20" s="240" t="s">
        <v>179</v>
      </c>
      <c r="AA20" s="240" t="s">
        <v>165</v>
      </c>
      <c r="AB20" s="241" t="str">
        <f t="shared" si="8"/>
        <v>25%</v>
      </c>
      <c r="AC20" s="240" t="s">
        <v>153</v>
      </c>
      <c r="AD20" s="240" t="s">
        <v>154</v>
      </c>
      <c r="AE20" s="240" t="s">
        <v>412</v>
      </c>
      <c r="AF20" s="242" t="s">
        <v>453</v>
      </c>
      <c r="AG20" s="683"/>
      <c r="AH20" s="684"/>
      <c r="AI20" s="272"/>
      <c r="AJ20" s="684"/>
      <c r="AK20" s="272"/>
      <c r="AL20" s="684"/>
      <c r="AM20" s="270"/>
      <c r="AN20" s="733">
        <v>2</v>
      </c>
      <c r="AO20" s="717" t="s">
        <v>459</v>
      </c>
      <c r="AP20" s="717" t="s">
        <v>427</v>
      </c>
      <c r="AQ20" s="717" t="s">
        <v>428</v>
      </c>
      <c r="AR20" s="717" t="s">
        <v>429</v>
      </c>
      <c r="AS20" s="718"/>
      <c r="AT20" s="718"/>
      <c r="AU20" s="719"/>
      <c r="AV20" s="719"/>
      <c r="AW20" s="720"/>
      <c r="AX20" s="720"/>
      <c r="AY20" s="720"/>
      <c r="AZ20" s="721"/>
      <c r="BA20" s="722"/>
      <c r="BB20" s="723"/>
      <c r="BC20" s="724"/>
      <c r="BD20" s="725"/>
      <c r="BE20" s="194"/>
      <c r="BF20" s="208"/>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row>
    <row r="21" spans="4:82" s="188" customFormat="1" ht="166.5" customHeight="1">
      <c r="D21" s="734">
        <v>3</v>
      </c>
      <c r="E21" s="289" t="s">
        <v>143</v>
      </c>
      <c r="F21" s="737" t="s">
        <v>159</v>
      </c>
      <c r="G21" s="740"/>
      <c r="H21" s="737" t="s">
        <v>175</v>
      </c>
      <c r="I21" s="316" t="s">
        <v>443</v>
      </c>
      <c r="J21" s="316" t="s">
        <v>444</v>
      </c>
      <c r="K21" s="295" t="s">
        <v>461</v>
      </c>
      <c r="L21" s="743" t="s">
        <v>162</v>
      </c>
      <c r="M21" s="746"/>
      <c r="N21" s="746"/>
      <c r="O21" s="743">
        <v>1616</v>
      </c>
      <c r="P21" s="749" t="str">
        <f>IF(O21&lt;=0,"",IF(O21&lt;=2,"Muy Baja",IF(O21&lt;=24,"Baja",IF(O21&lt;=500,"Media",IF(O21&lt;=5000,"Alta","Muy Alta")))))</f>
        <v>Alta</v>
      </c>
      <c r="Q21" s="267">
        <f t="shared" ref="Q21" si="11">IF(P21="","",IF(P21="Muy Baja",0.2,IF(P21="Baja",0.4,IF(P21="Media",0.6,IF(P21="Alta",0.8,IF(P21="Muy Alta",1,))))))</f>
        <v>0.8</v>
      </c>
      <c r="R21" s="754" t="s">
        <v>128</v>
      </c>
      <c r="S21" s="757" t="str">
        <f>IFERROR(VLOOKUP(R21,Criterios[],2,FALSE),"")</f>
        <v>Moderado</v>
      </c>
      <c r="T21" s="267">
        <f t="shared" ref="T21" si="12">IF(S21="","",IF(S21="Leve",0.2,IF(S21="Menor",0.4,IF(S21="Moderado",0.6,IF(S21="Mayor",0.8,IF(S21="Catastrófico",1,))))))</f>
        <v>0.6</v>
      </c>
      <c r="U21" s="757"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Alto</v>
      </c>
      <c r="V21" s="215">
        <v>1</v>
      </c>
      <c r="W21" s="216" t="s">
        <v>510</v>
      </c>
      <c r="X21" s="235" t="s">
        <v>463</v>
      </c>
      <c r="Y21" s="218" t="str">
        <f t="shared" ref="Y21:Y22" si="13">IF(OR(Z21="Preventivo",Z21="Detectivo"),"Probabilidad",IF(Z21="Correctivo","Impacto",""))</f>
        <v>Probabilidad</v>
      </c>
      <c r="Z21" s="219" t="s">
        <v>151</v>
      </c>
      <c r="AA21" s="219" t="s">
        <v>165</v>
      </c>
      <c r="AB21" s="220" t="str">
        <f t="shared" ref="AB21:AB22" si="14">IF(AND(Z21="Preventivo",AA21="Automático"),"50%",IF(AND(Z21="Preventivo",AA21="Manual"),"40%",IF(AND(Z21="Detectivo",AA21="Automático"),"40%",IF(AND(Z21="Detectivo",AA21="Manual"),"30%",IF(AND(Z21="Correctivo",AA21="Automático"),"35%",IF(AND(Z21="Correctivo",AA21="Manual"),"25%",""))))))</f>
        <v>40%</v>
      </c>
      <c r="AC21" s="219" t="s">
        <v>153</v>
      </c>
      <c r="AD21" s="219" t="s">
        <v>154</v>
      </c>
      <c r="AE21" s="219" t="s">
        <v>412</v>
      </c>
      <c r="AF21" s="232" t="s">
        <v>511</v>
      </c>
      <c r="AG21" s="313">
        <v>0.8</v>
      </c>
      <c r="AH21" s="277" t="str">
        <f>IFERROR(IF(AG21="","",IF(AG21&lt;=0.2,"Muy Baja",IF(AG21&lt;=0.4,"Baja",IF(AG21&lt;=0.6,"Media",IF(AG21&lt;=0.8,"Alta","Muy Alta"))))),"")</f>
        <v>Alta</v>
      </c>
      <c r="AI21" s="280">
        <f t="shared" ref="AI21" si="15">+AG21</f>
        <v>0.8</v>
      </c>
      <c r="AJ21" s="277" t="str">
        <f t="shared" ref="AJ21" si="16">IFERROR(IF(AK21="","",IF(AK21&lt;=0.2,"Leve",IF(AK21&lt;=0.4,"Menor",IF(AK21&lt;=0.6,"Moderado",IF(AK21&lt;=0.8,"Mayor","Catastrófico"))))),"")</f>
        <v>Moderado</v>
      </c>
      <c r="AK21" s="280">
        <f>IFERROR(IF(Y21="Impacto",(T21-(T21*((AB21+AB22+#REF!+#REF!)/4))),IF(Y21="Probabilidad",T21,"")),"")</f>
        <v>0.6</v>
      </c>
      <c r="AL21" s="277" t="str">
        <f>IFERROR(IF(OR(AND(AH21="Muy Baja",AJ21="Leve"),AND(AH21="Muy Baja",AJ21="Menor"),
AND(AH21="Baja",AJ21="Leve")
),"Bajo",IF(OR(AND(AH21="Muy Baja",AJ21="Moderado"),AND(AH21="Baja",AJ21="Menor"),
AND(AH21="Baja",AJ21="Moderado"),AND(AH21="Media",AJ21="Leve"),
AND(AH21="Media",AJ21="Menor"),
AND(AH21="Media",AJ21="Moderado"),AND(AH21="Alta",AJ21="Leve"),
AND(AH21="Alta",AJ21="Menor")
),
"Moderado",
IF(
OR(
AND(AH21="Muy Baja",AJ21="Mayor"),
AND(AH21="Alta",AJ21="Moderado"),AND(AH21="Alta",AJ21="Mayor"),
AND(AH21="Muy Alta",AJ21="Leve"),AND(AH21="Muy Alta",AJ21="Menor"),
AND(AH21="Muy Alta",AJ21="Moderado"),
AND(AH21="Muy Alta",AJ21="Mayor"),
AND(AH21="Baja",AJ21="Mayor"),
AND(AH21="Media",AJ21="Mayor")
),"Alto",
IF(
AJ21="Catastrófico",
"Extremo",""
)
)
)
),
"")</f>
        <v>Alto</v>
      </c>
      <c r="AM21" s="283" t="s">
        <v>101</v>
      </c>
      <c r="AN21" s="215">
        <v>1</v>
      </c>
      <c r="AO21" s="695" t="s">
        <v>514</v>
      </c>
      <c r="AP21" s="695" t="s">
        <v>464</v>
      </c>
      <c r="AQ21" s="695" t="s">
        <v>515</v>
      </c>
      <c r="AR21" s="695" t="s">
        <v>429</v>
      </c>
      <c r="AS21" s="696"/>
      <c r="AT21" s="696"/>
      <c r="AU21" s="697"/>
      <c r="AV21" s="697"/>
      <c r="AW21" s="698"/>
      <c r="AX21" s="698"/>
      <c r="AY21" s="698"/>
      <c r="AZ21" s="699"/>
      <c r="BA21" s="236"/>
      <c r="BB21" s="700"/>
      <c r="BC21" s="701"/>
      <c r="BD21" s="702"/>
      <c r="BE21" s="194"/>
      <c r="BF21" s="208"/>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c r="CC21" s="194"/>
      <c r="CD21" s="194"/>
    </row>
    <row r="22" spans="4:82" s="188" customFormat="1" ht="199.5" customHeight="1">
      <c r="D22" s="735"/>
      <c r="E22" s="290"/>
      <c r="F22" s="738"/>
      <c r="G22" s="741"/>
      <c r="H22" s="738"/>
      <c r="I22" s="317"/>
      <c r="J22" s="317"/>
      <c r="K22" s="296"/>
      <c r="L22" s="744"/>
      <c r="M22" s="747"/>
      <c r="N22" s="747"/>
      <c r="O22" s="744"/>
      <c r="P22" s="750"/>
      <c r="Q22" s="276"/>
      <c r="R22" s="755"/>
      <c r="S22" s="758"/>
      <c r="T22" s="276"/>
      <c r="U22" s="758"/>
      <c r="V22" s="195">
        <v>2</v>
      </c>
      <c r="W22" s="189" t="s">
        <v>498</v>
      </c>
      <c r="X22" s="190" t="s">
        <v>462</v>
      </c>
      <c r="Y22" s="191" t="str">
        <f t="shared" si="13"/>
        <v>Probabilidad</v>
      </c>
      <c r="Z22" s="192" t="s">
        <v>100</v>
      </c>
      <c r="AA22" s="192" t="s">
        <v>165</v>
      </c>
      <c r="AB22" s="193" t="str">
        <f t="shared" si="14"/>
        <v>30%</v>
      </c>
      <c r="AC22" s="192" t="s">
        <v>166</v>
      </c>
      <c r="AD22" s="192" t="s">
        <v>154</v>
      </c>
      <c r="AE22" s="192" t="s">
        <v>412</v>
      </c>
      <c r="AF22" s="231" t="s">
        <v>425</v>
      </c>
      <c r="AG22" s="314"/>
      <c r="AH22" s="278"/>
      <c r="AI22" s="281"/>
      <c r="AJ22" s="278"/>
      <c r="AK22" s="281"/>
      <c r="AL22" s="278"/>
      <c r="AM22" s="284"/>
      <c r="AN22" s="230">
        <v>2</v>
      </c>
      <c r="AO22" s="686" t="s">
        <v>465</v>
      </c>
      <c r="AP22" s="686" t="s">
        <v>427</v>
      </c>
      <c r="AQ22" s="686" t="s">
        <v>467</v>
      </c>
      <c r="AR22" s="686" t="s">
        <v>429</v>
      </c>
      <c r="AS22" s="687"/>
      <c r="AT22" s="687"/>
      <c r="AU22" s="688"/>
      <c r="AV22" s="688"/>
      <c r="AW22" s="689"/>
      <c r="AX22" s="689"/>
      <c r="AY22" s="689"/>
      <c r="AZ22" s="690"/>
      <c r="BA22" s="238"/>
      <c r="BB22" s="691"/>
      <c r="BC22" s="692"/>
      <c r="BD22" s="704"/>
      <c r="BE22" s="194"/>
      <c r="BF22" s="208"/>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4"/>
    </row>
    <row r="23" spans="4:82" s="188" customFormat="1" ht="211" customHeight="1" thickBot="1">
      <c r="D23" s="735"/>
      <c r="E23" s="672"/>
      <c r="F23" s="739"/>
      <c r="G23" s="742"/>
      <c r="H23" s="739"/>
      <c r="I23" s="318"/>
      <c r="J23" s="318"/>
      <c r="K23" s="674"/>
      <c r="L23" s="745"/>
      <c r="M23" s="748"/>
      <c r="N23" s="748"/>
      <c r="O23" s="745"/>
      <c r="P23" s="751"/>
      <c r="Q23" s="273"/>
      <c r="R23" s="756"/>
      <c r="S23" s="759"/>
      <c r="T23" s="273"/>
      <c r="U23" s="759"/>
      <c r="V23" s="195">
        <v>4</v>
      </c>
      <c r="W23" s="760" t="s">
        <v>512</v>
      </c>
      <c r="X23" s="760" t="s">
        <v>513</v>
      </c>
      <c r="Y23" s="244" t="str">
        <f t="shared" ref="Y23" si="17">IF(OR(Z23="Preventivo",Z23="Detectivo"),"Probabilidad",IF(Z23="Correctivo","Impacto",""))</f>
        <v>Probabilidad</v>
      </c>
      <c r="Z23" s="761" t="s">
        <v>151</v>
      </c>
      <c r="AA23" s="761" t="s">
        <v>165</v>
      </c>
      <c r="AB23" s="753" t="str">
        <f t="shared" ref="AB23" si="18">IF(AND(Z23="Preventivo",AA23="Automático"),"50%",IF(AND(Z23="Preventivo",AA23="Manual"),"40%",IF(AND(Z23="Detectivo",AA23="Automático"),"40%",IF(AND(Z23="Detectivo",AA23="Manual"),"30%",IF(AND(Z23="Correctivo",AA23="Automático"),"35%",IF(AND(Z23="Correctivo",AA23="Manual"),"25%",""))))))</f>
        <v>40%</v>
      </c>
      <c r="AC23" s="761" t="s">
        <v>166</v>
      </c>
      <c r="AD23" s="761" t="s">
        <v>154</v>
      </c>
      <c r="AE23" s="761" t="s">
        <v>412</v>
      </c>
      <c r="AF23" s="762" t="s">
        <v>425</v>
      </c>
      <c r="AG23" s="683"/>
      <c r="AH23" s="684"/>
      <c r="AI23" s="272"/>
      <c r="AJ23" s="684"/>
      <c r="AK23" s="272"/>
      <c r="AL23" s="684"/>
      <c r="AM23" s="270"/>
      <c r="AN23" s="230">
        <v>3</v>
      </c>
      <c r="AO23" s="686" t="s">
        <v>466</v>
      </c>
      <c r="AP23" s="686" t="s">
        <v>427</v>
      </c>
      <c r="AQ23" s="686" t="s">
        <v>516</v>
      </c>
      <c r="AR23" s="686" t="s">
        <v>429</v>
      </c>
      <c r="AS23" s="718"/>
      <c r="AT23" s="718"/>
      <c r="AU23" s="719"/>
      <c r="AV23" s="719"/>
      <c r="AW23" s="720"/>
      <c r="AX23" s="720"/>
      <c r="AY23" s="720"/>
      <c r="AZ23" s="721"/>
      <c r="BA23" s="722"/>
      <c r="BB23" s="723"/>
      <c r="BC23" s="724"/>
      <c r="BD23" s="725"/>
      <c r="BE23" s="194"/>
      <c r="BF23" s="208"/>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row>
    <row r="24" spans="4:82" s="188" customFormat="1" ht="291.75" customHeight="1">
      <c r="D24" s="693">
        <v>4</v>
      </c>
      <c r="E24" s="289" t="s">
        <v>143</v>
      </c>
      <c r="F24" s="737" t="s">
        <v>159</v>
      </c>
      <c r="G24" s="740"/>
      <c r="H24" s="737" t="s">
        <v>183</v>
      </c>
      <c r="I24" s="316" t="s">
        <v>445</v>
      </c>
      <c r="J24" s="316" t="s">
        <v>446</v>
      </c>
      <c r="K24" s="295" t="s">
        <v>517</v>
      </c>
      <c r="L24" s="743" t="s">
        <v>162</v>
      </c>
      <c r="M24" s="746"/>
      <c r="N24" s="746"/>
      <c r="O24" s="743">
        <v>6</v>
      </c>
      <c r="P24" s="749" t="str">
        <f>IF(O24&lt;=0,"",IF(O24&lt;=2,"Muy Baja",IF(O24&lt;=24,"Baja",IF(O24&lt;=500,"Media",IF(O24&lt;=5000,"Alta","Muy Alta")))))</f>
        <v>Baja</v>
      </c>
      <c r="Q24" s="267">
        <f t="shared" ref="Q24" si="19">IF(P24="","",IF(P24="Muy Baja",0.2,IF(P24="Baja",0.4,IF(P24="Media",0.6,IF(P24="Alta",0.8,IF(P24="Muy Alta",1,))))))</f>
        <v>0.4</v>
      </c>
      <c r="R24" s="754" t="s">
        <v>128</v>
      </c>
      <c r="S24" s="757" t="str">
        <f>IFERROR(VLOOKUP(R24,Criterios[],2,FALSE),"")</f>
        <v>Moderado</v>
      </c>
      <c r="T24" s="267">
        <f t="shared" ref="T24" si="20">IF(S24="","",IF(S24="Leve",0.2,IF(S24="Menor",0.4,IF(S24="Moderado",0.6,IF(S24="Mayor",0.8,IF(S24="Catastrófico",1,))))))</f>
        <v>0.6</v>
      </c>
      <c r="U24" s="757" t="str">
        <f>IF(OR(AND(P24="Muy Baja",S24="Leve"),AND(P24="Muy Baja",S24="Menor"),AND(P24="Baja",S24="Leve")),"Bajo",IF(OR(AND(P24="Muy baja",S24="Moderado"),AND(P24="Baja",S24="Menor"),AND(P24="Baja",S24="Moderado"),AND(P24="Media",S24="Leve"),AND(P24="Media",S24="Menor"),AND(P24="Media",S24="Moderado"),AND(P24="Alta",S24="Leve"),AND(P24="Alta",S24="Menor")),"Moderado",IF(OR(AND(P24="Muy Baja",S24="Mayor"),AND(P24="Baja",S24="Mayor"),AND(P24="Media",S24="Mayor"),AND(P24="Alta",S24="Moderado"),AND(P24="Alta",S24="Mayor"),AND(P24="Muy Alta",S24="Leve"),AND(P24="Muy Alta",S24="Menor"),AND(P24="Muy Alta",S24="Moderado"),AND(P24="Muy Alta",S24="Mayor")),"Alto",IF(OR(AND(P24="Muy Baja",S24="Catastrófico"),AND(P24="Baja",S24="Catastrófico"),AND(P24="Media",S24="Catastrófico"),AND(P24="Alta",S24="Catastrófico"),AND(P24="Muy Alta",S24="Catastrófico")),"Extremo",""))))</f>
        <v>Moderado</v>
      </c>
      <c r="V24" s="215">
        <v>1</v>
      </c>
      <c r="W24" s="764" t="s">
        <v>468</v>
      </c>
      <c r="X24" s="764" t="s">
        <v>469</v>
      </c>
      <c r="Y24" s="765" t="s">
        <v>252</v>
      </c>
      <c r="Z24" s="766" t="s">
        <v>151</v>
      </c>
      <c r="AA24" s="766" t="s">
        <v>165</v>
      </c>
      <c r="AB24" s="752" t="str">
        <f t="shared" si="8"/>
        <v>40%</v>
      </c>
      <c r="AC24" s="766" t="s">
        <v>166</v>
      </c>
      <c r="AD24" s="766" t="s">
        <v>154</v>
      </c>
      <c r="AE24" s="766" t="s">
        <v>412</v>
      </c>
      <c r="AF24" s="763" t="s">
        <v>518</v>
      </c>
      <c r="AG24" s="313">
        <v>0.7</v>
      </c>
      <c r="AH24" s="277" t="str">
        <f>IFERROR(IF(AG24="","",IF(AG24&lt;=0.2,"Muy Baja",IF(AG24&lt;=0.4,"Baja",IF(AG24&lt;=0.6,"Media",IF(AG24&lt;=0.8,"Alta","Muy Alta"))))),"")</f>
        <v>Alta</v>
      </c>
      <c r="AI24" s="280">
        <f t="shared" ref="AI24" si="21">+AG24</f>
        <v>0.7</v>
      </c>
      <c r="AJ24" s="277" t="str">
        <f t="shared" ref="AJ24" si="22">IFERROR(IF(AK24="","",IF(AK24&lt;=0.2,"Leve",IF(AK24&lt;=0.4,"Menor",IF(AK24&lt;=0.6,"Moderado",IF(AK24&lt;=0.8,"Mayor","Catastrófico"))))),"")</f>
        <v>Moderado</v>
      </c>
      <c r="AK24" s="280">
        <f>IFERROR(IF(Y24="Impacto",(T24-(T24*((AB24+AB25+#REF!+#REF!)/4))),IF(Y24="Probabilidad",T24,"")),"")</f>
        <v>0.6</v>
      </c>
      <c r="AL24" s="277" t="str">
        <f>IFERROR(IF(OR(AND(AH24="Muy Baja",AJ24="Leve"),AND(AH24="Muy Baja",AJ24="Menor"),
AND(AH24="Baja",AJ24="Leve")
),"Bajo",IF(OR(AND(AH24="Muy Baja",AJ24="Moderado"),AND(AH24="Baja",AJ24="Menor"),
AND(AH24="Baja",AJ24="Moderado"),AND(AH24="Media",AJ24="Leve"),
AND(AH24="Media",AJ24="Menor"),
AND(AH24="Media",AJ24="Moderado"),AND(AH24="Alta",AJ24="Leve"),
AND(AH24="Alta",AJ24="Menor")
),
"Moderado",
IF(
OR(
AND(AH24="Muy Baja",AJ24="Mayor"),
AND(AH24="Alta",AJ24="Moderado"),AND(AH24="Alta",AJ24="Mayor"),
AND(AH24="Muy Alta",AJ24="Leve"),AND(AH24="Muy Alta",AJ24="Menor"),
AND(AH24="Muy Alta",AJ24="Moderado"),
AND(AH24="Muy Alta",AJ24="Mayor"),
AND(AH24="Baja",AJ24="Mayor"),
AND(AH24="Media",AJ24="Mayor")
),"Alto",
IF(
AJ24="Catastrófico",
"Extremo",""
)
)
)
),
"")</f>
        <v>Alto</v>
      </c>
      <c r="AM24" s="283" t="s">
        <v>101</v>
      </c>
      <c r="AN24" s="215">
        <v>1</v>
      </c>
      <c r="AO24" s="736" t="s">
        <v>539</v>
      </c>
      <c r="AP24" s="695" t="s">
        <v>427</v>
      </c>
      <c r="AQ24" s="695" t="s">
        <v>428</v>
      </c>
      <c r="AR24" s="695" t="s">
        <v>429</v>
      </c>
      <c r="AS24" s="696"/>
      <c r="AT24" s="696"/>
      <c r="AU24" s="697"/>
      <c r="AV24" s="697"/>
      <c r="AW24" s="698"/>
      <c r="AX24" s="698"/>
      <c r="AY24" s="698"/>
      <c r="AZ24" s="699"/>
      <c r="BA24" s="236"/>
      <c r="BB24" s="700"/>
      <c r="BC24" s="701"/>
      <c r="BD24" s="702"/>
      <c r="BE24" s="194"/>
      <c r="BF24" s="208"/>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row>
    <row r="25" spans="4:82" s="188" customFormat="1" ht="141" customHeight="1">
      <c r="D25" s="703"/>
      <c r="E25" s="290"/>
      <c r="F25" s="738"/>
      <c r="G25" s="741"/>
      <c r="H25" s="738"/>
      <c r="I25" s="317"/>
      <c r="J25" s="317"/>
      <c r="K25" s="296"/>
      <c r="L25" s="744"/>
      <c r="M25" s="747"/>
      <c r="N25" s="747"/>
      <c r="O25" s="744"/>
      <c r="P25" s="750"/>
      <c r="Q25" s="276"/>
      <c r="R25" s="755"/>
      <c r="S25" s="758"/>
      <c r="T25" s="276"/>
      <c r="U25" s="758"/>
      <c r="V25" s="195">
        <v>2</v>
      </c>
      <c r="W25" s="189" t="s">
        <v>519</v>
      </c>
      <c r="X25" s="190" t="s">
        <v>520</v>
      </c>
      <c r="Y25" s="244" t="s">
        <v>252</v>
      </c>
      <c r="Z25" s="192" t="s">
        <v>151</v>
      </c>
      <c r="AA25" s="192" t="s">
        <v>165</v>
      </c>
      <c r="AB25" s="193">
        <v>0.6</v>
      </c>
      <c r="AC25" s="192" t="s">
        <v>166</v>
      </c>
      <c r="AD25" s="192" t="s">
        <v>154</v>
      </c>
      <c r="AE25" s="192" t="s">
        <v>412</v>
      </c>
      <c r="AF25" s="231" t="s">
        <v>425</v>
      </c>
      <c r="AG25" s="314"/>
      <c r="AH25" s="278"/>
      <c r="AI25" s="281"/>
      <c r="AJ25" s="278"/>
      <c r="AK25" s="281"/>
      <c r="AL25" s="278"/>
      <c r="AM25" s="284"/>
      <c r="AN25" s="230">
        <v>2</v>
      </c>
      <c r="AO25" s="686" t="s">
        <v>470</v>
      </c>
      <c r="AP25" s="686" t="s">
        <v>471</v>
      </c>
      <c r="AQ25" s="686" t="s">
        <v>472</v>
      </c>
      <c r="AR25" s="686" t="s">
        <v>429</v>
      </c>
      <c r="AS25" s="687"/>
      <c r="AT25" s="687"/>
      <c r="AU25" s="688"/>
      <c r="AV25" s="688"/>
      <c r="AW25" s="689"/>
      <c r="AX25" s="689"/>
      <c r="AY25" s="689"/>
      <c r="AZ25" s="690"/>
      <c r="BA25" s="238"/>
      <c r="BB25" s="691"/>
      <c r="BC25" s="692"/>
      <c r="BD25" s="704"/>
      <c r="BE25" s="194"/>
      <c r="BF25" s="208"/>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row>
    <row r="26" spans="4:82" s="188" customFormat="1" ht="105">
      <c r="D26" s="703"/>
      <c r="E26" s="290"/>
      <c r="F26" s="738"/>
      <c r="G26" s="741"/>
      <c r="H26" s="738"/>
      <c r="I26" s="317"/>
      <c r="J26" s="317"/>
      <c r="K26" s="296"/>
      <c r="L26" s="744"/>
      <c r="M26" s="747"/>
      <c r="N26" s="747"/>
      <c r="O26" s="744"/>
      <c r="P26" s="750"/>
      <c r="Q26" s="276"/>
      <c r="R26" s="755"/>
      <c r="S26" s="758"/>
      <c r="T26" s="276"/>
      <c r="U26" s="758"/>
      <c r="V26" s="767">
        <v>3</v>
      </c>
      <c r="W26" s="769" t="s">
        <v>524</v>
      </c>
      <c r="X26" s="769" t="s">
        <v>523</v>
      </c>
      <c r="Y26" s="268" t="s">
        <v>252</v>
      </c>
      <c r="Z26" s="270" t="s">
        <v>179</v>
      </c>
      <c r="AA26" s="270" t="s">
        <v>165</v>
      </c>
      <c r="AB26" s="272">
        <v>0.5</v>
      </c>
      <c r="AC26" s="270" t="s">
        <v>166</v>
      </c>
      <c r="AD26" s="270" t="s">
        <v>167</v>
      </c>
      <c r="AE26" s="270" t="s">
        <v>414</v>
      </c>
      <c r="AF26" s="274" t="s">
        <v>425</v>
      </c>
      <c r="AG26" s="314"/>
      <c r="AH26" s="278"/>
      <c r="AI26" s="281"/>
      <c r="AJ26" s="278"/>
      <c r="AK26" s="281"/>
      <c r="AL26" s="278"/>
      <c r="AM26" s="284"/>
      <c r="AN26" s="230">
        <v>3</v>
      </c>
      <c r="AO26" s="686" t="s">
        <v>540</v>
      </c>
      <c r="AP26" s="686" t="s">
        <v>521</v>
      </c>
      <c r="AQ26" s="686" t="s">
        <v>522</v>
      </c>
      <c r="AR26" s="686" t="s">
        <v>429</v>
      </c>
      <c r="AS26" s="687"/>
      <c r="AT26" s="687"/>
      <c r="AU26" s="688"/>
      <c r="AV26" s="688"/>
      <c r="AW26" s="689"/>
      <c r="AX26" s="689"/>
      <c r="AY26" s="689"/>
      <c r="AZ26" s="690"/>
      <c r="BA26" s="238"/>
      <c r="BB26" s="691"/>
      <c r="BC26" s="692"/>
      <c r="BD26" s="704"/>
      <c r="BE26" s="194"/>
      <c r="BF26" s="208"/>
      <c r="BG26" s="194"/>
      <c r="BH26" s="194"/>
      <c r="BI26" s="194"/>
      <c r="BJ26" s="194"/>
      <c r="BK26" s="194"/>
      <c r="BL26" s="194"/>
      <c r="BM26" s="194"/>
      <c r="BN26" s="194"/>
      <c r="BO26" s="194"/>
      <c r="BP26" s="194"/>
      <c r="BQ26" s="194"/>
      <c r="BR26" s="194"/>
      <c r="BS26" s="194"/>
      <c r="BT26" s="194"/>
      <c r="BU26" s="194"/>
      <c r="BV26" s="194"/>
      <c r="BW26" s="194"/>
      <c r="BX26" s="194"/>
      <c r="BY26" s="194"/>
      <c r="BZ26" s="194"/>
      <c r="CA26" s="194"/>
      <c r="CB26" s="194"/>
      <c r="CC26" s="194"/>
      <c r="CD26" s="194"/>
    </row>
    <row r="27" spans="4:82" s="188" customFormat="1" ht="136" thickBot="1">
      <c r="D27" s="715"/>
      <c r="E27" s="672"/>
      <c r="F27" s="739"/>
      <c r="G27" s="742"/>
      <c r="H27" s="739"/>
      <c r="I27" s="318"/>
      <c r="J27" s="318"/>
      <c r="K27" s="674"/>
      <c r="L27" s="745"/>
      <c r="M27" s="748"/>
      <c r="N27" s="748"/>
      <c r="O27" s="745"/>
      <c r="P27" s="751"/>
      <c r="Q27" s="273"/>
      <c r="R27" s="756"/>
      <c r="S27" s="759"/>
      <c r="T27" s="273"/>
      <c r="U27" s="759"/>
      <c r="V27" s="768"/>
      <c r="W27" s="770"/>
      <c r="X27" s="770"/>
      <c r="Y27" s="269"/>
      <c r="Z27" s="271"/>
      <c r="AA27" s="271"/>
      <c r="AB27" s="273"/>
      <c r="AC27" s="271"/>
      <c r="AD27" s="271"/>
      <c r="AE27" s="271"/>
      <c r="AF27" s="275"/>
      <c r="AG27" s="683"/>
      <c r="AH27" s="684"/>
      <c r="AI27" s="272"/>
      <c r="AJ27" s="684"/>
      <c r="AK27" s="272"/>
      <c r="AL27" s="684"/>
      <c r="AM27" s="270"/>
      <c r="AN27" s="733">
        <v>4</v>
      </c>
      <c r="AO27" s="717" t="s">
        <v>525</v>
      </c>
      <c r="AP27" s="717" t="s">
        <v>526</v>
      </c>
      <c r="AQ27" s="717" t="s">
        <v>541</v>
      </c>
      <c r="AR27" s="717" t="s">
        <v>429</v>
      </c>
      <c r="AS27" s="718"/>
      <c r="AT27" s="718"/>
      <c r="AU27" s="719"/>
      <c r="AV27" s="719"/>
      <c r="AW27" s="720"/>
      <c r="AX27" s="720"/>
      <c r="AY27" s="720"/>
      <c r="AZ27" s="721"/>
      <c r="BA27" s="722"/>
      <c r="BB27" s="723"/>
      <c r="BC27" s="724"/>
      <c r="BD27" s="725"/>
      <c r="BE27" s="194"/>
      <c r="BF27" s="208"/>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row>
    <row r="28" spans="4:82" s="188" customFormat="1" ht="172" customHeight="1">
      <c r="D28" s="693">
        <v>5</v>
      </c>
      <c r="E28" s="289" t="s">
        <v>99</v>
      </c>
      <c r="F28" s="289" t="s">
        <v>173</v>
      </c>
      <c r="G28" s="292"/>
      <c r="H28" s="289" t="s">
        <v>188</v>
      </c>
      <c r="I28" s="295" t="s">
        <v>448</v>
      </c>
      <c r="J28" s="295" t="s">
        <v>449</v>
      </c>
      <c r="K28" s="298" t="s">
        <v>447</v>
      </c>
      <c r="L28" s="301" t="s">
        <v>189</v>
      </c>
      <c r="M28" s="304"/>
      <c r="N28" s="304"/>
      <c r="O28" s="301">
        <f>94+307</f>
        <v>401</v>
      </c>
      <c r="P28" s="307" t="str">
        <f>IF(O28&lt;=0,"",IF(O28&lt;=2,"Muy Baja",IF(O28&lt;=24,"Baja",IF(O28&lt;=500,"Media",IF(O28&lt;=5000,"Alta","Muy Alta")))))</f>
        <v>Media</v>
      </c>
      <c r="Q28" s="280">
        <f t="shared" ref="Q28" si="23">IF(P28="","",IF(P28="Muy Baja",0.2,IF(P28="Baja",0.4,IF(P28="Media",0.6,IF(P28="Alta",0.8,IF(P28="Muy Alta",1,))))))</f>
        <v>0.6</v>
      </c>
      <c r="R28" s="310" t="s">
        <v>133</v>
      </c>
      <c r="S28" s="286" t="str">
        <f>IFERROR(VLOOKUP(R28,Criterios[],2,FALSE),"")</f>
        <v>Catastrófico</v>
      </c>
      <c r="T28" s="280">
        <f t="shared" ref="T28" si="24">IF(S28="","",IF(S28="Leve",0.2,IF(S28="Menor",0.4,IF(S28="Moderado",0.6,IF(S28="Mayor",0.8,IF(S28="Catastrófico",1,))))))</f>
        <v>1</v>
      </c>
      <c r="U28" s="286" t="str">
        <f>IF(OR(AND(P28="Muy Baja",S28="Leve"),AND(P28="Muy Baja",S28="Menor"),AND(P28="Baja",S28="Leve")),"Bajo",IF(OR(AND(P28="Muy baja",S28="Moderado"),AND(P28="Baja",S28="Menor"),AND(P28="Baja",S28="Moderado"),AND(P28="Media",S28="Leve"),AND(P28="Media",S28="Menor"),AND(P28="Media",S28="Moderado"),AND(P28="Alta",S28="Leve"),AND(P28="Alta",S28="Menor")),"Moderado",IF(OR(AND(P28="Muy Baja",S28="Mayor"),AND(P28="Baja",S28="Mayor"),AND(P28="Media",S28="Mayor"),AND(P28="Alta",S28="Moderado"),AND(P28="Alta",S28="Mayor"),AND(P28="Muy Alta",S28="Leve"),AND(P28="Muy Alta",S28="Menor"),AND(P28="Muy Alta",S28="Moderado"),AND(P28="Muy Alta",S28="Mayor")),"Alto",IF(OR(AND(P28="Muy Baja",S28="Catastrófico"),AND(P28="Baja",S28="Catastrófico"),AND(P28="Media",S28="Catastrófico"),AND(P28="Alta",S28="Catastrófico"),AND(P28="Muy Alta",S28="Catastrófico")),"Extremo",""))))</f>
        <v>Extremo</v>
      </c>
      <c r="V28" s="215">
        <v>1</v>
      </c>
      <c r="W28" s="216" t="s">
        <v>473</v>
      </c>
      <c r="X28" s="235" t="s">
        <v>474</v>
      </c>
      <c r="Y28" s="218" t="s">
        <v>252</v>
      </c>
      <c r="Z28" s="219" t="s">
        <v>151</v>
      </c>
      <c r="AA28" s="219" t="s">
        <v>165</v>
      </c>
      <c r="AB28" s="220" t="str">
        <f t="shared" si="8"/>
        <v>40%</v>
      </c>
      <c r="AC28" s="219" t="s">
        <v>166</v>
      </c>
      <c r="AD28" s="219" t="s">
        <v>154</v>
      </c>
      <c r="AE28" s="219" t="s">
        <v>412</v>
      </c>
      <c r="AF28" s="232" t="s">
        <v>530</v>
      </c>
      <c r="AG28" s="313">
        <v>0.8</v>
      </c>
      <c r="AH28" s="277" t="str">
        <f>IFERROR(IF(AG28="","",IF(AG28&lt;=0.2,"Muy Baja",IF(AG28&lt;=0.4,"Baja",IF(AG28&lt;=0.6,"Media",IF(AG28&lt;=0.8,"Alta","Muy Alta"))))),"")</f>
        <v>Alta</v>
      </c>
      <c r="AI28" s="280">
        <v>0.9</v>
      </c>
      <c r="AJ28" s="277" t="str">
        <f t="shared" ref="AJ28" si="25">IFERROR(IF(AK28="","",IF(AK28&lt;=0.2,"Leve",IF(AK28&lt;=0.4,"Menor",IF(AK28&lt;=0.6,"Moderado",IF(AK28&lt;=0.8,"Mayor","Catastrófico"))))),"")</f>
        <v>Catastrófico</v>
      </c>
      <c r="AK28" s="280">
        <f>IFERROR(IF(Y28="Impacto",(T28-(T28*((AB28+AB29+AB30+AB31)/4))),IF(Y28="Probabilidad",T28,"")),"")</f>
        <v>1</v>
      </c>
      <c r="AL28" s="277" t="str">
        <f>IFERROR(IF(OR(AND(AH28="Muy Baja",AJ28="Leve"),AND(AH28="Muy Baja",AJ28="Menor"),
AND(AH28="Baja",AJ28="Leve")
),"Bajo",IF(OR(AND(AH28="Muy Baja",AJ28="Moderado"),AND(AH28="Baja",AJ28="Menor"),
AND(AH28="Baja",AJ28="Moderado"),AND(AH28="Media",AJ28="Leve"),
AND(AH28="Media",AJ28="Menor"),
AND(AH28="Media",AJ28="Moderado"),AND(AH28="Alta",AJ28="Leve"),
AND(AH28="Alta",AJ28="Menor")
),
"Moderado",
IF(
OR(
AND(AH28="Muy Baja",AJ28="Mayor"),
AND(AH28="Alta",AJ28="Moderado"),AND(AH28="Alta",AJ28="Mayor"),
AND(AH28="Muy Alta",AJ28="Leve"),AND(AH28="Muy Alta",AJ28="Menor"),
AND(AH28="Muy Alta",AJ28="Moderado"),
AND(AH28="Muy Alta",AJ28="Mayor"),
AND(AH28="Baja",AJ28="Mayor"),
AND(AH28="Media",AJ28="Mayor")
),"Alto",
IF(
AJ28="Catastrófico",
"Extremo",""
)
)
)
),
"")</f>
        <v>Extremo</v>
      </c>
      <c r="AM28" s="283" t="s">
        <v>101</v>
      </c>
      <c r="AN28" s="694">
        <v>1</v>
      </c>
      <c r="AO28" s="695" t="s">
        <v>480</v>
      </c>
      <c r="AP28" s="695" t="s">
        <v>481</v>
      </c>
      <c r="AQ28" s="695" t="s">
        <v>482</v>
      </c>
      <c r="AR28" s="695" t="s">
        <v>429</v>
      </c>
      <c r="AS28" s="696"/>
      <c r="AT28" s="696"/>
      <c r="AU28" s="697"/>
      <c r="AV28" s="697"/>
      <c r="AW28" s="698"/>
      <c r="AX28" s="698"/>
      <c r="AY28" s="698"/>
      <c r="AZ28" s="699"/>
      <c r="BA28" s="236"/>
      <c r="BB28" s="700"/>
      <c r="BC28" s="701"/>
      <c r="BD28" s="702"/>
      <c r="BE28" s="194"/>
      <c r="BF28" s="208"/>
      <c r="BG28" s="194"/>
      <c r="BH28" s="194"/>
      <c r="BI28" s="194"/>
      <c r="BJ28" s="194"/>
      <c r="BK28" s="194"/>
      <c r="BL28" s="194"/>
      <c r="BM28" s="194"/>
      <c r="BN28" s="194"/>
      <c r="BO28" s="194"/>
      <c r="BP28" s="194"/>
      <c r="BQ28" s="194"/>
      <c r="BR28" s="194"/>
      <c r="BS28" s="194"/>
      <c r="BT28" s="194"/>
      <c r="BU28" s="194"/>
      <c r="BV28" s="194"/>
      <c r="BW28" s="194"/>
      <c r="BX28" s="194"/>
      <c r="BY28" s="194"/>
      <c r="BZ28" s="194"/>
      <c r="CA28" s="194"/>
      <c r="CB28" s="194"/>
      <c r="CC28" s="194"/>
      <c r="CD28" s="194"/>
    </row>
    <row r="29" spans="4:82" s="188" customFormat="1" ht="172" customHeight="1">
      <c r="D29" s="703"/>
      <c r="E29" s="290"/>
      <c r="F29" s="290"/>
      <c r="G29" s="293"/>
      <c r="H29" s="290"/>
      <c r="I29" s="296"/>
      <c r="J29" s="296"/>
      <c r="K29" s="299"/>
      <c r="L29" s="302"/>
      <c r="M29" s="305"/>
      <c r="N29" s="305"/>
      <c r="O29" s="302"/>
      <c r="P29" s="308"/>
      <c r="Q29" s="281"/>
      <c r="R29" s="311"/>
      <c r="S29" s="287"/>
      <c r="T29" s="281"/>
      <c r="U29" s="287"/>
      <c r="V29" s="195">
        <v>2</v>
      </c>
      <c r="W29" s="189" t="s">
        <v>475</v>
      </c>
      <c r="X29" s="190" t="s">
        <v>476</v>
      </c>
      <c r="Y29" s="191" t="s">
        <v>252</v>
      </c>
      <c r="Z29" s="192" t="s">
        <v>100</v>
      </c>
      <c r="AA29" s="192" t="s">
        <v>165</v>
      </c>
      <c r="AB29" s="193" t="str">
        <f t="shared" si="8"/>
        <v>30%</v>
      </c>
      <c r="AC29" s="192" t="s">
        <v>153</v>
      </c>
      <c r="AD29" s="192" t="s">
        <v>154</v>
      </c>
      <c r="AE29" s="192" t="s">
        <v>412</v>
      </c>
      <c r="AF29" s="231" t="s">
        <v>531</v>
      </c>
      <c r="AG29" s="314"/>
      <c r="AH29" s="278"/>
      <c r="AI29" s="281"/>
      <c r="AJ29" s="278"/>
      <c r="AK29" s="281"/>
      <c r="AL29" s="278"/>
      <c r="AM29" s="284"/>
      <c r="AN29" s="685">
        <v>2</v>
      </c>
      <c r="AO29" s="686" t="s">
        <v>479</v>
      </c>
      <c r="AP29" s="686" t="s">
        <v>464</v>
      </c>
      <c r="AQ29" s="686" t="s">
        <v>478</v>
      </c>
      <c r="AR29" s="686" t="s">
        <v>429</v>
      </c>
      <c r="AS29" s="687"/>
      <c r="AT29" s="687"/>
      <c r="AU29" s="688"/>
      <c r="AV29" s="688"/>
      <c r="AW29" s="689"/>
      <c r="AX29" s="689"/>
      <c r="AY29" s="689"/>
      <c r="AZ29" s="690"/>
      <c r="BA29" s="238"/>
      <c r="BB29" s="691"/>
      <c r="BC29" s="692"/>
      <c r="BD29" s="704"/>
      <c r="BE29" s="194"/>
      <c r="BF29" s="208"/>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c r="CC29" s="194"/>
      <c r="CD29" s="194"/>
    </row>
    <row r="30" spans="4:82" s="188" customFormat="1" ht="172" customHeight="1">
      <c r="D30" s="703"/>
      <c r="E30" s="290"/>
      <c r="F30" s="290"/>
      <c r="G30" s="293"/>
      <c r="H30" s="290"/>
      <c r="I30" s="296"/>
      <c r="J30" s="296"/>
      <c r="K30" s="299"/>
      <c r="L30" s="302"/>
      <c r="M30" s="305"/>
      <c r="N30" s="305"/>
      <c r="O30" s="302"/>
      <c r="P30" s="308"/>
      <c r="Q30" s="281"/>
      <c r="R30" s="311"/>
      <c r="S30" s="287"/>
      <c r="T30" s="281"/>
      <c r="U30" s="287"/>
      <c r="V30" s="195">
        <v>3</v>
      </c>
      <c r="W30" s="189" t="s">
        <v>484</v>
      </c>
      <c r="X30" s="190" t="s">
        <v>477</v>
      </c>
      <c r="Y30" s="191" t="s">
        <v>252</v>
      </c>
      <c r="Z30" s="192" t="s">
        <v>179</v>
      </c>
      <c r="AA30" s="192" t="s">
        <v>165</v>
      </c>
      <c r="AB30" s="193" t="str">
        <f t="shared" si="8"/>
        <v>25%</v>
      </c>
      <c r="AC30" s="192" t="s">
        <v>153</v>
      </c>
      <c r="AD30" s="192" t="s">
        <v>154</v>
      </c>
      <c r="AE30" s="192" t="s">
        <v>412</v>
      </c>
      <c r="AF30" s="231" t="s">
        <v>532</v>
      </c>
      <c r="AG30" s="314"/>
      <c r="AH30" s="278"/>
      <c r="AI30" s="281"/>
      <c r="AJ30" s="278"/>
      <c r="AK30" s="281"/>
      <c r="AL30" s="278"/>
      <c r="AM30" s="284"/>
      <c r="AN30" s="685">
        <v>3</v>
      </c>
      <c r="AO30" s="686" t="s">
        <v>485</v>
      </c>
      <c r="AP30" s="686" t="s">
        <v>486</v>
      </c>
      <c r="AQ30" s="686" t="s">
        <v>487</v>
      </c>
      <c r="AR30" s="686" t="s">
        <v>429</v>
      </c>
      <c r="AS30" s="687"/>
      <c r="AT30" s="687"/>
      <c r="AU30" s="688"/>
      <c r="AV30" s="688"/>
      <c r="AW30" s="689"/>
      <c r="AX30" s="689"/>
      <c r="AY30" s="689"/>
      <c r="AZ30" s="690"/>
      <c r="BA30" s="238"/>
      <c r="BB30" s="691"/>
      <c r="BC30" s="692"/>
      <c r="BD30" s="704"/>
      <c r="BE30" s="194"/>
      <c r="BF30" s="208"/>
      <c r="BG30" s="194"/>
      <c r="BH30" s="194"/>
      <c r="BI30" s="194"/>
      <c r="BJ30" s="194"/>
      <c r="BK30" s="194"/>
      <c r="BL30" s="194"/>
      <c r="BM30" s="194"/>
      <c r="BN30" s="194"/>
      <c r="BO30" s="194"/>
      <c r="BP30" s="194"/>
      <c r="BQ30" s="194"/>
      <c r="BR30" s="194"/>
      <c r="BS30" s="194"/>
      <c r="BT30" s="194"/>
      <c r="BU30" s="194"/>
      <c r="BV30" s="194"/>
      <c r="BW30" s="194"/>
      <c r="BX30" s="194"/>
      <c r="BY30" s="194"/>
      <c r="BZ30" s="194"/>
      <c r="CA30" s="194"/>
      <c r="CB30" s="194"/>
      <c r="CC30" s="194"/>
      <c r="CD30" s="194"/>
    </row>
    <row r="31" spans="4:82" s="188" customFormat="1" ht="409.5" customHeight="1" thickBot="1">
      <c r="D31" s="715"/>
      <c r="E31" s="672"/>
      <c r="F31" s="672"/>
      <c r="G31" s="673"/>
      <c r="H31" s="672"/>
      <c r="I31" s="674"/>
      <c r="J31" s="674"/>
      <c r="K31" s="675"/>
      <c r="L31" s="676"/>
      <c r="M31" s="677"/>
      <c r="N31" s="677"/>
      <c r="O31" s="676"/>
      <c r="P31" s="678"/>
      <c r="Q31" s="272"/>
      <c r="R31" s="679"/>
      <c r="S31" s="680"/>
      <c r="T31" s="272"/>
      <c r="U31" s="680"/>
      <c r="V31" s="681">
        <v>4</v>
      </c>
      <c r="W31" s="682" t="s">
        <v>533</v>
      </c>
      <c r="X31" s="243" t="s">
        <v>483</v>
      </c>
      <c r="Y31" s="239" t="s">
        <v>252</v>
      </c>
      <c r="Z31" s="240" t="s">
        <v>151</v>
      </c>
      <c r="AA31" s="240" t="s">
        <v>165</v>
      </c>
      <c r="AB31" s="241" t="str">
        <f t="shared" si="8"/>
        <v>40%</v>
      </c>
      <c r="AC31" s="240" t="s">
        <v>166</v>
      </c>
      <c r="AD31" s="240" t="s">
        <v>154</v>
      </c>
      <c r="AE31" s="240" t="s">
        <v>412</v>
      </c>
      <c r="AF31" s="242" t="s">
        <v>425</v>
      </c>
      <c r="AG31" s="683"/>
      <c r="AH31" s="684"/>
      <c r="AI31" s="272"/>
      <c r="AJ31" s="684"/>
      <c r="AK31" s="272"/>
      <c r="AL31" s="684"/>
      <c r="AM31" s="270"/>
      <c r="AN31" s="716" t="s">
        <v>527</v>
      </c>
      <c r="AO31" s="717" t="s">
        <v>488</v>
      </c>
      <c r="AP31" s="717" t="s">
        <v>481</v>
      </c>
      <c r="AQ31" s="717" t="s">
        <v>542</v>
      </c>
      <c r="AR31" s="717" t="s">
        <v>429</v>
      </c>
      <c r="AS31" s="718"/>
      <c r="AT31" s="718"/>
      <c r="AU31" s="719"/>
      <c r="AV31" s="719"/>
      <c r="AW31" s="720"/>
      <c r="AX31" s="720"/>
      <c r="AY31" s="720"/>
      <c r="AZ31" s="721"/>
      <c r="BA31" s="722"/>
      <c r="BB31" s="723"/>
      <c r="BC31" s="724"/>
      <c r="BD31" s="725"/>
      <c r="BE31" s="194"/>
      <c r="BF31" s="208"/>
      <c r="BG31" s="194"/>
      <c r="BH31" s="194"/>
      <c r="BI31" s="194"/>
      <c r="BJ31" s="194"/>
      <c r="BK31" s="194"/>
      <c r="BL31" s="194"/>
      <c r="BM31" s="194"/>
      <c r="BN31" s="194"/>
      <c r="BO31" s="194"/>
      <c r="BP31" s="194"/>
      <c r="BQ31" s="194"/>
      <c r="BR31" s="194"/>
      <c r="BS31" s="194"/>
      <c r="BT31" s="194"/>
      <c r="BU31" s="194"/>
      <c r="BV31" s="194"/>
      <c r="BW31" s="194"/>
      <c r="BX31" s="194"/>
      <c r="BY31" s="194"/>
      <c r="BZ31" s="194"/>
      <c r="CA31" s="194"/>
      <c r="CB31" s="194"/>
      <c r="CC31" s="194"/>
      <c r="CD31" s="194"/>
    </row>
    <row r="32" spans="4:82" s="188" customFormat="1" ht="193.5" customHeight="1">
      <c r="D32" s="693">
        <v>6</v>
      </c>
      <c r="E32" s="289" t="s">
        <v>171</v>
      </c>
      <c r="F32" s="289" t="s">
        <v>145</v>
      </c>
      <c r="G32" s="292" t="s">
        <v>146</v>
      </c>
      <c r="H32" s="289" t="s">
        <v>183</v>
      </c>
      <c r="I32" s="295" t="s">
        <v>450</v>
      </c>
      <c r="J32" s="295" t="s">
        <v>451</v>
      </c>
      <c r="K32" s="298" t="s">
        <v>452</v>
      </c>
      <c r="L32" s="301" t="s">
        <v>195</v>
      </c>
      <c r="M32" s="304"/>
      <c r="N32" s="304"/>
      <c r="O32" s="301">
        <v>6</v>
      </c>
      <c r="P32" s="307" t="str">
        <f>IF(O32&lt;=0,"",IF(O32&lt;=2,"Muy Baja",IF(O32&lt;=24,"Baja",IF(O32&lt;=500,"Media",IF(O32&lt;=5000,"Alta","Muy Alta")))))</f>
        <v>Baja</v>
      </c>
      <c r="Q32" s="280">
        <f t="shared" ref="Q32" si="26">IF(P32="","",IF(P32="Muy Baja",0.2,IF(P32="Baja",0.4,IF(P32="Media",0.6,IF(P32="Alta",0.8,IF(P32="Muy Alta",1,))))))</f>
        <v>0.4</v>
      </c>
      <c r="R32" s="310" t="s">
        <v>122</v>
      </c>
      <c r="S32" s="286" t="str">
        <f>IFERROR(VLOOKUP(R32,Criterios[],2,FALSE),"")</f>
        <v>Mayor</v>
      </c>
      <c r="T32" s="280">
        <f t="shared" ref="T32" si="27">IF(S32="","",IF(S32="Leve",0.2,IF(S32="Menor",0.4,IF(S32="Moderado",0.6,IF(S32="Mayor",0.8,IF(S32="Catastrófico",1,))))))</f>
        <v>0.8</v>
      </c>
      <c r="U32" s="286" t="str">
        <f>IF(OR(AND(P32="Muy Baja",S32="Leve"),AND(P32="Muy Baja",S32="Menor"),AND(P32="Baja",S32="Leve")),"Bajo",IF(OR(AND(P32="Muy baja",S32="Moderado"),AND(P32="Baja",S32="Menor"),AND(P32="Baja",S32="Moderado"),AND(P32="Media",S32="Leve"),AND(P32="Media",S32="Menor"),AND(P32="Media",S32="Moderado"),AND(P32="Alta",S32="Leve"),AND(P32="Alta",S32="Menor")),"Moderado",IF(OR(AND(P32="Muy Baja",S32="Mayor"),AND(P32="Baja",S32="Mayor"),AND(P32="Media",S32="Mayor"),AND(P32="Alta",S32="Moderado"),AND(P32="Alta",S32="Mayor"),AND(P32="Muy Alta",S32="Leve"),AND(P32="Muy Alta",S32="Menor"),AND(P32="Muy Alta",S32="Moderado"),AND(P32="Muy Alta",S32="Mayor")),"Alto",IF(OR(AND(P32="Muy Baja",S32="Catastrófico"),AND(P32="Baja",S32="Catastrófico"),AND(P32="Media",S32="Catastrófico"),AND(P32="Alta",S32="Catastrófico"),AND(P32="Muy Alta",S32="Catastrófico")),"Extremo",""))))</f>
        <v>Alto</v>
      </c>
      <c r="V32" s="215">
        <v>1</v>
      </c>
      <c r="W32" s="216" t="s">
        <v>489</v>
      </c>
      <c r="X32" s="235" t="s">
        <v>528</v>
      </c>
      <c r="Y32" s="218" t="s">
        <v>252</v>
      </c>
      <c r="Z32" s="219" t="s">
        <v>151</v>
      </c>
      <c r="AA32" s="219" t="s">
        <v>165</v>
      </c>
      <c r="AB32" s="220" t="str">
        <f t="shared" si="1"/>
        <v>40%</v>
      </c>
      <c r="AC32" s="219" t="s">
        <v>166</v>
      </c>
      <c r="AD32" s="219" t="s">
        <v>154</v>
      </c>
      <c r="AE32" s="219" t="s">
        <v>412</v>
      </c>
      <c r="AF32" s="232" t="s">
        <v>534</v>
      </c>
      <c r="AG32" s="313">
        <v>0.5</v>
      </c>
      <c r="AH32" s="277" t="str">
        <f>IFERROR(IF(AG32="","",IF(AG32&lt;=0.2,"Muy Baja",IF(AG32&lt;=0.4,"Baja",IF(AG32&lt;=0.6,"Media",IF(AG32&lt;=0.8,"Alta","Muy Alta"))))),"")</f>
        <v>Media</v>
      </c>
      <c r="AI32" s="280">
        <f t="shared" ref="AI32" si="28">+AG32</f>
        <v>0.5</v>
      </c>
      <c r="AJ32" s="277" t="str">
        <f t="shared" ref="AJ32" si="29">IFERROR(IF(AK32="","",IF(AK32&lt;=0.2,"Leve",IF(AK32&lt;=0.4,"Menor",IF(AK32&lt;=0.6,"Moderado",IF(AK32&lt;=0.8,"Mayor","Catastrófico"))))),"")</f>
        <v>Mayor</v>
      </c>
      <c r="AK32" s="280">
        <f>IFERROR(IF(Y32="Impacto",(T32-(T32*((AB32+AB33+AB34+AB35)/4))),IF(Y32="Probabilidad",T32,"")),"")</f>
        <v>0.8</v>
      </c>
      <c r="AL32" s="277" t="str">
        <f>IFERROR(IF(OR(AND(AH32="Muy Baja",AJ32="Leve"),AND(AH32="Muy Baja",AJ32="Menor"),
AND(AH32="Baja",AJ32="Leve")
),"Bajo",IF(OR(AND(AH32="Muy Baja",AJ32="Moderado"),AND(AH32="Baja",AJ32="Menor"),
AND(AH32="Baja",AJ32="Moderado"),AND(AH32="Media",AJ32="Leve"),
AND(AH32="Media",AJ32="Menor"),
AND(AH32="Media",AJ32="Moderado"),AND(AH32="Alta",AJ32="Leve"),
AND(AH32="Alta",AJ32="Menor")
),
"Moderado",
IF(
OR(
AND(AH32="Muy Baja",AJ32="Mayor"),
AND(AH32="Alta",AJ32="Moderado"),AND(AH32="Alta",AJ32="Mayor"),
AND(AH32="Muy Alta",AJ32="Leve"),AND(AH32="Muy Alta",AJ32="Menor"),
AND(AH32="Muy Alta",AJ32="Moderado"),
AND(AH32="Muy Alta",AJ32="Mayor"),
AND(AH32="Baja",AJ32="Mayor"),
AND(AH32="Media",AJ32="Mayor")
),"Alto",
IF(
AJ32="Catastrófico",
"Extremo",""
)
)
)
),
"")</f>
        <v>Alto</v>
      </c>
      <c r="AM32" s="283" t="s">
        <v>101</v>
      </c>
      <c r="AN32" s="215">
        <v>1</v>
      </c>
      <c r="AO32" s="695" t="s">
        <v>543</v>
      </c>
      <c r="AP32" s="695" t="s">
        <v>481</v>
      </c>
      <c r="AQ32" s="695" t="s">
        <v>493</v>
      </c>
      <c r="AR32" s="695" t="s">
        <v>429</v>
      </c>
      <c r="AS32" s="696"/>
      <c r="AT32" s="696"/>
      <c r="AU32" s="697"/>
      <c r="AV32" s="697"/>
      <c r="AW32" s="698"/>
      <c r="AX32" s="698"/>
      <c r="AY32" s="698"/>
      <c r="AZ32" s="699"/>
      <c r="BA32" s="236"/>
      <c r="BB32" s="700"/>
      <c r="BC32" s="701"/>
      <c r="BD32" s="702"/>
      <c r="BE32" s="194"/>
      <c r="BF32" s="208"/>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row>
    <row r="33" spans="4:82" s="188" customFormat="1" ht="197.25" customHeight="1">
      <c r="D33" s="703"/>
      <c r="E33" s="290"/>
      <c r="F33" s="290"/>
      <c r="G33" s="293"/>
      <c r="H33" s="290"/>
      <c r="I33" s="296"/>
      <c r="J33" s="296"/>
      <c r="K33" s="299"/>
      <c r="L33" s="302"/>
      <c r="M33" s="305"/>
      <c r="N33" s="305"/>
      <c r="O33" s="302"/>
      <c r="P33" s="308"/>
      <c r="Q33" s="281"/>
      <c r="R33" s="311"/>
      <c r="S33" s="287"/>
      <c r="T33" s="281"/>
      <c r="U33" s="287"/>
      <c r="V33" s="195">
        <v>2</v>
      </c>
      <c r="W33" s="189" t="s">
        <v>535</v>
      </c>
      <c r="X33" s="190" t="s">
        <v>490</v>
      </c>
      <c r="Y33" s="191" t="s">
        <v>252</v>
      </c>
      <c r="Z33" s="192" t="s">
        <v>151</v>
      </c>
      <c r="AA33" s="192" t="s">
        <v>165</v>
      </c>
      <c r="AB33" s="193" t="str">
        <f t="shared" si="1"/>
        <v>40%</v>
      </c>
      <c r="AC33" s="192" t="s">
        <v>166</v>
      </c>
      <c r="AD33" s="192" t="s">
        <v>154</v>
      </c>
      <c r="AE33" s="192" t="s">
        <v>412</v>
      </c>
      <c r="AF33" s="155" t="s">
        <v>536</v>
      </c>
      <c r="AG33" s="314"/>
      <c r="AH33" s="278"/>
      <c r="AI33" s="281"/>
      <c r="AJ33" s="278"/>
      <c r="AK33" s="281"/>
      <c r="AL33" s="278"/>
      <c r="AM33" s="284"/>
      <c r="AN33" s="771">
        <v>2</v>
      </c>
      <c r="AO33" s="686" t="s">
        <v>544</v>
      </c>
      <c r="AP33" s="686" t="s">
        <v>481</v>
      </c>
      <c r="AQ33" s="686" t="s">
        <v>495</v>
      </c>
      <c r="AR33" s="686" t="s">
        <v>429</v>
      </c>
      <c r="AS33" s="687"/>
      <c r="AT33" s="687"/>
      <c r="AU33" s="688"/>
      <c r="AV33" s="688"/>
      <c r="AW33" s="689"/>
      <c r="AX33" s="689"/>
      <c r="AY33" s="689"/>
      <c r="AZ33" s="690"/>
      <c r="BA33" s="238"/>
      <c r="BB33" s="691"/>
      <c r="BC33" s="692"/>
      <c r="BD33" s="704"/>
      <c r="BE33" s="194"/>
      <c r="BF33" s="208"/>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row>
    <row r="34" spans="4:82" s="188" customFormat="1" ht="237" customHeight="1">
      <c r="D34" s="703"/>
      <c r="E34" s="290"/>
      <c r="F34" s="290"/>
      <c r="G34" s="293"/>
      <c r="H34" s="290"/>
      <c r="I34" s="296"/>
      <c r="J34" s="296"/>
      <c r="K34" s="299"/>
      <c r="L34" s="302"/>
      <c r="M34" s="305"/>
      <c r="N34" s="305"/>
      <c r="O34" s="302"/>
      <c r="P34" s="308"/>
      <c r="Q34" s="281"/>
      <c r="R34" s="311"/>
      <c r="S34" s="287"/>
      <c r="T34" s="281"/>
      <c r="U34" s="287"/>
      <c r="V34" s="195">
        <v>3</v>
      </c>
      <c r="W34" s="189" t="s">
        <v>494</v>
      </c>
      <c r="X34" s="190" t="s">
        <v>529</v>
      </c>
      <c r="Y34" s="191" t="s">
        <v>252</v>
      </c>
      <c r="Z34" s="192" t="s">
        <v>151</v>
      </c>
      <c r="AA34" s="192" t="s">
        <v>165</v>
      </c>
      <c r="AB34" s="193" t="str">
        <f t="shared" ref="AB34" si="30">IF(AND(Z34="Preventivo",AA34="Automático"),"50%",IF(AND(Z34="Preventivo",AA34="Manual"),"40%",IF(AND(Z34="Detectivo",AA34="Automático"),"40%",IF(AND(Z34="Detectivo",AA34="Manual"),"30%",IF(AND(Z34="Correctivo",AA34="Automático"),"35%",IF(AND(Z34="Correctivo",AA34="Manual"),"25%",""))))))</f>
        <v>40%</v>
      </c>
      <c r="AC34" s="192" t="s">
        <v>153</v>
      </c>
      <c r="AD34" s="192" t="s">
        <v>154</v>
      </c>
      <c r="AE34" s="192" t="s">
        <v>412</v>
      </c>
      <c r="AF34" s="231" t="s">
        <v>537</v>
      </c>
      <c r="AG34" s="314"/>
      <c r="AH34" s="278"/>
      <c r="AI34" s="281"/>
      <c r="AJ34" s="278"/>
      <c r="AK34" s="281"/>
      <c r="AL34" s="278"/>
      <c r="AM34" s="284"/>
      <c r="AN34" s="771">
        <v>3</v>
      </c>
      <c r="AO34" s="686" t="s">
        <v>496</v>
      </c>
      <c r="AP34" s="686" t="s">
        <v>481</v>
      </c>
      <c r="AQ34" s="686" t="s">
        <v>497</v>
      </c>
      <c r="AR34" s="686" t="s">
        <v>429</v>
      </c>
      <c r="AS34" s="687"/>
      <c r="AT34" s="687"/>
      <c r="AU34" s="688"/>
      <c r="AV34" s="688"/>
      <c r="AW34" s="689"/>
      <c r="AX34" s="689"/>
      <c r="AY34" s="689"/>
      <c r="AZ34" s="690"/>
      <c r="BA34" s="238"/>
      <c r="BB34" s="691"/>
      <c r="BC34" s="692"/>
      <c r="BD34" s="704"/>
      <c r="BE34" s="194"/>
      <c r="BF34" s="208"/>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row>
    <row r="35" spans="4:82" s="188" customFormat="1" ht="177.75" customHeight="1" thickBot="1">
      <c r="D35" s="705"/>
      <c r="E35" s="291"/>
      <c r="F35" s="291"/>
      <c r="G35" s="294"/>
      <c r="H35" s="291"/>
      <c r="I35" s="297"/>
      <c r="J35" s="297"/>
      <c r="K35" s="300"/>
      <c r="L35" s="303"/>
      <c r="M35" s="306"/>
      <c r="N35" s="306"/>
      <c r="O35" s="303"/>
      <c r="P35" s="309"/>
      <c r="Q35" s="282"/>
      <c r="R35" s="312"/>
      <c r="S35" s="288"/>
      <c r="T35" s="282"/>
      <c r="U35" s="288"/>
      <c r="V35" s="221">
        <v>4</v>
      </c>
      <c r="W35" s="222" t="s">
        <v>491</v>
      </c>
      <c r="X35" s="223" t="s">
        <v>492</v>
      </c>
      <c r="Y35" s="224" t="s">
        <v>252</v>
      </c>
      <c r="Z35" s="225" t="s">
        <v>179</v>
      </c>
      <c r="AA35" s="225" t="s">
        <v>165</v>
      </c>
      <c r="AB35" s="226" t="str">
        <f t="shared" si="1"/>
        <v>25%</v>
      </c>
      <c r="AC35" s="225" t="s">
        <v>166</v>
      </c>
      <c r="AD35" s="225" t="s">
        <v>154</v>
      </c>
      <c r="AE35" s="225" t="s">
        <v>412</v>
      </c>
      <c r="AF35" s="671" t="s">
        <v>538</v>
      </c>
      <c r="AG35" s="315"/>
      <c r="AH35" s="279"/>
      <c r="AI35" s="282"/>
      <c r="AJ35" s="279"/>
      <c r="AK35" s="282"/>
      <c r="AL35" s="279"/>
      <c r="AM35" s="285"/>
      <c r="AN35" s="706"/>
      <c r="AO35" s="707"/>
      <c r="AP35" s="707"/>
      <c r="AQ35" s="707"/>
      <c r="AR35" s="707"/>
      <c r="AS35" s="708"/>
      <c r="AT35" s="708"/>
      <c r="AU35" s="709"/>
      <c r="AV35" s="709"/>
      <c r="AW35" s="710"/>
      <c r="AX35" s="710"/>
      <c r="AY35" s="710"/>
      <c r="AZ35" s="711"/>
      <c r="BA35" s="237"/>
      <c r="BB35" s="712"/>
      <c r="BC35" s="713"/>
      <c r="BD35" s="714"/>
      <c r="BE35" s="194"/>
      <c r="BF35" s="208"/>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row>
    <row r="36" spans="4:82" ht="49.5" customHeight="1">
      <c r="D36" s="183"/>
      <c r="E36" s="184"/>
      <c r="F36" s="184"/>
      <c r="G36" s="184"/>
      <c r="H36" s="184"/>
      <c r="I36" s="361" t="s">
        <v>103</v>
      </c>
      <c r="J36" s="361"/>
      <c r="K36" s="361"/>
      <c r="L36" s="361"/>
      <c r="M36" s="361"/>
      <c r="N36" s="361"/>
      <c r="O36" s="361"/>
      <c r="P36" s="361"/>
      <c r="Q36" s="361"/>
      <c r="R36" s="361"/>
      <c r="S36" s="361"/>
      <c r="T36" s="361"/>
      <c r="U36" s="361"/>
      <c r="V36" s="361"/>
      <c r="W36" s="361"/>
      <c r="X36" s="361"/>
      <c r="Y36" s="361"/>
      <c r="Z36" s="361"/>
      <c r="AA36" s="361"/>
      <c r="AB36" s="361"/>
      <c r="AC36" s="361"/>
      <c r="AD36" s="361"/>
      <c r="AE36" s="361"/>
      <c r="AF36" s="361"/>
      <c r="AG36" s="361"/>
      <c r="AH36" s="361"/>
      <c r="AI36" s="361"/>
      <c r="AJ36" s="361"/>
      <c r="AK36" s="361"/>
      <c r="AL36" s="361"/>
      <c r="AM36" s="361"/>
      <c r="AN36" s="361"/>
      <c r="AO36" s="361"/>
      <c r="AP36" s="361"/>
      <c r="AQ36" s="361"/>
      <c r="AR36" s="361"/>
      <c r="AS36" s="361"/>
      <c r="AT36" s="361"/>
      <c r="AU36" s="361"/>
      <c r="AV36" s="361"/>
      <c r="AW36" s="361"/>
      <c r="AX36" s="361"/>
      <c r="AY36" s="361"/>
    </row>
    <row r="38" spans="4:82" ht="16">
      <c r="D38" s="104"/>
      <c r="E38" s="105"/>
      <c r="F38" s="105"/>
      <c r="G38" s="105"/>
      <c r="H38" s="105"/>
      <c r="I38" s="105"/>
      <c r="J38" s="105"/>
      <c r="K38" s="105"/>
      <c r="L38" s="169"/>
      <c r="M38" s="169"/>
      <c r="N38" s="169"/>
      <c r="P38" s="106"/>
      <c r="Q38" s="105"/>
      <c r="R38" s="105"/>
      <c r="S38" s="105"/>
      <c r="T38" s="105"/>
      <c r="U38" s="105"/>
      <c r="V38" s="105"/>
      <c r="W38" s="105"/>
      <c r="X38" s="105"/>
      <c r="Y38" s="107"/>
      <c r="Z38" s="107"/>
      <c r="AA38" s="105"/>
      <c r="AB38" s="105"/>
      <c r="AC38" s="105"/>
      <c r="AD38" s="105"/>
      <c r="AE38" s="105"/>
      <c r="AF38" s="105"/>
      <c r="AG38" s="105"/>
      <c r="AH38" s="105"/>
      <c r="AI38" s="105"/>
      <c r="AJ38" s="105"/>
      <c r="AK38" s="105"/>
      <c r="AL38" s="105"/>
      <c r="AM38" s="108"/>
      <c r="AN38" s="108"/>
      <c r="AO38" s="108"/>
      <c r="AP38" s="105"/>
      <c r="AQ38" s="105"/>
      <c r="AR38" s="105"/>
      <c r="AS38" s="105"/>
      <c r="AT38" s="105"/>
      <c r="AU38" s="105"/>
      <c r="AV38" s="105"/>
      <c r="AW38" s="105"/>
      <c r="AX38" s="105"/>
      <c r="AY38" s="105"/>
      <c r="AZ38" s="105"/>
      <c r="BA38" s="105"/>
    </row>
    <row r="39" spans="4:82" ht="18">
      <c r="D39" s="376" t="s">
        <v>104</v>
      </c>
      <c r="E39" s="376"/>
      <c r="F39" s="376"/>
      <c r="G39" s="376"/>
      <c r="H39" s="376"/>
      <c r="I39" s="376"/>
      <c r="J39" s="376"/>
      <c r="K39" s="376"/>
      <c r="L39" s="169"/>
      <c r="M39" s="169"/>
      <c r="N39" s="169"/>
      <c r="O39" s="373"/>
      <c r="P39" s="374"/>
      <c r="Q39" s="374"/>
      <c r="R39" s="375"/>
      <c r="S39" s="105"/>
      <c r="T39" s="105"/>
      <c r="U39" s="105"/>
      <c r="V39" s="105"/>
      <c r="W39" s="105"/>
      <c r="X39" s="108"/>
      <c r="Y39" s="107"/>
      <c r="Z39" s="107"/>
      <c r="AA39" s="105"/>
      <c r="AB39" s="107"/>
      <c r="AC39" s="107"/>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H39" s="169" t="s">
        <v>105</v>
      </c>
    </row>
    <row r="40" spans="4:82" ht="15" thickBot="1">
      <c r="D40" s="169"/>
      <c r="E40" s="169"/>
      <c r="F40" s="169"/>
      <c r="G40" s="169"/>
      <c r="H40" s="169"/>
      <c r="I40" s="169"/>
      <c r="J40" s="169"/>
      <c r="L40" s="169"/>
      <c r="M40" s="169"/>
      <c r="N40" s="169"/>
      <c r="P40" s="171" t="str">
        <f>+IFERROR(VLOOKUP(L40,$L$195:$P$199,3,FALSE)*VLOOKUP(O40,$O$195:$P$199,3,FALSE),"")</f>
        <v/>
      </c>
      <c r="Y40" s="171"/>
      <c r="Z40" s="185"/>
      <c r="AB40" s="185"/>
      <c r="AC40" s="185"/>
      <c r="AD40" s="186"/>
      <c r="AE40" s="186"/>
      <c r="AF40" s="186"/>
      <c r="AG40" s="186"/>
      <c r="AH40" s="186"/>
      <c r="AI40" s="109"/>
      <c r="AJ40" s="109"/>
      <c r="AK40" s="186"/>
      <c r="AL40" s="187"/>
      <c r="AQ40" s="186"/>
      <c r="AY40" s="186"/>
      <c r="AZ40" s="186"/>
      <c r="BH40" s="169" t="s">
        <v>106</v>
      </c>
    </row>
    <row r="41" spans="4:82" ht="17.75" customHeight="1" thickTop="1" thickBot="1">
      <c r="D41" s="359" t="s">
        <v>107</v>
      </c>
      <c r="E41" s="359"/>
      <c r="F41" s="359"/>
      <c r="G41" s="359"/>
      <c r="H41" s="359"/>
      <c r="I41" s="359"/>
      <c r="J41" s="359"/>
      <c r="K41" s="202" t="s">
        <v>108</v>
      </c>
      <c r="L41" s="359" t="s">
        <v>109</v>
      </c>
      <c r="M41" s="359"/>
      <c r="N41" s="359"/>
      <c r="O41" s="359"/>
      <c r="P41" s="359"/>
      <c r="Q41" s="359"/>
      <c r="R41" s="359"/>
      <c r="S41" s="360" t="s">
        <v>110</v>
      </c>
      <c r="T41" s="360"/>
      <c r="U41" s="360"/>
      <c r="V41" s="359" t="s">
        <v>111</v>
      </c>
      <c r="W41" s="359"/>
      <c r="X41" s="359"/>
      <c r="Y41" s="359"/>
      <c r="Z41" s="360">
        <v>1</v>
      </c>
      <c r="AA41" s="360"/>
      <c r="AB41" s="360"/>
      <c r="AC41" s="360"/>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0"/>
      <c r="BH41" s="169" t="s">
        <v>112</v>
      </c>
    </row>
    <row r="42" spans="4:82" ht="13.5" customHeight="1" thickTop="1">
      <c r="D42" s="365" t="s">
        <v>113</v>
      </c>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BH42" s="169" t="s">
        <v>114</v>
      </c>
    </row>
  </sheetData>
  <sheetProtection formatCells="0" formatColumns="0" formatRows="0" selectLockedCells="1"/>
  <protectedRanges>
    <protectedRange sqref="P1:P1048576" name="Rango1"/>
  </protectedRanges>
  <dataConsolidate/>
  <mergeCells count="235">
    <mergeCell ref="D21:D23"/>
    <mergeCell ref="D24:D27"/>
    <mergeCell ref="F21:F23"/>
    <mergeCell ref="G21:G23"/>
    <mergeCell ref="H21:H23"/>
    <mergeCell ref="I21:I23"/>
    <mergeCell ref="J21:J23"/>
    <mergeCell ref="L21:L23"/>
    <mergeCell ref="M21:M23"/>
    <mergeCell ref="N21:N23"/>
    <mergeCell ref="O21:O23"/>
    <mergeCell ref="P21:P23"/>
    <mergeCell ref="Q21:Q23"/>
    <mergeCell ref="R21:R23"/>
    <mergeCell ref="S21:S23"/>
    <mergeCell ref="T21:T23"/>
    <mergeCell ref="U21:U23"/>
    <mergeCell ref="F24:F27"/>
    <mergeCell ref="G24:G27"/>
    <mergeCell ref="H24:H27"/>
    <mergeCell ref="I24:I27"/>
    <mergeCell ref="J24:J27"/>
    <mergeCell ref="D42:AC42"/>
    <mergeCell ref="M13:N13"/>
    <mergeCell ref="AF12:AF14"/>
    <mergeCell ref="A11:C11"/>
    <mergeCell ref="F13:F14"/>
    <mergeCell ref="G13:G14"/>
    <mergeCell ref="D41:J41"/>
    <mergeCell ref="O39:R39"/>
    <mergeCell ref="L41:R41"/>
    <mergeCell ref="S41:U41"/>
    <mergeCell ref="D39:K39"/>
    <mergeCell ref="T32:T35"/>
    <mergeCell ref="D19:D20"/>
    <mergeCell ref="E19:E20"/>
    <mergeCell ref="F19:F20"/>
    <mergeCell ref="G19:G20"/>
    <mergeCell ref="H19:H20"/>
    <mergeCell ref="I19:I20"/>
    <mergeCell ref="J19:J20"/>
    <mergeCell ref="K19:K20"/>
    <mergeCell ref="L19:L20"/>
    <mergeCell ref="M19:M20"/>
    <mergeCell ref="N19:N20"/>
    <mergeCell ref="O19:O20"/>
    <mergeCell ref="AH13:AH14"/>
    <mergeCell ref="O13:O14"/>
    <mergeCell ref="P13:P14"/>
    <mergeCell ref="Q13:Q14"/>
    <mergeCell ref="S13:S14"/>
    <mergeCell ref="T13:T14"/>
    <mergeCell ref="L15:L18"/>
    <mergeCell ref="M15:M18"/>
    <mergeCell ref="D15:D18"/>
    <mergeCell ref="E15:E18"/>
    <mergeCell ref="U15:U18"/>
    <mergeCell ref="AG15:AG18"/>
    <mergeCell ref="AH15:AH18"/>
    <mergeCell ref="W13:W14"/>
    <mergeCell ref="D13:D14"/>
    <mergeCell ref="R15:R18"/>
    <mergeCell ref="T15:T18"/>
    <mergeCell ref="I15:I18"/>
    <mergeCell ref="J15:J18"/>
    <mergeCell ref="K15:K18"/>
    <mergeCell ref="F15:F18"/>
    <mergeCell ref="N15:N18"/>
    <mergeCell ref="O15:O18"/>
    <mergeCell ref="G15:G18"/>
    <mergeCell ref="AS11:AY12"/>
    <mergeCell ref="V41:Y41"/>
    <mergeCell ref="Z41:AC41"/>
    <mergeCell ref="I36:AY36"/>
    <mergeCell ref="AM15:AM18"/>
    <mergeCell ref="AH32:AH35"/>
    <mergeCell ref="AI15:AI18"/>
    <mergeCell ref="AG32:AG35"/>
    <mergeCell ref="AI13:AI14"/>
    <mergeCell ref="AI32:AI35"/>
    <mergeCell ref="AK15:AK18"/>
    <mergeCell ref="AJ15:AJ18"/>
    <mergeCell ref="AL15:AL18"/>
    <mergeCell ref="AK32:AK35"/>
    <mergeCell ref="V13:V14"/>
    <mergeCell ref="Q32:Q35"/>
    <mergeCell ref="P15:P18"/>
    <mergeCell ref="Q15:Q18"/>
    <mergeCell ref="S15:S18"/>
    <mergeCell ref="AO12:AR12"/>
    <mergeCell ref="R32:R35"/>
    <mergeCell ref="S32:S35"/>
    <mergeCell ref="U32:U35"/>
    <mergeCell ref="AZ11:BB12"/>
    <mergeCell ref="BC11:BD12"/>
    <mergeCell ref="U13:U14"/>
    <mergeCell ref="AX13:AX14"/>
    <mergeCell ref="AR13:AR14"/>
    <mergeCell ref="AQ13:AQ14"/>
    <mergeCell ref="AP13:AP14"/>
    <mergeCell ref="AJ13:AJ14"/>
    <mergeCell ref="D11:AR11"/>
    <mergeCell ref="AS13:AS14"/>
    <mergeCell ref="BA13:BA14"/>
    <mergeCell ref="AW13:AW14"/>
    <mergeCell ref="AY13:AY14"/>
    <mergeCell ref="BC13:BC14"/>
    <mergeCell ref="E13:E14"/>
    <mergeCell ref="Y13:Y14"/>
    <mergeCell ref="H13:H14"/>
    <mergeCell ref="BB13:BB14"/>
    <mergeCell ref="BD13:BD14"/>
    <mergeCell ref="AZ13:AZ14"/>
    <mergeCell ref="AU13:AU14"/>
    <mergeCell ref="AV13:AV14"/>
    <mergeCell ref="AT13:AT14"/>
    <mergeCell ref="AN13:AN14"/>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D8:G8"/>
    <mergeCell ref="D9:G9"/>
    <mergeCell ref="AO13:AO14"/>
    <mergeCell ref="AG12:AM12"/>
    <mergeCell ref="Z13:AE13"/>
    <mergeCell ref="H9:BD9"/>
    <mergeCell ref="H8:BD8"/>
    <mergeCell ref="AM32:AM35"/>
    <mergeCell ref="AJ32:AJ35"/>
    <mergeCell ref="AL32:AL35"/>
    <mergeCell ref="AJ19:AJ20"/>
    <mergeCell ref="AK19:AK20"/>
    <mergeCell ref="AL19:AL20"/>
    <mergeCell ref="AM19:AM20"/>
    <mergeCell ref="AI19:AI20"/>
    <mergeCell ref="AI24:AI27"/>
    <mergeCell ref="AJ24:AJ27"/>
    <mergeCell ref="AK24:AK27"/>
    <mergeCell ref="AL24:AL27"/>
    <mergeCell ref="AM24:AM27"/>
    <mergeCell ref="AH19:AH20"/>
    <mergeCell ref="E32:E35"/>
    <mergeCell ref="D32:D35"/>
    <mergeCell ref="F32:F35"/>
    <mergeCell ref="G32:G35"/>
    <mergeCell ref="H32:H35"/>
    <mergeCell ref="J32:J35"/>
    <mergeCell ref="L32:L35"/>
    <mergeCell ref="N32:N35"/>
    <mergeCell ref="P32:P35"/>
    <mergeCell ref="I32:I35"/>
    <mergeCell ref="O32:O35"/>
    <mergeCell ref="K32:K35"/>
    <mergeCell ref="M32:M35"/>
    <mergeCell ref="D28:D31"/>
    <mergeCell ref="L24:L27"/>
    <mergeCell ref="M24:M27"/>
    <mergeCell ref="N24:N27"/>
    <mergeCell ref="O24:O27"/>
    <mergeCell ref="P24:P27"/>
    <mergeCell ref="Q24:Q27"/>
    <mergeCell ref="R24:R27"/>
    <mergeCell ref="S24:S27"/>
    <mergeCell ref="T24:T27"/>
    <mergeCell ref="E24:E27"/>
    <mergeCell ref="H15:H18"/>
    <mergeCell ref="P19:P20"/>
    <mergeCell ref="Q19:Q20"/>
    <mergeCell ref="R19:R20"/>
    <mergeCell ref="S19:S20"/>
    <mergeCell ref="T19:T20"/>
    <mergeCell ref="U19:U20"/>
    <mergeCell ref="AG19:AG20"/>
    <mergeCell ref="U24:U27"/>
    <mergeCell ref="V26:V27"/>
    <mergeCell ref="W26:W27"/>
    <mergeCell ref="X26:X27"/>
    <mergeCell ref="Y26:Y27"/>
    <mergeCell ref="Z26:Z27"/>
    <mergeCell ref="AA26:AA27"/>
    <mergeCell ref="AB26:AB27"/>
    <mergeCell ref="AC26:AC27"/>
    <mergeCell ref="AD26:AD27"/>
    <mergeCell ref="AE26:AE27"/>
    <mergeCell ref="AF26:AF27"/>
    <mergeCell ref="K24:K27"/>
    <mergeCell ref="E21:E23"/>
    <mergeCell ref="K21:K23"/>
    <mergeCell ref="U28:U31"/>
    <mergeCell ref="AG28:AG31"/>
    <mergeCell ref="AL28:AL31"/>
    <mergeCell ref="AM28:AM31"/>
    <mergeCell ref="E28:E31"/>
    <mergeCell ref="F28:F31"/>
    <mergeCell ref="G28:G31"/>
    <mergeCell ref="H28:H31"/>
    <mergeCell ref="I28:I31"/>
    <mergeCell ref="J28:J31"/>
    <mergeCell ref="K28:K31"/>
    <mergeCell ref="L28:L31"/>
    <mergeCell ref="M28:M31"/>
    <mergeCell ref="N28:N31"/>
    <mergeCell ref="O28:O31"/>
    <mergeCell ref="P28:P31"/>
    <mergeCell ref="Q28:Q31"/>
    <mergeCell ref="R28:R31"/>
    <mergeCell ref="S28:S31"/>
    <mergeCell ref="T28:T31"/>
    <mergeCell ref="AG21:AG23"/>
    <mergeCell ref="AH21:AH23"/>
    <mergeCell ref="AI21:AI23"/>
    <mergeCell ref="AJ21:AJ23"/>
    <mergeCell ref="AK21:AK23"/>
    <mergeCell ref="AL21:AL23"/>
    <mergeCell ref="AM21:AM23"/>
    <mergeCell ref="AG24:AG27"/>
    <mergeCell ref="AH24:AH27"/>
    <mergeCell ref="AH28:AH31"/>
    <mergeCell ref="AI28:AI31"/>
    <mergeCell ref="AJ28:AJ31"/>
    <mergeCell ref="AK28:AK31"/>
  </mergeCells>
  <conditionalFormatting sqref="P15 AH15 P32 AH32">
    <cfRule type="cellIs" dxfId="91" priority="135" operator="equal">
      <formula>"Muy Alta"</formula>
    </cfRule>
    <cfRule type="cellIs" dxfId="90" priority="136" operator="equal">
      <formula>"Alta"</formula>
    </cfRule>
    <cfRule type="cellIs" dxfId="89" priority="137" operator="equal">
      <formula>"Media"</formula>
    </cfRule>
    <cfRule type="cellIs" dxfId="88" priority="138" operator="equal">
      <formula>"Baja"</formula>
    </cfRule>
    <cfRule type="cellIs" dxfId="87" priority="139" operator="equal">
      <formula>"Muy Baja"</formula>
    </cfRule>
  </conditionalFormatting>
  <conditionalFormatting sqref="P17 AH17">
    <cfRule type="cellIs" dxfId="86" priority="80" operator="equal">
      <formula>"Muy Alta"</formula>
    </cfRule>
    <cfRule type="cellIs" dxfId="85" priority="81" operator="equal">
      <formula>"Alta"</formula>
    </cfRule>
    <cfRule type="cellIs" dxfId="84" priority="82" operator="equal">
      <formula>"Media"</formula>
    </cfRule>
    <cfRule type="cellIs" dxfId="83" priority="83" operator="equal">
      <formula>"Baja"</formula>
    </cfRule>
    <cfRule type="cellIs" dxfId="82" priority="84" operator="equal">
      <formula>"Muy Baja"</formula>
    </cfRule>
  </conditionalFormatting>
  <conditionalFormatting sqref="P19 AH19">
    <cfRule type="cellIs" dxfId="81" priority="66" operator="equal">
      <formula>"Muy Alta"</formula>
    </cfRule>
    <cfRule type="cellIs" dxfId="80" priority="67" operator="equal">
      <formula>"Alta"</formula>
    </cfRule>
    <cfRule type="cellIs" dxfId="79" priority="68" operator="equal">
      <formula>"Media"</formula>
    </cfRule>
    <cfRule type="cellIs" dxfId="78" priority="69" operator="equal">
      <formula>"Baja"</formula>
    </cfRule>
    <cfRule type="cellIs" dxfId="77" priority="70" operator="equal">
      <formula>"Muy Baja"</formula>
    </cfRule>
  </conditionalFormatting>
  <conditionalFormatting sqref="P21 AH21">
    <cfRule type="cellIs" dxfId="76" priority="38" operator="equal">
      <formula>"Muy Alta"</formula>
    </cfRule>
    <cfRule type="cellIs" dxfId="75" priority="39" operator="equal">
      <formula>"Alta"</formula>
    </cfRule>
    <cfRule type="cellIs" dxfId="74" priority="40" operator="equal">
      <formula>"Media"</formula>
    </cfRule>
    <cfRule type="cellIs" dxfId="73" priority="41" operator="equal">
      <formula>"Baja"</formula>
    </cfRule>
    <cfRule type="cellIs" dxfId="72" priority="42" operator="equal">
      <formula>"Muy Baja"</formula>
    </cfRule>
  </conditionalFormatting>
  <conditionalFormatting sqref="P24 AH24">
    <cfRule type="cellIs" dxfId="71" priority="52" operator="equal">
      <formula>"Muy Alta"</formula>
    </cfRule>
    <cfRule type="cellIs" dxfId="70" priority="53" operator="equal">
      <formula>"Alta"</formula>
    </cfRule>
    <cfRule type="cellIs" dxfId="69" priority="54" operator="equal">
      <formula>"Media"</formula>
    </cfRule>
    <cfRule type="cellIs" dxfId="68" priority="55" operator="equal">
      <formula>"Baja"</formula>
    </cfRule>
    <cfRule type="cellIs" dxfId="67" priority="56" operator="equal">
      <formula>"Muy Baja"</formula>
    </cfRule>
  </conditionalFormatting>
  <conditionalFormatting sqref="P28 AH28">
    <cfRule type="cellIs" dxfId="66" priority="24" operator="equal">
      <formula>"Muy Alta"</formula>
    </cfRule>
    <cfRule type="cellIs" dxfId="65" priority="25" operator="equal">
      <formula>"Alta"</formula>
    </cfRule>
    <cfRule type="cellIs" dxfId="64" priority="26" operator="equal">
      <formula>"Media"</formula>
    </cfRule>
    <cfRule type="cellIs" dxfId="63" priority="27" operator="equal">
      <formula>"Baja"</formula>
    </cfRule>
    <cfRule type="cellIs" dxfId="62" priority="28" operator="equal">
      <formula>"Muy Baja"</formula>
    </cfRule>
  </conditionalFormatting>
  <conditionalFormatting sqref="S15 AJ15 S32 AJ32">
    <cfRule type="cellIs" dxfId="61" priority="130" operator="equal">
      <formula>"Catastrófico"</formula>
    </cfRule>
    <cfRule type="cellIs" dxfId="60" priority="131" operator="equal">
      <formula>"Mayor"</formula>
    </cfRule>
    <cfRule type="cellIs" dxfId="59" priority="132" operator="equal">
      <formula>"Moderado"</formula>
    </cfRule>
    <cfRule type="cellIs" dxfId="58" priority="133" operator="equal">
      <formula>"Menor"</formula>
    </cfRule>
    <cfRule type="cellIs" dxfId="57" priority="134" operator="equal">
      <formula>"Leve"</formula>
    </cfRule>
  </conditionalFormatting>
  <conditionalFormatting sqref="S17 AJ17">
    <cfRule type="cellIs" dxfId="56" priority="75" operator="equal">
      <formula>"Catastrófico"</formula>
    </cfRule>
    <cfRule type="cellIs" dxfId="55" priority="76" operator="equal">
      <formula>"Mayor"</formula>
    </cfRule>
    <cfRule type="cellIs" dxfId="54" priority="77" operator="equal">
      <formula>"Moderado"</formula>
    </cfRule>
    <cfRule type="cellIs" dxfId="53" priority="78" operator="equal">
      <formula>"Menor"</formula>
    </cfRule>
    <cfRule type="cellIs" dxfId="52" priority="79" operator="equal">
      <formula>"Leve"</formula>
    </cfRule>
  </conditionalFormatting>
  <conditionalFormatting sqref="S19 AJ19">
    <cfRule type="cellIs" dxfId="51" priority="61" operator="equal">
      <formula>"Catastrófico"</formula>
    </cfRule>
    <cfRule type="cellIs" dxfId="50" priority="62" operator="equal">
      <formula>"Mayor"</formula>
    </cfRule>
    <cfRule type="cellIs" dxfId="49" priority="63" operator="equal">
      <formula>"Moderado"</formula>
    </cfRule>
    <cfRule type="cellIs" dxfId="48" priority="64" operator="equal">
      <formula>"Menor"</formula>
    </cfRule>
    <cfRule type="cellIs" dxfId="47" priority="65" operator="equal">
      <formula>"Leve"</formula>
    </cfRule>
  </conditionalFormatting>
  <conditionalFormatting sqref="S21 AJ21">
    <cfRule type="cellIs" dxfId="46" priority="33" operator="equal">
      <formula>"Catastrófico"</formula>
    </cfRule>
    <cfRule type="cellIs" dxfId="45" priority="34" operator="equal">
      <formula>"Mayor"</formula>
    </cfRule>
    <cfRule type="cellIs" dxfId="44" priority="35" operator="equal">
      <formula>"Moderado"</formula>
    </cfRule>
    <cfRule type="cellIs" dxfId="43" priority="36" operator="equal">
      <formula>"Menor"</formula>
    </cfRule>
    <cfRule type="cellIs" dxfId="42" priority="37" operator="equal">
      <formula>"Leve"</formula>
    </cfRule>
  </conditionalFormatting>
  <conditionalFormatting sqref="S24 AJ24">
    <cfRule type="cellIs" dxfId="41" priority="47" operator="equal">
      <formula>"Catastrófico"</formula>
    </cfRule>
    <cfRule type="cellIs" dxfId="40" priority="48" operator="equal">
      <formula>"Mayor"</formula>
    </cfRule>
    <cfRule type="cellIs" dxfId="39" priority="49" operator="equal">
      <formula>"Moderado"</formula>
    </cfRule>
    <cfRule type="cellIs" dxfId="38" priority="50" operator="equal">
      <formula>"Menor"</formula>
    </cfRule>
    <cfRule type="cellIs" dxfId="37" priority="51" operator="equal">
      <formula>"Leve"</formula>
    </cfRule>
  </conditionalFormatting>
  <conditionalFormatting sqref="S28 AJ28">
    <cfRule type="cellIs" dxfId="36" priority="19" operator="equal">
      <formula>"Catastrófico"</formula>
    </cfRule>
    <cfRule type="cellIs" dxfId="35" priority="20" operator="equal">
      <formula>"Mayor"</formula>
    </cfRule>
    <cfRule type="cellIs" dxfId="34" priority="21" operator="equal">
      <formula>"Moderado"</formula>
    </cfRule>
    <cfRule type="cellIs" dxfId="33" priority="22" operator="equal">
      <formula>"Menor"</formula>
    </cfRule>
    <cfRule type="cellIs" dxfId="32" priority="23" operator="equal">
      <formula>"Leve"</formula>
    </cfRule>
  </conditionalFormatting>
  <conditionalFormatting sqref="U15 AL15 U32 AL32">
    <cfRule type="cellIs" dxfId="31" priority="126" operator="equal">
      <formula>"Extremo"</formula>
    </cfRule>
    <cfRule type="cellIs" dxfId="30" priority="127" operator="equal">
      <formula>"Alto"</formula>
    </cfRule>
    <cfRule type="cellIs" dxfId="29" priority="128" operator="equal">
      <formula>"Moderado"</formula>
    </cfRule>
    <cfRule type="cellIs" dxfId="28" priority="129" operator="equal">
      <formula>"Bajo"</formula>
    </cfRule>
  </conditionalFormatting>
  <conditionalFormatting sqref="U17 AL17">
    <cfRule type="cellIs" dxfId="27" priority="71" operator="equal">
      <formula>"Extremo"</formula>
    </cfRule>
    <cfRule type="cellIs" dxfId="26" priority="72" operator="equal">
      <formula>"Alto"</formula>
    </cfRule>
    <cfRule type="cellIs" dxfId="25" priority="73" operator="equal">
      <formula>"Moderado"</formula>
    </cfRule>
    <cfRule type="cellIs" dxfId="24" priority="74" operator="equal">
      <formula>"Bajo"</formula>
    </cfRule>
  </conditionalFormatting>
  <conditionalFormatting sqref="U19 AL19">
    <cfRule type="cellIs" dxfId="23" priority="57" operator="equal">
      <formula>"Extremo"</formula>
    </cfRule>
    <cfRule type="cellIs" dxfId="22" priority="58" operator="equal">
      <formula>"Alto"</formula>
    </cfRule>
    <cfRule type="cellIs" dxfId="21" priority="59" operator="equal">
      <formula>"Moderado"</formula>
    </cfRule>
    <cfRule type="cellIs" dxfId="20" priority="60" operator="equal">
      <formula>"Bajo"</formula>
    </cfRule>
  </conditionalFormatting>
  <conditionalFormatting sqref="U21 AL21">
    <cfRule type="cellIs" dxfId="19" priority="29" operator="equal">
      <formula>"Extremo"</formula>
    </cfRule>
    <cfRule type="cellIs" dxfId="18" priority="30" operator="equal">
      <formula>"Alto"</formula>
    </cfRule>
    <cfRule type="cellIs" dxfId="17" priority="31" operator="equal">
      <formula>"Moderado"</formula>
    </cfRule>
    <cfRule type="cellIs" dxfId="16" priority="32" operator="equal">
      <formula>"Bajo"</formula>
    </cfRule>
  </conditionalFormatting>
  <conditionalFormatting sqref="U24 AL24">
    <cfRule type="cellIs" dxfId="15" priority="43" operator="equal">
      <formula>"Extremo"</formula>
    </cfRule>
    <cfRule type="cellIs" dxfId="14" priority="44" operator="equal">
      <formula>"Alto"</formula>
    </cfRule>
    <cfRule type="cellIs" dxfId="13" priority="45" operator="equal">
      <formula>"Moderado"</formula>
    </cfRule>
    <cfRule type="cellIs" dxfId="12" priority="46" operator="equal">
      <formula>"Bajo"</formula>
    </cfRule>
  </conditionalFormatting>
  <conditionalFormatting sqref="U28 AL28">
    <cfRule type="cellIs" dxfId="11" priority="15" operator="equal">
      <formula>"Extremo"</formula>
    </cfRule>
    <cfRule type="cellIs" dxfId="10" priority="16" operator="equal">
      <formula>"Alto"</formula>
    </cfRule>
    <cfRule type="cellIs" dxfId="9" priority="17" operator="equal">
      <formula>"Moderado"</formula>
    </cfRule>
    <cfRule type="cellIs" dxfId="8" priority="18" operator="equal">
      <formula>"Bajo"</formula>
    </cfRule>
  </conditionalFormatting>
  <conditionalFormatting sqref="AI38:AI40">
    <cfRule type="cellIs" dxfId="7" priority="100" operator="equal">
      <formula>#REF!</formula>
    </cfRule>
    <cfRule type="cellIs" dxfId="6" priority="101" operator="equal">
      <formula>#REF!</formula>
    </cfRule>
  </conditionalFormatting>
  <conditionalFormatting sqref="AI38:AJ40">
    <cfRule type="cellIs" dxfId="5" priority="99" stopIfTrue="1" operator="equal">
      <formula>#REF!</formula>
    </cfRule>
  </conditionalFormatting>
  <conditionalFormatting sqref="AJ38:AJ40">
    <cfRule type="cellIs" dxfId="4" priority="103" stopIfTrue="1" operator="equal">
      <formula>#REF!</formula>
    </cfRule>
    <cfRule type="cellIs" dxfId="3" priority="104" stopIfTrue="1" operator="equal">
      <formula>#REF!</formula>
    </cfRule>
  </conditionalFormatting>
  <dataValidations count="9">
    <dataValidation type="list" allowBlank="1" showInputMessage="1" showErrorMessage="1" sqref="K38" xr:uid="{2D65D8DD-9900-453E-8C81-8F2130A1765F}">
      <formula1>$K$195:$K$204</formula1>
    </dataValidation>
    <dataValidation type="list" allowBlank="1" showInputMessage="1" showErrorMessage="1" sqref="K40 AI40:AJ40" xr:uid="{15A49FC8-02AC-4160-A784-9D732EAEDC55}">
      <formula1>#REF!</formula1>
    </dataValidation>
    <dataValidation type="list" allowBlank="1" showInputMessage="1" showErrorMessage="1" sqref="Y40" xr:uid="{E164473E-6148-4321-AECD-9D21E94BB852}">
      <formula1>$R$195:$R$196</formula1>
    </dataValidation>
    <dataValidation type="list" allowBlank="1" showInputMessage="1" showErrorMessage="1" sqref="O40" xr:uid="{4C90384E-938C-4177-97DE-58AFB9969DB2}">
      <formula1>$O$195:$O$199</formula1>
    </dataValidation>
    <dataValidation type="list" allowBlank="1" showInputMessage="1" showErrorMessage="1" sqref="L40:N40" xr:uid="{BDD5DCED-2141-48EB-9B95-49261CCE0191}">
      <formula1>$L$195:$L$199</formula1>
    </dataValidation>
    <dataValidation type="list" allowBlank="1" showInputMessage="1" showErrorMessage="1" sqref="AB40:AH40 AY40:AZ40 AQ40 Z40" xr:uid="{88995FFC-D18A-434A-B2EB-C4C203CC3A97}">
      <formula1>$AQ$195:$AQ$202</formula1>
    </dataValidation>
    <dataValidation type="custom" allowBlank="1" showInputMessage="1" showErrorMessage="1" error="Recuerde que las acciones se generan bajo la medida de mitigar el riesgo" sqref="AP32 AP15:AP19 AQ18 AP24 AP21 AP28:AP29" xr:uid="{1A313A27-D085-4E6E-99D8-64FBDEEB1C1A}"/>
    <dataValidation type="list" allowBlank="1" showInputMessage="1" showErrorMessage="1" sqref="R15:R21 R24 R28:R35" xr:uid="{E00B7ACA-2BF2-4C23-B182-4E1FC3E5D3CB}">
      <formula1>Criterios_Impacto</formula1>
    </dataValidation>
    <dataValidation type="list" allowBlank="1" showInputMessage="1" showErrorMessage="1" error="Recuerde que las acciones se generan bajo la medida de mitigar el riesgo" sqref="AY15:AY35" xr:uid="{F5B8D9B9-55B2-4E49-A98D-3205E2054A21}">
      <formula1>$BH$39:$BH$42</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7">
        <x14:dataValidation type="list" allowBlank="1" showInputMessage="1" showErrorMessage="1" xr:uid="{02DBF524-B5ED-414C-810C-05A3C9B84BBB}">
          <x14:formula1>
            <xm:f>'Opciones Tratamiento'!$B$13:$B$19</xm:f>
          </x14:formula1>
          <xm:sqref>L17 L15 L19:L21 L24 L28:L35</xm:sqref>
        </x14:dataValidation>
        <x14:dataValidation type="list" allowBlank="1" showInputMessage="1" showErrorMessage="1" xr:uid="{9CC7D1B6-68C0-47A0-848F-AB7683A9DF1E}">
          <x14:formula1>
            <xm:f>'Opciones Tratamiento'!$B$2:$B$5</xm:f>
          </x14:formula1>
          <xm:sqref>AM32 AM15 AM17 AM19 AM24 AM21 AM28</xm:sqref>
        </x14:dataValidation>
        <x14:dataValidation type="list" allowBlank="1" showInputMessage="1" showErrorMessage="1" xr:uid="{8CC0ED8D-1654-45B0-9E4C-1486DEBADFD6}">
          <x14:formula1>
            <xm:f>Listas!$B$2:$B$7</xm:f>
          </x14:formula1>
          <xm:sqref>H17 H15 H19:H21 H24 H28:H35</xm:sqref>
        </x14:dataValidation>
        <x14:dataValidation type="list" allowBlank="1" showInputMessage="1" showErrorMessage="1" xr:uid="{8EA754FB-CA37-4B85-97D9-2BAF01744524}">
          <x14:formula1>
            <xm:f>Listas!$C$2:$C$6</xm:f>
          </x14:formula1>
          <xm:sqref>M17 M15 M19:M21 M24 M28:M35</xm:sqref>
        </x14:dataValidation>
        <x14:dataValidation type="list" allowBlank="1" showInputMessage="1" showErrorMessage="1" xr:uid="{0BBF1903-C122-4BD9-825C-6A561FECD9E2}">
          <x14:formula1>
            <xm:f>Listas!$D$2:$D$5</xm:f>
          </x14:formula1>
          <xm:sqref>N17 N15 N19:N21 N24 N28:N35</xm:sqref>
        </x14:dataValidation>
        <x14:dataValidation type="list" allowBlank="1" showInputMessage="1" showErrorMessage="1" xr:uid="{AF3B0159-764A-496A-89AD-4C1F1982A49A}">
          <x14:formula1>
            <xm:f>Formulas!$B$3:$B$18</xm:f>
          </x14:formula1>
          <xm:sqref>E17 E19:E21 E24 E28:E35</xm:sqref>
        </x14:dataValidation>
        <x14:dataValidation type="list" allowBlank="1" showInputMessage="1" showErrorMessage="1" xr:uid="{C4561628-08D9-430A-A1FA-CAA8D1875BDE}">
          <x14:formula1>
            <xm:f>Formulas!$E$3:$E$23</xm:f>
          </x14:formula1>
          <xm:sqref>G17 G19:G21 G24 G28:G35</xm:sqref>
        </x14:dataValidation>
        <x14:dataValidation type="custom" allowBlank="1" showInputMessage="1" showErrorMessage="1" error="Recuerde que las acciones se generan bajo la medida de mitigar el riesgo" xr:uid="{2B010644-2ACD-48CA-B0EB-BE2D9DD39242}">
          <x14:formula1>
            <xm:f>IF(OR(AM18='Opciones Tratamiento'!$B$2,AM18='Opciones Tratamiento'!$B$3,AM18='Opciones Tratamiento'!$B$4),ISBLANK(AM18),ISTEXT(AM18))</xm:f>
          </x14:formula1>
          <xm:sqref>AU33:AU35 AR32 AR24 AR21 AR28:AR29 AU29:AU31 AU20 AR17:AR19</xm:sqref>
        </x14:dataValidation>
        <x14:dataValidation type="custom" allowBlank="1" showInputMessage="1" showErrorMessage="1" error="Recuerde que las acciones se generan bajo la medida de mitigar el riesgo" xr:uid="{E34D922E-ADC9-45D6-A38B-C2B861BA3ECB}">
          <x14:formula1>
            <xm:f>IF(OR(#REF!='Opciones Tratamiento'!$B$2,#REF!='Opciones Tratamiento'!$B$3,#REF!='Opciones Tratamiento'!$B$4),ISBLANK(#REF!),ISTEXT(#REF!))</xm:f>
          </x14:formula1>
          <xm:sqref>BC15:BD15 AU22 AQ24 AU24:AU27 BD16:BD35</xm:sqref>
        </x14:dataValidation>
        <x14:dataValidation type="custom" allowBlank="1" showInputMessage="1" showErrorMessage="1" error="Recuerde que las acciones se generan bajo la medida de mitigar el riesgo" xr:uid="{0C491AE4-AB5F-4FB0-B3B4-7D432A8E3604}">
          <x14:formula1>
            <xm:f>IF(OR(AM18='Opciones Tratamiento'!$B$2,AM18='Opciones Tratamiento'!$B$3,AM18='Opciones Tratamiento'!$B$4),ISBLANK(AM18),ISTEXT(AM18))</xm:f>
          </x14:formula1>
          <xm:sqref>AQ15 AU32 AQ32 AU28 AQ28:AQ29</xm:sqref>
        </x14:dataValidation>
        <x14:dataValidation type="list" allowBlank="1" showInputMessage="1" showErrorMessage="1" xr:uid="{9E73F312-360A-4AC4-A709-369B49EECB5D}">
          <x14:formula1>
            <xm:f>Formulas!$B$3:$B$6</xm:f>
          </x14:formula1>
          <xm:sqref>E15:E16 E18</xm:sqref>
        </x14:dataValidation>
        <x14:dataValidation type="list" allowBlank="1" showInputMessage="1" showErrorMessage="1" xr:uid="{FA6E5E43-ACDB-4AAD-9DB5-850D78489D87}">
          <x14:formula1>
            <xm:f>Formulas!$E$3:$E$5</xm:f>
          </x14:formula1>
          <xm:sqref>G15:G16 G18</xm:sqref>
        </x14:dataValidation>
        <x14:dataValidation type="list" allowBlank="1" showInputMessage="1" showErrorMessage="1" error="Recuerde que las acciones se generan bajo la medida de mitigar el riesgo" xr:uid="{52D49A31-32C7-44DA-9006-C6B692A1913B}">
          <x14:formula1>
            <xm:f>Formulas!$H$3:$H$4</xm:f>
          </x14:formula1>
          <xm:sqref>AT15</xm:sqref>
        </x14:dataValidation>
        <x14:dataValidation type="custom" allowBlank="1" showInputMessage="1" showErrorMessage="1" error="Recuerde que las acciones se generan bajo la medida de mitigar el riesgo" xr:uid="{D8E15020-1DE1-4BB2-8748-50A7A7DC213C}">
          <x14:formula1>
            <xm:f>IF(OR(AQ17='Opciones Tratamiento'!$B$2,AQ17='Opciones Tratamiento'!$B$3,AQ17='Opciones Tratamiento'!$B$4),ISBLANK(AQ17),ISTEXT(AQ17))</xm:f>
          </x14:formula1>
          <xm:sqref>AV17:AX17 AV19:AX35</xm:sqref>
        </x14:dataValidation>
        <x14:dataValidation type="custom" allowBlank="1" showInputMessage="1" showErrorMessage="1" error="Recuerde que las acciones se generan bajo la medida de mitigar el riesgo" xr:uid="{B281EFEB-CC94-4578-8873-078407794D3A}">
          <x14:formula1>
            <xm:f>IF(OR(AM18='Opciones Tratamiento'!$B$2,AM18='Opciones Tratamiento'!$B$3,AM18='Opciones Tratamiento'!$B$4),ISBLANK(AM18),ISTEXT(AM18))</xm:f>
          </x14:formula1>
          <xm:sqref>AU15:AX15 AR15:AS15</xm:sqref>
        </x14:dataValidation>
        <x14:dataValidation type="custom" allowBlank="1" showInputMessage="1" showErrorMessage="1" error="Recuerde que las acciones se generan bajo la medida de mitigar el riesgo" xr:uid="{36EF210C-39D5-4BD8-8FA5-F34BD7679FAE}">
          <x14:formula1>
            <xm:f>IF(OR(AP18='Opciones Tratamiento'!$B$2,AP18='Opciones Tratamiento'!$B$3,AP18='Opciones Tratamiento'!$B$4),ISBLANK(AP18),ISTEXT(AP18))</xm:f>
          </x14:formula1>
          <xm:sqref>AU16 AU23</xm:sqref>
        </x14:dataValidation>
        <x14:dataValidation type="custom" allowBlank="1" showInputMessage="1" showErrorMessage="1" error="Recuerde que las acciones se generan bajo la medida de mitigar el riesgo" xr:uid="{D900F3CF-1A54-486B-B9C4-A128294C26C8}">
          <x14:formula1>
            <xm:f>IF(OR(AP32='Opciones Tratamiento'!$B$2,AP32='Opciones Tratamiento'!$B$3,AP32='Opciones Tratamiento'!$B$4),ISBLANK(AP32),ISTEXT(AP32))</xm:f>
          </x14:formula1>
          <xm:sqref>AU18</xm:sqref>
        </x14:dataValidation>
        <x14:dataValidation type="custom" allowBlank="1" showInputMessage="1" showErrorMessage="1" error="Recuerde que las acciones se generan bajo la medida de mitigar el riesgo" xr:uid="{BE7DE0BF-0123-4DCB-BD7C-5CF0E39B04FE}">
          <x14:formula1>
            <xm:f>IF(OR(AM33='Opciones Tratamiento'!$B$2,AM33='Opciones Tratamiento'!$B$3,AM33='Opciones Tratamiento'!$B$4),ISBLANK(AM33),ISTEXT(AM33))</xm:f>
          </x14:formula1>
          <xm:sqref>AQ17 AU17</xm:sqref>
        </x14:dataValidation>
        <x14:dataValidation type="custom" allowBlank="1" showInputMessage="1" showErrorMessage="1" error="Recuerde que las acciones se generan bajo la medida de mitigar el riesgo" xr:uid="{4960699C-6FF6-4BE3-94FC-6EBA92AF8199}">
          <x14:formula1>
            <xm:f>IF(OR(AM32='Opciones Tratamiento'!$B$2,AM32='Opciones Tratamiento'!$B$3,AM32='Opciones Tratamiento'!$B$4),ISBLANK(AM32),ISTEXT(AM32))</xm:f>
          </x14:formula1>
          <xm:sqref>AR16</xm:sqref>
        </x14:dataValidation>
        <x14:dataValidation type="custom" allowBlank="1" showInputMessage="1" showErrorMessage="1" error="Recuerde que las acciones se generan bajo la medida de mitigar el riesgo" xr:uid="{F32ABD89-9385-4823-BFAB-7A0DFE8AA811}">
          <x14:formula1>
            <xm:f>IF(OR(AM20='Opciones Tratamiento'!$B$2,AM20='Opciones Tratamiento'!$B$3,AM20='Opciones Tratamiento'!$B$4),ISBLANK(AM20),ISTEXT(AM20))</xm:f>
          </x14:formula1>
          <xm:sqref>AQ19 AU19</xm:sqref>
        </x14:dataValidation>
        <x14:dataValidation type="list" allowBlank="1" showInputMessage="1" showErrorMessage="1" xr:uid="{4B41F4A5-95F4-482D-9AE3-E528F2958072}">
          <x14:formula1>
            <xm:f>'Tabla Valoración controles'!$D$4:$D$6</xm:f>
          </x14:formula1>
          <xm:sqref>Z15:Z26 Z28:Z35</xm:sqref>
        </x14:dataValidation>
        <x14:dataValidation type="list" allowBlank="1" showInputMessage="1" showErrorMessage="1" xr:uid="{277F630D-E663-46C7-9026-76B77A2D7B4F}">
          <x14:formula1>
            <xm:f>'Tabla Valoración controles'!$D$7:$D$8</xm:f>
          </x14:formula1>
          <xm:sqref>AA15:AA26 AA28:AA35</xm:sqref>
        </x14:dataValidation>
        <x14:dataValidation type="list" allowBlank="1" showInputMessage="1" showErrorMessage="1" xr:uid="{8F44682A-51B5-4743-9779-B0859F28DCCF}">
          <x14:formula1>
            <xm:f>'Tabla Valoración controles'!$D$9:$D$10</xm:f>
          </x14:formula1>
          <xm:sqref>AC15:AC26 AC28:AC35</xm:sqref>
        </x14:dataValidation>
        <x14:dataValidation type="list" allowBlank="1" showInputMessage="1" showErrorMessage="1" xr:uid="{FB0CCEA9-BCEE-4165-AD77-190E73312542}">
          <x14:formula1>
            <xm:f>'Tabla Valoración controles'!$D$11:$D$12</xm:f>
          </x14:formula1>
          <xm:sqref>AD15:AD26 AD28:AD35</xm:sqref>
        </x14:dataValidation>
        <x14:dataValidation type="list" allowBlank="1" showInputMessage="1" showErrorMessage="1" xr:uid="{ADFAEAFD-495D-4717-BE67-480B35076877}">
          <x14:formula1>
            <xm:f>'Tabla Valoración controles'!$D$13:$D$14</xm:f>
          </x14:formula1>
          <xm:sqref>AE15:AE26 AE28:AE35</xm:sqref>
        </x14:dataValidation>
        <x14:dataValidation type="list" allowBlank="1" showInputMessage="1" showErrorMessage="1" xr:uid="{289A7D3F-19EF-453D-9C1D-933AFF8533E8}">
          <x14:formula1>
            <xm:f>Formulas!$D$3:$D$6</xm:f>
          </x14:formula1>
          <xm:sqref>F15:F21 F24 F28:F35</xm:sqref>
        </x14:dataValidation>
        <x14:dataValidation type="custom" allowBlank="1" showInputMessage="1" showErrorMessage="1" error="Recuerde que las acciones se generan bajo la medida de mitigar el riesgo" xr:uid="{79E307C8-C6CF-4E6D-B567-8373543D0E53}">
          <x14:formula1>
            <xm:f>IF(OR(#REF!='Opciones Tratamiento'!$B$2,#REF!='Opciones Tratamiento'!$B$3,#REF!='Opciones Tratamiento'!$B$4),ISBLANK(#REF!),ISTEXT(#REF!))</xm:f>
          </x14:formula1>
          <xm:sqref>AQ21 AU21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baseColWidth="10" defaultColWidth="8.832031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8.83203125"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5" defaultRowHeight="15"/>
  <sheetData>
    <row r="2" spans="2:5">
      <c r="B2" t="s">
        <v>156</v>
      </c>
      <c r="E2" t="s">
        <v>145</v>
      </c>
    </row>
    <row r="3" spans="2:5">
      <c r="B3" t="s">
        <v>169</v>
      </c>
      <c r="E3" t="s">
        <v>159</v>
      </c>
    </row>
    <row r="4" spans="2:5">
      <c r="B4" t="s">
        <v>191</v>
      </c>
      <c r="E4" t="s">
        <v>173</v>
      </c>
    </row>
    <row r="5" spans="2:5">
      <c r="B5" t="s">
        <v>101</v>
      </c>
    </row>
    <row r="8" spans="2:5">
      <c r="B8" t="s">
        <v>142</v>
      </c>
    </row>
    <row r="9" spans="2:5">
      <c r="B9" t="s">
        <v>157</v>
      </c>
    </row>
    <row r="10" spans="2:5">
      <c r="B10" t="s">
        <v>170</v>
      </c>
    </row>
    <row r="13" spans="2:5">
      <c r="B13" t="s">
        <v>148</v>
      </c>
    </row>
    <row r="14" spans="2:5">
      <c r="B14" t="s">
        <v>162</v>
      </c>
    </row>
    <row r="15" spans="2:5">
      <c r="B15" t="s">
        <v>176</v>
      </c>
    </row>
    <row r="16" spans="2:5">
      <c r="B16" t="s">
        <v>184</v>
      </c>
    </row>
    <row r="17" spans="2:2">
      <c r="B17" t="s">
        <v>189</v>
      </c>
    </row>
    <row r="18" spans="2:2">
      <c r="B18" t="s">
        <v>193</v>
      </c>
    </row>
    <row r="19" spans="2:2">
      <c r="B19" t="s">
        <v>195</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5" defaultRowHeight="14"/>
  <cols>
    <col min="1" max="1" width="32.6640625" style="1" customWidth="1"/>
    <col min="2" max="16384" width="11.5" style="1"/>
  </cols>
  <sheetData>
    <row r="3" spans="1:1">
      <c r="A3" s="2" t="s">
        <v>151</v>
      </c>
    </row>
    <row r="4" spans="1:1">
      <c r="A4" s="2" t="s">
        <v>100</v>
      </c>
    </row>
    <row r="5" spans="1:1">
      <c r="A5" s="2" t="s">
        <v>179</v>
      </c>
    </row>
    <row r="6" spans="1:1">
      <c r="A6" s="2" t="s">
        <v>152</v>
      </c>
    </row>
    <row r="7" spans="1:1">
      <c r="A7" s="2" t="s">
        <v>165</v>
      </c>
    </row>
    <row r="8" spans="1:1">
      <c r="A8" s="2" t="s">
        <v>153</v>
      </c>
    </row>
    <row r="9" spans="1:1">
      <c r="A9" s="2" t="s">
        <v>166</v>
      </c>
    </row>
    <row r="10" spans="1:1">
      <c r="A10" s="2" t="s">
        <v>154</v>
      </c>
    </row>
    <row r="11" spans="1:1">
      <c r="A11" s="2" t="s">
        <v>167</v>
      </c>
    </row>
    <row r="12" spans="1:1">
      <c r="A12" s="2" t="s">
        <v>155</v>
      </c>
    </row>
    <row r="13" spans="1:1">
      <c r="A13" s="2" t="s">
        <v>168</v>
      </c>
    </row>
    <row r="14" spans="1:1">
      <c r="A14" s="2" t="s">
        <v>180</v>
      </c>
    </row>
    <row r="16" spans="1:1">
      <c r="A16" s="2" t="s">
        <v>181</v>
      </c>
    </row>
    <row r="17" spans="1:1">
      <c r="A17" s="2" t="s">
        <v>156</v>
      </c>
    </row>
    <row r="18" spans="1:1">
      <c r="A18" s="2" t="s">
        <v>169</v>
      </c>
    </row>
    <row r="20" spans="1:1">
      <c r="A20" s="2" t="s">
        <v>157</v>
      </c>
    </row>
    <row r="21" spans="1:1">
      <c r="A21" s="2" t="s">
        <v>170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5" defaultRowHeight="15"/>
  <cols>
    <col min="1" max="1" width="129.6640625" bestFit="1" customWidth="1"/>
  </cols>
  <sheetData>
    <row r="1" spans="1:2">
      <c r="A1" t="s">
        <v>115</v>
      </c>
      <c r="B1" t="s">
        <v>96</v>
      </c>
    </row>
    <row r="2" spans="1:2">
      <c r="A2" t="s">
        <v>116</v>
      </c>
      <c r="B2" t="s">
        <v>117</v>
      </c>
    </row>
    <row r="3" spans="1:2">
      <c r="A3" t="s">
        <v>118</v>
      </c>
      <c r="B3" t="s">
        <v>119</v>
      </c>
    </row>
    <row r="4" spans="1:2">
      <c r="A4" t="s">
        <v>120</v>
      </c>
      <c r="B4" t="s">
        <v>121</v>
      </c>
    </row>
    <row r="5" spans="1:2">
      <c r="A5" t="s">
        <v>122</v>
      </c>
      <c r="B5" t="s">
        <v>123</v>
      </c>
    </row>
    <row r="6" spans="1:2">
      <c r="A6" t="s">
        <v>124</v>
      </c>
      <c r="B6" t="s">
        <v>125</v>
      </c>
    </row>
    <row r="7" spans="1:2">
      <c r="A7" t="s">
        <v>126</v>
      </c>
      <c r="B7" t="s">
        <v>117</v>
      </c>
    </row>
    <row r="8" spans="1:2">
      <c r="A8" t="s">
        <v>127</v>
      </c>
      <c r="B8" t="s">
        <v>119</v>
      </c>
    </row>
    <row r="9" spans="1:2">
      <c r="A9" t="s">
        <v>128</v>
      </c>
      <c r="B9" t="s">
        <v>121</v>
      </c>
    </row>
    <row r="10" spans="1:2">
      <c r="A10" t="s">
        <v>129</v>
      </c>
      <c r="B10" t="s">
        <v>123</v>
      </c>
    </row>
    <row r="11" spans="1:2">
      <c r="A11" t="s">
        <v>130</v>
      </c>
      <c r="B11" t="s">
        <v>125</v>
      </c>
    </row>
    <row r="12" spans="1:2">
      <c r="A12" t="s">
        <v>131</v>
      </c>
      <c r="B12" t="s">
        <v>121</v>
      </c>
    </row>
    <row r="13" spans="1:2">
      <c r="A13" t="s">
        <v>132</v>
      </c>
      <c r="B13" t="s">
        <v>123</v>
      </c>
    </row>
    <row r="14" spans="1:2">
      <c r="A14" t="s">
        <v>133</v>
      </c>
      <c r="B14" t="s">
        <v>125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5" defaultRowHeight="15"/>
  <cols>
    <col min="1" max="1" width="4" customWidth="1"/>
    <col min="2" max="3" width="31.33203125" customWidth="1"/>
    <col min="4" max="4" width="30.5" customWidth="1"/>
    <col min="5" max="5" width="24.5" customWidth="1"/>
    <col min="6" max="6" width="22.6640625" customWidth="1"/>
    <col min="7" max="7" width="37" customWidth="1"/>
    <col min="8" max="8" width="21.33203125" customWidth="1"/>
    <col min="9" max="9" width="13.6640625" customWidth="1"/>
    <col min="10" max="10" width="17.33203125" customWidth="1"/>
    <col min="13" max="13" width="15.6640625" customWidth="1"/>
    <col min="14" max="14" width="14.6640625" customWidth="1"/>
    <col min="17" max="17" width="24.6640625" customWidth="1"/>
    <col min="18" max="18" width="29.5" customWidth="1"/>
  </cols>
  <sheetData>
    <row r="1" spans="2:18">
      <c r="B1" s="377" t="s">
        <v>48</v>
      </c>
      <c r="C1" s="377"/>
      <c r="D1" s="377"/>
      <c r="E1" s="377"/>
      <c r="F1" s="377"/>
      <c r="G1" s="377"/>
      <c r="H1" s="377"/>
      <c r="I1" s="377"/>
      <c r="J1" s="377"/>
      <c r="L1" s="377" t="s">
        <v>50</v>
      </c>
      <c r="M1" s="377"/>
      <c r="N1" s="377"/>
      <c r="O1" s="377"/>
      <c r="P1" s="377"/>
      <c r="Q1" s="377"/>
      <c r="R1" s="377"/>
    </row>
    <row r="2" spans="2:18" ht="50.25" customHeight="1">
      <c r="B2" s="167" t="s">
        <v>134</v>
      </c>
      <c r="C2" s="167" t="s">
        <v>135</v>
      </c>
      <c r="D2" s="166" t="s">
        <v>56</v>
      </c>
      <c r="E2" s="166" t="s">
        <v>136</v>
      </c>
      <c r="F2" s="166" t="s">
        <v>137</v>
      </c>
      <c r="G2" s="167" t="s">
        <v>138</v>
      </c>
      <c r="H2" s="167" t="s">
        <v>139</v>
      </c>
      <c r="I2" s="167" t="s">
        <v>140</v>
      </c>
      <c r="J2" s="166" t="s">
        <v>141</v>
      </c>
      <c r="L2" s="165" t="s">
        <v>94</v>
      </c>
      <c r="M2" s="165" t="s">
        <v>95</v>
      </c>
      <c r="N2" s="165" t="s">
        <v>51</v>
      </c>
      <c r="O2" s="165" t="s">
        <v>97</v>
      </c>
      <c r="P2" s="165" t="s">
        <v>98</v>
      </c>
      <c r="Q2" s="165" t="s">
        <v>78</v>
      </c>
      <c r="R2" s="168" t="s">
        <v>142</v>
      </c>
    </row>
    <row r="3" spans="2:18" ht="28">
      <c r="B3" s="18" t="s">
        <v>143</v>
      </c>
      <c r="C3" s="18" t="s">
        <v>144</v>
      </c>
      <c r="D3" s="111" t="s">
        <v>145</v>
      </c>
      <c r="E3" s="111" t="s">
        <v>146</v>
      </c>
      <c r="F3" t="s">
        <v>147</v>
      </c>
      <c r="G3" s="111" t="s">
        <v>148</v>
      </c>
      <c r="H3" t="s">
        <v>14</v>
      </c>
      <c r="I3" t="s">
        <v>149</v>
      </c>
      <c r="J3" t="s">
        <v>150</v>
      </c>
      <c r="L3" s="2" t="s">
        <v>151</v>
      </c>
      <c r="M3" s="2" t="s">
        <v>152</v>
      </c>
      <c r="N3" s="2" t="s">
        <v>153</v>
      </c>
      <c r="O3" s="2" t="s">
        <v>154</v>
      </c>
      <c r="P3" s="2" t="s">
        <v>155</v>
      </c>
      <c r="Q3" s="2" t="s">
        <v>156</v>
      </c>
      <c r="R3" t="s">
        <v>157</v>
      </c>
    </row>
    <row r="4" spans="2:18" ht="31.5" customHeight="1">
      <c r="B4" s="18" t="s">
        <v>99</v>
      </c>
      <c r="C4" s="18" t="s">
        <v>158</v>
      </c>
      <c r="D4" s="111" t="s">
        <v>159</v>
      </c>
      <c r="E4" s="111" t="s">
        <v>160</v>
      </c>
      <c r="F4" t="s">
        <v>161</v>
      </c>
      <c r="G4" s="111" t="s">
        <v>162</v>
      </c>
      <c r="H4" t="s">
        <v>15</v>
      </c>
      <c r="I4" t="s">
        <v>163</v>
      </c>
      <c r="J4" t="s">
        <v>164</v>
      </c>
      <c r="L4" s="2" t="s">
        <v>100</v>
      </c>
      <c r="M4" s="2" t="s">
        <v>165</v>
      </c>
      <c r="N4" s="2" t="s">
        <v>166</v>
      </c>
      <c r="O4" s="2" t="s">
        <v>167</v>
      </c>
      <c r="P4" s="2" t="s">
        <v>168</v>
      </c>
      <c r="Q4" s="2" t="s">
        <v>169</v>
      </c>
      <c r="R4" t="s">
        <v>170</v>
      </c>
    </row>
    <row r="5" spans="2:18" ht="26.25" customHeight="1">
      <c r="B5" s="18" t="s">
        <v>171</v>
      </c>
      <c r="C5" s="18" t="s">
        <v>172</v>
      </c>
      <c r="D5" s="111" t="s">
        <v>173</v>
      </c>
      <c r="E5" s="111" t="s">
        <v>174</v>
      </c>
      <c r="F5" t="s">
        <v>175</v>
      </c>
      <c r="G5" s="111" t="s">
        <v>176</v>
      </c>
      <c r="I5" t="s">
        <v>177</v>
      </c>
      <c r="J5" t="s">
        <v>178</v>
      </c>
      <c r="L5" s="2" t="s">
        <v>179</v>
      </c>
      <c r="P5" s="2" t="s">
        <v>180</v>
      </c>
      <c r="Q5" s="2" t="s">
        <v>181</v>
      </c>
    </row>
    <row r="6" spans="2:18" ht="24.75" customHeight="1">
      <c r="B6" s="18" t="s">
        <v>62</v>
      </c>
      <c r="C6" s="18" t="s">
        <v>182</v>
      </c>
      <c r="D6" s="111"/>
      <c r="F6" t="s">
        <v>183</v>
      </c>
      <c r="G6" s="111" t="s">
        <v>184</v>
      </c>
      <c r="I6" t="s">
        <v>185</v>
      </c>
      <c r="J6" t="s">
        <v>186</v>
      </c>
      <c r="Q6" s="2" t="s">
        <v>101</v>
      </c>
    </row>
    <row r="7" spans="2:18" ht="26.25" customHeight="1">
      <c r="B7" s="18"/>
      <c r="C7" s="18" t="s">
        <v>187</v>
      </c>
      <c r="D7" s="111"/>
      <c r="F7" t="s">
        <v>188</v>
      </c>
      <c r="G7" s="111" t="s">
        <v>189</v>
      </c>
      <c r="I7" t="s">
        <v>190</v>
      </c>
      <c r="Q7" s="2" t="s">
        <v>191</v>
      </c>
    </row>
    <row r="8" spans="2:18" ht="32">
      <c r="B8" s="18"/>
      <c r="C8" s="18"/>
      <c r="D8" s="111"/>
      <c r="F8" t="s">
        <v>192</v>
      </c>
      <c r="G8" s="111" t="s">
        <v>193</v>
      </c>
      <c r="I8" s="111" t="s">
        <v>194</v>
      </c>
    </row>
    <row r="9" spans="2:18" ht="31.5" customHeight="1">
      <c r="B9" s="18"/>
      <c r="C9" s="18"/>
      <c r="D9" s="111"/>
      <c r="G9" s="111" t="s">
        <v>195</v>
      </c>
      <c r="I9" t="s">
        <v>196</v>
      </c>
    </row>
    <row r="10" spans="2:18">
      <c r="B10" s="18"/>
      <c r="C10" s="18"/>
      <c r="D10" s="111"/>
      <c r="I10" t="s">
        <v>197</v>
      </c>
    </row>
    <row r="11" spans="2:18">
      <c r="B11" s="18"/>
      <c r="C11" s="18"/>
      <c r="D11" s="111"/>
    </row>
    <row r="12" spans="2:18">
      <c r="B12" s="18"/>
      <c r="C12" s="18"/>
      <c r="I12" t="s">
        <v>197</v>
      </c>
    </row>
    <row r="13" spans="2:18">
      <c r="B13" s="18"/>
      <c r="C13" s="18"/>
    </row>
  </sheetData>
  <mergeCells count="2">
    <mergeCell ref="B1:J1"/>
    <mergeCell ref="L1:R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C27" sqref="C27:D27"/>
    </sheetView>
  </sheetViews>
  <sheetFormatPr baseColWidth="10" defaultColWidth="11.5" defaultRowHeight="15"/>
  <cols>
    <col min="1" max="1" width="17.5" customWidth="1"/>
    <col min="2" max="2" width="9.6640625" customWidth="1"/>
    <col min="4" max="4" width="72.33203125" customWidth="1"/>
    <col min="5" max="6" width="11" customWidth="1"/>
    <col min="7" max="7" width="11.5" style="138"/>
    <col min="8" max="8" width="11.5" style="15"/>
  </cols>
  <sheetData>
    <row r="1" spans="1:8" ht="16" thickBot="1"/>
    <row r="2" spans="1:8" ht="19.5" customHeight="1">
      <c r="B2" s="255" t="s">
        <v>0</v>
      </c>
      <c r="C2" s="256"/>
      <c r="D2" s="383" t="s">
        <v>7</v>
      </c>
      <c r="E2" s="399" t="s">
        <v>8</v>
      </c>
      <c r="F2" s="262"/>
    </row>
    <row r="3" spans="1:8" ht="19.5" customHeight="1">
      <c r="B3" s="257"/>
      <c r="C3" s="258"/>
      <c r="D3" s="384"/>
      <c r="E3" s="400" t="s">
        <v>3</v>
      </c>
      <c r="F3" s="264"/>
    </row>
    <row r="4" spans="1:8" ht="19.5" customHeight="1">
      <c r="B4" s="257"/>
      <c r="C4" s="258"/>
      <c r="D4" s="384"/>
      <c r="E4" s="400" t="s">
        <v>4</v>
      </c>
      <c r="F4" s="264"/>
    </row>
    <row r="5" spans="1:8" ht="19.5" customHeight="1" thickBot="1">
      <c r="A5" t="s">
        <v>9</v>
      </c>
      <c r="B5" s="259"/>
      <c r="C5" s="260"/>
      <c r="D5" s="385"/>
      <c r="E5" s="401" t="s">
        <v>5</v>
      </c>
      <c r="F5" s="266"/>
    </row>
    <row r="6" spans="1:8" ht="16" thickBot="1"/>
    <row r="7" spans="1:8">
      <c r="B7" s="386" t="s">
        <v>10</v>
      </c>
      <c r="C7" s="389" t="s">
        <v>11</v>
      </c>
      <c r="D7" s="390"/>
      <c r="E7" s="395" t="s">
        <v>12</v>
      </c>
      <c r="F7" s="396"/>
    </row>
    <row r="8" spans="1:8" ht="16" thickBot="1">
      <c r="B8" s="387"/>
      <c r="C8" s="391"/>
      <c r="D8" s="392"/>
      <c r="E8" s="397"/>
      <c r="F8" s="398"/>
      <c r="H8" s="148"/>
    </row>
    <row r="9" spans="1:8" ht="16" thickBot="1">
      <c r="B9" s="388"/>
      <c r="C9" s="393" t="s">
        <v>13</v>
      </c>
      <c r="D9" s="394"/>
      <c r="E9" s="145" t="s">
        <v>14</v>
      </c>
      <c r="F9" s="145" t="s">
        <v>15</v>
      </c>
      <c r="H9" s="148"/>
    </row>
    <row r="10" spans="1:8" ht="16" thickBot="1">
      <c r="B10" s="144">
        <v>1</v>
      </c>
      <c r="C10" s="381" t="s">
        <v>16</v>
      </c>
      <c r="D10" s="382"/>
      <c r="E10" s="140" t="s">
        <v>278</v>
      </c>
      <c r="F10" s="141"/>
      <c r="H10" s="148"/>
    </row>
    <row r="11" spans="1:8" ht="16" thickBot="1">
      <c r="B11" s="144">
        <v>2</v>
      </c>
      <c r="C11" s="381" t="s">
        <v>17</v>
      </c>
      <c r="D11" s="382" t="s">
        <v>17</v>
      </c>
      <c r="E11" s="140" t="s">
        <v>278</v>
      </c>
      <c r="F11" s="141"/>
      <c r="H11" s="149"/>
    </row>
    <row r="12" spans="1:8" ht="16" thickBot="1">
      <c r="B12" s="144">
        <v>3</v>
      </c>
      <c r="C12" s="381" t="s">
        <v>18</v>
      </c>
      <c r="D12" s="382" t="s">
        <v>18</v>
      </c>
      <c r="E12" s="140" t="s">
        <v>278</v>
      </c>
      <c r="F12" s="141"/>
    </row>
    <row r="13" spans="1:8" ht="16" thickBot="1">
      <c r="B13" s="144">
        <v>4</v>
      </c>
      <c r="C13" s="381" t="s">
        <v>19</v>
      </c>
      <c r="D13" s="382" t="s">
        <v>20</v>
      </c>
      <c r="E13" s="140" t="s">
        <v>278</v>
      </c>
      <c r="F13" s="141"/>
    </row>
    <row r="14" spans="1:8" ht="16" thickBot="1">
      <c r="B14" s="144">
        <v>5</v>
      </c>
      <c r="C14" s="381" t="s">
        <v>21</v>
      </c>
      <c r="D14" s="382" t="s">
        <v>21</v>
      </c>
      <c r="E14" s="140" t="s">
        <v>278</v>
      </c>
      <c r="F14" s="141"/>
    </row>
    <row r="15" spans="1:8" ht="16" thickBot="1">
      <c r="B15" s="144">
        <v>6</v>
      </c>
      <c r="C15" s="381" t="s">
        <v>22</v>
      </c>
      <c r="D15" s="382" t="s">
        <v>22</v>
      </c>
      <c r="E15" s="140" t="s">
        <v>278</v>
      </c>
      <c r="F15" s="141"/>
    </row>
    <row r="16" spans="1:8" ht="16" thickBot="1">
      <c r="B16" s="144">
        <v>7</v>
      </c>
      <c r="C16" s="381" t="s">
        <v>23</v>
      </c>
      <c r="D16" s="382" t="s">
        <v>23</v>
      </c>
      <c r="E16" s="140" t="s">
        <v>278</v>
      </c>
      <c r="F16" s="141"/>
    </row>
    <row r="17" spans="1:7" ht="28.5" customHeight="1" thickBot="1">
      <c r="B17" s="144">
        <v>8</v>
      </c>
      <c r="C17" s="381" t="s">
        <v>24</v>
      </c>
      <c r="D17" s="382" t="s">
        <v>24</v>
      </c>
      <c r="E17" s="140" t="s">
        <v>278</v>
      </c>
      <c r="F17" s="141"/>
    </row>
    <row r="18" spans="1:7" ht="18.75" customHeight="1" thickBot="1">
      <c r="B18" s="144">
        <v>9</v>
      </c>
      <c r="C18" s="381" t="s">
        <v>25</v>
      </c>
      <c r="D18" s="382" t="s">
        <v>25</v>
      </c>
      <c r="E18" s="140"/>
      <c r="F18" s="141" t="s">
        <v>278</v>
      </c>
    </row>
    <row r="19" spans="1:7" ht="16" thickBot="1">
      <c r="B19" s="144">
        <v>10</v>
      </c>
      <c r="C19" s="381" t="s">
        <v>26</v>
      </c>
      <c r="D19" s="382" t="s">
        <v>26</v>
      </c>
      <c r="E19" s="140" t="s">
        <v>278</v>
      </c>
      <c r="F19" s="141"/>
    </row>
    <row r="20" spans="1:7" ht="16" thickBot="1">
      <c r="B20" s="144">
        <v>11</v>
      </c>
      <c r="C20" s="381" t="s">
        <v>27</v>
      </c>
      <c r="D20" s="382" t="s">
        <v>27</v>
      </c>
      <c r="E20" s="140" t="s">
        <v>278</v>
      </c>
      <c r="F20" s="141"/>
    </row>
    <row r="21" spans="1:7" ht="16" thickBot="1">
      <c r="B21" s="144">
        <v>12</v>
      </c>
      <c r="C21" s="381" t="s">
        <v>28</v>
      </c>
      <c r="D21" s="382" t="s">
        <v>28</v>
      </c>
      <c r="E21" s="140" t="s">
        <v>278</v>
      </c>
      <c r="F21" s="141"/>
    </row>
    <row r="22" spans="1:7" ht="16" thickBot="1">
      <c r="B22" s="144">
        <v>13</v>
      </c>
      <c r="C22" s="381" t="s">
        <v>29</v>
      </c>
      <c r="D22" s="382" t="s">
        <v>29</v>
      </c>
      <c r="E22" s="140" t="s">
        <v>278</v>
      </c>
      <c r="F22" s="141"/>
    </row>
    <row r="23" spans="1:7" ht="16" thickBot="1">
      <c r="B23" s="144">
        <v>14</v>
      </c>
      <c r="C23" s="381" t="s">
        <v>30</v>
      </c>
      <c r="D23" s="382" t="s">
        <v>30</v>
      </c>
      <c r="E23" s="140"/>
      <c r="F23" s="141" t="s">
        <v>278</v>
      </c>
    </row>
    <row r="24" spans="1:7" ht="16" thickBot="1">
      <c r="B24" s="144">
        <v>15</v>
      </c>
      <c r="C24" s="381" t="s">
        <v>31</v>
      </c>
      <c r="D24" s="382" t="s">
        <v>31</v>
      </c>
      <c r="E24" s="140" t="s">
        <v>278</v>
      </c>
      <c r="F24" s="141"/>
    </row>
    <row r="25" spans="1:7" ht="16" thickBot="1">
      <c r="B25" s="144">
        <v>16</v>
      </c>
      <c r="C25" s="381" t="s">
        <v>32</v>
      </c>
      <c r="D25" s="382" t="s">
        <v>32</v>
      </c>
      <c r="E25" s="140"/>
      <c r="F25" s="141" t="s">
        <v>278</v>
      </c>
    </row>
    <row r="26" spans="1:7" ht="16" thickBot="1">
      <c r="B26" s="144">
        <v>17</v>
      </c>
      <c r="C26" s="381" t="s">
        <v>33</v>
      </c>
      <c r="D26" s="382" t="s">
        <v>33</v>
      </c>
      <c r="E26" s="140" t="s">
        <v>278</v>
      </c>
      <c r="F26" s="141"/>
    </row>
    <row r="27" spans="1:7" ht="16" thickBot="1">
      <c r="B27" s="144">
        <v>18</v>
      </c>
      <c r="C27" s="381" t="s">
        <v>34</v>
      </c>
      <c r="D27" s="382" t="s">
        <v>34</v>
      </c>
      <c r="E27" s="140" t="s">
        <v>278</v>
      </c>
      <c r="F27" s="141"/>
    </row>
    <row r="28" spans="1:7" ht="16" thickBot="1">
      <c r="B28" s="144">
        <v>19</v>
      </c>
      <c r="C28" s="381" t="s">
        <v>35</v>
      </c>
      <c r="D28" s="382" t="s">
        <v>35</v>
      </c>
      <c r="E28" s="140"/>
      <c r="F28" s="141" t="s">
        <v>278</v>
      </c>
    </row>
    <row r="29" spans="1:7">
      <c r="C29" s="139"/>
      <c r="D29" s="139"/>
      <c r="E29" s="147">
        <f>COUNTIF(E10:E28,"x")</f>
        <v>15</v>
      </c>
      <c r="F29" s="147">
        <f>COUNTIF(F10:F28,"x")</f>
        <v>4</v>
      </c>
      <c r="G29" s="146" t="str">
        <f>IF(E29=0,"",IF(E29&lt;=5,"Moderado",IF(E29&lt;=11,"Mayor",IF(E29&lt;=19,"Catastrófico",""))))</f>
        <v>Catastrófico</v>
      </c>
    </row>
    <row r="30" spans="1:7">
      <c r="C30" s="137"/>
      <c r="D30" s="137"/>
      <c r="E30" s="137"/>
      <c r="F30" s="137"/>
    </row>
    <row r="31" spans="1:7" ht="66" customHeight="1">
      <c r="A31" s="378" t="s">
        <v>36</v>
      </c>
      <c r="B31" s="379"/>
      <c r="C31" s="379"/>
      <c r="D31" s="379"/>
      <c r="E31" s="379"/>
      <c r="F31" s="380"/>
    </row>
  </sheetData>
  <mergeCells count="30">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s>
  <conditionalFormatting sqref="G29">
    <cfRule type="cellIs" dxfId="2" priority="1" stopIfTrue="1" operator="equal">
      <formula>"Catastrófico"</formula>
    </cfRule>
    <cfRule type="cellIs" dxfId="1" priority="2" stopIfTrue="1" operator="equal">
      <formula>"Moderado"</formula>
    </cfRule>
    <cfRule type="cellIs" dxfId="0"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topLeftCell="A7" zoomScale="78" zoomScaleNormal="70" workbookViewId="0">
      <selection activeCell="G93" sqref="G93"/>
    </sheetView>
  </sheetViews>
  <sheetFormatPr baseColWidth="10" defaultColWidth="11.5" defaultRowHeight="15"/>
  <sheetData>
    <row r="2" spans="2:2">
      <c r="B2" t="s">
        <v>198</v>
      </c>
    </row>
    <row r="30" spans="2:2">
      <c r="B30" t="s">
        <v>199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5" defaultRowHeight="15"/>
  <cols>
    <col min="3" max="3" width="119" customWidth="1"/>
    <col min="4" max="4" width="33.33203125" customWidth="1"/>
  </cols>
  <sheetData>
    <row r="1" spans="3:4" ht="16" thickBot="1"/>
    <row r="2" spans="3:4">
      <c r="C2" s="402" t="s">
        <v>200</v>
      </c>
      <c r="D2" s="403"/>
    </row>
    <row r="3" spans="3:4">
      <c r="C3" s="404"/>
      <c r="D3" s="405"/>
    </row>
    <row r="4" spans="3:4" ht="16" thickBot="1">
      <c r="C4" s="150" t="s">
        <v>201</v>
      </c>
      <c r="D4" s="151" t="s">
        <v>202</v>
      </c>
    </row>
    <row r="5" spans="3:4" ht="30" customHeight="1">
      <c r="C5" s="152" t="s">
        <v>203</v>
      </c>
      <c r="D5" s="153">
        <v>1</v>
      </c>
    </row>
    <row r="6" spans="3:4" ht="28.5" customHeight="1">
      <c r="C6" s="154" t="s">
        <v>204</v>
      </c>
      <c r="D6" s="155">
        <v>1</v>
      </c>
    </row>
    <row r="7" spans="3:4" ht="28.5" customHeight="1">
      <c r="C7" s="156" t="s">
        <v>205</v>
      </c>
      <c r="D7" s="155">
        <v>1</v>
      </c>
    </row>
    <row r="8" spans="3:4" ht="28.5" customHeight="1">
      <c r="C8" s="156" t="s">
        <v>206</v>
      </c>
      <c r="D8" s="155">
        <v>1</v>
      </c>
    </row>
    <row r="9" spans="3:4" ht="18.5" customHeight="1">
      <c r="C9" s="156" t="s">
        <v>207</v>
      </c>
      <c r="D9" s="155">
        <v>1</v>
      </c>
    </row>
    <row r="10" spans="3:4" ht="28.5" customHeight="1">
      <c r="C10" s="156" t="s">
        <v>208</v>
      </c>
      <c r="D10" s="155">
        <v>1</v>
      </c>
    </row>
    <row r="11" spans="3:4" ht="21" customHeight="1">
      <c r="C11" s="154" t="s">
        <v>209</v>
      </c>
      <c r="D11" s="155">
        <v>1</v>
      </c>
    </row>
    <row r="12" spans="3:4" ht="21" customHeight="1">
      <c r="C12" s="154" t="s">
        <v>210</v>
      </c>
      <c r="D12" s="155">
        <v>1</v>
      </c>
    </row>
    <row r="13" spans="3:4" ht="21.5" customHeight="1">
      <c r="C13" s="154" t="s">
        <v>211</v>
      </c>
      <c r="D13" s="155">
        <v>1</v>
      </c>
    </row>
    <row r="14" spans="3:4" ht="28.5" customHeight="1">
      <c r="C14" s="154" t="s">
        <v>212</v>
      </c>
      <c r="D14" s="155">
        <v>1</v>
      </c>
    </row>
    <row r="15" spans="3:4" ht="22.5" customHeight="1">
      <c r="C15" s="157"/>
      <c r="D15" s="155">
        <v>1</v>
      </c>
    </row>
    <row r="16" spans="3:4" ht="28.5" customHeight="1">
      <c r="C16" s="158" t="s">
        <v>213</v>
      </c>
      <c r="D16" s="159"/>
    </row>
    <row r="17" spans="3:4" ht="28.5" customHeight="1">
      <c r="C17" s="152" t="s">
        <v>214</v>
      </c>
      <c r="D17" s="155">
        <v>1</v>
      </c>
    </row>
    <row r="18" spans="3:4" ht="28.5" customHeight="1">
      <c r="C18" s="152" t="s">
        <v>215</v>
      </c>
      <c r="D18" s="155">
        <v>1</v>
      </c>
    </row>
    <row r="19" spans="3:4" ht="28.5" customHeight="1">
      <c r="C19" s="152" t="s">
        <v>216</v>
      </c>
      <c r="D19" s="155">
        <v>1</v>
      </c>
    </row>
    <row r="20" spans="3:4" ht="28.5" customHeight="1">
      <c r="C20" s="154" t="s">
        <v>217</v>
      </c>
      <c r="D20" s="155">
        <v>1</v>
      </c>
    </row>
    <row r="21" spans="3:4" ht="28.5" customHeight="1">
      <c r="C21" s="152" t="s">
        <v>218</v>
      </c>
      <c r="D21" s="155">
        <v>1</v>
      </c>
    </row>
    <row r="22" spans="3:4" ht="28.5" customHeight="1">
      <c r="C22" s="160" t="s">
        <v>219</v>
      </c>
      <c r="D22" s="155">
        <v>1</v>
      </c>
    </row>
    <row r="23" spans="3:4" ht="28.5" customHeight="1">
      <c r="C23" s="152" t="s">
        <v>220</v>
      </c>
      <c r="D23" s="155">
        <v>1</v>
      </c>
    </row>
    <row r="24" spans="3:4" ht="28.5" customHeight="1">
      <c r="C24" s="152" t="s">
        <v>221</v>
      </c>
      <c r="D24" s="155">
        <v>1</v>
      </c>
    </row>
    <row r="25" spans="3:4" ht="28.5" customHeight="1">
      <c r="C25" s="157"/>
      <c r="D25" s="155">
        <v>1</v>
      </c>
    </row>
    <row r="26" spans="3:4" ht="28.5" customHeight="1">
      <c r="C26" s="157"/>
      <c r="D26" s="155">
        <v>1</v>
      </c>
    </row>
    <row r="27" spans="3:4" ht="28.5" customHeight="1">
      <c r="C27" s="158" t="s">
        <v>222</v>
      </c>
      <c r="D27" s="161"/>
    </row>
    <row r="28" spans="3:4" ht="28.5" customHeight="1">
      <c r="C28" s="156" t="s">
        <v>223</v>
      </c>
      <c r="D28" s="155">
        <v>1</v>
      </c>
    </row>
    <row r="29" spans="3:4" ht="28.5" customHeight="1">
      <c r="C29" s="156" t="s">
        <v>224</v>
      </c>
      <c r="D29" s="155">
        <v>1</v>
      </c>
    </row>
    <row r="30" spans="3:4" ht="28.5" customHeight="1">
      <c r="C30" s="156" t="s">
        <v>225</v>
      </c>
      <c r="D30" s="155">
        <v>1</v>
      </c>
    </row>
    <row r="31" spans="3:4" ht="28.5" customHeight="1">
      <c r="C31" s="156" t="s">
        <v>226</v>
      </c>
      <c r="D31" s="155">
        <v>1</v>
      </c>
    </row>
    <row r="32" spans="3:4" ht="28.5" customHeight="1">
      <c r="C32" s="156" t="s">
        <v>227</v>
      </c>
      <c r="D32" s="155">
        <v>1</v>
      </c>
    </row>
    <row r="33" spans="3:4" ht="28.5" customHeight="1">
      <c r="C33" s="162" t="s">
        <v>228</v>
      </c>
      <c r="D33" s="155">
        <v>1</v>
      </c>
    </row>
    <row r="34" spans="3:4" ht="28.5" customHeight="1">
      <c r="C34" s="154" t="s">
        <v>229</v>
      </c>
      <c r="D34" s="155">
        <v>1</v>
      </c>
    </row>
    <row r="35" spans="3:4" ht="28.5" customHeight="1">
      <c r="C35" s="156" t="s">
        <v>230</v>
      </c>
      <c r="D35" s="155">
        <v>1</v>
      </c>
    </row>
    <row r="36" spans="3:4" ht="28.5" customHeight="1">
      <c r="C36" s="156" t="s">
        <v>231</v>
      </c>
      <c r="D36" s="155">
        <v>1</v>
      </c>
    </row>
    <row r="37" spans="3:4" ht="28.5" customHeight="1">
      <c r="C37" s="156" t="s">
        <v>232</v>
      </c>
      <c r="D37" s="155">
        <v>1</v>
      </c>
    </row>
    <row r="38" spans="3:4" ht="28.5" customHeight="1">
      <c r="C38" s="154" t="s">
        <v>233</v>
      </c>
      <c r="D38" s="155">
        <v>1</v>
      </c>
    </row>
    <row r="39" spans="3:4" ht="28.5" customHeight="1">
      <c r="C39" s="162" t="s">
        <v>234</v>
      </c>
      <c r="D39" s="155">
        <v>1</v>
      </c>
    </row>
    <row r="40" spans="3:4" ht="28.5" customHeight="1">
      <c r="C40" s="162" t="s">
        <v>235</v>
      </c>
      <c r="D40" s="155">
        <v>1</v>
      </c>
    </row>
    <row r="41" spans="3:4" ht="28.5" customHeight="1">
      <c r="C41" s="162" t="s">
        <v>236</v>
      </c>
      <c r="D41" s="155">
        <v>1</v>
      </c>
    </row>
    <row r="42" spans="3:4" ht="28.5" customHeight="1">
      <c r="C42" s="162" t="s">
        <v>237</v>
      </c>
      <c r="D42" s="155">
        <v>1</v>
      </c>
    </row>
    <row r="43" spans="3:4" ht="28.5" customHeight="1">
      <c r="C43" s="163"/>
      <c r="D43" s="155"/>
    </row>
    <row r="44" spans="3:4" ht="28.5" customHeight="1">
      <c r="C44" s="163"/>
      <c r="D44" s="155"/>
    </row>
    <row r="45" spans="3:4" ht="28.5" customHeight="1">
      <c r="C45" s="158" t="s">
        <v>238</v>
      </c>
      <c r="D45" s="161"/>
    </row>
    <row r="46" spans="3:4" ht="28.5" customHeight="1">
      <c r="C46" s="162" t="s">
        <v>239</v>
      </c>
      <c r="D46" s="155">
        <v>1</v>
      </c>
    </row>
    <row r="47" spans="3:4" ht="28.5" customHeight="1">
      <c r="C47" s="162" t="s">
        <v>240</v>
      </c>
      <c r="D47" s="155">
        <v>1</v>
      </c>
    </row>
    <row r="48" spans="3:4" ht="28.5" customHeight="1">
      <c r="C48" s="162" t="s">
        <v>241</v>
      </c>
      <c r="D48" s="155">
        <v>1</v>
      </c>
    </row>
    <row r="49" spans="3:4" ht="28.5" customHeight="1">
      <c r="C49" s="162" t="s">
        <v>242</v>
      </c>
      <c r="D49" s="155">
        <v>1</v>
      </c>
    </row>
    <row r="50" spans="3:4" ht="28.5" customHeight="1">
      <c r="C50" s="164" t="s">
        <v>243</v>
      </c>
      <c r="D50" s="155">
        <v>1</v>
      </c>
    </row>
    <row r="51" spans="3:4" ht="28.5" customHeight="1">
      <c r="C51" s="164" t="s">
        <v>244</v>
      </c>
      <c r="D51" s="155">
        <v>1</v>
      </c>
    </row>
    <row r="52" spans="3:4" ht="28.5" customHeight="1">
      <c r="C52" s="164" t="s">
        <v>245</v>
      </c>
      <c r="D52" s="155">
        <v>1</v>
      </c>
    </row>
    <row r="53" spans="3:4" ht="28.5" customHeight="1">
      <c r="C53" s="152" t="s">
        <v>246</v>
      </c>
      <c r="D53" s="155">
        <v>1</v>
      </c>
    </row>
    <row r="54" spans="3:4" ht="28.5" customHeight="1">
      <c r="C54" s="152" t="s">
        <v>247</v>
      </c>
      <c r="D54" s="155">
        <v>1</v>
      </c>
    </row>
    <row r="55" spans="3:4" ht="28.5" customHeight="1"/>
    <row r="56" spans="3:4" ht="11" customHeight="1"/>
    <row r="57" spans="3:4" ht="11" customHeight="1"/>
    <row r="58" spans="3:4" ht="11" customHeight="1"/>
    <row r="59" spans="3:4" ht="11" customHeight="1"/>
    <row r="60" spans="3:4" ht="11" customHeight="1"/>
    <row r="61" spans="3:4" ht="11" customHeight="1"/>
    <row r="62" spans="3:4" ht="11" customHeight="1"/>
    <row r="63" spans="3:4" ht="11" customHeight="1"/>
    <row r="64" spans="3:4" ht="11" customHeight="1"/>
    <row r="65" ht="11" customHeight="1"/>
    <row r="66" ht="11" customHeight="1"/>
    <row r="67" ht="11" customHeight="1"/>
    <row r="68" ht="11" customHeight="1"/>
    <row r="69" ht="11" customHeight="1"/>
    <row r="70" ht="11" customHeight="1"/>
    <row r="71" ht="11" customHeight="1"/>
    <row r="72" ht="11" customHeight="1"/>
    <row r="73" ht="11" customHeight="1"/>
    <row r="74" ht="11" customHeight="1"/>
    <row r="75" ht="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P3" sqref="AP3:AV3"/>
    </sheetView>
  </sheetViews>
  <sheetFormatPr baseColWidth="10" defaultColWidth="11.5" defaultRowHeight="15"/>
  <cols>
    <col min="1" max="1" width="5.33203125" customWidth="1"/>
    <col min="2" max="2" width="8.6640625" customWidth="1"/>
    <col min="3" max="3" width="9" customWidth="1"/>
    <col min="4" max="41" width="5.6640625" customWidth="1"/>
    <col min="43" max="48" width="5.6640625" customWidth="1"/>
  </cols>
  <sheetData>
    <row r="1" spans="1:101" ht="16" thickBot="1"/>
    <row r="2" spans="1:101" ht="15" customHeight="1">
      <c r="D2" s="418" t="s">
        <v>248</v>
      </c>
      <c r="E2" s="419"/>
      <c r="F2" s="419"/>
      <c r="G2" s="419"/>
      <c r="H2" s="419"/>
      <c r="I2" s="419"/>
      <c r="J2" s="419"/>
      <c r="K2" s="420"/>
      <c r="L2" s="409" t="s">
        <v>38</v>
      </c>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0"/>
      <c r="AO2" s="411"/>
      <c r="AP2" s="399" t="s">
        <v>249</v>
      </c>
      <c r="AQ2" s="406"/>
      <c r="AR2" s="406"/>
      <c r="AS2" s="406"/>
      <c r="AT2" s="406"/>
      <c r="AU2" s="406"/>
      <c r="AV2" s="262"/>
    </row>
    <row r="3" spans="1:101">
      <c r="D3" s="421"/>
      <c r="E3" s="422"/>
      <c r="F3" s="422"/>
      <c r="G3" s="422"/>
      <c r="H3" s="422"/>
      <c r="I3" s="422"/>
      <c r="J3" s="422"/>
      <c r="K3" s="423"/>
      <c r="L3" s="412"/>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c r="AM3" s="413"/>
      <c r="AN3" s="413"/>
      <c r="AO3" s="414"/>
      <c r="AP3" s="400" t="s">
        <v>3</v>
      </c>
      <c r="AQ3" s="407"/>
      <c r="AR3" s="407"/>
      <c r="AS3" s="407"/>
      <c r="AT3" s="407"/>
      <c r="AU3" s="407"/>
      <c r="AV3" s="264"/>
    </row>
    <row r="4" spans="1:101">
      <c r="D4" s="421"/>
      <c r="E4" s="422"/>
      <c r="F4" s="422"/>
      <c r="G4" s="422"/>
      <c r="H4" s="422"/>
      <c r="I4" s="422"/>
      <c r="J4" s="422"/>
      <c r="K4" s="423"/>
      <c r="L4" s="412"/>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4"/>
      <c r="AP4" s="400" t="s">
        <v>4</v>
      </c>
      <c r="AQ4" s="407" t="s">
        <v>250</v>
      </c>
      <c r="AR4" s="407"/>
      <c r="AS4" s="407"/>
      <c r="AT4" s="407"/>
      <c r="AU4" s="407"/>
      <c r="AV4" s="264"/>
    </row>
    <row r="5" spans="1:101" ht="16" thickBot="1">
      <c r="D5" s="424"/>
      <c r="E5" s="425"/>
      <c r="F5" s="425"/>
      <c r="G5" s="425"/>
      <c r="H5" s="425"/>
      <c r="I5" s="425"/>
      <c r="J5" s="425"/>
      <c r="K5" s="426"/>
      <c r="L5" s="415"/>
      <c r="M5" s="416"/>
      <c r="N5" s="416"/>
      <c r="O5" s="416"/>
      <c r="P5" s="416"/>
      <c r="Q5" s="416"/>
      <c r="R5" s="416"/>
      <c r="S5" s="416"/>
      <c r="T5" s="416"/>
      <c r="U5" s="416"/>
      <c r="V5" s="416"/>
      <c r="W5" s="416"/>
      <c r="X5" s="416"/>
      <c r="Y5" s="416"/>
      <c r="Z5" s="416"/>
      <c r="AA5" s="416"/>
      <c r="AB5" s="416"/>
      <c r="AC5" s="416"/>
      <c r="AD5" s="416"/>
      <c r="AE5" s="416"/>
      <c r="AF5" s="416"/>
      <c r="AG5" s="416"/>
      <c r="AH5" s="416"/>
      <c r="AI5" s="416"/>
      <c r="AJ5" s="416"/>
      <c r="AK5" s="416"/>
      <c r="AL5" s="416"/>
      <c r="AM5" s="416"/>
      <c r="AN5" s="416"/>
      <c r="AO5" s="417"/>
      <c r="AP5" s="401" t="s">
        <v>5</v>
      </c>
      <c r="AQ5" s="408" t="s">
        <v>5</v>
      </c>
      <c r="AR5" s="408"/>
      <c r="AS5" s="408"/>
      <c r="AT5" s="408"/>
      <c r="AU5" s="408"/>
      <c r="AV5" s="266"/>
    </row>
    <row r="7" spans="1:101" ht="18" customHeight="1">
      <c r="C7" s="68"/>
      <c r="D7" s="513" t="s">
        <v>251</v>
      </c>
      <c r="E7" s="513"/>
      <c r="F7" s="513"/>
      <c r="G7" s="513"/>
      <c r="H7" s="513"/>
      <c r="I7" s="513"/>
      <c r="J7" s="513"/>
      <c r="K7" s="513"/>
      <c r="L7" s="471" t="s">
        <v>56</v>
      </c>
      <c r="M7" s="471"/>
      <c r="N7" s="471"/>
      <c r="O7" s="471"/>
      <c r="P7" s="471"/>
      <c r="Q7" s="471"/>
      <c r="R7" s="471"/>
      <c r="S7" s="471"/>
      <c r="T7" s="471"/>
      <c r="U7" s="471"/>
      <c r="V7" s="471"/>
      <c r="W7" s="471"/>
      <c r="X7" s="471"/>
      <c r="Y7" s="471"/>
      <c r="Z7" s="471"/>
      <c r="AA7" s="471"/>
      <c r="AB7" s="471"/>
      <c r="AC7" s="471"/>
      <c r="AD7" s="471"/>
      <c r="AE7" s="471"/>
      <c r="AF7" s="471"/>
      <c r="AG7" s="471"/>
      <c r="AH7" s="471"/>
      <c r="AI7" s="471"/>
      <c r="AJ7" s="471"/>
      <c r="AK7" s="471"/>
      <c r="AL7" s="471"/>
      <c r="AM7" s="471"/>
      <c r="AN7" s="471"/>
      <c r="AO7" s="471"/>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370" t="s">
        <v>9</v>
      </c>
      <c r="B8" s="370"/>
      <c r="C8" s="371"/>
      <c r="D8" s="513"/>
      <c r="E8" s="513"/>
      <c r="F8" s="513"/>
      <c r="G8" s="513"/>
      <c r="H8" s="513"/>
      <c r="I8" s="513"/>
      <c r="J8" s="513"/>
      <c r="K8" s="513"/>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513"/>
      <c r="E9" s="513"/>
      <c r="F9" s="513"/>
      <c r="G9" s="513"/>
      <c r="H9" s="513"/>
      <c r="I9" s="513"/>
      <c r="J9" s="513"/>
      <c r="K9" s="513"/>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c r="AK9" s="471"/>
      <c r="AL9" s="471"/>
      <c r="AM9" s="471"/>
      <c r="AN9" s="471"/>
      <c r="AO9" s="471"/>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6"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27" t="s">
        <v>252</v>
      </c>
      <c r="E11" s="427"/>
      <c r="F11" s="428"/>
      <c r="G11" s="465" t="s">
        <v>253</v>
      </c>
      <c r="H11" s="466"/>
      <c r="I11" s="466"/>
      <c r="J11" s="466"/>
      <c r="K11" s="466"/>
      <c r="L11" s="473"/>
      <c r="M11" s="474"/>
      <c r="N11" s="474" t="str">
        <f>IF(AND('Mapa final'!$K$15="Muy Alta",'Mapa final'!$O$15="Leve"),CONCATENATE("R",'Mapa final'!$A$18),"")</f>
        <v/>
      </c>
      <c r="O11" s="474"/>
      <c r="P11" s="474" t="str">
        <f>IF(AND('Mapa final'!$K$32="Muy Alta",'Mapa final'!$O$32="Leve"),CONCATENATE("R",'Mapa final'!$A$32),"")</f>
        <v/>
      </c>
      <c r="Q11" s="487"/>
      <c r="R11" s="473"/>
      <c r="S11" s="474"/>
      <c r="T11" s="474" t="str">
        <f>IF(AND('Mapa final'!$P$15="Muy Alta",'Mapa final'!$S$15="Menor"),CONCATENATE("R",'Mapa final'!$A$18),"")</f>
        <v/>
      </c>
      <c r="U11" s="474"/>
      <c r="V11" s="474" t="str">
        <f>IF(AND('Mapa final'!$P$32="Muy Alta",'Mapa final'!$S$32="Menor"),CONCATENATE("R",'Mapa final'!$A$32),"")</f>
        <v/>
      </c>
      <c r="W11" s="474"/>
      <c r="X11" s="473"/>
      <c r="Y11" s="474"/>
      <c r="Z11" s="474" t="str">
        <f>IF(AND('Mapa final'!P$15="Muy Alta",'Mapa final'!$S$15="Moderado"),CONCATENATE("R",'Mapa final'!$A$18),"")</f>
        <v/>
      </c>
      <c r="AA11" s="474"/>
      <c r="AB11" s="474" t="str">
        <f>IF(AND('Mapa final'!$P$32="Muy Alta",'Mapa final'!$S$32="Moderado"),CONCATENATE("R",'Mapa final'!$A$32),"")</f>
        <v/>
      </c>
      <c r="AC11" s="474"/>
      <c r="AD11" s="473"/>
      <c r="AE11" s="474"/>
      <c r="AF11" s="474" t="str">
        <f>IF(AND('Mapa final'!$P$15="Muy Alta",'Mapa final'!$S$15="Mayor"),CONCATENATE("R",'Mapa final'!$A$18),"")</f>
        <v/>
      </c>
      <c r="AG11" s="474"/>
      <c r="AH11" s="474" t="str">
        <f>IF(AND('Mapa final'!$P$32="Muy Alta",'Mapa final'!$S$32="Mayor"),CONCATENATE("R",'Mapa final'!$A$32),"")</f>
        <v/>
      </c>
      <c r="AI11" s="474"/>
      <c r="AJ11" s="491"/>
      <c r="AK11" s="492"/>
      <c r="AL11" s="492" t="str">
        <f>IF(AND('Mapa final'!$P$15="Muy Alta",'Mapa final'!$S$15="Catastrófico"),CONCATENATE("R",'Mapa final'!$A$18),"")</f>
        <v/>
      </c>
      <c r="AM11" s="492"/>
      <c r="AN11" s="492" t="str">
        <f>IF(AND('Mapa final'!$P$32="Muy Alta",'Mapa final'!$S$32="Catastrófico"),CONCATENATE("R",'Mapa final'!$A$32),"")</f>
        <v/>
      </c>
      <c r="AO11" s="493"/>
      <c r="AQ11" s="429" t="s">
        <v>254</v>
      </c>
      <c r="AR11" s="430"/>
      <c r="AS11" s="430"/>
      <c r="AT11" s="430"/>
      <c r="AU11" s="430"/>
      <c r="AV11" s="431"/>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27"/>
      <c r="E12" s="427"/>
      <c r="F12" s="428"/>
      <c r="G12" s="467"/>
      <c r="H12" s="468"/>
      <c r="I12" s="468"/>
      <c r="J12" s="468"/>
      <c r="K12" s="468"/>
      <c r="L12" s="475"/>
      <c r="M12" s="472"/>
      <c r="N12" s="472"/>
      <c r="O12" s="472"/>
      <c r="P12" s="472"/>
      <c r="Q12" s="480"/>
      <c r="R12" s="475"/>
      <c r="S12" s="472"/>
      <c r="T12" s="472"/>
      <c r="U12" s="472"/>
      <c r="V12" s="472"/>
      <c r="W12" s="472"/>
      <c r="X12" s="475"/>
      <c r="Y12" s="472"/>
      <c r="Z12" s="472"/>
      <c r="AA12" s="472"/>
      <c r="AB12" s="472"/>
      <c r="AC12" s="472"/>
      <c r="AD12" s="475"/>
      <c r="AE12" s="472"/>
      <c r="AF12" s="472"/>
      <c r="AG12" s="472"/>
      <c r="AH12" s="472"/>
      <c r="AI12" s="472"/>
      <c r="AJ12" s="488"/>
      <c r="AK12" s="489"/>
      <c r="AL12" s="489"/>
      <c r="AM12" s="489"/>
      <c r="AN12" s="489"/>
      <c r="AO12" s="490"/>
      <c r="AP12" s="68"/>
      <c r="AQ12" s="432"/>
      <c r="AR12" s="433"/>
      <c r="AS12" s="433"/>
      <c r="AT12" s="433"/>
      <c r="AU12" s="433"/>
      <c r="AV12" s="434"/>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27"/>
      <c r="E13" s="427"/>
      <c r="F13" s="428"/>
      <c r="G13" s="467"/>
      <c r="H13" s="468"/>
      <c r="I13" s="468"/>
      <c r="J13" s="468"/>
      <c r="K13" s="468"/>
      <c r="L13" s="475" t="e">
        <f>IF(AND('Mapa final'!#REF!="Muy Alta",'Mapa final'!#REF!="Leve"),CONCATENATE("R",'Mapa final'!#REF!),"")</f>
        <v>#REF!</v>
      </c>
      <c r="M13" s="472"/>
      <c r="N13" s="472" t="e">
        <f>IF(AND('Mapa final'!#REF!="Muy Alta",'Mapa final'!#REF!="Leve"),CONCATENATE("R",'Mapa final'!#REF!),"")</f>
        <v>#REF!</v>
      </c>
      <c r="O13" s="472"/>
      <c r="P13" s="472" t="e">
        <f>IF(AND('Mapa final'!#REF!="Muy Alta",'Mapa final'!#REF!="Leve"),CONCATENATE("R",'Mapa final'!#REF!),"")</f>
        <v>#REF!</v>
      </c>
      <c r="Q13" s="480"/>
      <c r="R13" s="475" t="e">
        <f>IF(AND('Mapa final'!#REF!="Muy Alta",'Mapa final'!#REF!="Menor"),CONCATENATE("R",'Mapa final'!#REF!),"")</f>
        <v>#REF!</v>
      </c>
      <c r="S13" s="472"/>
      <c r="T13" s="472" t="e">
        <f>IF(AND('Mapa final'!#REF!="Muy Alta",'Mapa final'!#REF!="Menor"),CONCATENATE("R",'Mapa final'!#REF!),"")</f>
        <v>#REF!</v>
      </c>
      <c r="U13" s="472"/>
      <c r="V13" s="472" t="e">
        <f>IF(AND('Mapa final'!#REF!="Muy Alta",'Mapa final'!#REF!="Menor"),CONCATENATE("R",'Mapa final'!#REF!),"")</f>
        <v>#REF!</v>
      </c>
      <c r="W13" s="472"/>
      <c r="X13" s="475" t="e">
        <f>IF(AND('Mapa final'!#REF!="Muy Alta",'Mapa final'!#REF!="Moderado"),CONCATENATE("R",'Mapa final'!#REF!),"")</f>
        <v>#REF!</v>
      </c>
      <c r="Y13" s="472"/>
      <c r="Z13" s="472" t="e">
        <f>IF(AND('Mapa final'!#REF!="Muy Alta",'Mapa final'!#REF!="Moderado"),CONCATENATE("R",'Mapa final'!#REF!),"")</f>
        <v>#REF!</v>
      </c>
      <c r="AA13" s="472"/>
      <c r="AB13" s="472" t="e">
        <f>IF(AND('Mapa final'!#REF!="Muy Alta",'Mapa final'!#REF!="Moderado"),CONCATENATE("R",'Mapa final'!#REF!),"")</f>
        <v>#REF!</v>
      </c>
      <c r="AC13" s="472"/>
      <c r="AD13" s="475" t="e">
        <f>IF(AND('Mapa final'!#REF!="Muy Alta",'Mapa final'!#REF!="Mayor"),CONCATENATE("R",'Mapa final'!#REF!),"")</f>
        <v>#REF!</v>
      </c>
      <c r="AE13" s="472"/>
      <c r="AF13" s="472" t="e">
        <f>IF(AND('Mapa final'!#REF!="Muy Alta",'Mapa final'!#REF!="Mayor"),CONCATENATE("R",'Mapa final'!#REF!),"")</f>
        <v>#REF!</v>
      </c>
      <c r="AG13" s="472"/>
      <c r="AH13" s="472" t="e">
        <f>IF(AND('Mapa final'!#REF!="Muy Alta",'Mapa final'!#REF!="Mayor"),CONCATENATE("R",'Mapa final'!#REF!),"")</f>
        <v>#REF!</v>
      </c>
      <c r="AI13" s="472"/>
      <c r="AJ13" s="488" t="e">
        <f>IF(AND('Mapa final'!#REF!="Muy Alta",'Mapa final'!#REF!="Catastrófico"),CONCATENATE("R",'Mapa final'!#REF!),"")</f>
        <v>#REF!</v>
      </c>
      <c r="AK13" s="489"/>
      <c r="AL13" s="489" t="e">
        <f>IF(AND('Mapa final'!#REF!="Muy Alta",'Mapa final'!#REF!="Catastrófico"),CONCATENATE("R",'Mapa final'!#REF!),"")</f>
        <v>#REF!</v>
      </c>
      <c r="AM13" s="489"/>
      <c r="AN13" s="489" t="e">
        <f>IF(AND('Mapa final'!#REF!="Muy Alta",'Mapa final'!#REF!="Catastrófico"),CONCATENATE("R",'Mapa final'!#REF!),"")</f>
        <v>#REF!</v>
      </c>
      <c r="AO13" s="490"/>
      <c r="AP13" s="68"/>
      <c r="AQ13" s="432"/>
      <c r="AR13" s="433"/>
      <c r="AS13" s="433"/>
      <c r="AT13" s="433"/>
      <c r="AU13" s="433"/>
      <c r="AV13" s="434"/>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27"/>
      <c r="E14" s="427"/>
      <c r="F14" s="428"/>
      <c r="G14" s="467"/>
      <c r="H14" s="468"/>
      <c r="I14" s="468"/>
      <c r="J14" s="468"/>
      <c r="K14" s="468"/>
      <c r="L14" s="475"/>
      <c r="M14" s="472"/>
      <c r="N14" s="472"/>
      <c r="O14" s="472"/>
      <c r="P14" s="472"/>
      <c r="Q14" s="480"/>
      <c r="R14" s="475"/>
      <c r="S14" s="472"/>
      <c r="T14" s="472"/>
      <c r="U14" s="472"/>
      <c r="V14" s="472"/>
      <c r="W14" s="472"/>
      <c r="X14" s="475"/>
      <c r="Y14" s="472"/>
      <c r="Z14" s="472"/>
      <c r="AA14" s="472"/>
      <c r="AB14" s="472"/>
      <c r="AC14" s="472"/>
      <c r="AD14" s="475"/>
      <c r="AE14" s="472"/>
      <c r="AF14" s="472"/>
      <c r="AG14" s="472"/>
      <c r="AH14" s="472"/>
      <c r="AI14" s="472"/>
      <c r="AJ14" s="488"/>
      <c r="AK14" s="489"/>
      <c r="AL14" s="489"/>
      <c r="AM14" s="489"/>
      <c r="AN14" s="489"/>
      <c r="AO14" s="490"/>
      <c r="AP14" s="68"/>
      <c r="AQ14" s="432"/>
      <c r="AR14" s="433"/>
      <c r="AS14" s="433"/>
      <c r="AT14" s="433"/>
      <c r="AU14" s="433"/>
      <c r="AV14" s="434"/>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27"/>
      <c r="E15" s="427"/>
      <c r="F15" s="428"/>
      <c r="G15" s="467"/>
      <c r="H15" s="468"/>
      <c r="I15" s="468"/>
      <c r="J15" s="468"/>
      <c r="K15" s="468"/>
      <c r="L15" s="475" t="e">
        <f>IF(AND('Mapa final'!#REF!="Muy Alta",'Mapa final'!#REF!="Leve"),CONCATENATE("R",'Mapa final'!#REF!),"")</f>
        <v>#REF!</v>
      </c>
      <c r="M15" s="472"/>
      <c r="N15" s="472" t="e">
        <f>IF(AND('Mapa final'!#REF!="Muy Alta",'Mapa final'!#REF!="Leve"),CONCATENATE("R",'Mapa final'!#REF!),"")</f>
        <v>#REF!</v>
      </c>
      <c r="O15" s="472"/>
      <c r="P15" s="472" t="str">
        <f>IF(AND('Mapa final'!$K$36="Muy Alta",'Mapa final'!$O$36="Leve"),CONCATENATE("R",'Mapa final'!$A$36),"")</f>
        <v/>
      </c>
      <c r="Q15" s="480"/>
      <c r="R15" s="475" t="e">
        <f>IF(AND('Mapa final'!#REF!="Muy Alta",'Mapa final'!#REF!="Menor"),CONCATENATE("R",'Mapa final'!#REF!),"")</f>
        <v>#REF!</v>
      </c>
      <c r="S15" s="472"/>
      <c r="T15" s="472" t="e">
        <f>IF(AND('Mapa final'!#REF!="Muy Alta",'Mapa final'!#REF!="Menor"),CONCATENATE("R",'Mapa final'!#REF!),"")</f>
        <v>#REF!</v>
      </c>
      <c r="U15" s="472"/>
      <c r="V15" s="472" t="str">
        <f>IF(AND('Mapa final'!$P$36="Muy Alta",'Mapa final'!$S$36="Menor"),CONCATENATE("R",'Mapa final'!$A$36),"")</f>
        <v/>
      </c>
      <c r="W15" s="472"/>
      <c r="X15" s="475" t="e">
        <f>IF(AND('Mapa final'!#REF!="Muy Alta",'Mapa final'!#REF!="Moderado"),CONCATENATE("R",'Mapa final'!#REF!),"")</f>
        <v>#REF!</v>
      </c>
      <c r="Y15" s="472"/>
      <c r="Z15" s="472" t="e">
        <f>IF(AND('Mapa final'!#REF!="Muy Alta",'Mapa final'!#REF!="Moderado"),CONCATENATE("R",'Mapa final'!#REF!),"")</f>
        <v>#REF!</v>
      </c>
      <c r="AA15" s="472"/>
      <c r="AB15" s="472" t="str">
        <f>IF(AND('Mapa final'!$P$36="Muy Alta",'Mapa final'!$S$36="Moderado"),CONCATENATE("R",'Mapa final'!$A$36),"")</f>
        <v/>
      </c>
      <c r="AC15" s="472"/>
      <c r="AD15" s="475" t="e">
        <f>IF(AND('Mapa final'!#REF!="Muy Alta",'Mapa final'!#REF!="Mayor"),CONCATENATE("R",'Mapa final'!#REF!),"")</f>
        <v>#REF!</v>
      </c>
      <c r="AE15" s="472"/>
      <c r="AF15" s="472" t="e">
        <f>IF(AND('Mapa final'!#REF!="Muy Alta",'Mapa final'!#REF!="Mayor"),CONCATENATE("R",'Mapa final'!#REF!),"")</f>
        <v>#REF!</v>
      </c>
      <c r="AG15" s="472"/>
      <c r="AH15" s="472" t="str">
        <f>IF(AND('Mapa final'!$P$36="Muy Alta",'Mapa final'!$S$36="Mayor"),CONCATENATE("R",'Mapa final'!$A$36),"")</f>
        <v/>
      </c>
      <c r="AI15" s="472"/>
      <c r="AJ15" s="488" t="e">
        <f>IF(AND('Mapa final'!#REF!="Muy Alta",'Mapa final'!#REF!="Catastrófico"),CONCATENATE("R",'Mapa final'!#REF!),"")</f>
        <v>#REF!</v>
      </c>
      <c r="AK15" s="489"/>
      <c r="AL15" s="489" t="e">
        <f>IF(AND('Mapa final'!#REF!="Muy Alta",'Mapa final'!#REF!="Catastrófico"),CONCATENATE("R",'Mapa final'!#REF!),"")</f>
        <v>#REF!</v>
      </c>
      <c r="AM15" s="489"/>
      <c r="AN15" s="489" t="str">
        <f>IF(AND('Mapa final'!$P$36="Muy Alta",'Mapa final'!$S$36="Catastrófico"),CONCATENATE("R",'Mapa final'!$A$36),"")</f>
        <v/>
      </c>
      <c r="AO15" s="490"/>
      <c r="AP15" s="68"/>
      <c r="AQ15" s="432"/>
      <c r="AR15" s="433"/>
      <c r="AS15" s="433"/>
      <c r="AT15" s="433"/>
      <c r="AU15" s="433"/>
      <c r="AV15" s="434"/>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27"/>
      <c r="E16" s="427"/>
      <c r="F16" s="428"/>
      <c r="G16" s="467"/>
      <c r="H16" s="468"/>
      <c r="I16" s="468"/>
      <c r="J16" s="468"/>
      <c r="K16" s="468"/>
      <c r="L16" s="475"/>
      <c r="M16" s="472"/>
      <c r="N16" s="472"/>
      <c r="O16" s="472"/>
      <c r="P16" s="472"/>
      <c r="Q16" s="480"/>
      <c r="R16" s="475"/>
      <c r="S16" s="472"/>
      <c r="T16" s="472"/>
      <c r="U16" s="472"/>
      <c r="V16" s="472"/>
      <c r="W16" s="472"/>
      <c r="X16" s="475"/>
      <c r="Y16" s="472"/>
      <c r="Z16" s="472"/>
      <c r="AA16" s="472"/>
      <c r="AB16" s="472"/>
      <c r="AC16" s="472"/>
      <c r="AD16" s="475"/>
      <c r="AE16" s="472"/>
      <c r="AF16" s="472"/>
      <c r="AG16" s="472"/>
      <c r="AH16" s="472"/>
      <c r="AI16" s="472"/>
      <c r="AJ16" s="488"/>
      <c r="AK16" s="489"/>
      <c r="AL16" s="489"/>
      <c r="AM16" s="489"/>
      <c r="AN16" s="489"/>
      <c r="AO16" s="490"/>
      <c r="AP16" s="68"/>
      <c r="AQ16" s="432"/>
      <c r="AR16" s="433"/>
      <c r="AS16" s="433"/>
      <c r="AT16" s="433"/>
      <c r="AU16" s="433"/>
      <c r="AV16" s="434"/>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27"/>
      <c r="E17" s="427"/>
      <c r="F17" s="428"/>
      <c r="G17" s="467"/>
      <c r="H17" s="468"/>
      <c r="I17" s="468"/>
      <c r="J17" s="468"/>
      <c r="K17" s="468"/>
      <c r="L17" s="475" t="str">
        <f>IF(AND('Mapa final'!$P$37="Muy Alta",'Mapa final'!$S$37="Leve"),CONCATENATE("R",'Mapa final'!$A$37),"")</f>
        <v/>
      </c>
      <c r="M17" s="472"/>
      <c r="N17" s="472" t="str">
        <f>IF(AND('Mapa final'!$K$38="Muy Alta",'Mapa final'!$O$38="Leve"),CONCATENATE("R",'Mapa final'!$A$38),"")</f>
        <v/>
      </c>
      <c r="O17" s="472"/>
      <c r="P17" s="472" t="str">
        <f>IF(AND('Mapa final'!$K$39="Muy Alta",'Mapa final'!$O$39="Leve"),CONCATENATE("R",'Mapa final'!$A$39),"")</f>
        <v/>
      </c>
      <c r="Q17" s="480"/>
      <c r="R17" s="475" t="str">
        <f>IF(AND('Mapa final'!$P$37="Muy Alta",'Mapa final'!$S$37="Menor"),CONCATENATE("R",'Mapa final'!$A$37),"")</f>
        <v/>
      </c>
      <c r="S17" s="472"/>
      <c r="T17" s="472" t="str">
        <f>IF(AND('Mapa final'!$P$38="Muy Alta",'Mapa final'!$S$38="Menor"),CONCATENATE("R",'Mapa final'!$A$38),"")</f>
        <v/>
      </c>
      <c r="U17" s="472"/>
      <c r="V17" s="472" t="str">
        <f>IF(AND('Mapa final'!$P$39="Muy Alta",'Mapa final'!$S$39="Menor"),CONCATENATE("R",'Mapa final'!$A$39),"")</f>
        <v/>
      </c>
      <c r="W17" s="472"/>
      <c r="X17" s="475" t="str">
        <f>IF(AND('Mapa final'!$P$37="Muy Alta",'Mapa final'!$S$37="Moderado"),CONCATENATE("R",'Mapa final'!$A$37),"")</f>
        <v/>
      </c>
      <c r="Y17" s="472"/>
      <c r="Z17" s="472" t="str">
        <f>IF(AND('Mapa final'!$P$38="Muy Alta",'Mapa final'!$S$38="Moderado"),CONCATENATE("R",'Mapa final'!$A$38),"")</f>
        <v/>
      </c>
      <c r="AA17" s="472"/>
      <c r="AB17" s="472" t="str">
        <f>IF(AND('Mapa final'!$P$39="Muy Alta",'Mapa final'!$S$39="Moderado"),CONCATENATE("R",'Mapa final'!$A$39),"")</f>
        <v/>
      </c>
      <c r="AC17" s="472"/>
      <c r="AD17" s="475" t="str">
        <f>IF(AND('Mapa final'!$P$37="Muy Alta",'Mapa final'!$S$37="Mayor"),CONCATENATE("R",'Mapa final'!$A$37),"")</f>
        <v/>
      </c>
      <c r="AE17" s="472"/>
      <c r="AF17" s="472" t="str">
        <f>IF(AND('Mapa final'!$P$38="Muy Alta",'Mapa final'!$S$38="Mayor"),CONCATENATE("R",'Mapa final'!$A$38),"")</f>
        <v/>
      </c>
      <c r="AG17" s="472"/>
      <c r="AH17" s="472" t="str">
        <f>IF(AND('Mapa final'!$P$39="Muy Alta",'Mapa final'!$S$39="Mayor"),CONCATENATE("R",'Mapa final'!$A$39),"")</f>
        <v/>
      </c>
      <c r="AI17" s="472"/>
      <c r="AJ17" s="488" t="str">
        <f>IF(AND('Mapa final'!$P$37="Muy Alta",'Mapa final'!$S$37="Catastrófico"),CONCATENATE("R",'Mapa final'!$A$37),"")</f>
        <v/>
      </c>
      <c r="AK17" s="489"/>
      <c r="AL17" s="489" t="str">
        <f>IF(AND('Mapa final'!$P$38="Muy Alta",'Mapa final'!$S$38="Catastrófico"),CONCATENATE("R",'Mapa final'!$A$38),"")</f>
        <v/>
      </c>
      <c r="AM17" s="489"/>
      <c r="AN17" s="489" t="str">
        <f>IF(AND('Mapa final'!$P$39="Muy Alta",'Mapa final'!$S$39="Catastrófico"),CONCATENATE("R",'Mapa final'!$A$39),"")</f>
        <v/>
      </c>
      <c r="AO17" s="490"/>
      <c r="AP17" s="68"/>
      <c r="AQ17" s="432"/>
      <c r="AR17" s="433"/>
      <c r="AS17" s="433"/>
      <c r="AT17" s="433"/>
      <c r="AU17" s="433"/>
      <c r="AV17" s="434"/>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27"/>
      <c r="E18" s="427"/>
      <c r="F18" s="428"/>
      <c r="G18" s="469"/>
      <c r="H18" s="470"/>
      <c r="I18" s="470"/>
      <c r="J18" s="470"/>
      <c r="K18" s="470"/>
      <c r="L18" s="486"/>
      <c r="M18" s="481"/>
      <c r="N18" s="481"/>
      <c r="O18" s="481"/>
      <c r="P18" s="481"/>
      <c r="Q18" s="482"/>
      <c r="R18" s="486"/>
      <c r="S18" s="481"/>
      <c r="T18" s="481"/>
      <c r="U18" s="481"/>
      <c r="V18" s="481"/>
      <c r="W18" s="481"/>
      <c r="X18" s="475"/>
      <c r="Y18" s="472"/>
      <c r="Z18" s="472"/>
      <c r="AA18" s="472"/>
      <c r="AB18" s="472"/>
      <c r="AC18" s="472"/>
      <c r="AD18" s="475"/>
      <c r="AE18" s="472"/>
      <c r="AF18" s="472"/>
      <c r="AG18" s="472"/>
      <c r="AH18" s="472"/>
      <c r="AI18" s="472"/>
      <c r="AJ18" s="488"/>
      <c r="AK18" s="489"/>
      <c r="AL18" s="489"/>
      <c r="AM18" s="489"/>
      <c r="AN18" s="489"/>
      <c r="AO18" s="490"/>
      <c r="AP18" s="68"/>
      <c r="AQ18" s="435"/>
      <c r="AR18" s="436"/>
      <c r="AS18" s="436"/>
      <c r="AT18" s="436"/>
      <c r="AU18" s="436"/>
      <c r="AV18" s="437"/>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27"/>
      <c r="E19" s="427"/>
      <c r="F19" s="428"/>
      <c r="G19" s="465" t="s">
        <v>255</v>
      </c>
      <c r="H19" s="466"/>
      <c r="I19" s="466"/>
      <c r="J19" s="466"/>
      <c r="K19" s="466"/>
      <c r="L19" s="501"/>
      <c r="M19" s="502"/>
      <c r="N19" s="502" t="str">
        <f>IF(AND('Mapa final'!$K$15="Alta",'Mapa final'!$O$15="Leve"),CONCATENATE("R",'Mapa final'!$A$18),"")</f>
        <v/>
      </c>
      <c r="O19" s="502"/>
      <c r="P19" s="502" t="str">
        <f>IF(AND('Mapa final'!$K$32="Alta",'Mapa final'!$O$32="Leve"),CONCATENATE("R",'Mapa final'!$A$32),"")</f>
        <v/>
      </c>
      <c r="Q19" s="503"/>
      <c r="R19" s="501"/>
      <c r="S19" s="502"/>
      <c r="T19" s="484" t="str">
        <f>IF(AND('Mapa final'!$P$15="Alta",'Mapa final'!$S$15="Menor"),CONCATENATE("R",'Mapa final'!$A$18),"")</f>
        <v/>
      </c>
      <c r="U19" s="484"/>
      <c r="V19" s="484" t="str">
        <f>IF(AND('Mapa final'!$P$32="Alta",'Mapa final'!$S$32="Menor"),CONCATENATE("R",'Mapa final'!$A$32),"")</f>
        <v/>
      </c>
      <c r="W19" s="484"/>
      <c r="X19" s="473"/>
      <c r="Y19" s="474"/>
      <c r="Z19" s="474" t="str">
        <f>IF(AND('Mapa final'!P$15="Alta",'Mapa final'!$S$15="Moderado"),CONCATENATE("R",'Mapa final'!$A$18),"")</f>
        <v/>
      </c>
      <c r="AA19" s="474"/>
      <c r="AB19" s="474" t="str">
        <f>IF(AND('Mapa final'!$P$32="Alta",'Mapa final'!$S$32="Moderado"),CONCATENATE("R",'Mapa final'!$A$32),"")</f>
        <v/>
      </c>
      <c r="AC19" s="474"/>
      <c r="AD19" s="473"/>
      <c r="AE19" s="474"/>
      <c r="AF19" s="474" t="str">
        <f>IF(AND('Mapa final'!$P$15="Alta",'Mapa final'!$S$15="Mayor"),CONCATENATE("R",'Mapa final'!$A$18),"")</f>
        <v/>
      </c>
      <c r="AG19" s="474"/>
      <c r="AH19" s="474" t="str">
        <f>IF(AND('Mapa final'!$P$32="Alta",'Mapa final'!$S$32="Mayor"),CONCATENATE("R",'Mapa final'!$A$32),"")</f>
        <v/>
      </c>
      <c r="AI19" s="474"/>
      <c r="AJ19" s="491"/>
      <c r="AK19" s="492"/>
      <c r="AL19" s="492" t="str">
        <f>IF(AND('Mapa final'!$P$15="Alta",'Mapa final'!$S$15="Catastrófico"),CONCATENATE("R",'Mapa final'!$A$18),"")</f>
        <v/>
      </c>
      <c r="AM19" s="492"/>
      <c r="AN19" s="492" t="str">
        <f>IF(AND('Mapa final'!$P$32="Alta",'Mapa final'!$S$32="Catastrófico"),CONCATENATE("R",'Mapa final'!$A$32),"")</f>
        <v/>
      </c>
      <c r="AO19" s="493"/>
      <c r="AP19" s="68"/>
      <c r="AQ19" s="438" t="s">
        <v>256</v>
      </c>
      <c r="AR19" s="439"/>
      <c r="AS19" s="439"/>
      <c r="AT19" s="439"/>
      <c r="AU19" s="439"/>
      <c r="AV19" s="440"/>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27"/>
      <c r="E20" s="427"/>
      <c r="F20" s="428"/>
      <c r="G20" s="467"/>
      <c r="H20" s="468"/>
      <c r="I20" s="468"/>
      <c r="J20" s="468"/>
      <c r="K20" s="468"/>
      <c r="L20" s="483"/>
      <c r="M20" s="484"/>
      <c r="N20" s="484"/>
      <c r="O20" s="484"/>
      <c r="P20" s="484"/>
      <c r="Q20" s="497"/>
      <c r="R20" s="483"/>
      <c r="S20" s="484"/>
      <c r="T20" s="484"/>
      <c r="U20" s="484"/>
      <c r="V20" s="484"/>
      <c r="W20" s="484"/>
      <c r="X20" s="475"/>
      <c r="Y20" s="472"/>
      <c r="Z20" s="472"/>
      <c r="AA20" s="472"/>
      <c r="AB20" s="472"/>
      <c r="AC20" s="472"/>
      <c r="AD20" s="475"/>
      <c r="AE20" s="472"/>
      <c r="AF20" s="472"/>
      <c r="AG20" s="472"/>
      <c r="AH20" s="472"/>
      <c r="AI20" s="472"/>
      <c r="AJ20" s="488"/>
      <c r="AK20" s="489"/>
      <c r="AL20" s="489"/>
      <c r="AM20" s="489"/>
      <c r="AN20" s="489"/>
      <c r="AO20" s="490"/>
      <c r="AP20" s="68"/>
      <c r="AQ20" s="441"/>
      <c r="AR20" s="442"/>
      <c r="AS20" s="442"/>
      <c r="AT20" s="442"/>
      <c r="AU20" s="442"/>
      <c r="AV20" s="443"/>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27"/>
      <c r="E21" s="427"/>
      <c r="F21" s="428"/>
      <c r="G21" s="467"/>
      <c r="H21" s="468"/>
      <c r="I21" s="468"/>
      <c r="J21" s="468"/>
      <c r="K21" s="468"/>
      <c r="L21" s="483" t="e">
        <f>IF(AND('Mapa final'!#REF!="Alta",'Mapa final'!#REF!="Leve"),CONCATENATE("R",'Mapa final'!#REF!),"")</f>
        <v>#REF!</v>
      </c>
      <c r="M21" s="484"/>
      <c r="N21" s="484" t="e">
        <f>IF(AND('Mapa final'!#REF!="Alta",'Mapa final'!#REF!="Leve"),CONCATENATE("R",'Mapa final'!#REF!),"")</f>
        <v>#REF!</v>
      </c>
      <c r="O21" s="484"/>
      <c r="P21" s="484" t="e">
        <f>IF(AND('Mapa final'!#REF!="Alta",'Mapa final'!#REF!="Leve"),CONCATENATE("R",'Mapa final'!#REF!),"")</f>
        <v>#REF!</v>
      </c>
      <c r="Q21" s="497"/>
      <c r="R21" s="483" t="e">
        <f>IF(AND('Mapa final'!#REF!="Alta",'Mapa final'!#REF!="Menor"),CONCATENATE("R",'Mapa final'!#REF!),"")</f>
        <v>#REF!</v>
      </c>
      <c r="S21" s="484"/>
      <c r="T21" s="484" t="e">
        <f>IF(AND('Mapa final'!#REF!="Alta",'Mapa final'!#REF!="Menor"),CONCATENATE("R",'Mapa final'!#REF!),"")</f>
        <v>#REF!</v>
      </c>
      <c r="U21" s="484"/>
      <c r="V21" s="484" t="e">
        <f>IF(AND('Mapa final'!#REF!="Alta",'Mapa final'!#REF!="Menor"),CONCATENATE("R",'Mapa final'!#REF!),"")</f>
        <v>#REF!</v>
      </c>
      <c r="W21" s="484"/>
      <c r="X21" s="475" t="e">
        <f>IF(AND('Mapa final'!#REF!="Alta",'Mapa final'!#REF!="Moderado"),CONCATENATE("R",'Mapa final'!#REF!),"")</f>
        <v>#REF!</v>
      </c>
      <c r="Y21" s="472"/>
      <c r="Z21" s="472" t="e">
        <f>IF(AND('Mapa final'!#REF!="Alta",'Mapa final'!#REF!="Moderado"),CONCATENATE("R",'Mapa final'!#REF!),"")</f>
        <v>#REF!</v>
      </c>
      <c r="AA21" s="472"/>
      <c r="AB21" s="472" t="e">
        <f>IF(AND('Mapa final'!#REF!="Alta",'Mapa final'!#REF!="Moderado"),CONCATENATE("R",'Mapa final'!#REF!),"")</f>
        <v>#REF!</v>
      </c>
      <c r="AC21" s="472"/>
      <c r="AD21" s="475" t="e">
        <f>IF(AND('Mapa final'!#REF!="Alta",'Mapa final'!#REF!="Mayor"),CONCATENATE("R",'Mapa final'!#REF!),"")</f>
        <v>#REF!</v>
      </c>
      <c r="AE21" s="472"/>
      <c r="AF21" s="472" t="e">
        <f>IF(AND('Mapa final'!#REF!="Alta",'Mapa final'!#REF!="Mayor"),CONCATENATE("R",'Mapa final'!#REF!),"")</f>
        <v>#REF!</v>
      </c>
      <c r="AG21" s="472"/>
      <c r="AH21" s="472" t="e">
        <f>IF(AND('Mapa final'!#REF!="Alta",'Mapa final'!#REF!="Mayor"),CONCATENATE("R",'Mapa final'!#REF!),"")</f>
        <v>#REF!</v>
      </c>
      <c r="AI21" s="472"/>
      <c r="AJ21" s="488" t="e">
        <f>IF(AND('Mapa final'!#REF!="Alta",'Mapa final'!#REF!="Catastrófico"),CONCATENATE("R",'Mapa final'!#REF!),"")</f>
        <v>#REF!</v>
      </c>
      <c r="AK21" s="489"/>
      <c r="AL21" s="489" t="e">
        <f>IF(AND('Mapa final'!#REF!="Alta",'Mapa final'!#REF!="Catastrófico"),CONCATENATE("R",'Mapa final'!#REF!),"")</f>
        <v>#REF!</v>
      </c>
      <c r="AM21" s="489"/>
      <c r="AN21" s="489" t="e">
        <f>IF(AND('Mapa final'!#REF!="Alta",'Mapa final'!#REF!="Catastrófico"),CONCATENATE("R",'Mapa final'!#REF!),"")</f>
        <v>#REF!</v>
      </c>
      <c r="AO21" s="490"/>
      <c r="AP21" s="68"/>
      <c r="AQ21" s="441"/>
      <c r="AR21" s="442"/>
      <c r="AS21" s="442"/>
      <c r="AT21" s="442"/>
      <c r="AU21" s="442"/>
      <c r="AV21" s="443"/>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27"/>
      <c r="E22" s="427"/>
      <c r="F22" s="428"/>
      <c r="G22" s="467"/>
      <c r="H22" s="468"/>
      <c r="I22" s="468"/>
      <c r="J22" s="468"/>
      <c r="K22" s="468"/>
      <c r="L22" s="483"/>
      <c r="M22" s="484"/>
      <c r="N22" s="484"/>
      <c r="O22" s="484"/>
      <c r="P22" s="484"/>
      <c r="Q22" s="497"/>
      <c r="R22" s="483"/>
      <c r="S22" s="484"/>
      <c r="T22" s="484"/>
      <c r="U22" s="484"/>
      <c r="V22" s="484"/>
      <c r="W22" s="484"/>
      <c r="X22" s="475"/>
      <c r="Y22" s="472"/>
      <c r="Z22" s="472"/>
      <c r="AA22" s="472"/>
      <c r="AB22" s="472"/>
      <c r="AC22" s="472"/>
      <c r="AD22" s="475"/>
      <c r="AE22" s="472"/>
      <c r="AF22" s="472"/>
      <c r="AG22" s="472"/>
      <c r="AH22" s="472"/>
      <c r="AI22" s="472"/>
      <c r="AJ22" s="488"/>
      <c r="AK22" s="489"/>
      <c r="AL22" s="489"/>
      <c r="AM22" s="489"/>
      <c r="AN22" s="489"/>
      <c r="AO22" s="490"/>
      <c r="AP22" s="68"/>
      <c r="AQ22" s="441"/>
      <c r="AR22" s="442"/>
      <c r="AS22" s="442"/>
      <c r="AT22" s="442"/>
      <c r="AU22" s="442"/>
      <c r="AV22" s="443"/>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27"/>
      <c r="E23" s="427"/>
      <c r="F23" s="428"/>
      <c r="G23" s="467"/>
      <c r="H23" s="468"/>
      <c r="I23" s="468"/>
      <c r="J23" s="468"/>
      <c r="K23" s="468"/>
      <c r="L23" s="483" t="e">
        <f>IF(AND('Mapa final'!#REF!="Alta",'Mapa final'!#REF!="Leve"),CONCATENATE("R",'Mapa final'!#REF!),"")</f>
        <v>#REF!</v>
      </c>
      <c r="M23" s="484"/>
      <c r="N23" s="484" t="e">
        <f>IF(AND('Mapa final'!#REF!="Alta",'Mapa final'!#REF!="Leve"),CONCATENATE("R",'Mapa final'!#REF!),"")</f>
        <v>#REF!</v>
      </c>
      <c r="O23" s="484"/>
      <c r="P23" s="484" t="str">
        <f>IF(AND('Mapa final'!$K$36="Alta",'Mapa final'!$O$36="Leve"),CONCATENATE("R",'Mapa final'!$A$36),"")</f>
        <v/>
      </c>
      <c r="Q23" s="497"/>
      <c r="R23" s="483" t="e">
        <f>IF(AND('Mapa final'!#REF!="Alta",'Mapa final'!#REF!="Menor"),CONCATENATE("R",'Mapa final'!#REF!),"")</f>
        <v>#REF!</v>
      </c>
      <c r="S23" s="484"/>
      <c r="T23" s="484" t="e">
        <f>IF(AND('Mapa final'!#REF!="Alta",'Mapa final'!#REF!="Menor"),CONCATENATE("R",'Mapa final'!#REF!),"")</f>
        <v>#REF!</v>
      </c>
      <c r="U23" s="484"/>
      <c r="V23" s="484" t="str">
        <f>IF(AND('Mapa final'!$P$36="Alta",'Mapa final'!$S$36="Menor"),CONCATENATE("R",'Mapa final'!$A$36),"")</f>
        <v/>
      </c>
      <c r="W23" s="484"/>
      <c r="X23" s="475" t="e">
        <f>IF(AND('Mapa final'!#REF!="Alta",'Mapa final'!#REF!="Moderado"),CONCATENATE("R",'Mapa final'!#REF!),"")</f>
        <v>#REF!</v>
      </c>
      <c r="Y23" s="472"/>
      <c r="Z23" s="472" t="e">
        <f>IF(AND('Mapa final'!#REF!="Alta",'Mapa final'!#REF!="Moderado"),CONCATENATE("R",'Mapa final'!#REF!),"")</f>
        <v>#REF!</v>
      </c>
      <c r="AA23" s="472"/>
      <c r="AB23" s="472" t="str">
        <f>IF(AND('Mapa final'!$P$36="Alta",'Mapa final'!$S$36="Moderado"),CONCATENATE("R",'Mapa final'!$A$36),"")</f>
        <v/>
      </c>
      <c r="AC23" s="472"/>
      <c r="AD23" s="475" t="e">
        <f>IF(AND('Mapa final'!#REF!="Alta",'Mapa final'!#REF!="Mayor"),CONCATENATE("R",'Mapa final'!#REF!),"")</f>
        <v>#REF!</v>
      </c>
      <c r="AE23" s="472"/>
      <c r="AF23" s="472" t="e">
        <f>IF(AND('Mapa final'!#REF!="Alta",'Mapa final'!#REF!="Mayor"),CONCATENATE("R",'Mapa final'!#REF!),"")</f>
        <v>#REF!</v>
      </c>
      <c r="AG23" s="472"/>
      <c r="AH23" s="472" t="str">
        <f>IF(AND('Mapa final'!$P$36="Alta",'Mapa final'!$S$36="Mayor"),CONCATENATE("R",'Mapa final'!$A$36),"")</f>
        <v/>
      </c>
      <c r="AI23" s="472"/>
      <c r="AJ23" s="488" t="e">
        <f>IF(AND('Mapa final'!#REF!="Alta",'Mapa final'!#REF!="Catastrófico"),CONCATENATE("R",'Mapa final'!#REF!),"")</f>
        <v>#REF!</v>
      </c>
      <c r="AK23" s="489"/>
      <c r="AL23" s="489" t="e">
        <f>IF(AND('Mapa final'!#REF!="Alta",'Mapa final'!#REF!="Catastrófico"),CONCATENATE("R",'Mapa final'!#REF!),"")</f>
        <v>#REF!</v>
      </c>
      <c r="AM23" s="489"/>
      <c r="AN23" s="489" t="str">
        <f>IF(AND('Mapa final'!$P$36="Alta",'Mapa final'!$S$36="Catastrófico"),CONCATENATE("R",'Mapa final'!$A$36),"")</f>
        <v/>
      </c>
      <c r="AO23" s="490"/>
      <c r="AP23" s="68"/>
      <c r="AQ23" s="441"/>
      <c r="AR23" s="442"/>
      <c r="AS23" s="442"/>
      <c r="AT23" s="442"/>
      <c r="AU23" s="442"/>
      <c r="AV23" s="443"/>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27"/>
      <c r="E24" s="427"/>
      <c r="F24" s="428"/>
      <c r="G24" s="467"/>
      <c r="H24" s="468"/>
      <c r="I24" s="468"/>
      <c r="J24" s="468"/>
      <c r="K24" s="468"/>
      <c r="L24" s="483"/>
      <c r="M24" s="484"/>
      <c r="N24" s="484"/>
      <c r="O24" s="484"/>
      <c r="P24" s="484"/>
      <c r="Q24" s="497"/>
      <c r="R24" s="483"/>
      <c r="S24" s="484"/>
      <c r="T24" s="484"/>
      <c r="U24" s="484"/>
      <c r="V24" s="484"/>
      <c r="W24" s="484"/>
      <c r="X24" s="475"/>
      <c r="Y24" s="472"/>
      <c r="Z24" s="472"/>
      <c r="AA24" s="472"/>
      <c r="AB24" s="472"/>
      <c r="AC24" s="472"/>
      <c r="AD24" s="475"/>
      <c r="AE24" s="472"/>
      <c r="AF24" s="472"/>
      <c r="AG24" s="472"/>
      <c r="AH24" s="472"/>
      <c r="AI24" s="472"/>
      <c r="AJ24" s="488"/>
      <c r="AK24" s="489"/>
      <c r="AL24" s="489"/>
      <c r="AM24" s="489"/>
      <c r="AN24" s="489"/>
      <c r="AO24" s="490"/>
      <c r="AP24" s="68"/>
      <c r="AQ24" s="441"/>
      <c r="AR24" s="442"/>
      <c r="AS24" s="442"/>
      <c r="AT24" s="442"/>
      <c r="AU24" s="442"/>
      <c r="AV24" s="443"/>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27"/>
      <c r="E25" s="427"/>
      <c r="F25" s="428"/>
      <c r="G25" s="467"/>
      <c r="H25" s="468"/>
      <c r="I25" s="468"/>
      <c r="J25" s="468"/>
      <c r="K25" s="468"/>
      <c r="L25" s="483" t="str">
        <f>IF(AND('Mapa final'!$P$37="Alta",'Mapa final'!$S$37="Leve"),CONCATENATE("R",'Mapa final'!$A$37),"")</f>
        <v/>
      </c>
      <c r="M25" s="484"/>
      <c r="N25" s="484" t="str">
        <f>IF(AND('Mapa final'!$K$38="Alta",'Mapa final'!$O$38="Leve"),CONCATENATE("R",'Mapa final'!$A$38),"")</f>
        <v/>
      </c>
      <c r="O25" s="484"/>
      <c r="P25" s="484" t="str">
        <f>IF(AND('Mapa final'!$K$39="Alta",'Mapa final'!$O$39="Leve"),CONCATENATE("R",'Mapa final'!$A$39),"")</f>
        <v/>
      </c>
      <c r="Q25" s="497"/>
      <c r="R25" s="483" t="str">
        <f>IF(AND('Mapa final'!$P$37="Alta",'Mapa final'!$S$37="Menor"),CONCATENATE("R",'Mapa final'!$A$37),"")</f>
        <v/>
      </c>
      <c r="S25" s="484"/>
      <c r="T25" s="484" t="str">
        <f>IF(AND('Mapa final'!$P$38="Alta",'Mapa final'!$S$38="Menor"),CONCATENATE("R",'Mapa final'!$A$38),"")</f>
        <v/>
      </c>
      <c r="U25" s="484"/>
      <c r="V25" s="484" t="str">
        <f>IF(AND('Mapa final'!$P$39="Alta",'Mapa final'!$S$39="Menor"),CONCATENATE("R",'Mapa final'!$A$39),"")</f>
        <v/>
      </c>
      <c r="W25" s="484"/>
      <c r="X25" s="475" t="str">
        <f>IF(AND('Mapa final'!$P$37="Alta",'Mapa final'!$S$37="Moderado"),CONCATENATE("R",'Mapa final'!$A$37),"")</f>
        <v/>
      </c>
      <c r="Y25" s="472"/>
      <c r="Z25" s="472" t="str">
        <f>IF(AND('Mapa final'!$P$38="Alta",'Mapa final'!$S$38="Moderado"),CONCATENATE("R",'Mapa final'!$A$38),"")</f>
        <v/>
      </c>
      <c r="AA25" s="472"/>
      <c r="AB25" s="472" t="str">
        <f>IF(AND('Mapa final'!$P$39="Alta",'Mapa final'!$S$39="Moderado"),CONCATENATE("R",'Mapa final'!$A$39),"")</f>
        <v/>
      </c>
      <c r="AC25" s="472"/>
      <c r="AD25" s="475" t="str">
        <f>IF(AND('Mapa final'!$P$37="Alta",'Mapa final'!$S$37="Mayor"),CONCATENATE("R",'Mapa final'!$A$37),"")</f>
        <v/>
      </c>
      <c r="AE25" s="472"/>
      <c r="AF25" s="472" t="str">
        <f>IF(AND('Mapa final'!$P$38="Alta",'Mapa final'!$S$38="Mayor"),CONCATENATE("R",'Mapa final'!$A$38),"")</f>
        <v/>
      </c>
      <c r="AG25" s="472"/>
      <c r="AH25" s="472" t="str">
        <f>IF(AND('Mapa final'!$P$39="Alta",'Mapa final'!$S$39="Mayor"),CONCATENATE("R",'Mapa final'!$A$39),"")</f>
        <v/>
      </c>
      <c r="AI25" s="472"/>
      <c r="AJ25" s="488" t="str">
        <f>IF(AND('Mapa final'!$P$37="Alta",'Mapa final'!$S$37="Catastrófico"),CONCATENATE("R",'Mapa final'!$A$37),"")</f>
        <v/>
      </c>
      <c r="AK25" s="489"/>
      <c r="AL25" s="489" t="str">
        <f>IF(AND('Mapa final'!$P$38="Alta",'Mapa final'!$S$38="Catastrófico"),CONCATENATE("R",'Mapa final'!$A$38),"")</f>
        <v/>
      </c>
      <c r="AM25" s="489"/>
      <c r="AN25" s="489" t="str">
        <f>IF(AND('Mapa final'!$P$39="Alta",'Mapa final'!$S$39="Catastrófico"),CONCATENATE("R",'Mapa final'!$A$39),"")</f>
        <v/>
      </c>
      <c r="AO25" s="490"/>
      <c r="AP25" s="68"/>
      <c r="AQ25" s="441"/>
      <c r="AR25" s="442"/>
      <c r="AS25" s="442"/>
      <c r="AT25" s="442"/>
      <c r="AU25" s="442"/>
      <c r="AV25" s="443"/>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27"/>
      <c r="E26" s="427"/>
      <c r="F26" s="428"/>
      <c r="G26" s="469"/>
      <c r="H26" s="470"/>
      <c r="I26" s="470"/>
      <c r="J26" s="470"/>
      <c r="K26" s="470"/>
      <c r="L26" s="498"/>
      <c r="M26" s="499"/>
      <c r="N26" s="499"/>
      <c r="O26" s="499"/>
      <c r="P26" s="499"/>
      <c r="Q26" s="500"/>
      <c r="R26" s="498"/>
      <c r="S26" s="499"/>
      <c r="T26" s="484"/>
      <c r="U26" s="484"/>
      <c r="V26" s="484"/>
      <c r="W26" s="484"/>
      <c r="X26" s="475"/>
      <c r="Y26" s="472"/>
      <c r="Z26" s="472"/>
      <c r="AA26" s="472"/>
      <c r="AB26" s="472"/>
      <c r="AC26" s="472"/>
      <c r="AD26" s="475"/>
      <c r="AE26" s="472"/>
      <c r="AF26" s="472"/>
      <c r="AG26" s="472"/>
      <c r="AH26" s="472"/>
      <c r="AI26" s="472"/>
      <c r="AJ26" s="488"/>
      <c r="AK26" s="489"/>
      <c r="AL26" s="489"/>
      <c r="AM26" s="489"/>
      <c r="AN26" s="489"/>
      <c r="AO26" s="490"/>
      <c r="AP26" s="68"/>
      <c r="AQ26" s="444"/>
      <c r="AR26" s="445"/>
      <c r="AS26" s="445"/>
      <c r="AT26" s="445"/>
      <c r="AU26" s="445"/>
      <c r="AV26" s="446"/>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27"/>
      <c r="E27" s="427"/>
      <c r="F27" s="428"/>
      <c r="G27" s="465" t="s">
        <v>257</v>
      </c>
      <c r="H27" s="466"/>
      <c r="I27" s="466"/>
      <c r="J27" s="466"/>
      <c r="K27" s="466"/>
      <c r="L27" s="501"/>
      <c r="M27" s="502"/>
      <c r="N27" s="502" t="str">
        <f>IF(AND('Mapa final'!$K$15="Media",'Mapa final'!$O$15="Leve"),CONCATENATE("R",'Mapa final'!$A$18),"")</f>
        <v/>
      </c>
      <c r="O27" s="502"/>
      <c r="P27" s="502" t="str">
        <f>IF(AND('Mapa final'!$K$32="Media",'Mapa final'!$O$32="Leve"),CONCATENATE("R",'Mapa final'!$A$32),"")</f>
        <v/>
      </c>
      <c r="Q27" s="503"/>
      <c r="R27" s="501"/>
      <c r="S27" s="502"/>
      <c r="T27" s="502" t="str">
        <f>IF(AND('Mapa final'!$P$15="Media",'Mapa final'!$S$15="Menor"),CONCATENATE("R",'Mapa final'!$A$18),"")</f>
        <v/>
      </c>
      <c r="U27" s="502"/>
      <c r="V27" s="502" t="str">
        <f>IF(AND('Mapa final'!$P$32="Media",'Mapa final'!$S$32="Menor"),CONCATENATE("R",'Mapa final'!$A$32),"")</f>
        <v/>
      </c>
      <c r="W27" s="502"/>
      <c r="X27" s="501"/>
      <c r="Y27" s="502"/>
      <c r="Z27" s="502" t="str">
        <f>IF(AND('Mapa final'!P$15="Media",'Mapa final'!$S$15="Moderado"),CONCATENATE("R",'Mapa final'!$A$18),"")</f>
        <v/>
      </c>
      <c r="AA27" s="502"/>
      <c r="AB27" s="502" t="str">
        <f>IF(AND('Mapa final'!$P$32="Media",'Mapa final'!$S$32="Moderado"),CONCATENATE("R",'Mapa final'!$A$32),"")</f>
        <v/>
      </c>
      <c r="AC27" s="502"/>
      <c r="AD27" s="473"/>
      <c r="AE27" s="474"/>
      <c r="AF27" s="474" t="str">
        <f>IF(AND('Mapa final'!$P$15="Media",'Mapa final'!$S$15="Mayor"),CONCATENATE("R",'Mapa final'!$A$18),"")</f>
        <v/>
      </c>
      <c r="AG27" s="474"/>
      <c r="AH27" s="474" t="str">
        <f>IF(AND('Mapa final'!$P$32="Media",'Mapa final'!$S$32="Mayor"),CONCATENATE("R",'Mapa final'!$A$32),"")</f>
        <v/>
      </c>
      <c r="AI27" s="474"/>
      <c r="AJ27" s="491"/>
      <c r="AK27" s="492"/>
      <c r="AL27" s="492" t="str">
        <f>IF(AND('Mapa final'!$P$15="Media",'Mapa final'!$S$15="Catastrófico"),CONCATENATE("R",'Mapa final'!$A$18),"")</f>
        <v/>
      </c>
      <c r="AM27" s="492"/>
      <c r="AN27" s="492" t="str">
        <f>IF(AND('Mapa final'!$P$32="Media",'Mapa final'!$S$32="Catastrófico"),CONCATENATE("R",'Mapa final'!$A$32),"")</f>
        <v/>
      </c>
      <c r="AO27" s="493"/>
      <c r="AP27" s="68"/>
      <c r="AQ27" s="447" t="s">
        <v>121</v>
      </c>
      <c r="AR27" s="448"/>
      <c r="AS27" s="448"/>
      <c r="AT27" s="448"/>
      <c r="AU27" s="448"/>
      <c r="AV27" s="449"/>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27"/>
      <c r="E28" s="427"/>
      <c r="F28" s="428"/>
      <c r="G28" s="467"/>
      <c r="H28" s="468"/>
      <c r="I28" s="468"/>
      <c r="J28" s="468"/>
      <c r="K28" s="468"/>
      <c r="L28" s="483"/>
      <c r="M28" s="484"/>
      <c r="N28" s="484"/>
      <c r="O28" s="484"/>
      <c r="P28" s="484"/>
      <c r="Q28" s="497"/>
      <c r="R28" s="483"/>
      <c r="S28" s="484"/>
      <c r="T28" s="484"/>
      <c r="U28" s="484"/>
      <c r="V28" s="484"/>
      <c r="W28" s="484"/>
      <c r="X28" s="483"/>
      <c r="Y28" s="484"/>
      <c r="Z28" s="484"/>
      <c r="AA28" s="484"/>
      <c r="AB28" s="484"/>
      <c r="AC28" s="484"/>
      <c r="AD28" s="475"/>
      <c r="AE28" s="472"/>
      <c r="AF28" s="472"/>
      <c r="AG28" s="472"/>
      <c r="AH28" s="472"/>
      <c r="AI28" s="472"/>
      <c r="AJ28" s="488"/>
      <c r="AK28" s="489"/>
      <c r="AL28" s="489"/>
      <c r="AM28" s="489"/>
      <c r="AN28" s="489"/>
      <c r="AO28" s="490"/>
      <c r="AP28" s="68"/>
      <c r="AQ28" s="450"/>
      <c r="AR28" s="451"/>
      <c r="AS28" s="451"/>
      <c r="AT28" s="451"/>
      <c r="AU28" s="451"/>
      <c r="AV28" s="452"/>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27"/>
      <c r="E29" s="427"/>
      <c r="F29" s="428"/>
      <c r="G29" s="467"/>
      <c r="H29" s="468"/>
      <c r="I29" s="468"/>
      <c r="J29" s="468"/>
      <c r="K29" s="468"/>
      <c r="L29" s="483" t="e">
        <f>IF(AND('Mapa final'!#REF!="Media",'Mapa final'!#REF!="Leve"),CONCATENATE("R",'Mapa final'!#REF!),"")</f>
        <v>#REF!</v>
      </c>
      <c r="M29" s="484"/>
      <c r="N29" s="484" t="e">
        <f>IF(AND('Mapa final'!#REF!="Media",'Mapa final'!#REF!="Leve"),CONCATENATE("R",'Mapa final'!#REF!),"")</f>
        <v>#REF!</v>
      </c>
      <c r="O29" s="484"/>
      <c r="P29" s="484" t="e">
        <f>IF(AND('Mapa final'!#REF!="Media",'Mapa final'!#REF!="Leve"),CONCATENATE("R",'Mapa final'!#REF!),"")</f>
        <v>#REF!</v>
      </c>
      <c r="Q29" s="497"/>
      <c r="R29" s="483" t="e">
        <f>IF(AND('Mapa final'!#REF!="Media",'Mapa final'!#REF!="Menor"),CONCATENATE("R",'Mapa final'!#REF!),"")</f>
        <v>#REF!</v>
      </c>
      <c r="S29" s="484"/>
      <c r="T29" s="484" t="e">
        <f>IF(AND('Mapa final'!#REF!="Media",'Mapa final'!#REF!="Menor"),CONCATENATE("R",'Mapa final'!#REF!),"")</f>
        <v>#REF!</v>
      </c>
      <c r="U29" s="484"/>
      <c r="V29" s="484" t="e">
        <f>IF(AND('Mapa final'!#REF!="Media",'Mapa final'!#REF!="Menor"),CONCATENATE("R",'Mapa final'!#REF!),"")</f>
        <v>#REF!</v>
      </c>
      <c r="W29" s="484"/>
      <c r="X29" s="483" t="e">
        <f>IF(AND('Mapa final'!#REF!="Media",'Mapa final'!#REF!="Moderado"),CONCATENATE("R",'Mapa final'!#REF!),"")</f>
        <v>#REF!</v>
      </c>
      <c r="Y29" s="484"/>
      <c r="Z29" s="484" t="e">
        <f>IF(AND('Mapa final'!#REF!="Media",'Mapa final'!#REF!="Moderado"),CONCATENATE("R",'Mapa final'!#REF!),"")</f>
        <v>#REF!</v>
      </c>
      <c r="AA29" s="484"/>
      <c r="AB29" s="484" t="e">
        <f>IF(AND('Mapa final'!#REF!="Media",'Mapa final'!#REF!="Moderado"),CONCATENATE("R",'Mapa final'!#REF!),"")</f>
        <v>#REF!</v>
      </c>
      <c r="AC29" s="484"/>
      <c r="AD29" s="475" t="e">
        <f>IF(AND('Mapa final'!#REF!="Media",'Mapa final'!#REF!="Mayor"),CONCATENATE("R",'Mapa final'!#REF!),"")</f>
        <v>#REF!</v>
      </c>
      <c r="AE29" s="472"/>
      <c r="AF29" s="472" t="e">
        <f>IF(AND('Mapa final'!#REF!="Media",'Mapa final'!#REF!="Mayor"),CONCATENATE("R",'Mapa final'!#REF!),"")</f>
        <v>#REF!</v>
      </c>
      <c r="AG29" s="472"/>
      <c r="AH29" s="472" t="e">
        <f>IF(AND('Mapa final'!#REF!="Media",'Mapa final'!#REF!="Mayor"),CONCATENATE("R",'Mapa final'!#REF!),"")</f>
        <v>#REF!</v>
      </c>
      <c r="AI29" s="472"/>
      <c r="AJ29" s="488" t="e">
        <f>IF(AND('Mapa final'!#REF!="Media",'Mapa final'!#REF!="Catastrófico"),CONCATENATE("R",'Mapa final'!#REF!),"")</f>
        <v>#REF!</v>
      </c>
      <c r="AK29" s="489"/>
      <c r="AL29" s="489" t="e">
        <f>IF(AND('Mapa final'!#REF!="Media",'Mapa final'!#REF!="Catastrófico"),CONCATENATE("R",'Mapa final'!#REF!),"")</f>
        <v>#REF!</v>
      </c>
      <c r="AM29" s="489"/>
      <c r="AN29" s="489" t="e">
        <f>IF(AND('Mapa final'!#REF!="Media",'Mapa final'!#REF!="Catastrófico"),CONCATENATE("R",'Mapa final'!#REF!),"")</f>
        <v>#REF!</v>
      </c>
      <c r="AO29" s="490"/>
      <c r="AP29" s="68"/>
      <c r="AQ29" s="450"/>
      <c r="AR29" s="451"/>
      <c r="AS29" s="451"/>
      <c r="AT29" s="451"/>
      <c r="AU29" s="451"/>
      <c r="AV29" s="452"/>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27"/>
      <c r="E30" s="427"/>
      <c r="F30" s="428"/>
      <c r="G30" s="467"/>
      <c r="H30" s="468"/>
      <c r="I30" s="468"/>
      <c r="J30" s="468"/>
      <c r="K30" s="468"/>
      <c r="L30" s="483"/>
      <c r="M30" s="484"/>
      <c r="N30" s="484"/>
      <c r="O30" s="484"/>
      <c r="P30" s="484"/>
      <c r="Q30" s="497"/>
      <c r="R30" s="483"/>
      <c r="S30" s="484"/>
      <c r="T30" s="484"/>
      <c r="U30" s="484"/>
      <c r="V30" s="484"/>
      <c r="W30" s="484"/>
      <c r="X30" s="483"/>
      <c r="Y30" s="484"/>
      <c r="Z30" s="484"/>
      <c r="AA30" s="484"/>
      <c r="AB30" s="484"/>
      <c r="AC30" s="484"/>
      <c r="AD30" s="475"/>
      <c r="AE30" s="472"/>
      <c r="AF30" s="472"/>
      <c r="AG30" s="472"/>
      <c r="AH30" s="472"/>
      <c r="AI30" s="472"/>
      <c r="AJ30" s="488"/>
      <c r="AK30" s="489"/>
      <c r="AL30" s="489"/>
      <c r="AM30" s="489"/>
      <c r="AN30" s="489"/>
      <c r="AO30" s="490"/>
      <c r="AP30" s="68"/>
      <c r="AQ30" s="450"/>
      <c r="AR30" s="451"/>
      <c r="AS30" s="451"/>
      <c r="AT30" s="451"/>
      <c r="AU30" s="451"/>
      <c r="AV30" s="452"/>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27"/>
      <c r="E31" s="427"/>
      <c r="F31" s="428"/>
      <c r="G31" s="467"/>
      <c r="H31" s="468"/>
      <c r="I31" s="468"/>
      <c r="J31" s="468"/>
      <c r="K31" s="468"/>
      <c r="L31" s="483" t="e">
        <f>IF(AND('Mapa final'!#REF!="Media",'Mapa final'!#REF!="Leve"),CONCATENATE("R",'Mapa final'!#REF!),"")</f>
        <v>#REF!</v>
      </c>
      <c r="M31" s="484"/>
      <c r="N31" s="484" t="e">
        <f>IF(AND('Mapa final'!#REF!="Media",'Mapa final'!#REF!="Leve"),CONCATENATE("R",'Mapa final'!#REF!),"")</f>
        <v>#REF!</v>
      </c>
      <c r="O31" s="484"/>
      <c r="P31" s="484" t="str">
        <f>IF(AND('Mapa final'!$K$36="Media",'Mapa final'!$O$36="Leve"),CONCATENATE("R",'Mapa final'!$A$36),"")</f>
        <v/>
      </c>
      <c r="Q31" s="497"/>
      <c r="R31" s="483" t="e">
        <f>IF(AND('Mapa final'!#REF!="Media",'Mapa final'!#REF!="Menor"),CONCATENATE("R",'Mapa final'!#REF!),"")</f>
        <v>#REF!</v>
      </c>
      <c r="S31" s="484"/>
      <c r="T31" s="484" t="e">
        <f>IF(AND('Mapa final'!#REF!="Media",'Mapa final'!#REF!="Menor"),CONCATENATE("R",'Mapa final'!#REF!),"")</f>
        <v>#REF!</v>
      </c>
      <c r="U31" s="484"/>
      <c r="V31" s="484" t="str">
        <f>IF(AND('Mapa final'!$P$36="Media",'Mapa final'!$S$36="Menor"),CONCATENATE("R",'Mapa final'!$A$36),"")</f>
        <v/>
      </c>
      <c r="W31" s="484"/>
      <c r="X31" s="483" t="e">
        <f>IF(AND('Mapa final'!#REF!="Media",'Mapa final'!#REF!="Moderado"),CONCATENATE("R",'Mapa final'!#REF!),"")</f>
        <v>#REF!</v>
      </c>
      <c r="Y31" s="484"/>
      <c r="Z31" s="484" t="e">
        <f>IF(AND('Mapa final'!#REF!="Media",'Mapa final'!#REF!="Moderado"),CONCATENATE("R",'Mapa final'!#REF!),"")</f>
        <v>#REF!</v>
      </c>
      <c r="AA31" s="484"/>
      <c r="AB31" s="484" t="str">
        <f>IF(AND('Mapa final'!$P$36="Media",'Mapa final'!$S$36="Moderado"),CONCATENATE("R",'Mapa final'!$A$36),"")</f>
        <v/>
      </c>
      <c r="AC31" s="484"/>
      <c r="AD31" s="475" t="e">
        <f>IF(AND('Mapa final'!#REF!="Media",'Mapa final'!#REF!="Mayor"),CONCATENATE("R",'Mapa final'!#REF!),"")</f>
        <v>#REF!</v>
      </c>
      <c r="AE31" s="472"/>
      <c r="AF31" s="472" t="e">
        <f>IF(AND('Mapa final'!#REF!="Media",'Mapa final'!#REF!="Mayor"),CONCATENATE("R",'Mapa final'!#REF!),"")</f>
        <v>#REF!</v>
      </c>
      <c r="AG31" s="472"/>
      <c r="AH31" s="472" t="str">
        <f>IF(AND('Mapa final'!$P$36="Media",'Mapa final'!$S$36="Mayor"),CONCATENATE("R",'Mapa final'!$A$36),"")</f>
        <v/>
      </c>
      <c r="AI31" s="472"/>
      <c r="AJ31" s="488" t="e">
        <f>IF(AND('Mapa final'!#REF!="Media",'Mapa final'!#REF!="Catastrófico"),CONCATENATE("R",'Mapa final'!#REF!),"")</f>
        <v>#REF!</v>
      </c>
      <c r="AK31" s="489"/>
      <c r="AL31" s="489" t="e">
        <f>IF(AND('Mapa final'!#REF!="Media",'Mapa final'!#REF!="Catastrófico"),CONCATENATE("R",'Mapa final'!#REF!),"")</f>
        <v>#REF!</v>
      </c>
      <c r="AM31" s="489"/>
      <c r="AN31" s="489" t="str">
        <f>IF(AND('Mapa final'!$P$36="Media",'Mapa final'!$S$36="Catastrófico"),CONCATENATE("R",'Mapa final'!$A$36),"")</f>
        <v/>
      </c>
      <c r="AO31" s="490"/>
      <c r="AP31" s="68"/>
      <c r="AQ31" s="450"/>
      <c r="AR31" s="451"/>
      <c r="AS31" s="451"/>
      <c r="AT31" s="451"/>
      <c r="AU31" s="451"/>
      <c r="AV31" s="452"/>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27"/>
      <c r="E32" s="427"/>
      <c r="F32" s="428"/>
      <c r="G32" s="467"/>
      <c r="H32" s="468"/>
      <c r="I32" s="468"/>
      <c r="J32" s="468"/>
      <c r="K32" s="468"/>
      <c r="L32" s="483"/>
      <c r="M32" s="484"/>
      <c r="N32" s="484"/>
      <c r="O32" s="484"/>
      <c r="P32" s="484"/>
      <c r="Q32" s="497"/>
      <c r="R32" s="483"/>
      <c r="S32" s="484"/>
      <c r="T32" s="484"/>
      <c r="U32" s="484"/>
      <c r="V32" s="484"/>
      <c r="W32" s="484"/>
      <c r="X32" s="483"/>
      <c r="Y32" s="484"/>
      <c r="Z32" s="484"/>
      <c r="AA32" s="484"/>
      <c r="AB32" s="484"/>
      <c r="AC32" s="484"/>
      <c r="AD32" s="475"/>
      <c r="AE32" s="472"/>
      <c r="AF32" s="472"/>
      <c r="AG32" s="472"/>
      <c r="AH32" s="472"/>
      <c r="AI32" s="472"/>
      <c r="AJ32" s="488"/>
      <c r="AK32" s="489"/>
      <c r="AL32" s="489"/>
      <c r="AM32" s="489"/>
      <c r="AN32" s="489"/>
      <c r="AO32" s="490"/>
      <c r="AP32" s="68"/>
      <c r="AQ32" s="450"/>
      <c r="AR32" s="451"/>
      <c r="AS32" s="451"/>
      <c r="AT32" s="451"/>
      <c r="AU32" s="451"/>
      <c r="AV32" s="452"/>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27"/>
      <c r="E33" s="427"/>
      <c r="F33" s="428"/>
      <c r="G33" s="467"/>
      <c r="H33" s="468"/>
      <c r="I33" s="468"/>
      <c r="J33" s="468"/>
      <c r="K33" s="468"/>
      <c r="L33" s="483" t="str">
        <f>IF(AND('Mapa final'!$P$37="Mediaa",'Mapa final'!$S$37="Leve"),CONCATENATE("R",'Mapa final'!$A$37),"")</f>
        <v/>
      </c>
      <c r="M33" s="484"/>
      <c r="N33" s="484" t="str">
        <f>IF(AND('Mapa final'!$K$38="Media",'Mapa final'!$O$38="Leve"),CONCATENATE("R",'Mapa final'!$A$38),"")</f>
        <v/>
      </c>
      <c r="O33" s="484"/>
      <c r="P33" s="484" t="str">
        <f>IF(AND('Mapa final'!$K$39="Media",'Mapa final'!$O$39="Leve"),CONCATENATE("R",'Mapa final'!$A$39),"")</f>
        <v/>
      </c>
      <c r="Q33" s="497"/>
      <c r="R33" s="483" t="str">
        <f>IF(AND('Mapa final'!$P$37="Media",'Mapa final'!$S$37="Menor"),CONCATENATE("R",'Mapa final'!$A$37),"")</f>
        <v/>
      </c>
      <c r="S33" s="484"/>
      <c r="T33" s="484" t="str">
        <f>IF(AND('Mapa final'!$P$38="Media",'Mapa final'!$S$38="Menor"),CONCATENATE("R",'Mapa final'!$A$38),"")</f>
        <v/>
      </c>
      <c r="U33" s="484"/>
      <c r="V33" s="484" t="str">
        <f>IF(AND('Mapa final'!$P$39="Media",'Mapa final'!$S$39="Menor"),CONCATENATE("R",'Mapa final'!$A$39),"")</f>
        <v/>
      </c>
      <c r="W33" s="484"/>
      <c r="X33" s="483" t="str">
        <f>IF(AND('Mapa final'!$P$37="Media",'Mapa final'!$S$37="Moderado"),CONCATENATE("R",'Mapa final'!$A$37),"")</f>
        <v/>
      </c>
      <c r="Y33" s="484"/>
      <c r="Z33" s="484" t="str">
        <f>IF(AND('Mapa final'!$P$38="Media",'Mapa final'!$S$38="Moderado"),CONCATENATE("R",'Mapa final'!$A$38),"")</f>
        <v/>
      </c>
      <c r="AA33" s="484"/>
      <c r="AB33" s="484" t="str">
        <f>IF(AND('Mapa final'!$P$39="Media",'Mapa final'!$S$39="Moderado"),CONCATENATE("R",'Mapa final'!$A$39),"")</f>
        <v/>
      </c>
      <c r="AC33" s="484"/>
      <c r="AD33" s="475" t="str">
        <f>IF(AND('Mapa final'!$P$37="Media",'Mapa final'!$S$37="Mayor"),CONCATENATE("R",'Mapa final'!$A$37),"")</f>
        <v/>
      </c>
      <c r="AE33" s="472"/>
      <c r="AF33" s="472" t="str">
        <f>IF(AND('Mapa final'!$P$38="Media",'Mapa final'!$S$38="Mayor"),CONCATENATE("R",'Mapa final'!$A$38),"")</f>
        <v/>
      </c>
      <c r="AG33" s="472"/>
      <c r="AH33" s="472" t="str">
        <f>IF(AND('Mapa final'!$P$39="Media",'Mapa final'!$S$39="Mayor"),CONCATENATE("R",'Mapa final'!$A$39),"")</f>
        <v/>
      </c>
      <c r="AI33" s="472"/>
      <c r="AJ33" s="488" t="str">
        <f>IF(AND('Mapa final'!$P$37="Media",'Mapa final'!$S$37="Catastrófico"),CONCATENATE("R",'Mapa final'!$A$37),"")</f>
        <v/>
      </c>
      <c r="AK33" s="489"/>
      <c r="AL33" s="489" t="str">
        <f>IF(AND('Mapa final'!$P$38="Media",'Mapa final'!$S$38="Catastrófico"),CONCATENATE("R",'Mapa final'!$A$38),"")</f>
        <v/>
      </c>
      <c r="AM33" s="489"/>
      <c r="AN33" s="489" t="str">
        <f>IF(AND('Mapa final'!$P$39="Media",'Mapa final'!$S$39="Catastrófico"),CONCATENATE("R",'Mapa final'!$A$39),"")</f>
        <v/>
      </c>
      <c r="AO33" s="490"/>
      <c r="AP33" s="68"/>
      <c r="AQ33" s="450"/>
      <c r="AR33" s="451"/>
      <c r="AS33" s="451"/>
      <c r="AT33" s="451"/>
      <c r="AU33" s="451"/>
      <c r="AV33" s="452"/>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27"/>
      <c r="E34" s="427"/>
      <c r="F34" s="428"/>
      <c r="G34" s="469"/>
      <c r="H34" s="470"/>
      <c r="I34" s="470"/>
      <c r="J34" s="470"/>
      <c r="K34" s="470"/>
      <c r="L34" s="498"/>
      <c r="M34" s="499"/>
      <c r="N34" s="499"/>
      <c r="O34" s="499"/>
      <c r="P34" s="499"/>
      <c r="Q34" s="500"/>
      <c r="R34" s="498"/>
      <c r="S34" s="499"/>
      <c r="T34" s="499"/>
      <c r="U34" s="499"/>
      <c r="V34" s="499"/>
      <c r="W34" s="499"/>
      <c r="X34" s="498"/>
      <c r="Y34" s="499"/>
      <c r="Z34" s="499"/>
      <c r="AA34" s="499"/>
      <c r="AB34" s="499"/>
      <c r="AC34" s="499"/>
      <c r="AD34" s="486"/>
      <c r="AE34" s="481"/>
      <c r="AF34" s="481"/>
      <c r="AG34" s="481"/>
      <c r="AH34" s="481"/>
      <c r="AI34" s="481"/>
      <c r="AJ34" s="488"/>
      <c r="AK34" s="489"/>
      <c r="AL34" s="489"/>
      <c r="AM34" s="489"/>
      <c r="AN34" s="489"/>
      <c r="AO34" s="490"/>
      <c r="AP34" s="68"/>
      <c r="AQ34" s="453"/>
      <c r="AR34" s="454"/>
      <c r="AS34" s="454"/>
      <c r="AT34" s="454"/>
      <c r="AU34" s="454"/>
      <c r="AV34" s="455"/>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27"/>
      <c r="E35" s="427"/>
      <c r="F35" s="428"/>
      <c r="G35" s="465" t="s">
        <v>258</v>
      </c>
      <c r="H35" s="466"/>
      <c r="I35" s="466"/>
      <c r="J35" s="466"/>
      <c r="K35" s="466"/>
      <c r="L35" s="510"/>
      <c r="M35" s="511"/>
      <c r="N35" s="511" t="str">
        <f>IF(AND('Mapa final'!$K$15="Baja",'Mapa final'!$O$15="Leve"),CONCATENATE("R",'Mapa final'!$A$18),"")</f>
        <v/>
      </c>
      <c r="O35" s="511"/>
      <c r="P35" s="511" t="str">
        <f>IF(AND('Mapa final'!$K$32="Baja",'Mapa final'!$O$32="Leve"),CONCATENATE("R",'Mapa final'!$A$32),"")</f>
        <v/>
      </c>
      <c r="Q35" s="512"/>
      <c r="R35" s="501"/>
      <c r="S35" s="502"/>
      <c r="T35" s="484" t="str">
        <f>IF(AND('Mapa final'!$P$15="Baja",'Mapa final'!$S$15="Menor"),CONCATENATE("R",'Mapa final'!$A$18),"")</f>
        <v/>
      </c>
      <c r="U35" s="484"/>
      <c r="V35" s="484" t="str">
        <f>IF(AND('Mapa final'!$P$32="Baja",'Mapa final'!$S$32="Menor"),CONCATENATE("R",'Mapa final'!$A$32),"")</f>
        <v/>
      </c>
      <c r="W35" s="497"/>
      <c r="X35" s="483"/>
      <c r="Y35" s="484"/>
      <c r="Z35" s="484" t="str">
        <f>IF(AND('Mapa final'!P$15="Baja",'Mapa final'!$S$15="Moderado"),CONCATENATE("R",'Mapa final'!$A$18),"")</f>
        <v/>
      </c>
      <c r="AA35" s="484"/>
      <c r="AB35" s="484" t="str">
        <f>IF(AND('Mapa final'!$P$32="Baja",'Mapa final'!$S$32="Moderado"),CONCATENATE("R",'Mapa final'!$A$32),"")</f>
        <v/>
      </c>
      <c r="AC35" s="497"/>
      <c r="AD35" s="475"/>
      <c r="AE35" s="472"/>
      <c r="AF35" s="472" t="str">
        <f>IF(AND('Mapa final'!$P$15="Baja",'Mapa final'!$S$15="Mayor"),CONCATENATE("R",'Mapa final'!$A$18),"")</f>
        <v>R</v>
      </c>
      <c r="AG35" s="472"/>
      <c r="AH35" s="472" t="str">
        <f>IF(AND('Mapa final'!$P$32="Baja",'Mapa final'!$S$32="Mayor"),CONCATENATE("R",'Mapa final'!$A$32),"")</f>
        <v>R</v>
      </c>
      <c r="AI35" s="472"/>
      <c r="AJ35" s="491"/>
      <c r="AK35" s="492"/>
      <c r="AL35" s="492" t="str">
        <f>IF(AND('Mapa final'!$P$15="Baja",'Mapa final'!$S$15="Catastrófico"),CONCATENATE("R",'Mapa final'!$A$18),"")</f>
        <v/>
      </c>
      <c r="AM35" s="492"/>
      <c r="AN35" s="492" t="str">
        <f>IF(AND('Mapa final'!$P$32="Baja",'Mapa final'!$S$32="Catastrófico"),CONCATENATE("R",'Mapa final'!$A$32),"")</f>
        <v/>
      </c>
      <c r="AO35" s="493"/>
      <c r="AP35" s="68"/>
      <c r="AQ35" s="456" t="s">
        <v>259</v>
      </c>
      <c r="AR35" s="457"/>
      <c r="AS35" s="457"/>
      <c r="AT35" s="457"/>
      <c r="AU35" s="457"/>
      <c r="AV35" s="45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27"/>
      <c r="E36" s="427"/>
      <c r="F36" s="428"/>
      <c r="G36" s="467"/>
      <c r="H36" s="468"/>
      <c r="I36" s="468"/>
      <c r="J36" s="468"/>
      <c r="K36" s="468"/>
      <c r="L36" s="506"/>
      <c r="M36" s="504"/>
      <c r="N36" s="504"/>
      <c r="O36" s="504"/>
      <c r="P36" s="504"/>
      <c r="Q36" s="505"/>
      <c r="R36" s="483"/>
      <c r="S36" s="484"/>
      <c r="T36" s="484"/>
      <c r="U36" s="484"/>
      <c r="V36" s="484"/>
      <c r="W36" s="497"/>
      <c r="X36" s="483"/>
      <c r="Y36" s="484"/>
      <c r="Z36" s="484"/>
      <c r="AA36" s="484"/>
      <c r="AB36" s="484"/>
      <c r="AC36" s="497"/>
      <c r="AD36" s="475"/>
      <c r="AE36" s="472"/>
      <c r="AF36" s="472"/>
      <c r="AG36" s="472"/>
      <c r="AH36" s="472"/>
      <c r="AI36" s="472"/>
      <c r="AJ36" s="488"/>
      <c r="AK36" s="489"/>
      <c r="AL36" s="489"/>
      <c r="AM36" s="489"/>
      <c r="AN36" s="489"/>
      <c r="AO36" s="490"/>
      <c r="AP36" s="68"/>
      <c r="AQ36" s="459"/>
      <c r="AR36" s="460"/>
      <c r="AS36" s="460"/>
      <c r="AT36" s="460"/>
      <c r="AU36" s="460"/>
      <c r="AV36" s="461"/>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27"/>
      <c r="E37" s="427"/>
      <c r="F37" s="428"/>
      <c r="G37" s="467"/>
      <c r="H37" s="468"/>
      <c r="I37" s="468"/>
      <c r="J37" s="468"/>
      <c r="K37" s="468"/>
      <c r="L37" s="506" t="e">
        <f>IF(AND('Mapa final'!#REF!="Baja",'Mapa final'!#REF!="Leve"),CONCATENATE("R",'Mapa final'!#REF!),"")</f>
        <v>#REF!</v>
      </c>
      <c r="M37" s="504"/>
      <c r="N37" s="504" t="e">
        <f>IF(AND('Mapa final'!#REF!="Baja",'Mapa final'!#REF!="Leve"),CONCATENATE("R",'Mapa final'!#REF!),"")</f>
        <v>#REF!</v>
      </c>
      <c r="O37" s="504"/>
      <c r="P37" s="504" t="e">
        <f>IF(AND('Mapa final'!#REF!="Baja",'Mapa final'!#REF!="Leve"),CONCATENATE("R",'Mapa final'!#REF!),"")</f>
        <v>#REF!</v>
      </c>
      <c r="Q37" s="505"/>
      <c r="R37" s="483" t="e">
        <f>IF(AND('Mapa final'!#REF!="Baja",'Mapa final'!#REF!="Menor"),CONCATENATE("R",'Mapa final'!#REF!),"")</f>
        <v>#REF!</v>
      </c>
      <c r="S37" s="484"/>
      <c r="T37" s="484" t="e">
        <f>IF(AND('Mapa final'!#REF!="Baja",'Mapa final'!#REF!="Menor"),CONCATENATE("R",'Mapa final'!#REF!),"")</f>
        <v>#REF!</v>
      </c>
      <c r="U37" s="484"/>
      <c r="V37" s="484" t="e">
        <f>IF(AND('Mapa final'!#REF!="Baja",'Mapa final'!#REF!="Menor"),CONCATENATE("R",'Mapa final'!#REF!),"")</f>
        <v>#REF!</v>
      </c>
      <c r="W37" s="497"/>
      <c r="X37" s="483" t="e">
        <f>IF(AND('Mapa final'!#REF!="Baja",'Mapa final'!#REF!="Moderado"),CONCATENATE("R",'Mapa final'!#REF!),"")</f>
        <v>#REF!</v>
      </c>
      <c r="Y37" s="484"/>
      <c r="Z37" s="484" t="e">
        <f>IF(AND('Mapa final'!#REF!="Baja",'Mapa final'!#REF!="Moderado"),CONCATENATE("R",'Mapa final'!#REF!),"")</f>
        <v>#REF!</v>
      </c>
      <c r="AA37" s="484"/>
      <c r="AB37" s="484" t="e">
        <f>IF(AND('Mapa final'!#REF!="Baja",'Mapa final'!#REF!="Moderado"),CONCATENATE("R",'Mapa final'!#REF!),"")</f>
        <v>#REF!</v>
      </c>
      <c r="AC37" s="497"/>
      <c r="AD37" s="475" t="e">
        <f>IF(AND('Mapa final'!#REF!="Baja",'Mapa final'!#REF!="Mayor"),CONCATENATE("R",'Mapa final'!#REF!),"")</f>
        <v>#REF!</v>
      </c>
      <c r="AE37" s="472"/>
      <c r="AF37" s="472" t="e">
        <f>IF(AND('Mapa final'!#REF!="Baja",'Mapa final'!#REF!="Mayor"),CONCATENATE("R",'Mapa final'!#REF!),"")</f>
        <v>#REF!</v>
      </c>
      <c r="AG37" s="472"/>
      <c r="AH37" s="472" t="e">
        <f>IF(AND('Mapa final'!#REF!="Baja",'Mapa final'!#REF!="Mayor"),CONCATENATE("R",'Mapa final'!#REF!),"")</f>
        <v>#REF!</v>
      </c>
      <c r="AI37" s="472"/>
      <c r="AJ37" s="488" t="e">
        <f>IF(AND('Mapa final'!#REF!="Baja",'Mapa final'!#REF!="Catastrófico"),CONCATENATE("R",'Mapa final'!#REF!),"")</f>
        <v>#REF!</v>
      </c>
      <c r="AK37" s="489"/>
      <c r="AL37" s="489" t="e">
        <f>IF(AND('Mapa final'!#REF!="Baja",'Mapa final'!#REF!="Catastrófico"),CONCATENATE("R",'Mapa final'!#REF!),"")</f>
        <v>#REF!</v>
      </c>
      <c r="AM37" s="489"/>
      <c r="AN37" s="489" t="e">
        <f>IF(AND('Mapa final'!#REF!="Baja",'Mapa final'!#REF!="Catastrófico"),CONCATENATE("R",'Mapa final'!#REF!),"")</f>
        <v>#REF!</v>
      </c>
      <c r="AO37" s="490"/>
      <c r="AP37" s="68"/>
      <c r="AQ37" s="459"/>
      <c r="AR37" s="460"/>
      <c r="AS37" s="460"/>
      <c r="AT37" s="460"/>
      <c r="AU37" s="460"/>
      <c r="AV37" s="461"/>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27"/>
      <c r="E38" s="427"/>
      <c r="F38" s="428"/>
      <c r="G38" s="467"/>
      <c r="H38" s="468"/>
      <c r="I38" s="468"/>
      <c r="J38" s="468"/>
      <c r="K38" s="468"/>
      <c r="L38" s="506"/>
      <c r="M38" s="504"/>
      <c r="N38" s="504"/>
      <c r="O38" s="504"/>
      <c r="P38" s="504"/>
      <c r="Q38" s="505"/>
      <c r="R38" s="483"/>
      <c r="S38" s="484"/>
      <c r="T38" s="484"/>
      <c r="U38" s="484"/>
      <c r="V38" s="484"/>
      <c r="W38" s="497"/>
      <c r="X38" s="483"/>
      <c r="Y38" s="484"/>
      <c r="Z38" s="484"/>
      <c r="AA38" s="484"/>
      <c r="AB38" s="484"/>
      <c r="AC38" s="497"/>
      <c r="AD38" s="475"/>
      <c r="AE38" s="472"/>
      <c r="AF38" s="472"/>
      <c r="AG38" s="472"/>
      <c r="AH38" s="472"/>
      <c r="AI38" s="472"/>
      <c r="AJ38" s="488"/>
      <c r="AK38" s="489"/>
      <c r="AL38" s="489"/>
      <c r="AM38" s="489"/>
      <c r="AN38" s="489"/>
      <c r="AO38" s="490"/>
      <c r="AP38" s="68"/>
      <c r="AQ38" s="459"/>
      <c r="AR38" s="460"/>
      <c r="AS38" s="460"/>
      <c r="AT38" s="460"/>
      <c r="AU38" s="460"/>
      <c r="AV38" s="461"/>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27"/>
      <c r="E39" s="427"/>
      <c r="F39" s="428"/>
      <c r="G39" s="467"/>
      <c r="H39" s="468"/>
      <c r="I39" s="468"/>
      <c r="J39" s="468"/>
      <c r="K39" s="468"/>
      <c r="L39" s="506" t="e">
        <f>IF(AND('Mapa final'!#REF!="Baja",'Mapa final'!#REF!="Leve"),CONCATENATE("R",'Mapa final'!#REF!),"")</f>
        <v>#REF!</v>
      </c>
      <c r="M39" s="504"/>
      <c r="N39" s="504" t="e">
        <f>IF(AND('Mapa final'!#REF!="Baja",'Mapa final'!#REF!="Leve"),CONCATENATE("R",'Mapa final'!#REF!),"")</f>
        <v>#REF!</v>
      </c>
      <c r="O39" s="504"/>
      <c r="P39" s="504" t="str">
        <f>IF(AND('Mapa final'!$K$36="Baja",'Mapa final'!$O$36="Leve"),CONCATENATE("R",'Mapa final'!$A$36),"")</f>
        <v/>
      </c>
      <c r="Q39" s="505"/>
      <c r="R39" s="483" t="e">
        <f>IF(AND('Mapa final'!#REF!="Baja",'Mapa final'!#REF!="Menor"),CONCATENATE("R",'Mapa final'!#REF!),"")</f>
        <v>#REF!</v>
      </c>
      <c r="S39" s="484"/>
      <c r="T39" s="484" t="e">
        <f>IF(AND('Mapa final'!#REF!="Baja",'Mapa final'!#REF!="Menor"),CONCATENATE("R",'Mapa final'!#REF!),"")</f>
        <v>#REF!</v>
      </c>
      <c r="U39" s="484"/>
      <c r="V39" s="484" t="str">
        <f>IF(AND('Mapa final'!$P$36="Baja",'Mapa final'!$S$36="Menor"),CONCATENATE("R",'Mapa final'!$A$36),"")</f>
        <v/>
      </c>
      <c r="W39" s="497"/>
      <c r="X39" s="483" t="e">
        <f>IF(AND('Mapa final'!#REF!="Baja",'Mapa final'!#REF!="Moderado"),CONCATENATE("R",'Mapa final'!#REF!),"")</f>
        <v>#REF!</v>
      </c>
      <c r="Y39" s="484"/>
      <c r="Z39" s="484" t="e">
        <f>IF(AND('Mapa final'!#REF!="Baja",'Mapa final'!#REF!="Moderado"),CONCATENATE("R",'Mapa final'!#REF!),"")</f>
        <v>#REF!</v>
      </c>
      <c r="AA39" s="484"/>
      <c r="AB39" s="484" t="str">
        <f>IF(AND('Mapa final'!$P$36="Baja",'Mapa final'!$S$36="Moderado"),CONCATENATE("R",'Mapa final'!$A$36),"")</f>
        <v/>
      </c>
      <c r="AC39" s="497"/>
      <c r="AD39" s="475" t="e">
        <f>IF(AND('Mapa final'!#REF!="Baja",'Mapa final'!#REF!="Mayor"),CONCATENATE("R",'Mapa final'!#REF!),"")</f>
        <v>#REF!</v>
      </c>
      <c r="AE39" s="472"/>
      <c r="AF39" s="472" t="e">
        <f>IF(AND('Mapa final'!#REF!="Baja",'Mapa final'!#REF!="Mayor"),CONCATENATE("R",'Mapa final'!#REF!),"")</f>
        <v>#REF!</v>
      </c>
      <c r="AG39" s="472"/>
      <c r="AH39" s="472" t="str">
        <f>IF(AND('Mapa final'!$P$36="Baja",'Mapa final'!$S$36="Mayor"),CONCATENATE("R",'Mapa final'!$A$36),"")</f>
        <v/>
      </c>
      <c r="AI39" s="472"/>
      <c r="AJ39" s="488" t="e">
        <f>IF(AND('Mapa final'!#REF!="Baja",'Mapa final'!#REF!="Catastrófico"),CONCATENATE("R",'Mapa final'!#REF!),"")</f>
        <v>#REF!</v>
      </c>
      <c r="AK39" s="489"/>
      <c r="AL39" s="489" t="e">
        <f>IF(AND('Mapa final'!#REF!="Baja",'Mapa final'!#REF!="Catastrófico"),CONCATENATE("R",'Mapa final'!#REF!),"")</f>
        <v>#REF!</v>
      </c>
      <c r="AM39" s="489"/>
      <c r="AN39" s="489" t="str">
        <f>IF(AND('Mapa final'!$P$36="Baja",'Mapa final'!$S$36="Catastrófico"),CONCATENATE("R",'Mapa final'!$A$36),"")</f>
        <v/>
      </c>
      <c r="AO39" s="490"/>
      <c r="AP39" s="68"/>
      <c r="AQ39" s="459"/>
      <c r="AR39" s="460"/>
      <c r="AS39" s="460"/>
      <c r="AT39" s="460"/>
      <c r="AU39" s="460"/>
      <c r="AV39" s="461"/>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27"/>
      <c r="E40" s="427"/>
      <c r="F40" s="428"/>
      <c r="G40" s="467"/>
      <c r="H40" s="468"/>
      <c r="I40" s="468"/>
      <c r="J40" s="468"/>
      <c r="K40" s="468"/>
      <c r="L40" s="506"/>
      <c r="M40" s="504"/>
      <c r="N40" s="504"/>
      <c r="O40" s="504"/>
      <c r="P40" s="504"/>
      <c r="Q40" s="505"/>
      <c r="R40" s="483"/>
      <c r="S40" s="484"/>
      <c r="T40" s="484"/>
      <c r="U40" s="484"/>
      <c r="V40" s="484"/>
      <c r="W40" s="497"/>
      <c r="X40" s="483"/>
      <c r="Y40" s="484"/>
      <c r="Z40" s="484"/>
      <c r="AA40" s="484"/>
      <c r="AB40" s="484"/>
      <c r="AC40" s="497"/>
      <c r="AD40" s="475"/>
      <c r="AE40" s="472"/>
      <c r="AF40" s="472"/>
      <c r="AG40" s="472"/>
      <c r="AH40" s="472"/>
      <c r="AI40" s="472"/>
      <c r="AJ40" s="488"/>
      <c r="AK40" s="489"/>
      <c r="AL40" s="489"/>
      <c r="AM40" s="489"/>
      <c r="AN40" s="489"/>
      <c r="AO40" s="490"/>
      <c r="AP40" s="68"/>
      <c r="AQ40" s="459"/>
      <c r="AR40" s="460"/>
      <c r="AS40" s="460"/>
      <c r="AT40" s="460"/>
      <c r="AU40" s="460"/>
      <c r="AV40" s="461"/>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27"/>
      <c r="E41" s="427"/>
      <c r="F41" s="428"/>
      <c r="G41" s="467"/>
      <c r="H41" s="468"/>
      <c r="I41" s="468"/>
      <c r="J41" s="468"/>
      <c r="K41" s="468"/>
      <c r="L41" s="506" t="str">
        <f>IF(AND('Mapa final'!$P$37="Baja",'Mapa final'!$S$37="Leve"),CONCATENATE("R",'Mapa final'!$A$37),"")</f>
        <v/>
      </c>
      <c r="M41" s="504"/>
      <c r="N41" s="504" t="str">
        <f>IF(AND('Mapa final'!$K$38="Baja",'Mapa final'!$O$38="Leve"),CONCATENATE("R",'Mapa final'!$A$38),"")</f>
        <v/>
      </c>
      <c r="O41" s="504"/>
      <c r="P41" s="504" t="str">
        <f>IF(AND('Mapa final'!$K$39="Baja",'Mapa final'!$O$39="Leve"),CONCATENATE("R",'Mapa final'!$A$39),"")</f>
        <v/>
      </c>
      <c r="Q41" s="505"/>
      <c r="R41" s="483" t="str">
        <f>IF(AND('Mapa final'!$P$37="Baja",'Mapa final'!$S$37="Menor"),CONCATENATE("R",'Mapa final'!$A$37),"")</f>
        <v/>
      </c>
      <c r="S41" s="484"/>
      <c r="T41" s="484" t="str">
        <f>IF(AND('Mapa final'!$P$38="Baja",'Mapa final'!$S$38="Menor"),CONCATENATE("R",'Mapa final'!$A$38),"")</f>
        <v/>
      </c>
      <c r="U41" s="484"/>
      <c r="V41" s="484" t="str">
        <f>IF(AND('Mapa final'!$P$39="Baja",'Mapa final'!$S$39="Menor"),CONCATENATE("R",'Mapa final'!$A$39),"")</f>
        <v/>
      </c>
      <c r="W41" s="497"/>
      <c r="X41" s="483" t="str">
        <f>IF(AND('Mapa final'!$P$37="Baja",'Mapa final'!$S$37="Moderado"),CONCATENATE("R",'Mapa final'!$A$37),"")</f>
        <v/>
      </c>
      <c r="Y41" s="484"/>
      <c r="Z41" s="484" t="str">
        <f>IF(AND('Mapa final'!$P$38="Baja",'Mapa final'!$S$38="Moderado"),CONCATENATE("R",'Mapa final'!$A$38),"")</f>
        <v/>
      </c>
      <c r="AA41" s="484"/>
      <c r="AB41" s="484" t="str">
        <f>IF(AND('Mapa final'!$P$39="Baja",'Mapa final'!$S$39="Moderado"),CONCATENATE("R",'Mapa final'!$A$39),"")</f>
        <v/>
      </c>
      <c r="AC41" s="497"/>
      <c r="AD41" s="475" t="str">
        <f>IF(AND('Mapa final'!$P$37="Baja",'Mapa final'!$S$37="Mayor"),CONCATENATE("R",'Mapa final'!$A$37),"")</f>
        <v/>
      </c>
      <c r="AE41" s="472"/>
      <c r="AF41" s="472" t="str">
        <f>IF(AND('Mapa final'!$P$38="Baja",'Mapa final'!$S$38="Mayor"),CONCATENATE("R",'Mapa final'!$A$38),"")</f>
        <v/>
      </c>
      <c r="AG41" s="472"/>
      <c r="AH41" s="472" t="str">
        <f>IF(AND('Mapa final'!$P$39="Baja",'Mapa final'!$S$39="Mayor"),CONCATENATE("R",'Mapa final'!$A$39),"")</f>
        <v/>
      </c>
      <c r="AI41" s="472"/>
      <c r="AJ41" s="488" t="str">
        <f>IF(AND('Mapa final'!$P$37="Baja",'Mapa final'!$S$37="Catastrófico"),CONCATENATE("R",'Mapa final'!$A$37),"")</f>
        <v/>
      </c>
      <c r="AK41" s="489"/>
      <c r="AL41" s="489" t="str">
        <f>IF(AND('Mapa final'!$P$38="Baja",'Mapa final'!$S$38="Catastrófico"),CONCATENATE("R",'Mapa final'!$A$38),"")</f>
        <v/>
      </c>
      <c r="AM41" s="489"/>
      <c r="AN41" s="489" t="str">
        <f>IF(AND('Mapa final'!$P$39="Baja",'Mapa final'!$S$39="Catastrófico"),CONCATENATE("R",'Mapa final'!$A$39),"")</f>
        <v/>
      </c>
      <c r="AO41" s="490"/>
      <c r="AP41" s="68"/>
      <c r="AQ41" s="459"/>
      <c r="AR41" s="460"/>
      <c r="AS41" s="460"/>
      <c r="AT41" s="460"/>
      <c r="AU41" s="460"/>
      <c r="AV41" s="461"/>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27"/>
      <c r="E42" s="427"/>
      <c r="F42" s="428"/>
      <c r="G42" s="469"/>
      <c r="H42" s="470"/>
      <c r="I42" s="470"/>
      <c r="J42" s="470"/>
      <c r="K42" s="470"/>
      <c r="L42" s="507"/>
      <c r="M42" s="508"/>
      <c r="N42" s="508"/>
      <c r="O42" s="508"/>
      <c r="P42" s="508"/>
      <c r="Q42" s="509"/>
      <c r="R42" s="498"/>
      <c r="S42" s="499"/>
      <c r="T42" s="499"/>
      <c r="U42" s="499"/>
      <c r="V42" s="499"/>
      <c r="W42" s="500"/>
      <c r="X42" s="498"/>
      <c r="Y42" s="499"/>
      <c r="Z42" s="499"/>
      <c r="AA42" s="499"/>
      <c r="AB42" s="499"/>
      <c r="AC42" s="500"/>
      <c r="AD42" s="486"/>
      <c r="AE42" s="481"/>
      <c r="AF42" s="481"/>
      <c r="AG42" s="481"/>
      <c r="AH42" s="481"/>
      <c r="AI42" s="481"/>
      <c r="AJ42" s="494"/>
      <c r="AK42" s="495"/>
      <c r="AL42" s="495"/>
      <c r="AM42" s="495"/>
      <c r="AN42" s="495"/>
      <c r="AO42" s="496"/>
      <c r="AP42" s="68"/>
      <c r="AQ42" s="462"/>
      <c r="AR42" s="463"/>
      <c r="AS42" s="463"/>
      <c r="AT42" s="463"/>
      <c r="AU42" s="463"/>
      <c r="AV42" s="464"/>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27"/>
      <c r="E43" s="427"/>
      <c r="F43" s="428"/>
      <c r="G43" s="465" t="s">
        <v>260</v>
      </c>
      <c r="H43" s="466"/>
      <c r="I43" s="466"/>
      <c r="J43" s="466"/>
      <c r="K43" s="466"/>
      <c r="L43" s="510"/>
      <c r="M43" s="511"/>
      <c r="N43" s="511" t="str">
        <f>IF(AND('Mapa final'!$K$15="Muy Baja",'Mapa final'!$O$15="Leve"),CONCATENATE("R",'Mapa final'!$A$18),"")</f>
        <v/>
      </c>
      <c r="O43" s="511"/>
      <c r="P43" s="511" t="str">
        <f>IF(AND('Mapa final'!$K$32="Muy Baja",'Mapa final'!$O$32="Leve"),CONCATENATE("R",'Mapa final'!$A$32),"")</f>
        <v/>
      </c>
      <c r="Q43" s="512"/>
      <c r="R43" s="510"/>
      <c r="S43" s="511"/>
      <c r="T43" s="511" t="str">
        <f>IF(AND('Mapa final'!$P$15="Muy Baja",'Mapa final'!$S$15="Menor"),CONCATENATE("R",'Mapa final'!$A$18),"")</f>
        <v/>
      </c>
      <c r="U43" s="511"/>
      <c r="V43" s="511" t="str">
        <f>IF(AND('Mapa final'!$P$32="Muy Baja",'Mapa final'!$S$32="Menor"),CONCATENATE("R",'Mapa final'!$A$32),"")</f>
        <v/>
      </c>
      <c r="W43" s="512"/>
      <c r="X43" s="501"/>
      <c r="Y43" s="502"/>
      <c r="Z43" s="502" t="str">
        <f>IF(AND('Mapa final'!P$15="Muy Baja",'Mapa final'!$S$15="Moderado"),CONCATENATE("R",'Mapa final'!$D$15),"")</f>
        <v/>
      </c>
      <c r="AA43" s="502"/>
      <c r="AB43" s="502" t="str">
        <f>IF(AND('Mapa final'!$P$32="Muy Baja",'Mapa final'!$S$32="Moderado"),CONCATENATE("R",'Mapa final'!$A$32),"")</f>
        <v/>
      </c>
      <c r="AC43" s="503"/>
      <c r="AD43" s="473"/>
      <c r="AE43" s="474"/>
      <c r="AF43" s="474" t="str">
        <f>IF(AND('Mapa final'!$P$15="Muy Baja",'Mapa final'!$S$15="Mayor"),CONCATENATE("R",'Mapa final'!$A$18),"")</f>
        <v/>
      </c>
      <c r="AG43" s="474"/>
      <c r="AH43" s="474" t="str">
        <f>IF(AND('Mapa final'!$P$32="Muy Baja",'Mapa final'!$S$32="Mayor"),CONCATENATE("R",'Mapa final'!$D$32),"")</f>
        <v/>
      </c>
      <c r="AI43" s="487"/>
      <c r="AJ43" s="488"/>
      <c r="AK43" s="489"/>
      <c r="AL43" s="489" t="str">
        <f>IF(AND('Mapa final'!$P$15="Muy Baja",'Mapa final'!$S$15="Catastrófico"),CONCATENATE("R",'Mapa final'!$D$15),"")</f>
        <v/>
      </c>
      <c r="AM43" s="489"/>
      <c r="AN43" s="489" t="str">
        <f>IF(AND('Mapa final'!$P$32="Muy Baja",'Mapa final'!$S$32="Catastrófico"),CONCATENATE("R",'Mapa final'!$A$32),"")</f>
        <v/>
      </c>
      <c r="AO43" s="490"/>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27"/>
      <c r="E44" s="427"/>
      <c r="F44" s="428"/>
      <c r="G44" s="467"/>
      <c r="H44" s="468"/>
      <c r="I44" s="468"/>
      <c r="J44" s="468"/>
      <c r="K44" s="468"/>
      <c r="L44" s="506"/>
      <c r="M44" s="504"/>
      <c r="N44" s="504"/>
      <c r="O44" s="504"/>
      <c r="P44" s="504"/>
      <c r="Q44" s="505"/>
      <c r="R44" s="506"/>
      <c r="S44" s="504"/>
      <c r="T44" s="504"/>
      <c r="U44" s="504"/>
      <c r="V44" s="504"/>
      <c r="W44" s="505"/>
      <c r="X44" s="483"/>
      <c r="Y44" s="484"/>
      <c r="Z44" s="484"/>
      <c r="AA44" s="484"/>
      <c r="AB44" s="484"/>
      <c r="AC44" s="497"/>
      <c r="AD44" s="475"/>
      <c r="AE44" s="472"/>
      <c r="AF44" s="472"/>
      <c r="AG44" s="472"/>
      <c r="AH44" s="472"/>
      <c r="AI44" s="480"/>
      <c r="AJ44" s="488"/>
      <c r="AK44" s="489"/>
      <c r="AL44" s="489"/>
      <c r="AM44" s="489"/>
      <c r="AN44" s="489"/>
      <c r="AO44" s="490"/>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27"/>
      <c r="E45" s="427"/>
      <c r="F45" s="428"/>
      <c r="G45" s="467"/>
      <c r="H45" s="468"/>
      <c r="I45" s="468"/>
      <c r="J45" s="468"/>
      <c r="K45" s="468"/>
      <c r="L45" s="506" t="e">
        <f>IF(AND('Mapa final'!#REF!="Muy Baja",'Mapa final'!#REF!="Leve"),CONCATENATE("R",'Mapa final'!#REF!),"")</f>
        <v>#REF!</v>
      </c>
      <c r="M45" s="504"/>
      <c r="N45" s="504" t="e">
        <f>IF(AND('Mapa final'!#REF!="Muy Baja",'Mapa final'!#REF!="Leve"),CONCATENATE("R",'Mapa final'!#REF!),"")</f>
        <v>#REF!</v>
      </c>
      <c r="O45" s="504"/>
      <c r="P45" s="504" t="e">
        <f>IF(AND('Mapa final'!#REF!="Muy Baja",'Mapa final'!#REF!="Leve"),CONCATENATE("R",'Mapa final'!#REF!),"")</f>
        <v>#REF!</v>
      </c>
      <c r="Q45" s="505"/>
      <c r="R45" s="506" t="e">
        <f>IF(AND('Mapa final'!#REF!="Muy Baja",'Mapa final'!#REF!="Menor"),CONCATENATE("R",'Mapa final'!#REF!),"")</f>
        <v>#REF!</v>
      </c>
      <c r="S45" s="504"/>
      <c r="T45" s="504" t="e">
        <f>IF(AND('Mapa final'!#REF!="Muy Baja",'Mapa final'!#REF!="Menor"),CONCATENATE("R",'Mapa final'!#REF!),"")</f>
        <v>#REF!</v>
      </c>
      <c r="U45" s="504"/>
      <c r="V45" s="504" t="e">
        <f>IF(AND('Mapa final'!#REF!="Muy Baja",'Mapa final'!#REF!="Menor"),CONCATENATE("R",'Mapa final'!#REF!),"")</f>
        <v>#REF!</v>
      </c>
      <c r="W45" s="505"/>
      <c r="X45" s="483" t="e">
        <f>IF(AND('Mapa final'!#REF!="Muy Baja",'Mapa final'!#REF!="Moderado"),CONCATENATE("R",'Mapa final'!#REF!),"")</f>
        <v>#REF!</v>
      </c>
      <c r="Y45" s="484"/>
      <c r="Z45" s="484" t="e">
        <f>IF(AND('Mapa final'!#REF!="Muy Baja",'Mapa final'!#REF!="Moderado"),CONCATENATE("R",'Mapa final'!#REF!),"")</f>
        <v>#REF!</v>
      </c>
      <c r="AA45" s="484"/>
      <c r="AB45" s="484" t="e">
        <f>IF(AND('Mapa final'!#REF!="Muy Baja",'Mapa final'!#REF!="Moderado"),CONCATENATE("R",'Mapa final'!#REF!),"")</f>
        <v>#REF!</v>
      </c>
      <c r="AC45" s="497"/>
      <c r="AD45" s="475" t="e">
        <f>IF(AND('Mapa final'!#REF!="Muy Baja",'Mapa final'!#REF!="Mayor"),CONCATENATE("R",'Mapa final'!#REF!),"")</f>
        <v>#REF!</v>
      </c>
      <c r="AE45" s="472"/>
      <c r="AF45" s="472" t="e">
        <f>IF(AND('Mapa final'!#REF!="Muy Baja",'Mapa final'!#REF!="Mayor"),CONCATENATE("R",'Mapa final'!#REF!),"")</f>
        <v>#REF!</v>
      </c>
      <c r="AG45" s="472"/>
      <c r="AH45" s="472" t="e">
        <f>IF(AND('Mapa final'!#REF!="Muy Baja",'Mapa final'!#REF!="Mayor"),CONCATENATE("R",'Mapa final'!#REF!),"")</f>
        <v>#REF!</v>
      </c>
      <c r="AI45" s="480"/>
      <c r="AJ45" s="488" t="e">
        <f>IF(AND('Mapa final'!#REF!="Muy Baja",'Mapa final'!#REF!="Catastrófico"),CONCATENATE("R",'Mapa final'!#REF!),"")</f>
        <v>#REF!</v>
      </c>
      <c r="AK45" s="489"/>
      <c r="AL45" s="489" t="e">
        <f>IF(AND('Mapa final'!#REF!="Muy Baja",'Mapa final'!#REF!="Catastrófico"),CONCATENATE("R",'Mapa final'!#REF!),"")</f>
        <v>#REF!</v>
      </c>
      <c r="AM45" s="489"/>
      <c r="AN45" s="489" t="e">
        <f>IF(AND('Mapa final'!#REF!="Muy Baja",'Mapa final'!#REF!="Catastrófico"),CONCATENATE("R",'Mapa final'!#REF!),"")</f>
        <v>#REF!</v>
      </c>
      <c r="AO45" s="490"/>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27"/>
      <c r="E46" s="427"/>
      <c r="F46" s="428"/>
      <c r="G46" s="467"/>
      <c r="H46" s="468"/>
      <c r="I46" s="468"/>
      <c r="J46" s="468"/>
      <c r="K46" s="468"/>
      <c r="L46" s="506"/>
      <c r="M46" s="504"/>
      <c r="N46" s="504"/>
      <c r="O46" s="504"/>
      <c r="P46" s="504"/>
      <c r="Q46" s="505"/>
      <c r="R46" s="506"/>
      <c r="S46" s="504"/>
      <c r="T46" s="504"/>
      <c r="U46" s="504"/>
      <c r="V46" s="504"/>
      <c r="W46" s="505"/>
      <c r="X46" s="483"/>
      <c r="Y46" s="484"/>
      <c r="Z46" s="484"/>
      <c r="AA46" s="484"/>
      <c r="AB46" s="484"/>
      <c r="AC46" s="497"/>
      <c r="AD46" s="475"/>
      <c r="AE46" s="472"/>
      <c r="AF46" s="472"/>
      <c r="AG46" s="472"/>
      <c r="AH46" s="472"/>
      <c r="AI46" s="480"/>
      <c r="AJ46" s="488"/>
      <c r="AK46" s="489"/>
      <c r="AL46" s="489"/>
      <c r="AM46" s="489"/>
      <c r="AN46" s="489"/>
      <c r="AO46" s="490"/>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27"/>
      <c r="E47" s="427"/>
      <c r="F47" s="428"/>
      <c r="G47" s="467"/>
      <c r="H47" s="468"/>
      <c r="I47" s="468"/>
      <c r="J47" s="468"/>
      <c r="K47" s="468"/>
      <c r="L47" s="506" t="e">
        <f>IF(AND('Mapa final'!#REF!="Muy Baja",'Mapa final'!#REF!="Leve"),CONCATENATE("R",'Mapa final'!#REF!),"")</f>
        <v>#REF!</v>
      </c>
      <c r="M47" s="504"/>
      <c r="N47" s="504" t="e">
        <f>IF(AND('Mapa final'!#REF!="Muy Baja",'Mapa final'!#REF!="Leve"),CONCATENATE("R",'Mapa final'!#REF!),"")</f>
        <v>#REF!</v>
      </c>
      <c r="O47" s="504"/>
      <c r="P47" s="504" t="str">
        <f>IF(AND('Mapa final'!$K$36="Muy Baja",'Mapa final'!$O$36="Leve"),CONCATENATE("R",'Mapa final'!$A$36),"")</f>
        <v/>
      </c>
      <c r="Q47" s="505"/>
      <c r="R47" s="506" t="e">
        <f>IF(AND('Mapa final'!#REF!="Muy Baja",'Mapa final'!#REF!="Menor"),CONCATENATE("R",'Mapa final'!#REF!),"")</f>
        <v>#REF!</v>
      </c>
      <c r="S47" s="504"/>
      <c r="T47" s="504" t="e">
        <f>IF(AND('Mapa final'!#REF!="Muy Baja",'Mapa final'!#REF!="Menor"),CONCATENATE("R",'Mapa final'!#REF!),"")</f>
        <v>#REF!</v>
      </c>
      <c r="U47" s="504"/>
      <c r="V47" s="504" t="str">
        <f>IF(AND('Mapa final'!$P$36="Muy Baja",'Mapa final'!$S$36="Menor"),CONCATENATE("R",'Mapa final'!$A$36),"")</f>
        <v/>
      </c>
      <c r="W47" s="505"/>
      <c r="X47" s="483" t="e">
        <f>IF(AND('Mapa final'!#REF!="Muy Baja",'Mapa final'!#REF!="Moderado"),CONCATENATE("R",'Mapa final'!#REF!),"")</f>
        <v>#REF!</v>
      </c>
      <c r="Y47" s="484"/>
      <c r="Z47" s="484" t="e">
        <f>IF(AND('Mapa final'!#REF!="Muy Baja",'Mapa final'!#REF!="Moderado"),CONCATENATE("R",'Mapa final'!#REF!),"")</f>
        <v>#REF!</v>
      </c>
      <c r="AA47" s="484"/>
      <c r="AB47" s="484" t="str">
        <f>IF(AND('Mapa final'!$P$36="Muy Baja",'Mapa final'!$S$36="Moderado"),CONCATENATE("R",'Mapa final'!$A$36),"")</f>
        <v/>
      </c>
      <c r="AC47" s="497"/>
      <c r="AD47" s="475" t="e">
        <f>IF(AND('Mapa final'!#REF!="Muy Baja",'Mapa final'!#REF!="Mayor"),CONCATENATE("R",'Mapa final'!#REF!),"")</f>
        <v>#REF!</v>
      </c>
      <c r="AE47" s="472"/>
      <c r="AF47" s="472" t="e">
        <f>IF(AND('Mapa final'!#REF!="Muy Baja",'Mapa final'!#REF!="Mayor"),CONCATENATE("R",'Mapa final'!#REF!),"")</f>
        <v>#REF!</v>
      </c>
      <c r="AG47" s="472"/>
      <c r="AH47" s="472" t="str">
        <f>IF(AND('Mapa final'!$P$36="Muy Baja",'Mapa final'!$S$36="Mayor"),CONCATENATE("R",'Mapa final'!$A$36),"")</f>
        <v/>
      </c>
      <c r="AI47" s="480"/>
      <c r="AJ47" s="488" t="e">
        <f>IF(AND('Mapa final'!#REF!="Muy Baja",'Mapa final'!#REF!="Catastrófico"),CONCATENATE("R",'Mapa final'!#REF!),"")</f>
        <v>#REF!</v>
      </c>
      <c r="AK47" s="489"/>
      <c r="AL47" s="489" t="e">
        <f>IF(AND('Mapa final'!#REF!="Muy Baja",'Mapa final'!#REF!="Catastrófico"),CONCATENATE("R",'Mapa final'!#REF!),"")</f>
        <v>#REF!</v>
      </c>
      <c r="AM47" s="489"/>
      <c r="AN47" s="489" t="str">
        <f>IF(AND('Mapa final'!$P$36="Muy Baja",'Mapa final'!$S$36="Catastrófico"),CONCATENATE("R",'Mapa final'!$A$36),"")</f>
        <v/>
      </c>
      <c r="AO47" s="490"/>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27"/>
      <c r="E48" s="427"/>
      <c r="F48" s="428"/>
      <c r="G48" s="467"/>
      <c r="H48" s="468"/>
      <c r="I48" s="468"/>
      <c r="J48" s="468"/>
      <c r="K48" s="468"/>
      <c r="L48" s="506"/>
      <c r="M48" s="504"/>
      <c r="N48" s="504"/>
      <c r="O48" s="504"/>
      <c r="P48" s="504"/>
      <c r="Q48" s="505"/>
      <c r="R48" s="506"/>
      <c r="S48" s="504"/>
      <c r="T48" s="504"/>
      <c r="U48" s="504"/>
      <c r="V48" s="504"/>
      <c r="W48" s="505"/>
      <c r="X48" s="483"/>
      <c r="Y48" s="484"/>
      <c r="Z48" s="484"/>
      <c r="AA48" s="484"/>
      <c r="AB48" s="484"/>
      <c r="AC48" s="497"/>
      <c r="AD48" s="475"/>
      <c r="AE48" s="472"/>
      <c r="AF48" s="472"/>
      <c r="AG48" s="472"/>
      <c r="AH48" s="472"/>
      <c r="AI48" s="480"/>
      <c r="AJ48" s="488"/>
      <c r="AK48" s="489"/>
      <c r="AL48" s="489"/>
      <c r="AM48" s="489"/>
      <c r="AN48" s="489"/>
      <c r="AO48" s="490"/>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27"/>
      <c r="E49" s="427"/>
      <c r="F49" s="428"/>
      <c r="G49" s="467"/>
      <c r="H49" s="468"/>
      <c r="I49" s="468"/>
      <c r="J49" s="468"/>
      <c r="K49" s="468"/>
      <c r="L49" s="506" t="str">
        <f>IF(AND('Mapa final'!$P$37="Muy Baja",'Mapa final'!$S$37="Leve"),CONCATENATE("R",'Mapa final'!$A$37),"")</f>
        <v/>
      </c>
      <c r="M49" s="504"/>
      <c r="N49" s="504" t="str">
        <f>IF(AND('Mapa final'!$K$38="Muy Baja",'Mapa final'!$O$38="Leve"),CONCATENATE("R",'Mapa final'!$A$38),"")</f>
        <v/>
      </c>
      <c r="O49" s="504"/>
      <c r="P49" s="504" t="str">
        <f>IF(AND('Mapa final'!$K$39="Muy Baja",'Mapa final'!$O$39="Leve"),CONCATENATE("R",'Mapa final'!$A$39),"")</f>
        <v/>
      </c>
      <c r="Q49" s="505"/>
      <c r="R49" s="504" t="str">
        <f>IF(AND('Mapa final'!$P$37="Muy Baja",'Mapa final'!$S$37="Menor"),CONCATENATE("R",'Mapa final'!$A$37),"")</f>
        <v/>
      </c>
      <c r="S49" s="504"/>
      <c r="T49" s="504" t="str">
        <f>IF(AND('Mapa final'!$P$38="Muy Baja",'Mapa final'!$S$38="Menor"),CONCATENATE("R",'Mapa final'!$A$38),"")</f>
        <v/>
      </c>
      <c r="U49" s="504"/>
      <c r="V49" s="504" t="str">
        <f>IF(AND('Mapa final'!$P$39="Muy Baja",'Mapa final'!$S$39="Menor"),CONCATENATE("R",'Mapa final'!$A$39),"")</f>
        <v/>
      </c>
      <c r="W49" s="505"/>
      <c r="X49" s="483" t="str">
        <f>IF(AND('Mapa final'!$P$37="Muy Baja",'Mapa final'!$S$37="Moderado"),CONCATENATE("R",'Mapa final'!$A$37),"")</f>
        <v/>
      </c>
      <c r="Y49" s="484"/>
      <c r="Z49" s="484" t="str">
        <f>IF(AND('Mapa final'!$P$38="Muy Baja",'Mapa final'!$S$38="Moderado"),CONCATENATE("R",'Mapa final'!$A$38),"")</f>
        <v/>
      </c>
      <c r="AA49" s="484"/>
      <c r="AB49" s="484" t="str">
        <f>IF(AND('Mapa final'!$P$39="Muy Baja",'Mapa final'!$S$39="Moderado"),CONCATENATE("R",'Mapa final'!$A$39),"")</f>
        <v/>
      </c>
      <c r="AC49" s="497"/>
      <c r="AD49" s="475" t="str">
        <f>IF(AND('Mapa final'!$P$37="Muy Baja",'Mapa final'!$S$37="Mayor"),CONCATENATE("R",'Mapa final'!$A$37),"")</f>
        <v/>
      </c>
      <c r="AE49" s="472"/>
      <c r="AF49" s="472" t="str">
        <f>IF(AND('Mapa final'!$P$38="Muy Baja",'Mapa final'!$S$38="Mayor"),CONCATENATE("R",'Mapa final'!$A$38),"")</f>
        <v/>
      </c>
      <c r="AG49" s="472"/>
      <c r="AH49" s="472" t="str">
        <f>IF(AND('Mapa final'!$P$39="Muy Baja",'Mapa final'!$S$39="Mayor"),CONCATENATE("R",'Mapa final'!$A$39),"")</f>
        <v/>
      </c>
      <c r="AI49" s="480"/>
      <c r="AJ49" s="488" t="str">
        <f>IF(AND('Mapa final'!$P$37="Muy Baja",'Mapa final'!$S$37="Catastrófico"),CONCATENATE("R",'Mapa final'!$A$37),"")</f>
        <v/>
      </c>
      <c r="AK49" s="489"/>
      <c r="AL49" s="489" t="str">
        <f>IF(AND('Mapa final'!$P$38="Muy Baja",'Mapa final'!$S$38="Catastrófico"),CONCATENATE("R",'Mapa final'!$A$38),"")</f>
        <v/>
      </c>
      <c r="AM49" s="489"/>
      <c r="AN49" s="489" t="str">
        <f>IF(AND('Mapa final'!$P$39="Muy Baja",'Mapa final'!$S$39="Catastrófico"),CONCATENATE("R",'Mapa final'!$A$39),"")</f>
        <v/>
      </c>
      <c r="AO49" s="490"/>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27"/>
      <c r="E50" s="427"/>
      <c r="F50" s="428"/>
      <c r="G50" s="469"/>
      <c r="H50" s="470"/>
      <c r="I50" s="470"/>
      <c r="J50" s="470"/>
      <c r="K50" s="470"/>
      <c r="L50" s="507"/>
      <c r="M50" s="508"/>
      <c r="N50" s="508"/>
      <c r="O50" s="508"/>
      <c r="P50" s="508"/>
      <c r="Q50" s="509"/>
      <c r="R50" s="508"/>
      <c r="S50" s="508"/>
      <c r="T50" s="508"/>
      <c r="U50" s="508"/>
      <c r="V50" s="508"/>
      <c r="W50" s="509"/>
      <c r="X50" s="498"/>
      <c r="Y50" s="499"/>
      <c r="Z50" s="499"/>
      <c r="AA50" s="499"/>
      <c r="AB50" s="499"/>
      <c r="AC50" s="500"/>
      <c r="AD50" s="486"/>
      <c r="AE50" s="481"/>
      <c r="AF50" s="481"/>
      <c r="AG50" s="481"/>
      <c r="AH50" s="481"/>
      <c r="AI50" s="482"/>
      <c r="AJ50" s="494"/>
      <c r="AK50" s="495"/>
      <c r="AL50" s="495"/>
      <c r="AM50" s="495"/>
      <c r="AN50" s="495"/>
      <c r="AO50" s="496"/>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476" t="s">
        <v>261</v>
      </c>
      <c r="M51" s="468"/>
      <c r="N51" s="468"/>
      <c r="O51" s="468"/>
      <c r="P51" s="468"/>
      <c r="Q51" s="477"/>
      <c r="R51" s="465" t="s">
        <v>262</v>
      </c>
      <c r="S51" s="466"/>
      <c r="T51" s="466"/>
      <c r="U51" s="466"/>
      <c r="V51" s="466"/>
      <c r="W51" s="479"/>
      <c r="X51" s="465" t="s">
        <v>263</v>
      </c>
      <c r="Y51" s="466"/>
      <c r="Z51" s="466"/>
      <c r="AA51" s="466"/>
      <c r="AB51" s="466"/>
      <c r="AC51" s="479"/>
      <c r="AD51" s="465" t="s">
        <v>264</v>
      </c>
      <c r="AE51" s="485"/>
      <c r="AF51" s="466"/>
      <c r="AG51" s="466"/>
      <c r="AH51" s="466"/>
      <c r="AI51" s="479"/>
      <c r="AJ51" s="465" t="s">
        <v>265</v>
      </c>
      <c r="AK51" s="466"/>
      <c r="AL51" s="466"/>
      <c r="AM51" s="466"/>
      <c r="AN51" s="466"/>
      <c r="AO51" s="479"/>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67"/>
      <c r="M52" s="468"/>
      <c r="N52" s="468"/>
      <c r="O52" s="468"/>
      <c r="P52" s="468"/>
      <c r="Q52" s="477"/>
      <c r="R52" s="467"/>
      <c r="S52" s="468"/>
      <c r="T52" s="468"/>
      <c r="U52" s="468"/>
      <c r="V52" s="468"/>
      <c r="W52" s="477"/>
      <c r="X52" s="467"/>
      <c r="Y52" s="468"/>
      <c r="Z52" s="468"/>
      <c r="AA52" s="468"/>
      <c r="AB52" s="468"/>
      <c r="AC52" s="477"/>
      <c r="AD52" s="467"/>
      <c r="AE52" s="468"/>
      <c r="AF52" s="468"/>
      <c r="AG52" s="468"/>
      <c r="AH52" s="468"/>
      <c r="AI52" s="477"/>
      <c r="AJ52" s="467"/>
      <c r="AK52" s="468"/>
      <c r="AL52" s="468"/>
      <c r="AM52" s="468"/>
      <c r="AN52" s="468"/>
      <c r="AO52" s="477"/>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67"/>
      <c r="M53" s="468"/>
      <c r="N53" s="468"/>
      <c r="O53" s="468"/>
      <c r="P53" s="468"/>
      <c r="Q53" s="477"/>
      <c r="R53" s="467"/>
      <c r="S53" s="468"/>
      <c r="T53" s="468"/>
      <c r="U53" s="468"/>
      <c r="V53" s="468"/>
      <c r="W53" s="477"/>
      <c r="X53" s="467"/>
      <c r="Y53" s="468"/>
      <c r="Z53" s="468"/>
      <c r="AA53" s="468"/>
      <c r="AB53" s="468"/>
      <c r="AC53" s="477"/>
      <c r="AD53" s="467"/>
      <c r="AE53" s="468"/>
      <c r="AF53" s="468"/>
      <c r="AG53" s="468"/>
      <c r="AH53" s="468"/>
      <c r="AI53" s="477"/>
      <c r="AJ53" s="467"/>
      <c r="AK53" s="468"/>
      <c r="AL53" s="468"/>
      <c r="AM53" s="468"/>
      <c r="AN53" s="468"/>
      <c r="AO53" s="477"/>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67"/>
      <c r="M54" s="468"/>
      <c r="N54" s="468"/>
      <c r="O54" s="468"/>
      <c r="P54" s="468"/>
      <c r="Q54" s="477"/>
      <c r="R54" s="467"/>
      <c r="S54" s="468"/>
      <c r="T54" s="468"/>
      <c r="U54" s="468"/>
      <c r="V54" s="468"/>
      <c r="W54" s="477"/>
      <c r="X54" s="467"/>
      <c r="Y54" s="468"/>
      <c r="Z54" s="468"/>
      <c r="AA54" s="468"/>
      <c r="AB54" s="468"/>
      <c r="AC54" s="477"/>
      <c r="AD54" s="467"/>
      <c r="AE54" s="468"/>
      <c r="AF54" s="468"/>
      <c r="AG54" s="468"/>
      <c r="AH54" s="468"/>
      <c r="AI54" s="477"/>
      <c r="AJ54" s="467"/>
      <c r="AK54" s="468"/>
      <c r="AL54" s="468"/>
      <c r="AM54" s="468"/>
      <c r="AN54" s="468"/>
      <c r="AO54" s="477"/>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67"/>
      <c r="M55" s="468"/>
      <c r="N55" s="468"/>
      <c r="O55" s="468"/>
      <c r="P55" s="468"/>
      <c r="Q55" s="477"/>
      <c r="R55" s="467"/>
      <c r="S55" s="468"/>
      <c r="T55" s="468"/>
      <c r="U55" s="468"/>
      <c r="V55" s="468"/>
      <c r="W55" s="477"/>
      <c r="X55" s="467"/>
      <c r="Y55" s="468"/>
      <c r="Z55" s="468"/>
      <c r="AA55" s="468"/>
      <c r="AB55" s="468"/>
      <c r="AC55" s="477"/>
      <c r="AD55" s="467"/>
      <c r="AE55" s="468"/>
      <c r="AF55" s="468"/>
      <c r="AG55" s="468"/>
      <c r="AH55" s="468"/>
      <c r="AI55" s="477"/>
      <c r="AJ55" s="467"/>
      <c r="AK55" s="468"/>
      <c r="AL55" s="468"/>
      <c r="AM55" s="468"/>
      <c r="AN55" s="468"/>
      <c r="AO55" s="477"/>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6" thickBot="1">
      <c r="C56" s="68"/>
      <c r="D56" s="68"/>
      <c r="E56" s="68"/>
      <c r="F56" s="68"/>
      <c r="G56" s="68"/>
      <c r="H56" s="68"/>
      <c r="I56" s="68"/>
      <c r="J56" s="68"/>
      <c r="K56" s="68"/>
      <c r="L56" s="469"/>
      <c r="M56" s="470"/>
      <c r="N56" s="470"/>
      <c r="O56" s="470"/>
      <c r="P56" s="470"/>
      <c r="Q56" s="478"/>
      <c r="R56" s="469"/>
      <c r="S56" s="470"/>
      <c r="T56" s="470"/>
      <c r="U56" s="470"/>
      <c r="V56" s="470"/>
      <c r="W56" s="478"/>
      <c r="X56" s="469"/>
      <c r="Y56" s="470"/>
      <c r="Z56" s="470"/>
      <c r="AA56" s="470"/>
      <c r="AB56" s="470"/>
      <c r="AC56" s="478"/>
      <c r="AD56" s="469"/>
      <c r="AE56" s="470"/>
      <c r="AF56" s="470"/>
      <c r="AG56" s="470"/>
      <c r="AH56" s="470"/>
      <c r="AI56" s="478"/>
      <c r="AJ56" s="469"/>
      <c r="AK56" s="470"/>
      <c r="AL56" s="470"/>
      <c r="AM56" s="470"/>
      <c r="AN56" s="470"/>
      <c r="AO56" s="47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266</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X47:Y48"/>
    <mergeCell ref="Z47:AA48"/>
    <mergeCell ref="AB47:AC48"/>
    <mergeCell ref="X49:Y50"/>
    <mergeCell ref="Z49:AA50"/>
    <mergeCell ref="AB49:AC50"/>
    <mergeCell ref="X43:Y44"/>
    <mergeCell ref="Z43:AA44"/>
    <mergeCell ref="AB43:AC44"/>
    <mergeCell ref="X45:Y46"/>
    <mergeCell ref="Z45:AA46"/>
    <mergeCell ref="AB45:AC46"/>
    <mergeCell ref="R39:S40"/>
    <mergeCell ref="T39:U40"/>
    <mergeCell ref="V39:W40"/>
    <mergeCell ref="R41:S42"/>
    <mergeCell ref="T41:U42"/>
    <mergeCell ref="V41:W42"/>
    <mergeCell ref="R35:S36"/>
    <mergeCell ref="T35:U36"/>
    <mergeCell ref="V35:W36"/>
    <mergeCell ref="R37:S38"/>
    <mergeCell ref="T37:U38"/>
    <mergeCell ref="V37:W38"/>
    <mergeCell ref="X39:Y40"/>
    <mergeCell ref="Z39:AA40"/>
    <mergeCell ref="AB39:AC40"/>
    <mergeCell ref="X41:Y42"/>
    <mergeCell ref="Z41:AA42"/>
    <mergeCell ref="AB41:AC42"/>
    <mergeCell ref="X35:Y36"/>
    <mergeCell ref="Z35:AA36"/>
    <mergeCell ref="AB35:AC36"/>
    <mergeCell ref="X37:Y38"/>
    <mergeCell ref="Z37:AA38"/>
    <mergeCell ref="AB37:AC38"/>
    <mergeCell ref="X31:Y32"/>
    <mergeCell ref="Z31:AA32"/>
    <mergeCell ref="AB31:AC32"/>
    <mergeCell ref="X33:Y34"/>
    <mergeCell ref="Z33:AA34"/>
    <mergeCell ref="AB33:AC34"/>
    <mergeCell ref="X27:Y28"/>
    <mergeCell ref="Z27:AA28"/>
    <mergeCell ref="AB27:AC28"/>
    <mergeCell ref="X29:Y30"/>
    <mergeCell ref="Z29:AA30"/>
    <mergeCell ref="AB29:AC30"/>
    <mergeCell ref="R31:S32"/>
    <mergeCell ref="T31:U32"/>
    <mergeCell ref="V31:W32"/>
    <mergeCell ref="R33:S34"/>
    <mergeCell ref="T33:U34"/>
    <mergeCell ref="V33:W34"/>
    <mergeCell ref="R27:S28"/>
    <mergeCell ref="T27:U28"/>
    <mergeCell ref="V27:W28"/>
    <mergeCell ref="R29:S30"/>
    <mergeCell ref="T29:U30"/>
    <mergeCell ref="V29:W30"/>
    <mergeCell ref="L31:M32"/>
    <mergeCell ref="N31:O32"/>
    <mergeCell ref="P31:Q32"/>
    <mergeCell ref="L33:M34"/>
    <mergeCell ref="N33:O34"/>
    <mergeCell ref="P33:Q34"/>
    <mergeCell ref="L27:M28"/>
    <mergeCell ref="N27:O28"/>
    <mergeCell ref="P27:Q28"/>
    <mergeCell ref="L29:M30"/>
    <mergeCell ref="N29:O30"/>
    <mergeCell ref="P29:Q30"/>
    <mergeCell ref="R23:S24"/>
    <mergeCell ref="T23:U24"/>
    <mergeCell ref="V23:W24"/>
    <mergeCell ref="R25:S26"/>
    <mergeCell ref="T25:U26"/>
    <mergeCell ref="V25:W26"/>
    <mergeCell ref="R19:S20"/>
    <mergeCell ref="T19:U20"/>
    <mergeCell ref="V19:W20"/>
    <mergeCell ref="R21:S22"/>
    <mergeCell ref="T21:U22"/>
    <mergeCell ref="V21:W22"/>
    <mergeCell ref="P23:Q24"/>
    <mergeCell ref="L25:M26"/>
    <mergeCell ref="N25:O26"/>
    <mergeCell ref="P25:Q26"/>
    <mergeCell ref="L19:M20"/>
    <mergeCell ref="N19:O20"/>
    <mergeCell ref="P19:Q20"/>
    <mergeCell ref="L21:M22"/>
    <mergeCell ref="N21:O22"/>
    <mergeCell ref="P21:Q22"/>
    <mergeCell ref="AJ47:AK48"/>
    <mergeCell ref="AL47:AM48"/>
    <mergeCell ref="AN47:AO48"/>
    <mergeCell ref="AJ49:AK50"/>
    <mergeCell ref="AL49:AM50"/>
    <mergeCell ref="AN49:AO50"/>
    <mergeCell ref="AJ43:AK44"/>
    <mergeCell ref="AL43:AM44"/>
    <mergeCell ref="AN43:AO44"/>
    <mergeCell ref="AJ45:AK46"/>
    <mergeCell ref="AL45:AM46"/>
    <mergeCell ref="AN45:AO46"/>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15:AK16"/>
    <mergeCell ref="AL15:AM16"/>
    <mergeCell ref="AN15:AO16"/>
    <mergeCell ref="AJ17:AK18"/>
    <mergeCell ref="AL17:AM18"/>
    <mergeCell ref="AN17:AO18"/>
    <mergeCell ref="AJ11:AK12"/>
    <mergeCell ref="AL11:AM12"/>
    <mergeCell ref="AN11:AO12"/>
    <mergeCell ref="AJ13:AK14"/>
    <mergeCell ref="AL13:AM14"/>
    <mergeCell ref="AN13:AO14"/>
    <mergeCell ref="AD47:AE48"/>
    <mergeCell ref="AF47:AG48"/>
    <mergeCell ref="AH47:AI48"/>
    <mergeCell ref="AD49:AE50"/>
    <mergeCell ref="AF49:AG50"/>
    <mergeCell ref="AH49:AI50"/>
    <mergeCell ref="AD43:AE44"/>
    <mergeCell ref="AF43:AG44"/>
    <mergeCell ref="AH43:AI44"/>
    <mergeCell ref="AD45:AE46"/>
    <mergeCell ref="AF45:AG46"/>
    <mergeCell ref="AH45:AI46"/>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topLeftCell="BA1" zoomScale="60" zoomScaleNormal="60" workbookViewId="0">
      <pane ySplit="7" topLeftCell="A41" activePane="bottomLeft" state="frozen"/>
      <selection pane="bottomLeft" activeCell="BL52" sqref="BL52"/>
    </sheetView>
  </sheetViews>
  <sheetFormatPr baseColWidth="10" defaultColWidth="11.5" defaultRowHeight="15"/>
  <cols>
    <col min="3" max="19" width="5.6640625" customWidth="1"/>
    <col min="20" max="20" width="6.6640625" customWidth="1"/>
    <col min="21" max="23" width="5.6640625" customWidth="1"/>
    <col min="24" max="24" width="7.5" customWidth="1"/>
    <col min="25" max="25" width="8.5" customWidth="1"/>
    <col min="26" max="26" width="12" customWidth="1"/>
    <col min="27" max="27" width="5.6640625" customWidth="1"/>
    <col min="28" max="28" width="10.6640625" customWidth="1"/>
    <col min="29" max="29" width="5.6640625" customWidth="1"/>
    <col min="30" max="30" width="7.5" customWidth="1"/>
    <col min="31" max="31" width="8.5" customWidth="1"/>
    <col min="32" max="34" width="5.6640625" customWidth="1"/>
    <col min="35" max="35" width="8.5" customWidth="1"/>
    <col min="36" max="36" width="9.6640625" customWidth="1"/>
    <col min="37" max="40" width="5.6640625" customWidth="1"/>
    <col min="42" max="47" width="5.6640625" customWidth="1"/>
    <col min="51" max="51" width="11.5" customWidth="1"/>
    <col min="63" max="63" width="11.5" customWidth="1"/>
    <col min="64" max="69" width="35.6640625" customWidth="1"/>
  </cols>
  <sheetData>
    <row r="1" spans="1:92" ht="16" thickBot="1"/>
    <row r="2" spans="1:92">
      <c r="C2" s="418" t="s">
        <v>248</v>
      </c>
      <c r="D2" s="419"/>
      <c r="E2" s="419"/>
      <c r="F2" s="419"/>
      <c r="G2" s="419"/>
      <c r="H2" s="419"/>
      <c r="I2" s="419"/>
      <c r="J2" s="420"/>
      <c r="K2" s="409" t="s">
        <v>1</v>
      </c>
      <c r="L2" s="410"/>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1"/>
      <c r="AO2" s="399" t="s">
        <v>8</v>
      </c>
      <c r="AP2" s="406"/>
      <c r="AQ2" s="406"/>
      <c r="AR2" s="406"/>
      <c r="AS2" s="406"/>
      <c r="AT2" s="406"/>
      <c r="AU2" s="262"/>
    </row>
    <row r="3" spans="1:92">
      <c r="C3" s="421"/>
      <c r="D3" s="422"/>
      <c r="E3" s="422"/>
      <c r="F3" s="422"/>
      <c r="G3" s="422"/>
      <c r="H3" s="422"/>
      <c r="I3" s="422"/>
      <c r="J3" s="423"/>
      <c r="K3" s="412"/>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c r="AM3" s="413"/>
      <c r="AN3" s="414"/>
      <c r="AO3" s="400" t="s">
        <v>3</v>
      </c>
      <c r="AP3" s="407"/>
      <c r="AQ3" s="407"/>
      <c r="AR3" s="407"/>
      <c r="AS3" s="407"/>
      <c r="AT3" s="407"/>
      <c r="AU3" s="264"/>
    </row>
    <row r="4" spans="1:92">
      <c r="C4" s="421"/>
      <c r="D4" s="422"/>
      <c r="E4" s="422"/>
      <c r="F4" s="422"/>
      <c r="G4" s="422"/>
      <c r="H4" s="422"/>
      <c r="I4" s="422"/>
      <c r="J4" s="423"/>
      <c r="K4" s="412"/>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4"/>
      <c r="AO4" s="400" t="s">
        <v>4</v>
      </c>
      <c r="AP4" s="407" t="s">
        <v>250</v>
      </c>
      <c r="AQ4" s="407"/>
      <c r="AR4" s="407"/>
      <c r="AS4" s="407"/>
      <c r="AT4" s="407"/>
      <c r="AU4" s="264"/>
    </row>
    <row r="5" spans="1:92" ht="16" thickBot="1">
      <c r="C5" s="424"/>
      <c r="D5" s="425"/>
      <c r="E5" s="425"/>
      <c r="F5" s="425"/>
      <c r="G5" s="425"/>
      <c r="H5" s="425"/>
      <c r="I5" s="425"/>
      <c r="J5" s="426"/>
      <c r="K5" s="415"/>
      <c r="L5" s="416"/>
      <c r="M5" s="416"/>
      <c r="N5" s="416"/>
      <c r="O5" s="416"/>
      <c r="P5" s="416"/>
      <c r="Q5" s="416"/>
      <c r="R5" s="416"/>
      <c r="S5" s="416"/>
      <c r="T5" s="416"/>
      <c r="U5" s="416"/>
      <c r="V5" s="416"/>
      <c r="W5" s="416"/>
      <c r="X5" s="416"/>
      <c r="Y5" s="416"/>
      <c r="Z5" s="416"/>
      <c r="AA5" s="416"/>
      <c r="AB5" s="416"/>
      <c r="AC5" s="416"/>
      <c r="AD5" s="416"/>
      <c r="AE5" s="416"/>
      <c r="AF5" s="416"/>
      <c r="AG5" s="416"/>
      <c r="AH5" s="416"/>
      <c r="AI5" s="416"/>
      <c r="AJ5" s="416"/>
      <c r="AK5" s="416"/>
      <c r="AL5" s="416"/>
      <c r="AM5" s="416"/>
      <c r="AN5" s="417"/>
      <c r="AO5" s="401" t="s">
        <v>5</v>
      </c>
      <c r="AP5" s="408" t="s">
        <v>5</v>
      </c>
      <c r="AQ5" s="408"/>
      <c r="AR5" s="408"/>
      <c r="AS5" s="408"/>
      <c r="AT5" s="408"/>
      <c r="AU5" s="266"/>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563" t="s">
        <v>9</v>
      </c>
      <c r="B8" s="563"/>
      <c r="C8" s="542" t="s">
        <v>267</v>
      </c>
      <c r="D8" s="543"/>
      <c r="E8" s="543"/>
      <c r="F8" s="543"/>
      <c r="G8" s="543"/>
      <c r="H8" s="543"/>
      <c r="I8" s="543"/>
      <c r="J8" s="543"/>
      <c r="K8" s="544" t="s">
        <v>56</v>
      </c>
      <c r="L8" s="544"/>
      <c r="M8" s="544"/>
      <c r="N8" s="544"/>
      <c r="O8" s="544"/>
      <c r="P8" s="544"/>
      <c r="Q8" s="544"/>
      <c r="R8" s="544"/>
      <c r="S8" s="544"/>
      <c r="T8" s="544"/>
      <c r="U8" s="544"/>
      <c r="V8" s="544"/>
      <c r="W8" s="544"/>
      <c r="X8" s="544"/>
      <c r="Y8" s="544"/>
      <c r="Z8" s="544"/>
      <c r="AA8" s="544"/>
      <c r="AB8" s="544"/>
      <c r="AC8" s="544"/>
      <c r="AD8" s="544"/>
      <c r="AE8" s="544"/>
      <c r="AF8" s="544"/>
      <c r="AG8" s="544"/>
      <c r="AH8" s="544"/>
      <c r="AI8" s="544"/>
      <c r="AJ8" s="544"/>
      <c r="AK8" s="544"/>
      <c r="AL8" s="544"/>
      <c r="AM8" s="544"/>
      <c r="AN8" s="544"/>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543"/>
      <c r="D9" s="543"/>
      <c r="E9" s="543"/>
      <c r="F9" s="543"/>
      <c r="G9" s="543"/>
      <c r="H9" s="543"/>
      <c r="I9" s="543"/>
      <c r="J9" s="543"/>
      <c r="K9" s="544"/>
      <c r="L9" s="544"/>
      <c r="M9" s="544"/>
      <c r="N9" s="544"/>
      <c r="O9" s="544"/>
      <c r="P9" s="544"/>
      <c r="Q9" s="544"/>
      <c r="R9" s="544"/>
      <c r="S9" s="544"/>
      <c r="T9" s="544"/>
      <c r="U9" s="544"/>
      <c r="V9" s="544"/>
      <c r="W9" s="544"/>
      <c r="X9" s="544"/>
      <c r="Y9" s="544"/>
      <c r="Z9" s="544"/>
      <c r="AA9" s="544"/>
      <c r="AB9" s="544"/>
      <c r="AC9" s="544"/>
      <c r="AD9" s="544"/>
      <c r="AE9" s="544"/>
      <c r="AF9" s="544"/>
      <c r="AG9" s="544"/>
      <c r="AH9" s="544"/>
      <c r="AI9" s="544"/>
      <c r="AJ9" s="544"/>
      <c r="AK9" s="544"/>
      <c r="AL9" s="544"/>
      <c r="AM9" s="544"/>
      <c r="AN9" s="544"/>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543"/>
      <c r="D10" s="543"/>
      <c r="E10" s="543"/>
      <c r="F10" s="543"/>
      <c r="G10" s="543"/>
      <c r="H10" s="543"/>
      <c r="I10" s="543"/>
      <c r="J10" s="543"/>
      <c r="K10" s="544"/>
      <c r="L10" s="544"/>
      <c r="M10" s="544"/>
      <c r="N10" s="544"/>
      <c r="O10" s="544"/>
      <c r="P10" s="544"/>
      <c r="Q10" s="544"/>
      <c r="R10" s="544"/>
      <c r="S10" s="544"/>
      <c r="T10" s="544"/>
      <c r="U10" s="544"/>
      <c r="V10" s="544"/>
      <c r="W10" s="544"/>
      <c r="X10" s="544"/>
      <c r="Y10" s="544"/>
      <c r="Z10" s="544"/>
      <c r="AA10" s="544"/>
      <c r="AB10" s="544"/>
      <c r="AC10" s="544"/>
      <c r="AD10" s="544"/>
      <c r="AE10" s="544"/>
      <c r="AF10" s="544"/>
      <c r="AG10" s="544"/>
      <c r="AH10" s="544"/>
      <c r="AI10" s="544"/>
      <c r="AJ10" s="544"/>
      <c r="AK10" s="544"/>
      <c r="AL10" s="544"/>
      <c r="AM10" s="544"/>
      <c r="AN10" s="544"/>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6"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27" t="s">
        <v>252</v>
      </c>
      <c r="D12" s="427"/>
      <c r="E12" s="428"/>
      <c r="F12" s="514" t="s">
        <v>253</v>
      </c>
      <c r="G12" s="515"/>
      <c r="H12" s="515"/>
      <c r="I12" s="515"/>
      <c r="J12" s="515"/>
      <c r="K12" s="32"/>
      <c r="L12" s="33" t="str">
        <f>IF(AND('Mapa final'!$AH$18="Muy Alta",'Mapa final'!$AJ$18="Leve"),CONCATENATE("R2C",'Mapa final'!$R$15),"")</f>
        <v/>
      </c>
      <c r="M12" s="33" t="str">
        <f>IF(AND('Mapa final'!$AH$32="Muy Alta",'Mapa final'!$AJ$32="Leve"),CONCATENATE("R2C",'Mapa final'!$R$32),"")</f>
        <v/>
      </c>
      <c r="N12" s="33" t="e">
        <f>IF(AND('Mapa final'!#REF!="Muy Alta",'Mapa final'!#REF!="Leve"),CONCATENATE("R2C",'Mapa final'!#REF!),"")</f>
        <v>#REF!</v>
      </c>
      <c r="O12" s="33" t="e">
        <f>IF(AND('Mapa final'!#REF!="Muy Alta",'Mapa final'!#REF!="Leve"),CONCATENATE("R2C",'Mapa final'!#REF!),"")</f>
        <v>#REF!</v>
      </c>
      <c r="P12" s="34" t="e">
        <f>IF(AND('Mapa final'!#REF!="Muy Alta",'Mapa final'!#REF!="Leve"),CONCATENATE("R2C",'Mapa final'!#REF!),"")</f>
        <v>#REF!</v>
      </c>
      <c r="Q12" s="33"/>
      <c r="R12" s="33" t="str">
        <f>IF(AND('Mapa final'!$AH$18="Muy Alta",'Mapa final'!$AJ$18="Menore"),CONCATENATE("R2C",'Mapa final'!$R$15),"")</f>
        <v/>
      </c>
      <c r="S12" s="33" t="str">
        <f>IF(AND('Mapa final'!$AH$32="Muy Alta",'Mapa final'!$AJ$32="Menor"),CONCATENATE("R2C",'Mapa final'!$R$32),"")</f>
        <v/>
      </c>
      <c r="T12" s="33" t="e">
        <f>IF(AND('Mapa final'!#REF!="Muy Alta",'Mapa final'!#REF!="Menor"),CONCATENATE("R2C",'Mapa final'!#REF!),"")</f>
        <v>#REF!</v>
      </c>
      <c r="U12" s="33" t="e">
        <f>IF(AND('Mapa final'!#REF!="Muy Alta",'Mapa final'!#REF!="Menor"),CONCATENATE("R2C",'Mapa final'!#REF!),"")</f>
        <v>#REF!</v>
      </c>
      <c r="V12" s="34" t="e">
        <f>IF(AND('Mapa final'!#REF!="Muy Alta",'Mapa final'!#REF!="Menor"),CONCATENATE("R2C",'Mapa final'!#REF!),"")</f>
        <v>#REF!</v>
      </c>
      <c r="W12" s="32"/>
      <c r="X12" s="33" t="str">
        <f>IF(AND('Mapa final'!$AH$18="Muy Alta",'Mapa final'!$AJ$18="Moderado"),CONCATENATE("R2C",'Mapa final'!$R$15),"")</f>
        <v/>
      </c>
      <c r="Y12" s="33"/>
      <c r="Z12" s="33" t="e">
        <f>IF(AND('Mapa final'!#REF!="Muy Alta",'Mapa final'!#REF!="Moderado"),CONCATENATE("R2C",'Mapa final'!#REF!),"")</f>
        <v>#REF!</v>
      </c>
      <c r="AA12" s="33" t="e">
        <f>IF(AND('Mapa final'!#REF!="Muy Alta",'Mapa final'!#REF!="Moderado"),CONCATENATE("R2C",'Mapa final'!#REF!),"")</f>
        <v>#REF!</v>
      </c>
      <c r="AB12" s="34" t="e">
        <f>IF(AND('Mapa final'!#REF!="Muy Alta",'Mapa final'!#REF!="Moderado"),CONCATENATE("R2C",'Mapa final'!#REF!),"")</f>
        <v>#REF!</v>
      </c>
      <c r="AC12" s="32"/>
      <c r="AD12" s="33" t="str">
        <f>IF(AND('Mapa final'!$AH$18="Muy Alta",'Mapa final'!$AJ$18="Mayor"),CONCATENATE("R2C",'Mapa final'!$R$15),"")</f>
        <v/>
      </c>
      <c r="AE12" s="33" t="str">
        <f>IF(AND('Mapa final'!$AH$32="Muy Alta",'Mapa final'!$AJ$32="Mayor"),CONCATENATE("R2C",'Mapa final'!$R$32),"")</f>
        <v/>
      </c>
      <c r="AF12" s="33" t="e">
        <f>IF(AND('Mapa final'!#REF!="Muy Alta",'Mapa final'!#REF!="Mayor"),CONCATENATE("R2C",'Mapa final'!#REF!),"")</f>
        <v>#REF!</v>
      </c>
      <c r="AG12" s="33" t="e">
        <f>IF(AND('Mapa final'!#REF!="Muy Alta",'Mapa final'!#REF!="Mayor"),CONCATENATE("R2C",'Mapa final'!#REF!),"")</f>
        <v>#REF!</v>
      </c>
      <c r="AH12" s="34" t="e">
        <f>IF(AND('Mapa final'!#REF!="Muy Alta",'Mapa final'!#REF!="Mayor"),CONCATENATE("R2C",'Mapa final'!#REF!),"")</f>
        <v>#REF!</v>
      </c>
      <c r="AI12" s="35"/>
      <c r="AJ12" s="36" t="str">
        <f>IF(AND('Mapa final'!$AH$18="Muy Alta",'Mapa final'!$AJ$18="Catastrófico"),CONCATENATE("R2C",'Mapa final'!$R$15),"")</f>
        <v/>
      </c>
      <c r="AK12" s="36" t="str">
        <f>IF(AND('Mapa final'!$AH$32="Muy Alta",'Mapa final'!$AJ$32="Catastrófico"),CONCATENATE("R2C",'Mapa final'!$R$32),"")</f>
        <v/>
      </c>
      <c r="AL12" s="36" t="e">
        <f>IF(AND('Mapa final'!#REF!="Muy Alta",'Mapa final'!#REF!="Catastrófico"),CONCATENATE("R2C",'Mapa final'!#REF!),"")</f>
        <v>#REF!</v>
      </c>
      <c r="AM12" s="36" t="e">
        <f>IF(AND('Mapa final'!#REF!="Muy Alta",'Mapa final'!#REF!="Catastrófico"),CONCATENATE("R2C",'Mapa final'!#REF!),"")</f>
        <v>#REF!</v>
      </c>
      <c r="AN12" s="37" t="e">
        <f>IF(AND('Mapa final'!#REF!="Muy Alta",'Mapa final'!#REF!="Catastrófico"),CONCATENATE("R2C",'Mapa final'!#REF!),"")</f>
        <v>#REF!</v>
      </c>
      <c r="AO12" s="68"/>
      <c r="AP12" s="533" t="s">
        <v>254</v>
      </c>
      <c r="AQ12" s="534"/>
      <c r="AR12" s="534"/>
      <c r="AS12" s="534"/>
      <c r="AT12" s="534"/>
      <c r="AU12" s="535"/>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27"/>
      <c r="D13" s="427"/>
      <c r="E13" s="428"/>
      <c r="F13" s="517"/>
      <c r="G13" s="518"/>
      <c r="H13" s="518"/>
      <c r="I13" s="518"/>
      <c r="J13" s="518"/>
      <c r="K13" s="38" t="e">
        <f>IF(AND('Mapa final'!#REF!="Muy Alta",'Mapa final'!#REF!="Leve"),CONCATENATE("R2C",'Mapa final'!#REF!),"")</f>
        <v>#REF!</v>
      </c>
      <c r="L13" s="39" t="e">
        <f>IF(AND('Mapa final'!#REF!="Muy Alta",'Mapa final'!#REF!="Leve"),CONCATENATE("R2C",'Mapa final'!#REF!),"")</f>
        <v>#REF!</v>
      </c>
      <c r="M13" s="39" t="str">
        <f>IF(AND('Mapa final'!$AH$36="Muy Alta",'Mapa final'!$AJ$36="Leve"),CONCATENATE("R2C",'Mapa final'!$R$36),"")</f>
        <v/>
      </c>
      <c r="N13" s="39" t="str">
        <f>IF(AND('Mapa final'!$AH$37="Muy Alta",'Mapa final'!$AJ$37="Leve"),CONCATENATE("R2C",'Mapa final'!$R$37),"")</f>
        <v/>
      </c>
      <c r="O13" s="39" t="str">
        <f>IF(AND('Mapa final'!$AH$38="Muy Alta",'Mapa final'!$AJ$38="Leve"),CONCATENATE("R2C",'Mapa final'!$R$38),"")</f>
        <v/>
      </c>
      <c r="P13" s="40" t="str">
        <f>IF(AND('Mapa final'!$AH$39="Muy Alta",'Mapa final'!$AJ$39="Leve"),CONCATENATE("R2C",'Mapa final'!$R$39),"")</f>
        <v/>
      </c>
      <c r="Q13" s="39" t="e">
        <f>IF(AND('Mapa final'!#REF!="Muy Alta",'Mapa final'!#REF!="Menor"),CONCATENATE("R2C",'Mapa final'!#REF!),"")</f>
        <v>#REF!</v>
      </c>
      <c r="R13" s="39" t="e">
        <f>IF(AND('Mapa final'!#REF!="Muy Alta",'Mapa final'!#REF!="Menor"),CONCATENATE("R2C",'Mapa final'!#REF!),"")</f>
        <v>#REF!</v>
      </c>
      <c r="S13" s="39" t="str">
        <f>IF(AND('Mapa final'!$AH$36="Muy Alta",'Mapa final'!$AJ$36="Menor"),CONCATENATE("R2C",'Mapa final'!$R$36),"")</f>
        <v/>
      </c>
      <c r="T13" s="39" t="str">
        <f>IF(AND('Mapa final'!$AH$37="Muy Alta",'Mapa final'!$AJ$37="Menor"),CONCATENATE("R2C",'Mapa final'!$R$37),"")</f>
        <v/>
      </c>
      <c r="U13" s="39" t="str">
        <f>IF(AND('Mapa final'!$AH$38="Muy Alta",'Mapa final'!$AJ$38="Menor"),CONCATENATE("R2C",'Mapa final'!$R$38),"")</f>
        <v/>
      </c>
      <c r="V13" s="40" t="str">
        <f>IF(AND('Mapa final'!$AH$39="Muy Alta",'Mapa final'!$AJ$39="Menor"),CONCATENATE("R2C",'Mapa final'!$R$39),"")</f>
        <v/>
      </c>
      <c r="W13" s="38" t="e">
        <f>IF(AND('Mapa final'!#REF!="Muy Alta",'Mapa final'!#REF!="Moderado"),CONCATENATE("R2C",'Mapa final'!#REF!),"")</f>
        <v>#REF!</v>
      </c>
      <c r="X13" s="39" t="e">
        <f>IF(AND('Mapa final'!#REF!="Muy Alta",'Mapa final'!#REF!="Moderado"),CONCATENATE("R2C",'Mapa final'!#REF!),"")</f>
        <v>#REF!</v>
      </c>
      <c r="Y13" s="39" t="str">
        <f>IF(AND('Mapa final'!$AH$36="Muy Alta",'Mapa final'!$AJ$36="Moderado"),CONCATENATE("R2C",'Mapa final'!$R$36),"")</f>
        <v/>
      </c>
      <c r="Z13" s="39" t="str">
        <f>IF(AND('Mapa final'!$AH$37="Muy Alta",'Mapa final'!$AJ$37="Moderado"),CONCATENATE("R2C",'Mapa final'!$R$37),"")</f>
        <v/>
      </c>
      <c r="AA13" s="39" t="str">
        <f>IF(AND('Mapa final'!$AH$38="Muy Alta",'Mapa final'!$AJ$38="Moderado"),CONCATENATE("R2C",'Mapa final'!$R$38),"")</f>
        <v/>
      </c>
      <c r="AB13" s="40" t="str">
        <f>IF(AND('Mapa final'!$AH$39="Muy Alta",'Mapa final'!$AJ$39="Moderado"),CONCATENATE("R2C",'Mapa final'!$R$39),"")</f>
        <v/>
      </c>
      <c r="AC13" s="38" t="e">
        <f>IF(AND('Mapa final'!#REF!="Muy Alta",'Mapa final'!#REF!="Mayor"),CONCATENATE("R2C",'Mapa final'!#REF!),"")</f>
        <v>#REF!</v>
      </c>
      <c r="AD13" s="39" t="e">
        <f>IF(AND('Mapa final'!#REF!="Muy Alta",'Mapa final'!#REF!="Mayor"),CONCATENATE("R2C",'Mapa final'!#REF!),"")</f>
        <v>#REF!</v>
      </c>
      <c r="AE13" s="39" t="str">
        <f>IF(AND('Mapa final'!$AH$36="Muy Alta",'Mapa final'!$AJ$36="Mayor"),CONCATENATE("R2C",'Mapa final'!$R$36),"")</f>
        <v/>
      </c>
      <c r="AF13" s="39" t="str">
        <f>IF(AND('Mapa final'!$AH$37="Muy Alta",'Mapa final'!$AJ$37="Mayor"),CONCATENATE("R2C",'Mapa final'!$R$37),"")</f>
        <v/>
      </c>
      <c r="AG13" s="39" t="str">
        <f>IF(AND('Mapa final'!$AH$38="Muy Alta",'Mapa final'!$AJ$38="Mayor"),CONCATENATE("R2C",'Mapa final'!$R$38),"")</f>
        <v/>
      </c>
      <c r="AH13" s="40" t="str">
        <f>IF(AND('Mapa final'!$AH$39="Muy Alta",'Mapa final'!$AJ$39="Mayor"),CONCATENATE("R2C",'Mapa final'!$R$39),"")</f>
        <v/>
      </c>
      <c r="AI13" s="41" t="e">
        <f>IF(AND('Mapa final'!#REF!="Muy Alta",'Mapa final'!#REF!="Catastrófico"),CONCATENATE("R2C",'Mapa final'!#REF!),"")</f>
        <v>#REF!</v>
      </c>
      <c r="AJ13" s="42" t="e">
        <f>IF(AND('Mapa final'!#REF!="Muy Alta",'Mapa final'!#REF!="Catastrófico"),CONCATENATE("R2C",'Mapa final'!#REF!),"")</f>
        <v>#REF!</v>
      </c>
      <c r="AK13" s="42" t="str">
        <f>IF(AND('Mapa final'!$AH$36="Muy Alta",'Mapa final'!$AJ$36="Catastrófico"),CONCATENATE("R2C",'Mapa final'!$R$36),"")</f>
        <v/>
      </c>
      <c r="AL13" s="42" t="str">
        <f>IF(AND('Mapa final'!$AH$37="Muy Alta",'Mapa final'!$AJ$37="Catastrófico"),CONCATENATE("R2C",'Mapa final'!$R$37),"")</f>
        <v/>
      </c>
      <c r="AM13" s="42" t="str">
        <f>IF(AND('Mapa final'!$AH$38="Muy Alta",'Mapa final'!$AJ$38="Catastrófico"),CONCATENATE("R2C",'Mapa final'!$R$38),"")</f>
        <v/>
      </c>
      <c r="AN13" s="43" t="str">
        <f>IF(AND('Mapa final'!$AH$39="Muy Alta",'Mapa final'!$AJ$39="Catastrófico"),CONCATENATE("R2C",'Mapa final'!$R$39),"")</f>
        <v/>
      </c>
      <c r="AO13" s="68"/>
      <c r="AP13" s="536"/>
      <c r="AQ13" s="537"/>
      <c r="AR13" s="537"/>
      <c r="AS13" s="537"/>
      <c r="AT13" s="537"/>
      <c r="AU13" s="53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27"/>
      <c r="D14" s="427"/>
      <c r="E14" s="428"/>
      <c r="F14" s="517"/>
      <c r="G14" s="518"/>
      <c r="H14" s="518"/>
      <c r="I14" s="518"/>
      <c r="J14" s="518"/>
      <c r="K14" s="38" t="str">
        <f>IF(AND('Mapa final'!$AH$40="Muy Alta",'Mapa final'!$AJ$40="Leve"),CONCATENATE("R2C",'Mapa final'!$R$40),"")</f>
        <v/>
      </c>
      <c r="L14" s="39" t="str">
        <f>IF(AND('Mapa final'!$AH$41="Muy Alta",'Mapa final'!$AJ$41="Leve"),CONCATENATE("R2C",'Mapa final'!$R$41),"")</f>
        <v/>
      </c>
      <c r="M14" s="39" t="str">
        <f>IF(AND('Mapa final'!$AH$42="Muy Alta",'Mapa final'!$AJ$42="Leve"),CONCATENATE("R2C",'Mapa final'!$R$42),"")</f>
        <v/>
      </c>
      <c r="N14" s="39" t="str">
        <f>IF(AND('Mapa final'!$AH$43="Muy Alta",'Mapa final'!$AJ$43="Leve"),CONCATENATE("R2C",'Mapa final'!$R$43),"")</f>
        <v/>
      </c>
      <c r="O14" s="39" t="str">
        <f>IF(AND('Mapa final'!$AH$44="Muy Alta",'Mapa final'!$AJ$44="Leve"),CONCATENATE("R2C",'Mapa final'!$R$44),"")</f>
        <v/>
      </c>
      <c r="P14" s="40" t="str">
        <f>IF(AND('Mapa final'!$AH$45="Muy Alta",'Mapa final'!$AJ$45="Leve"),CONCATENATE("R2C",'Mapa final'!$R$45),"")</f>
        <v/>
      </c>
      <c r="Q14" s="39" t="str">
        <f>IF(AND('Mapa final'!$AH$40="Muy Alta",'Mapa final'!$AJ$40="Menor"),CONCATENATE("R2C",'Mapa final'!$R$40),"")</f>
        <v/>
      </c>
      <c r="R14" s="39" t="str">
        <f>IF(AND('Mapa final'!$AH$41="Muy Alta",'Mapa final'!$AJ$41="Menor"),CONCATENATE("R2C",'Mapa final'!$R$41),"")</f>
        <v/>
      </c>
      <c r="S14" s="39" t="str">
        <f>IF(AND('Mapa final'!$AH$42="Muy Alta",'Mapa final'!$AJ$42="Menor"),CONCATENATE("R2C",'Mapa final'!$R$42),"")</f>
        <v/>
      </c>
      <c r="T14" s="39" t="str">
        <f>IF(AND('Mapa final'!$AH$43="Muy Alta",'Mapa final'!$AJ$43="Menor"),CONCATENATE("R2C",'Mapa final'!$R$43),"")</f>
        <v/>
      </c>
      <c r="U14" s="39" t="str">
        <f>IF(AND('Mapa final'!$AH$44="Muy Alta",'Mapa final'!$AJ$44="Menor"),CONCATENATE("R2C",'Mapa final'!$R$44),"")</f>
        <v/>
      </c>
      <c r="V14" s="40" t="str">
        <f>IF(AND('Mapa final'!$AH$45="Muy Alta",'Mapa final'!$AJ$45="Menor"),CONCATENATE("R2C",'Mapa final'!$R$45),"")</f>
        <v/>
      </c>
      <c r="W14" s="38" t="str">
        <f>IF(AND('Mapa final'!$AH$40="Muy Alta",'Mapa final'!$AJ$40="Moderado"),CONCATENATE("R2C",'Mapa final'!$R$40),"")</f>
        <v/>
      </c>
      <c r="X14" s="39" t="str">
        <f>IF(AND('Mapa final'!$AH$41="Muy Alta",'Mapa final'!$AJ$41="Moderado"),CONCATENATE("R2C",'Mapa final'!$R$41),"")</f>
        <v/>
      </c>
      <c r="Y14" s="39" t="str">
        <f>IF(AND('Mapa final'!$AH$42="Muy Alta",'Mapa final'!$AJ$42="Moderado"),CONCATENATE("R2C",'Mapa final'!$R$42),"")</f>
        <v/>
      </c>
      <c r="Z14" s="39" t="str">
        <f>IF(AND('Mapa final'!$AH$43="Muy Alta",'Mapa final'!$AJ$43="Moderado"),CONCATENATE("R2C",'Mapa final'!$R$43),"")</f>
        <v/>
      </c>
      <c r="AA14" s="39" t="str">
        <f>IF(AND('Mapa final'!$AH$44="Muy Alta",'Mapa final'!$AJ$44="Moderado"),CONCATENATE("R2C",'Mapa final'!$R$44),"")</f>
        <v/>
      </c>
      <c r="AB14" s="40" t="str">
        <f>IF(AND('Mapa final'!$AH$45="Muy Alta",'Mapa final'!$AJ$45="Moderado"),CONCATENATE("R2C",'Mapa final'!$R$45),"")</f>
        <v/>
      </c>
      <c r="AC14" s="38" t="str">
        <f>IF(AND('Mapa final'!$AH$40="Muy Alta",'Mapa final'!$AJ$40="Mayor"),CONCATENATE("R2C",'Mapa final'!$R$40),"")</f>
        <v/>
      </c>
      <c r="AD14" s="39" t="str">
        <f>IF(AND('Mapa final'!$AH$41="Muy Alta",'Mapa final'!$AJ$41="Mayor"),CONCATENATE("R2C",'Mapa final'!$R$41),"")</f>
        <v/>
      </c>
      <c r="AE14" s="39" t="str">
        <f>IF(AND('Mapa final'!$AH$42="Muy Alta",'Mapa final'!$AJ$42="Mayor"),CONCATENATE("R2C",'Mapa final'!$R$42),"")</f>
        <v/>
      </c>
      <c r="AF14" s="39" t="str">
        <f>IF(AND('Mapa final'!$AH$43="Muy Alta",'Mapa final'!$AJ$43="Mayor"),CONCATENATE("R2C",'Mapa final'!$R$43),"")</f>
        <v/>
      </c>
      <c r="AG14" s="39" t="str">
        <f>IF(AND('Mapa final'!$AH$44="Muy Alta",'Mapa final'!$AJ$44="Mayor"),CONCATENATE("R2C",'Mapa final'!$R$44),"")</f>
        <v/>
      </c>
      <c r="AH14" s="40" t="str">
        <f>IF(AND('Mapa final'!$AH$45="Muy Alta",'Mapa final'!$AJ$45="Mayor"),CONCATENATE("R2C",'Mapa final'!$R$45),"")</f>
        <v/>
      </c>
      <c r="AI14" s="41" t="str">
        <f>IF(AND('Mapa final'!$AH$40="Muy Alta",'Mapa final'!$AJ$40="Catastrófico"),CONCATENATE("R2C",'Mapa final'!$R$40),"")</f>
        <v/>
      </c>
      <c r="AJ14" s="42" t="str">
        <f>IF(AND('Mapa final'!$AH$41="Muy Alta",'Mapa final'!$AJ$41="Catastrófico"),CONCATENATE("R2C",'Mapa final'!$R$41),"")</f>
        <v/>
      </c>
      <c r="AK14" s="42" t="str">
        <f>IF(AND('Mapa final'!$AH$42="Muy Alta",'Mapa final'!$AJ$42="Catastrófico"),CONCATENATE("R2C",'Mapa final'!$R$42),"")</f>
        <v/>
      </c>
      <c r="AL14" s="42" t="str">
        <f>IF(AND('Mapa final'!$AH$43="Muy Alta",'Mapa final'!$AJ$43="Catastrófico"),CONCATENATE("R2C",'Mapa final'!$R$43),"")</f>
        <v/>
      </c>
      <c r="AM14" s="42" t="str">
        <f>IF(AND('Mapa final'!$AH$44="Muy Alta",'Mapa final'!$AJ$44="Catastrófico"),CONCATENATE("R2C",'Mapa final'!$R$44),"")</f>
        <v/>
      </c>
      <c r="AN14" s="43" t="str">
        <f>IF(AND('Mapa final'!$AH$45="Muy Alta",'Mapa final'!$AJ$45="Catastrófico"),CONCATENATE("R2C",'Mapa final'!$R$45),"")</f>
        <v/>
      </c>
      <c r="AO14" s="68"/>
      <c r="AP14" s="536"/>
      <c r="AQ14" s="537"/>
      <c r="AR14" s="537"/>
      <c r="AS14" s="537"/>
      <c r="AT14" s="537"/>
      <c r="AU14" s="53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27"/>
      <c r="D15" s="427"/>
      <c r="E15" s="428"/>
      <c r="F15" s="517"/>
      <c r="G15" s="518"/>
      <c r="H15" s="518"/>
      <c r="I15" s="518"/>
      <c r="J15" s="518"/>
      <c r="K15" s="38" t="str">
        <f>IF(AND('Mapa final'!$AH$46="Muy Alta",'Mapa final'!$AJ$46="Leve"),CONCATENATE("R2C",'Mapa final'!$R$46),"")</f>
        <v/>
      </c>
      <c r="L15" s="39" t="str">
        <f>IF(AND('Mapa final'!$AH$47="Muy Alta",'Mapa final'!$AJ$47="Leve"),CONCATENATE("R2C",'Mapa final'!$R$47),"")</f>
        <v/>
      </c>
      <c r="M15" s="39" t="str">
        <f>IF(AND('Mapa final'!$AH$48="Muy Alta",'Mapa final'!$AJ$48="Leve"),CONCATENATE("R2C",'Mapa final'!$R$48),"")</f>
        <v/>
      </c>
      <c r="N15" s="39" t="str">
        <f>IF(AND('Mapa final'!$AH$49="Muy Alta",'Mapa final'!$AJ$49="Leve"),CONCATENATE("R2C",'Mapa final'!$R$49),"")</f>
        <v/>
      </c>
      <c r="O15" s="39" t="str">
        <f>IF(AND('Mapa final'!$AH$50="Muy Alta",'Mapa final'!$AJ$50="Leve"),CONCATENATE("R2C",'Mapa final'!$R$50),"")</f>
        <v/>
      </c>
      <c r="P15" s="40" t="str">
        <f>IF(AND('Mapa final'!$AH$51="Muy Alta",'Mapa final'!$AJ$51="Leve"),CONCATENATE("R2C",'Mapa final'!$R$51),"")</f>
        <v/>
      </c>
      <c r="Q15" s="39" t="str">
        <f>IF(AND('Mapa final'!$AH$46="Muy Alta",'Mapa final'!$AJ$46="Menor"),CONCATENATE("R2C",'Mapa final'!$R$46),"")</f>
        <v/>
      </c>
      <c r="R15" s="39" t="str">
        <f>IF(AND('Mapa final'!$AH$47="Muy Alta",'Mapa final'!$AJ$47="Menor"),CONCATENATE("R2C",'Mapa final'!$R$47),"")</f>
        <v/>
      </c>
      <c r="S15" s="39" t="str">
        <f>IF(AND('Mapa final'!$AH$48="Muy Alta",'Mapa final'!$AJ$48="Menor"),CONCATENATE("R2C",'Mapa final'!$R$48),"")</f>
        <v/>
      </c>
      <c r="T15" s="39" t="str">
        <f>IF(AND('Mapa final'!$AH$49="Muy Alta",'Mapa final'!$AJ$49="Menor"),CONCATENATE("R2C",'Mapa final'!$R$49),"")</f>
        <v/>
      </c>
      <c r="U15" s="39" t="str">
        <f>IF(AND('Mapa final'!$AH$50="Muy Alta",'Mapa final'!$AJ$50="LMenor"),CONCATENATE("R2C",'Mapa final'!$R$50),"")</f>
        <v/>
      </c>
      <c r="V15" s="40" t="str">
        <f>IF(AND('Mapa final'!$AH$51="Muy Alta",'Mapa final'!$AJ$51="Menor"),CONCATENATE("R2C",'Mapa final'!$R$51),"")</f>
        <v/>
      </c>
      <c r="W15" s="38" t="str">
        <f>IF(AND('Mapa final'!$AH$46="Muy Alta",'Mapa final'!$AJ$46="Moderado"),CONCATENATE("R2C",'Mapa final'!$R$46),"")</f>
        <v/>
      </c>
      <c r="X15" s="39" t="str">
        <f>IF(AND('Mapa final'!$AH$47="Muy Alta",'Mapa final'!$AJ$47="Moderado"),CONCATENATE("R2C",'Mapa final'!$R$47),"")</f>
        <v/>
      </c>
      <c r="Y15" s="39" t="str">
        <f>IF(AND('Mapa final'!$AH$48="Muy Alta",'Mapa final'!$AJ$48="Moderado"),CONCATENATE("R2C",'Mapa final'!$R$48),"")</f>
        <v/>
      </c>
      <c r="Z15" s="39" t="str">
        <f>IF(AND('Mapa final'!$AH$49="Muy Alta",'Mapa final'!$AJ$49="Moderado"),CONCATENATE("R2C",'Mapa final'!$R$49),"")</f>
        <v/>
      </c>
      <c r="AA15" s="39" t="str">
        <f>IF(AND('Mapa final'!$AH$50="Muy Alta",'Mapa final'!$AJ$50="Moderado"),CONCATENATE("R2C",'Mapa final'!$R$50),"")</f>
        <v/>
      </c>
      <c r="AB15" s="40" t="str">
        <f>IF(AND('Mapa final'!$AH$51="Muy Alta",'Mapa final'!$AJ$51="Moderado"),CONCATENATE("R2C",'Mapa final'!$R$51),"")</f>
        <v/>
      </c>
      <c r="AC15" s="38" t="str">
        <f>IF(AND('Mapa final'!$AH$46="Muy Alta",'Mapa final'!$AJ$46="Mayor"),CONCATENATE("R2C",'Mapa final'!$R$46),"")</f>
        <v/>
      </c>
      <c r="AD15" s="39" t="str">
        <f>IF(AND('Mapa final'!$AH$47="Muy Alta",'Mapa final'!$AJ$47="Mayor"),CONCATENATE("R2C",'Mapa final'!$R$47),"")</f>
        <v/>
      </c>
      <c r="AE15" s="39" t="str">
        <f>IF(AND('Mapa final'!$AH$48="Muy Alta",'Mapa final'!$AJ$48="Mayor"),CONCATENATE("R2C",'Mapa final'!$R$48),"")</f>
        <v/>
      </c>
      <c r="AF15" s="39" t="str">
        <f>IF(AND('Mapa final'!$AH$49="Muy Alta",'Mapa final'!$AJ$49="Mayor"),CONCATENATE("R2C",'Mapa final'!$R$49),"")</f>
        <v/>
      </c>
      <c r="AG15" s="39" t="str">
        <f>IF(AND('Mapa final'!$AH$50="Muy Alta",'Mapa final'!$AJ$50="Mayor"),CONCATENATE("R2C",'Mapa final'!$R$50),"")</f>
        <v/>
      </c>
      <c r="AH15" s="40" t="str">
        <f>IF(AND('Mapa final'!$AH$51="Muy Alta",'Mapa final'!$AJ$51="Mayor"),CONCATENATE("R2C",'Mapa final'!$R$51),"")</f>
        <v/>
      </c>
      <c r="AI15" s="41" t="str">
        <f>IF(AND('Mapa final'!$AH$46="Muy Alta",'Mapa final'!$AJ$46="Catastrófico"),CONCATENATE("R2C",'Mapa final'!$R$46),"")</f>
        <v/>
      </c>
      <c r="AJ15" s="42" t="str">
        <f>IF(AND('Mapa final'!$AH$47="Muy Alta",'Mapa final'!$AJ$47="Catastrófico"),CONCATENATE("R2C",'Mapa final'!$R$47),"")</f>
        <v/>
      </c>
      <c r="AK15" s="42" t="str">
        <f>IF(AND('Mapa final'!$AH$48="Muy Alta",'Mapa final'!$AJ$48="Catastrófico"),CONCATENATE("R2C",'Mapa final'!$R$48),"")</f>
        <v/>
      </c>
      <c r="AL15" s="42" t="str">
        <f>IF(AND('Mapa final'!$AH$49="Muy Alta",'Mapa final'!$AJ$49="Catastrófico"),CONCATENATE("R2C",'Mapa final'!$R$49),"")</f>
        <v/>
      </c>
      <c r="AM15" s="42" t="str">
        <f>IF(AND('Mapa final'!$AH$50="Muy Alta",'Mapa final'!$AJ$50="LCatastrófico"),CONCATENATE("R2C",'Mapa final'!$R$50),"")</f>
        <v/>
      </c>
      <c r="AN15" s="43" t="str">
        <f>IF(AND('Mapa final'!$AH$51="Muy Alta",'Mapa final'!$AJ$51="Catastrófico"),CONCATENATE("R2C",'Mapa final'!$R$51),"")</f>
        <v/>
      </c>
      <c r="AO15" s="68"/>
      <c r="AP15" s="536"/>
      <c r="AQ15" s="537"/>
      <c r="AR15" s="537"/>
      <c r="AS15" s="537"/>
      <c r="AT15" s="537"/>
      <c r="AU15" s="53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27"/>
      <c r="D16" s="427"/>
      <c r="E16" s="428"/>
      <c r="F16" s="517"/>
      <c r="G16" s="518"/>
      <c r="H16" s="518"/>
      <c r="I16" s="518"/>
      <c r="J16" s="518"/>
      <c r="K16" s="38" t="str">
        <f>IF(AND('Mapa final'!$AH$52="Muy Alta",'Mapa final'!$AJ$52="Leve"),CONCATENATE("R2C",'Mapa final'!$R$52),"")</f>
        <v/>
      </c>
      <c r="L16" s="39" t="str">
        <f>IF(AND('Mapa final'!$AH$53="Muy Alta",'Mapa final'!$AJ$53="Leve"),CONCATENATE("R2C",'Mapa final'!$R$53),"")</f>
        <v/>
      </c>
      <c r="M16" s="39" t="str">
        <f>IF(AND('Mapa final'!$AH$54="Muy Alta",'Mapa final'!$AJ$54="Leve"),CONCATENATE("R2C",'Mapa final'!$R$54),"")</f>
        <v/>
      </c>
      <c r="N16" s="39" t="str">
        <f>IF(AND('Mapa final'!$AH$55="Muy Alta",'Mapa final'!$AJ$55="Leve"),CONCATENATE("R2C",'Mapa final'!$R$55),"")</f>
        <v/>
      </c>
      <c r="O16" s="39" t="str">
        <f>IF(AND('Mapa final'!$AH$56="Muy Alta",'Mapa final'!$AJ$56="Leve"),CONCATENATE("R2C",'Mapa final'!$R$56),"")</f>
        <v/>
      </c>
      <c r="P16" s="40" t="str">
        <f>IF(AND('Mapa final'!$AH$57="Muy Alta",'Mapa final'!$AJ$57="Leve"),CONCATENATE("R2C",'Mapa final'!$R$57),"")</f>
        <v/>
      </c>
      <c r="Q16" s="39" t="str">
        <f>IF(AND('Mapa final'!$AH$52="Muy Alta",'Mapa final'!$AJ$52="Menor"),CONCATENATE("R2C",'Mapa final'!$R$52),"")</f>
        <v/>
      </c>
      <c r="R16" s="39" t="str">
        <f>IF(AND('Mapa final'!$AH$53="Muy Alta",'Mapa final'!$AJ$53="Menor"),CONCATENATE("R2C",'Mapa final'!$R$53),"")</f>
        <v/>
      </c>
      <c r="S16" s="39" t="str">
        <f>IF(AND('Mapa final'!$AH$54="Muy Alta",'Mapa final'!$AJ$54="Menor"),CONCATENATE("R2C",'Mapa final'!$R$54),"")</f>
        <v/>
      </c>
      <c r="T16" s="39" t="str">
        <f>IF(AND('Mapa final'!$AH$55="Muy Alta",'Mapa final'!$AJ$55="Menor"),CONCATENATE("R2C",'Mapa final'!$R$55),"")</f>
        <v/>
      </c>
      <c r="U16" s="39" t="str">
        <f>IF(AND('Mapa final'!$AH$56="Muy Alta",'Mapa final'!$AJ$56="Menor"),CONCATENATE("R2C",'Mapa final'!$R$56),"")</f>
        <v/>
      </c>
      <c r="V16" s="40" t="str">
        <f>IF(AND('Mapa final'!$AH$57="Muy Alta",'Mapa final'!$AJ$57="Menor"),CONCATENATE("R2C",'Mapa final'!$R$57),"")</f>
        <v/>
      </c>
      <c r="W16" s="38" t="str">
        <f>IF(AND('Mapa final'!$AH$52="Muy Alta",'Mapa final'!$AJ$52="Moderado"),CONCATENATE("R2C",'Mapa final'!$R$52),"")</f>
        <v/>
      </c>
      <c r="X16" s="39" t="str">
        <f>IF(AND('Mapa final'!$AH$53="Muy Alta",'Mapa final'!$AJ$53="Moderado"),CONCATENATE("R2C",'Mapa final'!$R$53),"")</f>
        <v/>
      </c>
      <c r="Y16" s="39" t="str">
        <f>IF(AND('Mapa final'!$AH$54="Muy Alta",'Mapa final'!$AJ$54="Moderado"),CONCATENATE("R2C",'Mapa final'!$R$54),"")</f>
        <v/>
      </c>
      <c r="Z16" s="39" t="str">
        <f>IF(AND('Mapa final'!$AH$55="Muy Alta",'Mapa final'!$AJ$55="Moderado"),CONCATENATE("R2C",'Mapa final'!$R$55),"")</f>
        <v/>
      </c>
      <c r="AA16" s="39" t="str">
        <f>IF(AND('Mapa final'!$AH$56="Muy Alta",'Mapa final'!$AJ$56="Moderado"),CONCATENATE("R2C",'Mapa final'!$R$56),"")</f>
        <v/>
      </c>
      <c r="AB16" s="40" t="str">
        <f>IF(AND('Mapa final'!$AH$57="Muy Alta",'Mapa final'!$AJ$57="Moderado"),CONCATENATE("R2C",'Mapa final'!$R$57),"")</f>
        <v/>
      </c>
      <c r="AC16" s="38" t="str">
        <f>IF(AND('Mapa final'!$AH$52="Muy Alta",'Mapa final'!$AJ$52="Mayor"),CONCATENATE("R2C",'Mapa final'!$R$52),"")</f>
        <v/>
      </c>
      <c r="AD16" s="39" t="str">
        <f>IF(AND('Mapa final'!$AH$53="Muy Alta",'Mapa final'!$AJ$53="Mayor"),CONCATENATE("R2C",'Mapa final'!$R$53),"")</f>
        <v/>
      </c>
      <c r="AE16" s="39" t="str">
        <f>IF(AND('Mapa final'!$AH$54="Muy Alta",'Mapa final'!$AJ$54="Mayor"),CONCATENATE("R2C",'Mapa final'!$R$54),"")</f>
        <v/>
      </c>
      <c r="AF16" s="39" t="str">
        <f>IF(AND('Mapa final'!$AH$55="Muy Alta",'Mapa final'!$AJ$55="Mayor"),CONCATENATE("R2C",'Mapa final'!$R$55),"")</f>
        <v/>
      </c>
      <c r="AG16" s="39" t="str">
        <f>IF(AND('Mapa final'!$AH$56="Muy Alta",'Mapa final'!$AJ$56="Mayor"),CONCATENATE("R2C",'Mapa final'!$R$56),"")</f>
        <v/>
      </c>
      <c r="AH16" s="40" t="str">
        <f>IF(AND('Mapa final'!$AH$57="Muy Alta",'Mapa final'!$AJ$57="Mayor"),CONCATENATE("R2C",'Mapa final'!$R$57),"")</f>
        <v/>
      </c>
      <c r="AI16" s="41" t="str">
        <f>IF(AND('Mapa final'!$AH$52="Muy Alta",'Mapa final'!$AJ$52="Catastrófico"),CONCATENATE("R2C",'Mapa final'!$R$52),"")</f>
        <v/>
      </c>
      <c r="AJ16" s="42" t="str">
        <f>IF(AND('Mapa final'!$AH$53="Muy Alta",'Mapa final'!$AJ$53="Catastrófico"),CONCATENATE("R2C",'Mapa final'!$R$53),"")</f>
        <v/>
      </c>
      <c r="AK16" s="42" t="str">
        <f>IF(AND('Mapa final'!$AH$54="Muy Alta",'Mapa final'!$AJ$54="Catastrófico"),CONCATENATE("R2C",'Mapa final'!$R$54),"")</f>
        <v/>
      </c>
      <c r="AL16" s="42" t="str">
        <f>IF(AND('Mapa final'!$AH$55="Muy Alta",'Mapa final'!$AJ$55="Catastrófico"),CONCATENATE("R2C",'Mapa final'!$R$55),"")</f>
        <v/>
      </c>
      <c r="AM16" s="42" t="str">
        <f>IF(AND('Mapa final'!$AH$56="Muy Alta",'Mapa final'!$AJ$56="Catastrófico"),CONCATENATE("R2C",'Mapa final'!$R$56),"")</f>
        <v/>
      </c>
      <c r="AN16" s="43" t="str">
        <f>IF(AND('Mapa final'!$AH$57="Muy Alta",'Mapa final'!$AJ$57="Catastrófico"),CONCATENATE("R2C",'Mapa final'!$R$57),"")</f>
        <v/>
      </c>
      <c r="AO16" s="68"/>
      <c r="AP16" s="536"/>
      <c r="AQ16" s="537"/>
      <c r="AR16" s="537"/>
      <c r="AS16" s="537"/>
      <c r="AT16" s="537"/>
      <c r="AU16" s="53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27"/>
      <c r="D17" s="427"/>
      <c r="E17" s="428"/>
      <c r="F17" s="517"/>
      <c r="G17" s="518"/>
      <c r="H17" s="518"/>
      <c r="I17" s="518"/>
      <c r="J17" s="518"/>
      <c r="K17" s="38" t="str">
        <f>IF(AND('Mapa final'!$AH$58="Muy Alta",'Mapa final'!$AJ$58="Leve"),CONCATENATE("R2C",'Mapa final'!$R$58),"")</f>
        <v/>
      </c>
      <c r="L17" s="39" t="str">
        <f>IF(AND('Mapa final'!$AH$59="Muy Alta",'Mapa final'!$AJ$59="Leve"),CONCATENATE("R2C",'Mapa final'!$R$59),"")</f>
        <v/>
      </c>
      <c r="M17" s="39" t="str">
        <f>IF(AND('Mapa final'!$AH$60="Muy Alta",'Mapa final'!$AJ$60="Leve"),CONCATENATE("R2C",'Mapa final'!$R$60),"")</f>
        <v/>
      </c>
      <c r="N17" s="39" t="str">
        <f>IF(AND('Mapa final'!$AH$61="Muy Alta",'Mapa final'!$AJ$61="Leve"),CONCATENATE("R2C",'Mapa final'!$R$61),"")</f>
        <v/>
      </c>
      <c r="O17" s="39" t="str">
        <f>IF(AND('Mapa final'!$AH$62="Muy Alta",'Mapa final'!$AJ$62="Leve"),CONCATENATE("R2C",'Mapa final'!$R$62),"")</f>
        <v/>
      </c>
      <c r="P17" s="40" t="str">
        <f>IF(AND('Mapa final'!$AH$73="Muy Alta",'Mapa final'!$AJ$63="Leve"),CONCATENATE("R2C",'Mapa final'!$R$63),"")</f>
        <v/>
      </c>
      <c r="Q17" s="39" t="str">
        <f>IF(AND('Mapa final'!$AH$58="Muy Alta",'Mapa final'!$AJ$58="Menor"),CONCATENATE("R2C",'Mapa final'!$R$58),"")</f>
        <v/>
      </c>
      <c r="R17" s="39" t="str">
        <f>IF(AND('Mapa final'!$AH$59="Muy Alta",'Mapa final'!$AJ$59="Menor"),CONCATENATE("R2C",'Mapa final'!$R$59),"")</f>
        <v/>
      </c>
      <c r="S17" s="39" t="str">
        <f>IF(AND('Mapa final'!$AH$60="Muy Alta",'Mapa final'!$AJ$60="Menor"),CONCATENATE("R2C",'Mapa final'!$R$60),"")</f>
        <v/>
      </c>
      <c r="T17" s="39" t="str">
        <f>IF(AND('Mapa final'!$AH$61="Muy Alta",'Mapa final'!$AJ$61="Menor"),CONCATENATE("R2C",'Mapa final'!$R$61),"")</f>
        <v/>
      </c>
      <c r="U17" s="39" t="str">
        <f>IF(AND('Mapa final'!$AH$62="Muy Alta",'Mapa final'!$AJ$62="Menor"),CONCATENATE("R2C",'Mapa final'!$R$62),"")</f>
        <v/>
      </c>
      <c r="V17" s="40" t="str">
        <f>IF(AND('Mapa final'!$AH$73="Muy Alta",'Mapa final'!$AJ$63="Menor"),CONCATENATE("R2C",'Mapa final'!$R$63),"")</f>
        <v/>
      </c>
      <c r="W17" s="38" t="str">
        <f>IF(AND('Mapa final'!$AH$58="Muy Alta",'Mapa final'!$AJ$58="Moderado"),CONCATENATE("R2C",'Mapa final'!$R$58),"")</f>
        <v/>
      </c>
      <c r="X17" s="39" t="str">
        <f>IF(AND('Mapa final'!$AH$59="Muy Alta",'Mapa final'!$AJ$59="Moderado"),CONCATENATE("R2C",'Mapa final'!$R$59),"")</f>
        <v/>
      </c>
      <c r="Y17" s="39" t="str">
        <f>IF(AND('Mapa final'!$AH$60="Muy Alta",'Mapa final'!$AJ$60="Moderado"),CONCATENATE("R2C",'Mapa final'!$R$60),"")</f>
        <v/>
      </c>
      <c r="Z17" s="39" t="str">
        <f>IF(AND('Mapa final'!$AH$61="Muy Alta",'Mapa final'!$AJ$61="Moderado"),CONCATENATE("R2C",'Mapa final'!$R$61),"")</f>
        <v/>
      </c>
      <c r="AA17" s="39" t="str">
        <f>IF(AND('Mapa final'!$AH$62="Muy Alta",'Mapa final'!$AJ$62="Moderado"),CONCATENATE("R2C",'Mapa final'!$R$62),"")</f>
        <v/>
      </c>
      <c r="AB17" s="40" t="str">
        <f>IF(AND('Mapa final'!$AH$73="Muy Alta",'Mapa final'!$AJ$63="Moderado"),CONCATENATE("R2C",'Mapa final'!$R$63),"")</f>
        <v/>
      </c>
      <c r="AC17" s="38" t="str">
        <f>IF(AND('Mapa final'!$AH$58="Muy Alta",'Mapa final'!$AJ$58="Mayor"),CONCATENATE("R2C",'Mapa final'!$R$58),"")</f>
        <v/>
      </c>
      <c r="AD17" s="39" t="str">
        <f>IF(AND('Mapa final'!$AH$59="Muy Alta",'Mapa final'!$AJ$59="Mayor"),CONCATENATE("R2C",'Mapa final'!$R$59),"")</f>
        <v/>
      </c>
      <c r="AE17" s="39" t="str">
        <f>IF(AND('Mapa final'!$AH$60="Muy Alta",'Mapa final'!$AJ$60="Mayor"),CONCATENATE("R2C",'Mapa final'!$R$60),"")</f>
        <v/>
      </c>
      <c r="AF17" s="39" t="str">
        <f>IF(AND('Mapa final'!$AH$61="Muy Alta",'Mapa final'!$AJ$61="Mayor"),CONCATENATE("R2C",'Mapa final'!$R$61),"")</f>
        <v/>
      </c>
      <c r="AG17" s="39" t="str">
        <f>IF(AND('Mapa final'!$AH$62="Muy Alta",'Mapa final'!$AJ$62="Mayor"),CONCATENATE("R2C",'Mapa final'!$R$62),"")</f>
        <v/>
      </c>
      <c r="AH17" s="40" t="str">
        <f>IF(AND('Mapa final'!$AH$73="Muy Alta",'Mapa final'!$AJ$63="Mayor"),CONCATENATE("R2C",'Mapa final'!$R$63),"")</f>
        <v/>
      </c>
      <c r="AI17" s="41" t="str">
        <f>IF(AND('Mapa final'!$AH$58="Muy Alta",'Mapa final'!$AJ$58="Catastrófico"),CONCATENATE("R2C",'Mapa final'!$R$58),"")</f>
        <v/>
      </c>
      <c r="AJ17" s="42" t="str">
        <f>IF(AND('Mapa final'!$AH$59="Muy Alta",'Mapa final'!$AJ$59="Catastrófico"),CONCATENATE("R2C",'Mapa final'!$R$59),"")</f>
        <v/>
      </c>
      <c r="AK17" s="42" t="str">
        <f>IF(AND('Mapa final'!$AH$60="Muy Alta",'Mapa final'!$AJ$60="Catastrófico"),CONCATENATE("R2C",'Mapa final'!$R$60),"")</f>
        <v/>
      </c>
      <c r="AL17" s="42" t="str">
        <f>IF(AND('Mapa final'!$AH$61="Muy Alta",'Mapa final'!$AJ$61="Catastrófico"),CONCATENATE("R2C",'Mapa final'!$R$61),"")</f>
        <v/>
      </c>
      <c r="AM17" s="42" t="str">
        <f>IF(AND('Mapa final'!$AH$62="Muy Alta",'Mapa final'!$AJ$62="Catastrófico"),CONCATENATE("R2C",'Mapa final'!$R$62),"")</f>
        <v/>
      </c>
      <c r="AN17" s="43" t="str">
        <f>IF(AND('Mapa final'!$AH$73="Muy Alta",'Mapa final'!$AJ$63="Catastrófico"),CONCATENATE("R2C",'Mapa final'!$R$63),"")</f>
        <v/>
      </c>
      <c r="AO17" s="68"/>
      <c r="AP17" s="536"/>
      <c r="AQ17" s="537"/>
      <c r="AR17" s="537"/>
      <c r="AS17" s="537"/>
      <c r="AT17" s="537"/>
      <c r="AU17" s="53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27"/>
      <c r="D18" s="427"/>
      <c r="E18" s="428"/>
      <c r="F18" s="517"/>
      <c r="G18" s="518"/>
      <c r="H18" s="518"/>
      <c r="I18" s="518"/>
      <c r="J18" s="518"/>
      <c r="K18" s="38" t="str">
        <f>IF(AND('Mapa final'!$AH$64="Muy Alta",'Mapa final'!$AJ$64="Leve"),CONCATENATE("R2C",'Mapa final'!$R$64),"")</f>
        <v/>
      </c>
      <c r="L18" s="39" t="str">
        <f>IF(AND('Mapa final'!$AH$65="Muy Alta",'Mapa final'!$AJ$65="Leve"),CONCATENATE("R2C",'Mapa final'!$R$65),"")</f>
        <v/>
      </c>
      <c r="M18" s="39" t="str">
        <f>IF(AND('Mapa final'!$AH$66="Muy Alta",'Mapa final'!$AJ$66="Leve"),CONCATENATE("R2C",'Mapa final'!$R$66),"")</f>
        <v/>
      </c>
      <c r="N18" s="39" t="str">
        <f>IF(AND('Mapa final'!$AH$67="Muy Alta",'Mapa final'!$AJ$67="Leve"),CONCATENATE("R2C",'Mapa final'!$R$67),"")</f>
        <v/>
      </c>
      <c r="O18" s="39" t="str">
        <f>IF(AND('Mapa final'!$AH$68="Muy Alta",'Mapa final'!$AJ$68="Leve"),CONCATENATE("R2C",'Mapa final'!$R$68),"")</f>
        <v/>
      </c>
      <c r="P18" s="40" t="str">
        <f>IF(AND('Mapa final'!$AH$69="Muy Alta",'Mapa final'!$AJ$69="Leve"),CONCATENATE("R2C",'Mapa final'!$R$69),"")</f>
        <v/>
      </c>
      <c r="Q18" s="39" t="str">
        <f>IF(AND('Mapa final'!$AH$64="Muy Alta",'Mapa final'!$AJ$64="Menor"),CONCATENATE("R2C",'Mapa final'!$R$64),"")</f>
        <v/>
      </c>
      <c r="R18" s="39" t="str">
        <f>IF(AND('Mapa final'!$AH$65="Muy Alta",'Mapa final'!$AJ$65="Menor"),CONCATENATE("R2C",'Mapa final'!$R$65),"")</f>
        <v/>
      </c>
      <c r="S18" s="39" t="str">
        <f>IF(AND('Mapa final'!$AH$66="Muy Alta",'Mapa final'!$AJ$66="Menor"),CONCATENATE("R2C",'Mapa final'!$R$66),"")</f>
        <v/>
      </c>
      <c r="T18" s="39" t="str">
        <f>IF(AND('Mapa final'!$AH$67="Muy Alta",'Mapa final'!$AJ$67="Menor"),CONCATENATE("R2C",'Mapa final'!$R$67),"")</f>
        <v/>
      </c>
      <c r="U18" s="39" t="str">
        <f>IF(AND('Mapa final'!$AH$68="Muy Alta",'Mapa final'!$AJ$68="Menor"),CONCATENATE("R2C",'Mapa final'!$R$68),"")</f>
        <v/>
      </c>
      <c r="V18" s="40" t="str">
        <f>IF(AND('Mapa final'!$AH$69="Muy Alta",'Mapa final'!$AJ$69="Menor"),CONCATENATE("R2C",'Mapa final'!$R$69),"")</f>
        <v/>
      </c>
      <c r="W18" s="38" t="str">
        <f>IF(AND('Mapa final'!$AH$64="Muy Alta",'Mapa final'!$AJ$64="Moderado"),CONCATENATE("R2C",'Mapa final'!$R$64),"")</f>
        <v/>
      </c>
      <c r="X18" s="39" t="str">
        <f>IF(AND('Mapa final'!$AH$65="Muy Alta",'Mapa final'!$AJ$65="Moderado"),CONCATENATE("R2C",'Mapa final'!$R$65),"")</f>
        <v/>
      </c>
      <c r="Y18" s="39" t="str">
        <f>IF(AND('Mapa final'!$AH$66="Muy Alta",'Mapa final'!$AJ$66="Moderado"),CONCATENATE("R2C",'Mapa final'!$R$66),"")</f>
        <v/>
      </c>
      <c r="Z18" s="39" t="str">
        <f>IF(AND('Mapa final'!$AH$67="Muy Alta",'Mapa final'!$AJ$67="Moderado"),CONCATENATE("R2C",'Mapa final'!$R$67),"")</f>
        <v/>
      </c>
      <c r="AA18" s="39" t="str">
        <f>IF(AND('Mapa final'!$AH$68="Muy Alta",'Mapa final'!$AJ$68="Moderado"),CONCATENATE("R2C",'Mapa final'!$R$68),"")</f>
        <v/>
      </c>
      <c r="AB18" s="40" t="str">
        <f>IF(AND('Mapa final'!$AH$69="Muy Alta",'Mapa final'!$AJ$69="Moderado"),CONCATENATE("R2C",'Mapa final'!$R$69),"")</f>
        <v/>
      </c>
      <c r="AC18" s="38" t="str">
        <f>IF(AND('Mapa final'!$AH$64="Muy Alta",'Mapa final'!$AJ$64="Mayor"),CONCATENATE("R2C",'Mapa final'!$R$64),"")</f>
        <v/>
      </c>
      <c r="AD18" s="39" t="str">
        <f>IF(AND('Mapa final'!$AH$65="Muy Alta",'Mapa final'!$AJ$65="Mayor"),CONCATENATE("R2C",'Mapa final'!$R$65),"")</f>
        <v/>
      </c>
      <c r="AE18" s="39" t="str">
        <f>IF(AND('Mapa final'!$AH$66="Muy Alta",'Mapa final'!$AJ$66="Mayor"),CONCATENATE("R2C",'Mapa final'!$R$66),"")</f>
        <v/>
      </c>
      <c r="AF18" s="39" t="str">
        <f>IF(AND('Mapa final'!$AH$67="Muy Alta",'Mapa final'!$AJ$67="Mayor"),CONCATENATE("R2C",'Mapa final'!$R$67),"")</f>
        <v/>
      </c>
      <c r="AG18" s="39" t="str">
        <f>IF(AND('Mapa final'!$AH$68="Muy Alta",'Mapa final'!$AJ$68="Mayor"),CONCATENATE("R2C",'Mapa final'!$R$68),"")</f>
        <v/>
      </c>
      <c r="AH18" s="40" t="str">
        <f>IF(AND('Mapa final'!$AH$69="Muy Alta",'Mapa final'!$AJ$69="Mayor"),CONCATENATE("R2C",'Mapa final'!$R$69),"")</f>
        <v/>
      </c>
      <c r="AI18" s="41" t="str">
        <f>IF(AND('Mapa final'!$AH$64="Muy Alta",'Mapa final'!$AJ$64="Catastrófico"),CONCATENATE("R2C",'Mapa final'!$R$64),"")</f>
        <v/>
      </c>
      <c r="AJ18" s="42" t="str">
        <f>IF(AND('Mapa final'!$AH$65="Muy Alta",'Mapa final'!$AJ$65="Catastrófico"),CONCATENATE("R2C",'Mapa final'!$R$65),"")</f>
        <v/>
      </c>
      <c r="AK18" s="42" t="str">
        <f>IF(AND('Mapa final'!$AH$66="Muy Alta",'Mapa final'!$AJ$66="Catastrófico"),CONCATENATE("R2C",'Mapa final'!$R$66),"")</f>
        <v/>
      </c>
      <c r="AL18" s="42" t="str">
        <f>IF(AND('Mapa final'!$AH$67="Muy Alta",'Mapa final'!$AJ$67="Catastrófico"),CONCATENATE("R2C",'Mapa final'!$R$67),"")</f>
        <v/>
      </c>
      <c r="AM18" s="42" t="str">
        <f>IF(AND('Mapa final'!$AH$68="Muy Alta",'Mapa final'!$AJ$68="Catastrófico"),CONCATENATE("R2C",'Mapa final'!$R$68),"")</f>
        <v/>
      </c>
      <c r="AN18" s="43" t="str">
        <f>IF(AND('Mapa final'!$AH$69="Muy Alta",'Mapa final'!$AJ$69="Catastrófico"),CONCATENATE("R2C",'Mapa final'!$R$69),"")</f>
        <v/>
      </c>
      <c r="AO18" s="68"/>
      <c r="AP18" s="536"/>
      <c r="AQ18" s="537"/>
      <c r="AR18" s="537"/>
      <c r="AS18" s="537"/>
      <c r="AT18" s="537"/>
      <c r="AU18" s="53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27"/>
      <c r="D19" s="427"/>
      <c r="E19" s="428"/>
      <c r="F19" s="517"/>
      <c r="G19" s="518"/>
      <c r="H19" s="518"/>
      <c r="I19" s="518"/>
      <c r="J19" s="518"/>
      <c r="K19" s="38" t="str">
        <f>IF(AND('Mapa final'!$AH$70="Muy Alta",'Mapa final'!$AJ$70="Leve"),CONCATENATE("R2C",'Mapa final'!$R$70),"")</f>
        <v/>
      </c>
      <c r="L19" s="39" t="str">
        <f>IF(AND('Mapa final'!$AH$71="Muy Alta",'Mapa final'!$AJ$71="Leve"),CONCATENATE("R2C",'Mapa final'!$R$71),"")</f>
        <v/>
      </c>
      <c r="M19" s="39" t="str">
        <f>IF(AND('Mapa final'!$AH$72="Muy Alta",'Mapa final'!$AJ$72="Leve"),CONCATENATE("R2C",'Mapa final'!$R$72),"")</f>
        <v/>
      </c>
      <c r="N19" s="39" t="str">
        <f>IF(AND('Mapa final'!$AH$73="Muy Alta",'Mapa final'!$AJ$73="Leve"),CONCATENATE("R2C",'Mapa final'!$R$73),"")</f>
        <v/>
      </c>
      <c r="O19" s="39" t="str">
        <f>IF(AND('Mapa final'!$AH$74="Muy Alta",'Mapa final'!$AJ$74="Leve"),CONCATENATE("R2C",'Mapa final'!$R$74),"")</f>
        <v/>
      </c>
      <c r="P19" s="40" t="str">
        <f>IF(AND('Mapa final'!$AH$75="Muy Alta",'Mapa final'!$AJ$75="Leve"),CONCATENATE("R2C",'Mapa final'!$R$75),"")</f>
        <v/>
      </c>
      <c r="Q19" s="39" t="str">
        <f>IF(AND('Mapa final'!$AH$70="Muy Alta",'Mapa final'!$AJ$70="Menor"),CONCATENATE("R2C",'Mapa final'!$R$70),"")</f>
        <v/>
      </c>
      <c r="R19" s="39" t="str">
        <f>IF(AND('Mapa final'!$AH$71="Muy Alta",'Mapa final'!$AJ$71="Menor"),CONCATENATE("R2C",'Mapa final'!$R$71),"")</f>
        <v/>
      </c>
      <c r="S19" s="39" t="str">
        <f>IF(AND('Mapa final'!$AH$72="Muy Alta",'Mapa final'!$AJ$72="Menor"),CONCATENATE("R2C",'Mapa final'!$R$72),"")</f>
        <v/>
      </c>
      <c r="T19" s="39" t="str">
        <f>IF(AND('Mapa final'!$AH$73="Muy Alta",'Mapa final'!$AJ$73="Menor"),CONCATENATE("R2C",'Mapa final'!$R$73),"")</f>
        <v/>
      </c>
      <c r="U19" s="39" t="str">
        <f>IF(AND('Mapa final'!$AH$74="Muy Alta",'Mapa final'!$AJ$74="Menor"),CONCATENATE("R2C",'Mapa final'!$R$74),"")</f>
        <v/>
      </c>
      <c r="V19" s="40" t="str">
        <f>IF(AND('Mapa final'!$AH$75="Muy Alta",'Mapa final'!$AJ$75="Menor"),CONCATENATE("R2C",'Mapa final'!$R$75),"")</f>
        <v/>
      </c>
      <c r="W19" s="38" t="str">
        <f>IF(AND('Mapa final'!$AH$70="Muy Alta",'Mapa final'!$AJ$70="Moderado"),CONCATENATE("R2C",'Mapa final'!$R$70),"")</f>
        <v/>
      </c>
      <c r="X19" s="39" t="str">
        <f>IF(AND('Mapa final'!$AH$71="Muy Alta",'Mapa final'!$AJ$71="Moderado"),CONCATENATE("R2C",'Mapa final'!$R$71),"")</f>
        <v/>
      </c>
      <c r="Y19" s="39" t="str">
        <f>IF(AND('Mapa final'!$AH$72="Muy Alta",'Mapa final'!$AJ$72="Moderado"),CONCATENATE("R2C",'Mapa final'!$R$72),"")</f>
        <v/>
      </c>
      <c r="Z19" s="39" t="str">
        <f>IF(AND('Mapa final'!$AH$73="Muy Alta",'Mapa final'!$AJ$73="Moderado"),CONCATENATE("R2C",'Mapa final'!$R$73),"")</f>
        <v/>
      </c>
      <c r="AA19" s="39" t="str">
        <f>IF(AND('Mapa final'!$AH$74="Muy Alta",'Mapa final'!$AJ$74="Moderado"),CONCATENATE("R2C",'Mapa final'!$R$74),"")</f>
        <v/>
      </c>
      <c r="AB19" s="40" t="str">
        <f>IF(AND('Mapa final'!$AH$75="Muy Alta",'Mapa final'!$AJ$75="Moderado"),CONCATENATE("R2C",'Mapa final'!$R$75),"")</f>
        <v/>
      </c>
      <c r="AC19" s="38" t="str">
        <f>IF(AND('Mapa final'!$AH$70="Muy Alta",'Mapa final'!$AJ$70="Mayor"),CONCATENATE("R2C",'Mapa final'!$R$70),"")</f>
        <v/>
      </c>
      <c r="AD19" s="39" t="str">
        <f>IF(AND('Mapa final'!$AH$71="Muy Alta",'Mapa final'!$AJ$71="Mayor"),CONCATENATE("R2C",'Mapa final'!$R$71),"")</f>
        <v/>
      </c>
      <c r="AE19" s="39" t="str">
        <f>IF(AND('Mapa final'!$AH$72="Muy Alta",'Mapa final'!$AJ$72="Mayor"),CONCATENATE("R2C",'Mapa final'!$R$72),"")</f>
        <v/>
      </c>
      <c r="AF19" s="39" t="str">
        <f>IF(AND('Mapa final'!$AH$73="Muy Alta",'Mapa final'!$AJ$73="Mayor"),CONCATENATE("R2C",'Mapa final'!$R$73),"")</f>
        <v/>
      </c>
      <c r="AG19" s="39" t="str">
        <f>IF(AND('Mapa final'!$AH$74="Muy Alta",'Mapa final'!$AJ$74="Mayor"),CONCATENATE("R2C",'Mapa final'!$R$74),"")</f>
        <v/>
      </c>
      <c r="AH19" s="40" t="str">
        <f>IF(AND('Mapa final'!$AH$75="Muy Alta",'Mapa final'!$AJ$75="Mayor"),CONCATENATE("R2C",'Mapa final'!$R$75),"")</f>
        <v/>
      </c>
      <c r="AI19" s="41" t="str">
        <f>IF(AND('Mapa final'!$AH$70="Muy Alta",'Mapa final'!$AJ$70="Catastrófico"),CONCATENATE("R2C",'Mapa final'!$R$70),"")</f>
        <v/>
      </c>
      <c r="AJ19" s="42" t="str">
        <f>IF(AND('Mapa final'!$AH$71="Muy Alta",'Mapa final'!$AJ$71="Catastrófico"),CONCATENATE("R2C",'Mapa final'!$R$71),"")</f>
        <v/>
      </c>
      <c r="AK19" s="42" t="str">
        <f>IF(AND('Mapa final'!$AH$72="Muy Alta",'Mapa final'!$AJ$72="Catastrófico"),CONCATENATE("R2C",'Mapa final'!$R$72),"")</f>
        <v/>
      </c>
      <c r="AL19" s="42" t="str">
        <f>IF(AND('Mapa final'!$AH$73="Muy Alta",'Mapa final'!$AJ$73="Catastrófico"),CONCATENATE("R2C",'Mapa final'!$R$73),"")</f>
        <v/>
      </c>
      <c r="AM19" s="42" t="str">
        <f>IF(AND('Mapa final'!$AH$74="Muy Alta",'Mapa final'!$AJ$74="Catastrófico"),CONCATENATE("R2C",'Mapa final'!$R$74),"")</f>
        <v/>
      </c>
      <c r="AN19" s="43" t="str">
        <f>IF(AND('Mapa final'!$AH$75="Muy Alta",'Mapa final'!$AJ$75="Catastrófico"),CONCATENATE("R2C",'Mapa final'!$R$75),"")</f>
        <v/>
      </c>
      <c r="AO19" s="68"/>
      <c r="AP19" s="536"/>
      <c r="AQ19" s="537"/>
      <c r="AR19" s="537"/>
      <c r="AS19" s="537"/>
      <c r="AT19" s="537"/>
      <c r="AU19" s="53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27"/>
      <c r="D20" s="427"/>
      <c r="E20" s="428"/>
      <c r="F20" s="517"/>
      <c r="G20" s="518"/>
      <c r="H20" s="518"/>
      <c r="I20" s="518"/>
      <c r="J20" s="518"/>
      <c r="K20" s="38" t="str">
        <f>IF(AND('Mapa final'!$AH$76="Muy Alta",'Mapa final'!$AJ$76="Leve"),CONCATENATE("R2C",'Mapa final'!$R$76),"")</f>
        <v/>
      </c>
      <c r="L20" s="39" t="str">
        <f>IF(AND('Mapa final'!$AH$77="Muy Alta",'Mapa final'!$AJ$77="Leve"),CONCATENATE("R2C",'Mapa final'!$R$77),"")</f>
        <v/>
      </c>
      <c r="M20" s="39" t="str">
        <f>IF(AND('Mapa final'!$AH$78="Muy Alta",'Mapa final'!$AJ$78="Leve"),CONCATENATE("R2C",'Mapa final'!$R$78),"")</f>
        <v/>
      </c>
      <c r="N20" s="39" t="str">
        <f>IF(AND('Mapa final'!$AH$79="Muy Alta",'Mapa final'!$AJ$79="Leve"),CONCATENATE("R2C",'Mapa final'!$R$79),"")</f>
        <v/>
      </c>
      <c r="O20" s="39" t="str">
        <f>IF(AND('Mapa final'!$AH$80="Muy Alta",'Mapa final'!$AJ$80="Leve"),CONCATENATE("R2C",'Mapa final'!$R$80),"")</f>
        <v/>
      </c>
      <c r="P20" s="40" t="str">
        <f>IF(AND('Mapa final'!$AH$81="Muy Alta",'Mapa final'!$AJ$81="Leve"),CONCATENATE("R2C",'Mapa final'!$R$81),"")</f>
        <v/>
      </c>
      <c r="Q20" s="39" t="str">
        <f>IF(AND('Mapa final'!$AH$76="Muy Alta",'Mapa final'!$AJ$76="Menor"),CONCATENATE("R2C",'Mapa final'!$R$76),"")</f>
        <v/>
      </c>
      <c r="R20" s="39" t="str">
        <f>IF(AND('Mapa final'!$AH$77="Muy Alta",'Mapa final'!$AJ$77="Menor"),CONCATENATE("R2C",'Mapa final'!$R$77),"")</f>
        <v/>
      </c>
      <c r="S20" s="39" t="str">
        <f>IF(AND('Mapa final'!$AH$78="Muy Alta",'Mapa final'!$AJ$78="Menor"),CONCATENATE("R2C",'Mapa final'!$R$78),"")</f>
        <v/>
      </c>
      <c r="T20" s="39" t="str">
        <f>IF(AND('Mapa final'!$AH$79="Muy Alta",'Mapa final'!$AJ$79="Menor"),CONCATENATE("R2C",'Mapa final'!$R$79),"")</f>
        <v/>
      </c>
      <c r="U20" s="39" t="str">
        <f>IF(AND('Mapa final'!$AH$80="Muy Alta",'Mapa final'!$AJ$80="Menor"),CONCATENATE("R2C",'Mapa final'!$R$80),"")</f>
        <v/>
      </c>
      <c r="V20" s="40" t="str">
        <f>IF(AND('Mapa final'!$AH$81="Muy Alta",'Mapa final'!$AJ$81="Menor"),CONCATENATE("R2C",'Mapa final'!$R$81),"")</f>
        <v/>
      </c>
      <c r="W20" s="38" t="str">
        <f>IF(AND('Mapa final'!$AH$76="Muy Alta",'Mapa final'!$AJ$76="Moderado"),CONCATENATE("R2C",'Mapa final'!$R$76),"")</f>
        <v/>
      </c>
      <c r="X20" s="39" t="str">
        <f>IF(AND('Mapa final'!$AH$77="Muy Alta",'Mapa final'!$AJ$77="Moderado"),CONCATENATE("R2C",'Mapa final'!$R$77),"")</f>
        <v/>
      </c>
      <c r="Y20" s="39" t="str">
        <f>IF(AND('Mapa final'!$AH$78="Muy Alta",'Mapa final'!$AJ$78="Moderado"),CONCATENATE("R2C",'Mapa final'!$R$78),"")</f>
        <v/>
      </c>
      <c r="Z20" s="39" t="str">
        <f>IF(AND('Mapa final'!$AH$79="Muy Alta",'Mapa final'!$AJ$79="Moderado"),CONCATENATE("R2C",'Mapa final'!$R$79),"")</f>
        <v/>
      </c>
      <c r="AA20" s="39" t="str">
        <f>IF(AND('Mapa final'!$AH$80="Muy Alta",'Mapa final'!$AJ$80="Moderado"),CONCATENATE("R2C",'Mapa final'!$R$80),"")</f>
        <v/>
      </c>
      <c r="AB20" s="40" t="str">
        <f>IF(AND('Mapa final'!$AH$81="Muy Alta",'Mapa final'!$AJ$81="Moderado"),CONCATENATE("R2C",'Mapa final'!$R$81),"")</f>
        <v/>
      </c>
      <c r="AC20" s="38" t="str">
        <f>IF(AND('Mapa final'!$AH$76="Muy Alta",'Mapa final'!$AJ$76="Mayor"),CONCATENATE("R2C",'Mapa final'!$R$76),"")</f>
        <v/>
      </c>
      <c r="AD20" s="39" t="str">
        <f>IF(AND('Mapa final'!$AH$77="Muy Alta",'Mapa final'!$AJ$77="Mayor"),CONCATENATE("R2C",'Mapa final'!$R$77),"")</f>
        <v/>
      </c>
      <c r="AE20" s="39" t="str">
        <f>IF(AND('Mapa final'!$AH$78="Muy Alta",'Mapa final'!$AJ$78="Mayor"),CONCATENATE("R2C",'Mapa final'!$R$78),"")</f>
        <v/>
      </c>
      <c r="AF20" s="39" t="str">
        <f>IF(AND('Mapa final'!$AH$79="Muy Alta",'Mapa final'!$AJ$79="Mayor"),CONCATENATE("R2C",'Mapa final'!$R$79),"")</f>
        <v/>
      </c>
      <c r="AG20" s="39" t="str">
        <f>IF(AND('Mapa final'!$AH$80="Muy Alta",'Mapa final'!$AJ$80="Mayor"),CONCATENATE("R2C",'Mapa final'!$R$80),"")</f>
        <v/>
      </c>
      <c r="AH20" s="40" t="str">
        <f>IF(AND('Mapa final'!$AH$81="Muy Alta",'Mapa final'!$AJ$81="Mayor"),CONCATENATE("R2C",'Mapa final'!$R$81),"")</f>
        <v/>
      </c>
      <c r="AI20" s="41" t="str">
        <f>IF(AND('Mapa final'!$AH$76="Muy Alta",'Mapa final'!$AJ$76="Catastrófico"),CONCATENATE("R2C",'Mapa final'!$R$76),"")</f>
        <v/>
      </c>
      <c r="AJ20" s="42" t="str">
        <f>IF(AND('Mapa final'!$AH$77="Muy Alta",'Mapa final'!$AJ$77="Catastrófico"),CONCATENATE("R2C",'Mapa final'!$R$77),"")</f>
        <v/>
      </c>
      <c r="AK20" s="42" t="str">
        <f>IF(AND('Mapa final'!$AH$78="Muy Alta",'Mapa final'!$AJ$78="Catastrófico"),CONCATENATE("R2C",'Mapa final'!$R$78),"")</f>
        <v/>
      </c>
      <c r="AL20" s="42" t="str">
        <f>IF(AND('Mapa final'!$AH$79="Muy Alta",'Mapa final'!$AJ$79="Catastrófico"),CONCATENATE("R2C",'Mapa final'!$R$79),"")</f>
        <v/>
      </c>
      <c r="AM20" s="42" t="str">
        <f>IF(AND('Mapa final'!$AH$80="Muy Alta",'Mapa final'!$AJ$80="Catastrófico"),CONCATENATE("R2C",'Mapa final'!$R$80),"")</f>
        <v/>
      </c>
      <c r="AN20" s="43" t="str">
        <f>IF(AND('Mapa final'!$AH$81="Muy Alta",'Mapa final'!$AJ$81="Catastrófico"),CONCATENATE("R2C",'Mapa final'!$R$81),"")</f>
        <v/>
      </c>
      <c r="AO20" s="68"/>
      <c r="AP20" s="536"/>
      <c r="AQ20" s="537"/>
      <c r="AR20" s="537"/>
      <c r="AS20" s="537"/>
      <c r="AT20" s="537"/>
      <c r="AU20" s="53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27"/>
      <c r="D21" s="427"/>
      <c r="E21" s="428"/>
      <c r="F21" s="520"/>
      <c r="G21" s="521"/>
      <c r="H21" s="521"/>
      <c r="I21" s="521"/>
      <c r="J21" s="521"/>
      <c r="K21" s="44" t="str">
        <f>IF(AND('Mapa final'!$AH$82="Muy Alta",'Mapa final'!$AJ$82="Leve"),CONCATENATE("R2C",'Mapa final'!$R$82),"")</f>
        <v/>
      </c>
      <c r="L21" s="45" t="str">
        <f>IF(AND('Mapa final'!$AH$83="Muy Alta",'Mapa final'!$AJ$83="Leve"),CONCATENATE("R2C",'Mapa final'!$R$83),"")</f>
        <v/>
      </c>
      <c r="M21" s="45" t="str">
        <f>IF(AND('Mapa final'!$AH$84="Muy Alta",'Mapa final'!$AJ$84="Leve"),CONCATENATE("R2C",'Mapa final'!$R$84),"")</f>
        <v/>
      </c>
      <c r="N21" s="45" t="str">
        <f>IF(AND('Mapa final'!$AH$85="Muy Alta",'Mapa final'!$AJ$85="Leve"),CONCATENATE("R2C",'Mapa final'!$R$85),"")</f>
        <v/>
      </c>
      <c r="O21" s="45" t="str">
        <f>IF(AND('Mapa final'!$AH$87="Muy Alta",'Mapa final'!$AJ$87="Leve"),CONCATENATE("R2C",'Mapa final'!$R$87),"")</f>
        <v/>
      </c>
      <c r="P21" s="46" t="str">
        <f>IF(AND('Mapa final'!$AH$88="Muy Alta",'Mapa final'!$AJ$88="Leve"),CONCATENATE("R2C",'Mapa final'!$R$88),"")</f>
        <v/>
      </c>
      <c r="Q21" s="39" t="str">
        <f>IF(AND('Mapa final'!$AH$82="Muy Alta",'Mapa final'!$AJ$82="Menor"),CONCATENATE("R2C",'Mapa final'!$R$82),"")</f>
        <v/>
      </c>
      <c r="R21" s="39" t="str">
        <f>IF(AND('Mapa final'!$AH$83="Muy Alta",'Mapa final'!$AJ$83="Menor"),CONCATENATE("R2C",'Mapa final'!$R$83),"")</f>
        <v/>
      </c>
      <c r="S21" s="39" t="str">
        <f>IF(AND('Mapa final'!$AH$84="Muy Alta",'Mapa final'!$AJ$84="Menor"),CONCATENATE("R2C",'Mapa final'!$R$84),"")</f>
        <v/>
      </c>
      <c r="T21" s="39" t="str">
        <f>IF(AND('Mapa final'!$AH$85="Muy Alta",'Mapa final'!$AJ$85="Menor"),CONCATENATE("R2C",'Mapa final'!$R$85),"")</f>
        <v/>
      </c>
      <c r="U21" s="39" t="str">
        <f>IF(AND('Mapa final'!$AH$87="Muy Alta",'Mapa final'!$AJ$87="Menor"),CONCATENATE("R2C",'Mapa final'!$R$87),"")</f>
        <v/>
      </c>
      <c r="V21" s="40" t="str">
        <f>IF(AND('Mapa final'!$AH$88="Muy Alta",'Mapa final'!$AJ$88="Menor"),CONCATENATE("R2C",'Mapa final'!$R$88),"")</f>
        <v/>
      </c>
      <c r="W21" s="44" t="str">
        <f>IF(AND('Mapa final'!$AH$82="Muy Alta",'Mapa final'!$AJ$82="Moderado"),CONCATENATE("R2C",'Mapa final'!$R$82),"")</f>
        <v/>
      </c>
      <c r="X21" s="45" t="str">
        <f>IF(AND('Mapa final'!$AH$83="Muy Alta",'Mapa final'!$AJ$83="Moderado"),CONCATENATE("R2C",'Mapa final'!$R$83),"")</f>
        <v/>
      </c>
      <c r="Y21" s="45" t="str">
        <f>IF(AND('Mapa final'!$AH$84="Muy Alta",'Mapa final'!$AJ$84="Moderado"),CONCATENATE("R2C",'Mapa final'!$R$84),"")</f>
        <v/>
      </c>
      <c r="Z21" s="45" t="str">
        <f>IF(AND('Mapa final'!$AH$85="Muy Alta",'Mapa final'!$AJ$85="Moderado"),CONCATENATE("R2C",'Mapa final'!$R$85),"")</f>
        <v/>
      </c>
      <c r="AA21" s="45" t="str">
        <f>IF(AND('Mapa final'!$AH$87="Muy Alta",'Mapa final'!$AJ$87="Moderado"),CONCATENATE("R2C",'Mapa final'!$R$87),"")</f>
        <v/>
      </c>
      <c r="AB21" s="46" t="str">
        <f>IF(AND('Mapa final'!$AH$88="Muy Alta",'Mapa final'!$AJ$88="Moderado"),CONCATENATE("R2C",'Mapa final'!$R$88),"")</f>
        <v/>
      </c>
      <c r="AC21" s="38" t="str">
        <f>IF(AND('Mapa final'!$AH$82="Muy Alta",'Mapa final'!$AJ$82="Mayor"),CONCATENATE("R2C",'Mapa final'!$R$82),"")</f>
        <v/>
      </c>
      <c r="AD21" s="39" t="str">
        <f>IF(AND('Mapa final'!$AH$83="Muy Alta",'Mapa final'!$AJ$83="Mayor"),CONCATENATE("R2C",'Mapa final'!$R$83),"")</f>
        <v/>
      </c>
      <c r="AE21" s="39" t="str">
        <f>IF(AND('Mapa final'!$AH$84="Muy Alta",'Mapa final'!$AJ$84="Mayor"),CONCATENATE("R2C",'Mapa final'!$R$84),"")</f>
        <v/>
      </c>
      <c r="AF21" s="39" t="str">
        <f>IF(AND('Mapa final'!$AH$85="Muy Alta",'Mapa final'!$AJ$85="Mayor"),CONCATENATE("R2C",'Mapa final'!$R$85),"")</f>
        <v/>
      </c>
      <c r="AG21" s="39" t="str">
        <f>IF(AND('Mapa final'!$AH$87="Muy Alta",'Mapa final'!$AJ$87="Mayor"),CONCATENATE("R2C",'Mapa final'!$R$87),"")</f>
        <v/>
      </c>
      <c r="AH21" s="40" t="str">
        <f>IF(AND('Mapa final'!$AH$88="Muy Alta",'Mapa final'!$AJ$88="Mayor"),CONCATENATE("R2C",'Mapa final'!$R$88),"")</f>
        <v/>
      </c>
      <c r="AI21" s="47" t="str">
        <f>IF(AND('Mapa final'!$AH$82="Muy Alta",'Mapa final'!$AJ$82="Catastrófico"),CONCATENATE("R2C",'Mapa final'!$R$82),"")</f>
        <v/>
      </c>
      <c r="AJ21" s="48" t="str">
        <f>IF(AND('Mapa final'!$AH$83="Muy Alta",'Mapa final'!$AJ$83="Catastrófico"),CONCATENATE("R2C",'Mapa final'!$R$83),"")</f>
        <v/>
      </c>
      <c r="AK21" s="48" t="str">
        <f>IF(AND('Mapa final'!$AH$84="Muy Alta",'Mapa final'!$AJ$84="Catastrófico"),CONCATENATE("R2C",'Mapa final'!$R$84),"")</f>
        <v/>
      </c>
      <c r="AL21" s="48" t="str">
        <f>IF(AND('Mapa final'!$AH$85="Muy Alta",'Mapa final'!$AJ$85="Catastrófico"),CONCATENATE("R2C",'Mapa final'!$R$85),"")</f>
        <v/>
      </c>
      <c r="AM21" s="48" t="str">
        <f>IF(AND('Mapa final'!$AH$87="Muy Alta",'Mapa final'!$AJ$87="Catastrófico"),CONCATENATE("R2C",'Mapa final'!$R$87),"")</f>
        <v/>
      </c>
      <c r="AN21" s="49" t="str">
        <f>IF(AND('Mapa final'!$AH$88="Muy Alta",'Mapa final'!$AJ$88="Catastrófico"),CONCATENATE("R2C",'Mapa final'!$R$88),"")</f>
        <v/>
      </c>
      <c r="AO21" s="68"/>
      <c r="AP21" s="539"/>
      <c r="AQ21" s="540"/>
      <c r="AR21" s="540"/>
      <c r="AS21" s="540"/>
      <c r="AT21" s="540"/>
      <c r="AU21" s="541"/>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27"/>
      <c r="D22" s="427"/>
      <c r="E22" s="428"/>
      <c r="F22" s="514" t="s">
        <v>255</v>
      </c>
      <c r="G22" s="515"/>
      <c r="H22" s="515"/>
      <c r="I22" s="515"/>
      <c r="J22" s="515"/>
      <c r="K22" s="53"/>
      <c r="L22" s="54" t="str">
        <f>IF(AND('Mapa final'!$AH$18="Alta",'Mapa final'!$AJ$18="Leve"),CONCATENATE("R2C",'Mapa final'!$R$15),"")</f>
        <v/>
      </c>
      <c r="M22" s="54" t="str">
        <f>IF(AND('Mapa final'!$AH$32="Alta",'Mapa final'!$AJ$32="Leve"),CONCATENATE("R2C",'Mapa final'!$R$32),"")</f>
        <v/>
      </c>
      <c r="N22" s="54" t="e">
        <f>IF(AND('Mapa final'!#REF!="Alta",'Mapa final'!#REF!="Leve"),CONCATENATE("R2C",'Mapa final'!#REF!),"")</f>
        <v>#REF!</v>
      </c>
      <c r="O22" s="54" t="e">
        <f>IF(AND('Mapa final'!#REF!="Alta",'Mapa final'!#REF!="Leve"),CONCATENATE("R2C",'Mapa final'!#REF!),"")</f>
        <v>#REF!</v>
      </c>
      <c r="P22" s="55" t="e">
        <f>IF(AND('Mapa final'!#REF!="Alta",'Mapa final'!#REF!="Leve"),CONCATENATE("R2C",'Mapa final'!#REF!),"")</f>
        <v>#REF!</v>
      </c>
      <c r="Q22" s="50"/>
      <c r="R22" s="51" t="str">
        <f>IF(AND('Mapa final'!$AH$18="Alta",'Mapa final'!$AJ$18="Menore"),CONCATENATE("R2C",'Mapa final'!$R$15),"")</f>
        <v/>
      </c>
      <c r="S22" s="51" t="str">
        <f>IF(AND('Mapa final'!$AH$32="Alta",'Mapa final'!$AJ$32="Menor"),CONCATENATE("R2C",'Mapa final'!$R$32),"")</f>
        <v/>
      </c>
      <c r="T22" s="51" t="e">
        <f>IF(AND('Mapa final'!#REF!="Alta",'Mapa final'!#REF!="Menor"),CONCATENATE("R2C",'Mapa final'!#REF!),"")</f>
        <v>#REF!</v>
      </c>
      <c r="U22" s="51" t="e">
        <f>IF(AND('Mapa final'!#REF!="Alta",'Mapa final'!#REF!="Menor"),CONCATENATE("R2C",'Mapa final'!#REF!),"")</f>
        <v>#REF!</v>
      </c>
      <c r="V22" s="52" t="e">
        <f>IF(AND('Mapa final'!#REF!="Alta",'Mapa final'!#REF!="Menor"),CONCATENATE("R2C",'Mapa final'!#REF!),"")</f>
        <v>#REF!</v>
      </c>
      <c r="W22" s="32"/>
      <c r="X22" s="33" t="str">
        <f>IF(AND('Mapa final'!$AH$18="Alta",'Mapa final'!$AJ$18="Moderado"),CONCATENATE("R2C",'Mapa final'!$R$15),"")</f>
        <v/>
      </c>
      <c r="Y22" s="33"/>
      <c r="Z22" s="33" t="e">
        <f>IF(AND('Mapa final'!#REF!="Alta",'Mapa final'!#REF!="Moderado"),CONCATENATE("R2C",'Mapa final'!#REF!),"")</f>
        <v>#REF!</v>
      </c>
      <c r="AA22" s="33" t="e">
        <f>IF(AND('Mapa final'!#REF!="Alta",'Mapa final'!#REF!="Moderado"),CONCATENATE("R2C",'Mapa final'!#REF!),"")</f>
        <v>#REF!</v>
      </c>
      <c r="AB22" s="34" t="e">
        <f>IF(AND('Mapa final'!#REF!="Alta",'Mapa final'!#REF!="Moderado"),CONCATENATE("R2C",'Mapa final'!#REF!),"")</f>
        <v>#REF!</v>
      </c>
      <c r="AC22" s="32"/>
      <c r="AD22" s="33" t="str">
        <f>IF(AND('Mapa final'!$AH$18="Alta",'Mapa final'!$AJ$18="Mayor"),CONCATENATE("R2C",'Mapa final'!$R$15),"")</f>
        <v/>
      </c>
      <c r="AE22" s="33" t="str">
        <f>IF(AND('Mapa final'!$AH$32="Alta",'Mapa final'!$AJ$32="Mayor"),CONCATENATE("R2C",'Mapa final'!$R$32),"")</f>
        <v/>
      </c>
      <c r="AF22" s="33" t="e">
        <f>IF(AND('Mapa final'!#REF!="Alta",'Mapa final'!#REF!="Mayor"),CONCATENATE("R2C",'Mapa final'!#REF!),"")</f>
        <v>#REF!</v>
      </c>
      <c r="AG22" s="33" t="e">
        <f>IF(AND('Mapa final'!#REF!="Alta",'Mapa final'!#REF!="Mayor"),CONCATENATE("R2C",'Mapa final'!#REF!),"")</f>
        <v>#REF!</v>
      </c>
      <c r="AH22" s="34" t="e">
        <f>IF(AND('Mapa final'!#REF!="Alta",'Mapa final'!#REF!="Mayor"),CONCATENATE("R2C",'Mapa final'!#REF!),"")</f>
        <v>#REF!</v>
      </c>
      <c r="AI22" s="35"/>
      <c r="AJ22" s="36" t="str">
        <f>IF(AND('Mapa final'!$AH$18="Alta",'Mapa final'!$AJ$18="Catastrófico"),CONCATENATE("R2C",'Mapa final'!$R$15),"")</f>
        <v/>
      </c>
      <c r="AK22" s="36" t="str">
        <f>IF(AND('Mapa final'!$AH$32="Alta",'Mapa final'!$AJ$32="Catastrófico"),CONCATENATE("R2C",'Mapa final'!$R$32),"")</f>
        <v/>
      </c>
      <c r="AL22" s="36" t="e">
        <f>IF(AND('Mapa final'!#REF!="Alta",'Mapa final'!#REF!="Catastrófico"),CONCATENATE("R2C",'Mapa final'!#REF!),"")</f>
        <v>#REF!</v>
      </c>
      <c r="AM22" s="36" t="e">
        <f>IF(AND('Mapa final'!#REF!="Alta",'Mapa final'!#REF!="Catastrófico"),CONCATENATE("R2C",'Mapa final'!#REF!),"")</f>
        <v>#REF!</v>
      </c>
      <c r="AN22" s="37" t="e">
        <f>IF(AND('Mapa final'!#REF!="Alta",'Mapa final'!#REF!="Catastrófico"),CONCATENATE("R2C",'Mapa final'!#REF!),"")</f>
        <v>#REF!</v>
      </c>
      <c r="AO22" s="68"/>
      <c r="AP22" s="523" t="s">
        <v>256</v>
      </c>
      <c r="AQ22" s="524"/>
      <c r="AR22" s="524"/>
      <c r="AS22" s="524"/>
      <c r="AT22" s="524"/>
      <c r="AU22" s="525"/>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27"/>
      <c r="D23" s="427"/>
      <c r="E23" s="428"/>
      <c r="F23" s="532"/>
      <c r="G23" s="518"/>
      <c r="H23" s="518"/>
      <c r="I23" s="518"/>
      <c r="J23" s="518"/>
      <c r="K23" s="53" t="e">
        <f>IF(AND('Mapa final'!#REF!="Alta",'Mapa final'!#REF!="Leve"),CONCATENATE("R2C",'Mapa final'!#REF!),"")</f>
        <v>#REF!</v>
      </c>
      <c r="L23" s="54" t="e">
        <f>IF(AND('Mapa final'!#REF!="Alta",'Mapa final'!#REF!="Leve"),CONCATENATE("R2C",'Mapa final'!#REF!),"")</f>
        <v>#REF!</v>
      </c>
      <c r="M23" s="54" t="str">
        <f>IF(AND('Mapa final'!$AH$36="Alta",'Mapa final'!$AJ$36="Leve"),CONCATENATE("R2C",'Mapa final'!$R$36),"")</f>
        <v/>
      </c>
      <c r="N23" s="54" t="e">
        <f>IF(AND('Mapa final'!#REF!="Alta",'Mapa final'!#REF!="Leve"),CONCATENATE("R2C",'Mapa final'!#REF!),"")</f>
        <v>#REF!</v>
      </c>
      <c r="O23" s="54" t="str">
        <f>IF(AND('Mapa final'!$AH$38="Alta",'Mapa final'!$AJ$38="Leve"),CONCATENATE("R2C",'Mapa final'!$R$38),"")</f>
        <v/>
      </c>
      <c r="P23" s="55" t="str">
        <f>IF(AND('Mapa final'!$AH$39="Alta",'Mapa final'!$AJ$39="Leve"),CONCATENATE("R2C",'Mapa final'!$R$39),"")</f>
        <v/>
      </c>
      <c r="Q23" s="53" t="e">
        <f>IF(AND('Mapa final'!#REF!="Alta",'Mapa final'!#REF!="Menor"),CONCATENATE("R2C",'Mapa final'!#REF!),"")</f>
        <v>#REF!</v>
      </c>
      <c r="R23" s="54" t="e">
        <f>IF(AND('Mapa final'!#REF!="Alta",'Mapa final'!#REF!="Menor"),CONCATENATE("R2C",'Mapa final'!#REF!),"")</f>
        <v>#REF!</v>
      </c>
      <c r="S23" s="54" t="str">
        <f>IF(AND('Mapa final'!$AH$36="Alta",'Mapa final'!$AJ$36="Menor"),CONCATENATE("R2C",'Mapa final'!$R$36),"")</f>
        <v/>
      </c>
      <c r="T23" s="54" t="str">
        <f>IF(AND('Mapa final'!$AH$37="Alta",'Mapa final'!$AJ$37="Menor"),CONCATENATE("R2C",'Mapa final'!$R$37),"")</f>
        <v/>
      </c>
      <c r="U23" s="54" t="str">
        <f>IF(AND('Mapa final'!$AH$38="Alta",'Mapa final'!$AJ$38="Menor"),CONCATENATE("R2C",'Mapa final'!$R$38),"")</f>
        <v/>
      </c>
      <c r="V23" s="55" t="str">
        <f>IF(AND('Mapa final'!$AH$39="Alta",'Mapa final'!$AJ$39="Menor"),CONCATENATE("R2C",'Mapa final'!$R$39),"")</f>
        <v/>
      </c>
      <c r="W23" s="38" t="e">
        <f>IF(AND('Mapa final'!#REF!="Alta",'Mapa final'!#REF!="Moderado"),CONCATENATE("R2C",'Mapa final'!#REF!),"")</f>
        <v>#REF!</v>
      </c>
      <c r="X23" s="39" t="e">
        <f>IF(AND('Mapa final'!#REF!="Alta",'Mapa final'!#REF!="Moderado"),CONCATENATE("R2C",'Mapa final'!#REF!),"")</f>
        <v>#REF!</v>
      </c>
      <c r="Y23" s="39" t="str">
        <f>IF(AND('Mapa final'!$AH$36="Alta",'Mapa final'!$AJ$36="Moderado"),CONCATENATE("R2C",'Mapa final'!$R$36),"")</f>
        <v/>
      </c>
      <c r="Z23" s="39" t="str">
        <f>IF(AND('Mapa final'!$AH$37="Alta",'Mapa final'!$AJ$37="Moderado"),CONCATENATE("R2C",'Mapa final'!$R$37),"")</f>
        <v/>
      </c>
      <c r="AA23" s="39" t="str">
        <f>IF(AND('Mapa final'!$AH$38="Alta",'Mapa final'!$AJ$38="Moderado"),CONCATENATE("R2C",'Mapa final'!$R$38),"")</f>
        <v/>
      </c>
      <c r="AB23" s="40" t="str">
        <f>IF(AND('Mapa final'!$AH$39="Alta",'Mapa final'!$AJ$39="Moderado"),CONCATENATE("R2C",'Mapa final'!$R$39),"")</f>
        <v/>
      </c>
      <c r="AC23" s="38" t="e">
        <f>IF(AND('Mapa final'!#REF!="Alta",'Mapa final'!#REF!="Mayor"),CONCATENATE("R2C",'Mapa final'!#REF!),"")</f>
        <v>#REF!</v>
      </c>
      <c r="AD23" s="39" t="e">
        <f>IF(AND('Mapa final'!#REF!="Alta",'Mapa final'!#REF!="Mayor"),CONCATENATE("R2C",'Mapa final'!#REF!),"")</f>
        <v>#REF!</v>
      </c>
      <c r="AE23" s="39" t="str">
        <f>IF(AND('Mapa final'!$AH$36="Alta",'Mapa final'!$AJ$36="Mayor"),CONCATENATE("R2C",'Mapa final'!$R$36),"")</f>
        <v/>
      </c>
      <c r="AF23" s="39" t="str">
        <f>IF(AND('Mapa final'!$AH$37="Alta",'Mapa final'!$AJ$37="Mayor"),CONCATENATE("R2C",'Mapa final'!$R$37),"")</f>
        <v/>
      </c>
      <c r="AG23" s="39" t="str">
        <f>IF(AND('Mapa final'!$AH$38="Alta",'Mapa final'!$AJ$38="Mayor"),CONCATENATE("R2C",'Mapa final'!$R$38),"")</f>
        <v/>
      </c>
      <c r="AH23" s="40" t="str">
        <f>IF(AND('Mapa final'!$AH$39="Alta",'Mapa final'!$AJ$39="Mayor"),CONCATENATE("R2C",'Mapa final'!$R$39),"")</f>
        <v/>
      </c>
      <c r="AI23" s="41" t="e">
        <f>IF(AND('Mapa final'!#REF!="Alta",'Mapa final'!#REF!="Catastrófico"),CONCATENATE("R2C",'Mapa final'!#REF!),"")</f>
        <v>#REF!</v>
      </c>
      <c r="AJ23" s="42" t="e">
        <f>IF(AND('Mapa final'!#REF!="Alta",'Mapa final'!#REF!="Catastrófico"),CONCATENATE("R2C",'Mapa final'!#REF!),"")</f>
        <v>#REF!</v>
      </c>
      <c r="AK23" s="42" t="str">
        <f>IF(AND('Mapa final'!$AH$36="Alta",'Mapa final'!$AJ$36="Catastrófico"),CONCATENATE("R2C",'Mapa final'!$R$36),"")</f>
        <v/>
      </c>
      <c r="AL23" s="42" t="str">
        <f>IF(AND('Mapa final'!$AH$37="Alta",'Mapa final'!$AJ$37="Catastrófico"),CONCATENATE("R2C",'Mapa final'!$R$37),"")</f>
        <v/>
      </c>
      <c r="AM23" s="42" t="str">
        <f>IF(AND('Mapa final'!$AH$38="Alta",'Mapa final'!$AJ$38="Catastrófico"),CONCATENATE("R2C",'Mapa final'!$R$38),"")</f>
        <v/>
      </c>
      <c r="AN23" s="43" t="str">
        <f>IF(AND('Mapa final'!$AH$39="Alta",'Mapa final'!$AJ$39="Catastrófico"),CONCATENATE("R2C",'Mapa final'!$R$39),"")</f>
        <v/>
      </c>
      <c r="AO23" s="68"/>
      <c r="AP23" s="526"/>
      <c r="AQ23" s="527"/>
      <c r="AR23" s="527"/>
      <c r="AS23" s="527"/>
      <c r="AT23" s="527"/>
      <c r="AU23" s="52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27"/>
      <c r="D24" s="427"/>
      <c r="E24" s="428"/>
      <c r="F24" s="517"/>
      <c r="G24" s="518"/>
      <c r="H24" s="518"/>
      <c r="I24" s="518"/>
      <c r="J24" s="518"/>
      <c r="K24" s="53" t="str">
        <f>IF(AND('Mapa final'!$AH$40="Alta",'Mapa final'!$AJ$40="Leve"),CONCATENATE("R2C",'Mapa final'!$R$40),"")</f>
        <v/>
      </c>
      <c r="L24" s="54" t="str">
        <f>IF(AND('Mapa final'!$AH$41="Alta",'Mapa final'!$AJ$41="Leve"),CONCATENATE("R2C",'Mapa final'!$R$41),"")</f>
        <v/>
      </c>
      <c r="M24" s="54" t="str">
        <f>IF(AND('Mapa final'!$AH$42="Alta",'Mapa final'!$AJ$42="Leve"),CONCATENATE("R2C",'Mapa final'!$R$42),"")</f>
        <v/>
      </c>
      <c r="N24" s="54" t="e">
        <f>IF(AND('Mapa final'!#REF!="Alta",'Mapa final'!#REF!="Leve"),CONCATENATE("R2C",'Mapa final'!#REF!),"")</f>
        <v>#REF!</v>
      </c>
      <c r="O24" s="54" t="str">
        <f>IF(AND('Mapa final'!$AH$44="Alta",'Mapa final'!$AJ$44="Leve"),CONCATENATE("R2C",'Mapa final'!$R$44),"")</f>
        <v/>
      </c>
      <c r="P24" s="55" t="str">
        <f>IF(AND('Mapa final'!$AH$45="Alta",'Mapa final'!$AJ$45="Leve"),CONCATENATE("R2C",'Mapa final'!$R$45),"")</f>
        <v/>
      </c>
      <c r="Q24" s="53" t="str">
        <f>IF(AND('Mapa final'!$AH$40="Alta",'Mapa final'!$AJ$40="Menor"),CONCATENATE("R2C",'Mapa final'!$R$40),"")</f>
        <v/>
      </c>
      <c r="R24" s="54" t="str">
        <f>IF(AND('Mapa final'!$AH$41="Alta",'Mapa final'!$AJ$41="Menor"),CONCATENATE("R2C",'Mapa final'!$R$41),"")</f>
        <v/>
      </c>
      <c r="S24" s="54" t="str">
        <f>IF(AND('Mapa final'!$AH$42="Alta",'Mapa final'!$AJ$42="Menor"),CONCATENATE("R2C",'Mapa final'!$R$42),"")</f>
        <v/>
      </c>
      <c r="T24" s="54" t="str">
        <f>IF(AND('Mapa final'!$AH$43="Alta",'Mapa final'!$AJ$43="Menor"),CONCATENATE("R2C",'Mapa final'!$R$43),"")</f>
        <v/>
      </c>
      <c r="U24" s="54" t="str">
        <f>IF(AND('Mapa final'!$AH$44="Alta",'Mapa final'!$AJ$44="Menor"),CONCATENATE("R2C",'Mapa final'!$R$44),"")</f>
        <v/>
      </c>
      <c r="V24" s="55" t="str">
        <f>IF(AND('Mapa final'!$AH$45="Alta",'Mapa final'!$AJ$45="Menor"),CONCATENATE("R2C",'Mapa final'!$R$45),"")</f>
        <v/>
      </c>
      <c r="W24" s="38" t="str">
        <f>IF(AND('Mapa final'!$AH$40="Alta",'Mapa final'!$AJ$40="Moderado"),CONCATENATE("R2C",'Mapa final'!$R$40),"")</f>
        <v/>
      </c>
      <c r="X24" s="39" t="str">
        <f>IF(AND('Mapa final'!$AH$41="Alta",'Mapa final'!$AJ$41="Moderado"),CONCATENATE("R2C",'Mapa final'!$R$41),"")</f>
        <v/>
      </c>
      <c r="Y24" s="39" t="str">
        <f>IF(AND('Mapa final'!$AH$42="Alta",'Mapa final'!$AJ$42="Moderado"),CONCATENATE("R2C",'Mapa final'!$R$42),"")</f>
        <v/>
      </c>
      <c r="Z24" s="39" t="str">
        <f>IF(AND('Mapa final'!$AH$43="Alta",'Mapa final'!$AJ$43="Moderado"),CONCATENATE("R2C",'Mapa final'!$R$43),"")</f>
        <v/>
      </c>
      <c r="AA24" s="39" t="str">
        <f>IF(AND('Mapa final'!$AH$44="Alta",'Mapa final'!$AJ$44="Moderado"),CONCATENATE("R2C",'Mapa final'!$R$44),"")</f>
        <v/>
      </c>
      <c r="AB24" s="40" t="str">
        <f>IF(AND('Mapa final'!$AH$45="Alta",'Mapa final'!$AJ$45="Moderado"),CONCATENATE("R2C",'Mapa final'!$R$45),"")</f>
        <v/>
      </c>
      <c r="AC24" s="38" t="str">
        <f>IF(AND('Mapa final'!$AH$40="Alta",'Mapa final'!$AJ$40="Mayor"),CONCATENATE("R2C",'Mapa final'!$R$40),"")</f>
        <v/>
      </c>
      <c r="AD24" s="39" t="str">
        <f>IF(AND('Mapa final'!$AH$41="Alta",'Mapa final'!$AJ$41="Mayor"),CONCATENATE("R2C",'Mapa final'!$R$41),"")</f>
        <v/>
      </c>
      <c r="AE24" s="39" t="str">
        <f>IF(AND('Mapa final'!$AH$42="Alta",'Mapa final'!$AJ$42="Mayor"),CONCATENATE("R2C",'Mapa final'!$R$42),"")</f>
        <v/>
      </c>
      <c r="AF24" s="39" t="str">
        <f>IF(AND('Mapa final'!$AH$43="Alta",'Mapa final'!$AJ$43="Mayor"),CONCATENATE("R2C",'Mapa final'!$R$43),"")</f>
        <v/>
      </c>
      <c r="AG24" s="39" t="str">
        <f>IF(AND('Mapa final'!$AH$44="Alta",'Mapa final'!$AJ$44="Mayor"),CONCATENATE("R2C",'Mapa final'!$R$44),"")</f>
        <v/>
      </c>
      <c r="AH24" s="40" t="str">
        <f>IF(AND('Mapa final'!$AH$45="Alta",'Mapa final'!$AJ$45="Mayor"),CONCATENATE("R2C",'Mapa final'!$R$45),"")</f>
        <v/>
      </c>
      <c r="AI24" s="41" t="str">
        <f>IF(AND('Mapa final'!$AH$40="Alta",'Mapa final'!$AJ$40="Catastrófico"),CONCATENATE("R2C",'Mapa final'!$R$40),"")</f>
        <v/>
      </c>
      <c r="AJ24" s="42" t="str">
        <f>IF(AND('Mapa final'!$AH$41="Alta",'Mapa final'!$AJ$41="Catastrófico"),CONCATENATE("R2C",'Mapa final'!$R$41),"")</f>
        <v/>
      </c>
      <c r="AK24" s="42" t="str">
        <f>IF(AND('Mapa final'!$AH$42="Alta",'Mapa final'!$AJ$42="Catastrófico"),CONCATENATE("R2C",'Mapa final'!$R$42),"")</f>
        <v/>
      </c>
      <c r="AL24" s="42" t="str">
        <f>IF(AND('Mapa final'!$AH$43="Alta",'Mapa final'!$AJ$43="Catastrófico"),CONCATENATE("R2C",'Mapa final'!$R$43),"")</f>
        <v/>
      </c>
      <c r="AM24" s="42" t="str">
        <f>IF(AND('Mapa final'!$AH$44="Alta",'Mapa final'!$AJ$44="Catastrófico"),CONCATENATE("R2C",'Mapa final'!$R$44),"")</f>
        <v/>
      </c>
      <c r="AN24" s="43" t="str">
        <f>IF(AND('Mapa final'!$AH$45="Alta",'Mapa final'!$AJ$45="Catastrófico"),CONCATENATE("R2C",'Mapa final'!$R$45),"")</f>
        <v/>
      </c>
      <c r="AO24" s="68"/>
      <c r="AP24" s="526"/>
      <c r="AQ24" s="527"/>
      <c r="AR24" s="527"/>
      <c r="AS24" s="527"/>
      <c r="AT24" s="527"/>
      <c r="AU24" s="52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27"/>
      <c r="D25" s="427"/>
      <c r="E25" s="428"/>
      <c r="F25" s="517"/>
      <c r="G25" s="518"/>
      <c r="H25" s="518"/>
      <c r="I25" s="518"/>
      <c r="J25" s="518"/>
      <c r="K25" s="53" t="str">
        <f>IF(AND('Mapa final'!$AH$46="Alta",'Mapa final'!$AJ$46="Leve"),CONCATENATE("R2C",'Mapa final'!$R$46),"")</f>
        <v/>
      </c>
      <c r="L25" s="54" t="str">
        <f>IF(AND('Mapa final'!$AH$47="Alta",'Mapa final'!$AJ$47="Leve"),CONCATENATE("R2C",'Mapa final'!$R$47),"")</f>
        <v/>
      </c>
      <c r="M25" s="54" t="str">
        <f>IF(AND('Mapa final'!$AH$48="Alta",'Mapa final'!$AJ$48="Leve"),CONCATENATE("R2C",'Mapa final'!$R$48),"")</f>
        <v/>
      </c>
      <c r="N25" s="54" t="e">
        <f>IF(AND('Mapa final'!#REF!="Alta",'Mapa final'!#REF!="Leve"),CONCATENATE("R2C",'Mapa final'!#REF!),"")</f>
        <v>#REF!</v>
      </c>
      <c r="O25" s="54" t="str">
        <f>IF(AND('Mapa final'!$AH$50="Alta",'Mapa final'!$AJ$50="Leve"),CONCATENATE("R2C",'Mapa final'!$R$50),"")</f>
        <v/>
      </c>
      <c r="P25" s="55" t="str">
        <f>IF(AND('Mapa final'!$AH$51="Alta",'Mapa final'!$AJ$51="Leve"),CONCATENATE("R2C",'Mapa final'!$R$51),"")</f>
        <v/>
      </c>
      <c r="Q25" s="53" t="str">
        <f>IF(AND('Mapa final'!$AH$46="Alta",'Mapa final'!$AJ$46="Menor"),CONCATENATE("R2C",'Mapa final'!$R$46),"")</f>
        <v/>
      </c>
      <c r="R25" s="54" t="str">
        <f>IF(AND('Mapa final'!$AH$47="Alta",'Mapa final'!$AJ$47="Menor"),CONCATENATE("R2C",'Mapa final'!$R$47),"")</f>
        <v/>
      </c>
      <c r="S25" s="54" t="str">
        <f>IF(AND('Mapa final'!$AH$48="Alta",'Mapa final'!$AJ$48="Menor"),CONCATENATE("R2C",'Mapa final'!$R$48),"")</f>
        <v/>
      </c>
      <c r="T25" s="54" t="str">
        <f>IF(AND('Mapa final'!$AH$49="Alta",'Mapa final'!$AJ$49="Menor"),CONCATENATE("R2C",'Mapa final'!$R$49),"")</f>
        <v/>
      </c>
      <c r="U25" s="54" t="str">
        <f>IF(AND('Mapa final'!$AH$50="Alta",'Mapa final'!$AJ$50="LMenor"),CONCATENATE("R2C",'Mapa final'!$R$50),"")</f>
        <v/>
      </c>
      <c r="V25" s="55" t="str">
        <f>IF(AND('Mapa final'!$AH$51="Alta",'Mapa final'!$AJ$51="Menor"),CONCATENATE("R2C",'Mapa final'!$R$51),"")</f>
        <v/>
      </c>
      <c r="W25" s="38" t="str">
        <f>IF(AND('Mapa final'!$AH$46="Alta",'Mapa final'!$AJ$46="Moderado"),CONCATENATE("R2C",'Mapa final'!$R$46),"")</f>
        <v/>
      </c>
      <c r="X25" s="39" t="str">
        <f>IF(AND('Mapa final'!$AH$47="Alta",'Mapa final'!$AJ$47="Moderado"),CONCATENATE("R2C",'Mapa final'!$R$47),"")</f>
        <v/>
      </c>
      <c r="Y25" s="39" t="str">
        <f>IF(AND('Mapa final'!$AH$48="Alta",'Mapa final'!$AJ$48="Moderado"),CONCATENATE("R2C",'Mapa final'!$R$48),"")</f>
        <v/>
      </c>
      <c r="Z25" s="39" t="str">
        <f>IF(AND('Mapa final'!$AH$49="Alta",'Mapa final'!$AJ$49="Moderado"),CONCATENATE("R2C",'Mapa final'!$R$49),"")</f>
        <v/>
      </c>
      <c r="AA25" s="39" t="str">
        <f>IF(AND('Mapa final'!$AH$50="Alta",'Mapa final'!$AJ$50="Moderado"),CONCATENATE("R2C",'Mapa final'!$R$50),"")</f>
        <v/>
      </c>
      <c r="AB25" s="40" t="str">
        <f>IF(AND('Mapa final'!$AH$51="Alta",'Mapa final'!$AJ$51="Moderado"),CONCATENATE("R2C",'Mapa final'!$R$51),"")</f>
        <v/>
      </c>
      <c r="AC25" s="38" t="str">
        <f>IF(AND('Mapa final'!$AH$46="Alta",'Mapa final'!$AJ$46="Mayor"),CONCATENATE("R2C",'Mapa final'!$R$46),"")</f>
        <v/>
      </c>
      <c r="AD25" s="39" t="str">
        <f>IF(AND('Mapa final'!$AH$47="Alta",'Mapa final'!$AJ$47="Mayor"),CONCATENATE("R2C",'Mapa final'!$R$47),"")</f>
        <v/>
      </c>
      <c r="AE25" s="39" t="str">
        <f>IF(AND('Mapa final'!$AH$48="Alta",'Mapa final'!$AJ$48="Mayor"),CONCATENATE("R2C",'Mapa final'!$R$48),"")</f>
        <v/>
      </c>
      <c r="AF25" s="39" t="str">
        <f>IF(AND('Mapa final'!$AH$49="Alta",'Mapa final'!$AJ$49="Mayor"),CONCATENATE("R2C",'Mapa final'!$R$49),"")</f>
        <v/>
      </c>
      <c r="AG25" s="39" t="str">
        <f>IF(AND('Mapa final'!$AH$50="Alta",'Mapa final'!$AJ$50="Mayor"),CONCATENATE("R2C",'Mapa final'!$R$50),"")</f>
        <v/>
      </c>
      <c r="AH25" s="40" t="str">
        <f>IF(AND('Mapa final'!$AH$51="Alta",'Mapa final'!$AJ$51="Mayor"),CONCATENATE("R2C",'Mapa final'!$R$51),"")</f>
        <v/>
      </c>
      <c r="AI25" s="41" t="str">
        <f>IF(AND('Mapa final'!$AH$46="Alta",'Mapa final'!$AJ$46="Catastrófico"),CONCATENATE("R2C",'Mapa final'!$R$46),"")</f>
        <v/>
      </c>
      <c r="AJ25" s="42" t="str">
        <f>IF(AND('Mapa final'!$AH$47="Alta",'Mapa final'!$AJ$47="Catastrófico"),CONCATENATE("R2C",'Mapa final'!$R$47),"")</f>
        <v/>
      </c>
      <c r="AK25" s="42" t="str">
        <f>IF(AND('Mapa final'!$AH$48="Alta",'Mapa final'!$AJ$48="Catastrófico"),CONCATENATE("R2C",'Mapa final'!$R$48),"")</f>
        <v/>
      </c>
      <c r="AL25" s="42" t="str">
        <f>IF(AND('Mapa final'!$AH$49="Alta",'Mapa final'!$AJ$49="Catastrófico"),CONCATENATE("R2C",'Mapa final'!$R$49),"")</f>
        <v/>
      </c>
      <c r="AM25" s="42" t="str">
        <f>IF(AND('Mapa final'!$AH$50="Alta",'Mapa final'!$AJ$50="LCatastrófico"),CONCATENATE("R2C",'Mapa final'!$R$50),"")</f>
        <v/>
      </c>
      <c r="AN25" s="43" t="str">
        <f>IF(AND('Mapa final'!$AH$51="Alta",'Mapa final'!$AJ$51="Catastrófico"),CONCATENATE("R2C",'Mapa final'!$R$51),"")</f>
        <v/>
      </c>
      <c r="AO25" s="68"/>
      <c r="AP25" s="526"/>
      <c r="AQ25" s="527"/>
      <c r="AR25" s="527"/>
      <c r="AS25" s="527"/>
      <c r="AT25" s="527"/>
      <c r="AU25" s="52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27"/>
      <c r="D26" s="427"/>
      <c r="E26" s="428"/>
      <c r="F26" s="517"/>
      <c r="G26" s="518"/>
      <c r="H26" s="518"/>
      <c r="I26" s="518"/>
      <c r="J26" s="518"/>
      <c r="K26" s="53" t="str">
        <f>IF(AND('Mapa final'!$AH$52="Alta",'Mapa final'!$AJ$52="Leve"),CONCATENATE("R2C",'Mapa final'!$R$52),"")</f>
        <v/>
      </c>
      <c r="L26" s="54" t="str">
        <f>IF(AND('Mapa final'!$AH$53="Alta",'Mapa final'!$AJ$53="Leve"),CONCATENATE("R2C",'Mapa final'!$R$53),"")</f>
        <v/>
      </c>
      <c r="M26" s="54" t="str">
        <f>IF(AND('Mapa final'!$AH$54="Alta",'Mapa final'!$AJ$54="Leve"),CONCATENATE("R2C",'Mapa final'!$R$54),"")</f>
        <v/>
      </c>
      <c r="N26" s="54" t="e">
        <f>IF(AND('Mapa final'!#REF!="Alta",'Mapa final'!#REF!="Leve"),CONCATENATE("R2C",'Mapa final'!#REF!),"")</f>
        <v>#REF!</v>
      </c>
      <c r="O26" s="54" t="str">
        <f>IF(AND('Mapa final'!$AH$56="Alta",'Mapa final'!$AJ$56="Leve"),CONCATENATE("R2C",'Mapa final'!$R$56),"")</f>
        <v/>
      </c>
      <c r="P26" s="55" t="str">
        <f>IF(AND('Mapa final'!$AH$57="Alta",'Mapa final'!$AJ$57="Leve"),CONCATENATE("R2C",'Mapa final'!$R$57),"")</f>
        <v/>
      </c>
      <c r="Q26" s="53" t="str">
        <f>IF(AND('Mapa final'!$AH$52="Alta",'Mapa final'!$AJ$52="Menor"),CONCATENATE("R2C",'Mapa final'!$R$52),"")</f>
        <v/>
      </c>
      <c r="R26" s="54" t="str">
        <f>IF(AND('Mapa final'!$AH$53="Alta",'Mapa final'!$AJ$53="Menor"),CONCATENATE("R2C",'Mapa final'!$R$53),"")</f>
        <v/>
      </c>
      <c r="S26" s="54" t="str">
        <f>IF(AND('Mapa final'!$AH$54="Alta",'Mapa final'!$AJ$54="Menor"),CONCATENATE("R2C",'Mapa final'!$R$54),"")</f>
        <v/>
      </c>
      <c r="T26" s="54" t="str">
        <f>IF(AND('Mapa final'!$AH$55="Alta",'Mapa final'!$AJ$55="Menor"),CONCATENATE("R2C",'Mapa final'!$R$55),"")</f>
        <v/>
      </c>
      <c r="U26" s="54" t="str">
        <f>IF(AND('Mapa final'!$AH$56="Alta",'Mapa final'!$AJ$56="Menor"),CONCATENATE("R2C",'Mapa final'!$R$56),"")</f>
        <v/>
      </c>
      <c r="V26" s="55" t="str">
        <f>IF(AND('Mapa final'!$AH$57="Alta",'Mapa final'!$AJ$57="Menor"),CONCATENATE("R2C",'Mapa final'!$R$57),"")</f>
        <v/>
      </c>
      <c r="W26" s="38" t="str">
        <f>IF(AND('Mapa final'!$AH$52="Alta",'Mapa final'!$AJ$52="Moderado"),CONCATENATE("R2C",'Mapa final'!$R$52),"")</f>
        <v/>
      </c>
      <c r="X26" s="39" t="str">
        <f>IF(AND('Mapa final'!$AH$53="Alta",'Mapa final'!$AJ$53="Moderado"),CONCATENATE("R2C",'Mapa final'!$R$53),"")</f>
        <v/>
      </c>
      <c r="Y26" s="39" t="str">
        <f>IF(AND('Mapa final'!$AH$54="Alta",'Mapa final'!$AJ$54="Moderado"),CONCATENATE("R2C",'Mapa final'!$R$54),"")</f>
        <v/>
      </c>
      <c r="Z26" s="39" t="str">
        <f>IF(AND('Mapa final'!$AH$55="Alta",'Mapa final'!$AJ$55="Moderado"),CONCATENATE("R2C",'Mapa final'!$R$55),"")</f>
        <v/>
      </c>
      <c r="AA26" s="39" t="str">
        <f>IF(AND('Mapa final'!$AH$56="Alta",'Mapa final'!$AJ$56="Moderado"),CONCATENATE("R2C",'Mapa final'!$R$56),"")</f>
        <v/>
      </c>
      <c r="AB26" s="40" t="str">
        <f>IF(AND('Mapa final'!$AH$57="Alta",'Mapa final'!$AJ$57="Moderado"),CONCATENATE("R2C",'Mapa final'!$R$57),"")</f>
        <v/>
      </c>
      <c r="AC26" s="38" t="str">
        <f>IF(AND('Mapa final'!$AH$52="Alta",'Mapa final'!$AJ$52="Mayor"),CONCATENATE("R2C",'Mapa final'!$R$52),"")</f>
        <v/>
      </c>
      <c r="AD26" s="39" t="str">
        <f>IF(AND('Mapa final'!$AH$53="Alta",'Mapa final'!$AJ$53="Mayor"),CONCATENATE("R2C",'Mapa final'!$R$53),"")</f>
        <v/>
      </c>
      <c r="AE26" s="39" t="str">
        <f>IF(AND('Mapa final'!$AH$54="Alta",'Mapa final'!$AJ$54="Mayor"),CONCATENATE("R2C",'Mapa final'!$R$54),"")</f>
        <v/>
      </c>
      <c r="AF26" s="39" t="str">
        <f>IF(AND('Mapa final'!$AH$55="Alta",'Mapa final'!$AJ$55="Mayor"),CONCATENATE("R2C",'Mapa final'!$R$55),"")</f>
        <v/>
      </c>
      <c r="AG26" s="39" t="str">
        <f>IF(AND('Mapa final'!$AH$56="Alta",'Mapa final'!$AJ$56="Mayor"),CONCATENATE("R2C",'Mapa final'!$R$56),"")</f>
        <v/>
      </c>
      <c r="AH26" s="40" t="str">
        <f>IF(AND('Mapa final'!$AH$57="Alta",'Mapa final'!$AJ$57="Mayor"),CONCATENATE("R2C",'Mapa final'!$R$57),"")</f>
        <v/>
      </c>
      <c r="AI26" s="41" t="str">
        <f>IF(AND('Mapa final'!$AH$52="Alta",'Mapa final'!$AJ$52="Catastrófico"),CONCATENATE("R2C",'Mapa final'!$R$52),"")</f>
        <v/>
      </c>
      <c r="AJ26" s="42" t="str">
        <f>IF(AND('Mapa final'!$AH$53="Alta",'Mapa final'!$AJ$53="Catastrófico"),CONCATENATE("R2C",'Mapa final'!$R$53),"")</f>
        <v/>
      </c>
      <c r="AK26" s="42" t="str">
        <f>IF(AND('Mapa final'!$AH$54="Alta",'Mapa final'!$AJ$54="Catastrófico"),CONCATENATE("R2C",'Mapa final'!$R$54),"")</f>
        <v/>
      </c>
      <c r="AL26" s="42" t="str">
        <f>IF(AND('Mapa final'!$AH$55="Alta",'Mapa final'!$AJ$55="Catastrófico"),CONCATENATE("R2C",'Mapa final'!$R$55),"")</f>
        <v/>
      </c>
      <c r="AM26" s="42" t="str">
        <f>IF(AND('Mapa final'!$AH$56="Alta",'Mapa final'!$AJ$56="Catastrófico"),CONCATENATE("R2C",'Mapa final'!$R$56),"")</f>
        <v/>
      </c>
      <c r="AN26" s="43" t="str">
        <f>IF(AND('Mapa final'!$AH$57="Alta",'Mapa final'!$AJ$57="Catastrófico"),CONCATENATE("R2C",'Mapa final'!$R$57),"")</f>
        <v/>
      </c>
      <c r="AO26" s="68"/>
      <c r="AP26" s="526"/>
      <c r="AQ26" s="527"/>
      <c r="AR26" s="527"/>
      <c r="AS26" s="527"/>
      <c r="AT26" s="527"/>
      <c r="AU26" s="52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27"/>
      <c r="D27" s="427"/>
      <c r="E27" s="428"/>
      <c r="F27" s="517"/>
      <c r="G27" s="518"/>
      <c r="H27" s="518"/>
      <c r="I27" s="518"/>
      <c r="J27" s="518"/>
      <c r="K27" s="53" t="str">
        <f>IF(AND('Mapa final'!$AH$58="Alta",'Mapa final'!$AJ$58="Leve"),CONCATENATE("R2C",'Mapa final'!$R$58),"")</f>
        <v/>
      </c>
      <c r="L27" s="54" t="str">
        <f>IF(AND('Mapa final'!$AH$59="Alta",'Mapa final'!$AJ$59="Leve"),CONCATENATE("R2C",'Mapa final'!$R$59),"")</f>
        <v/>
      </c>
      <c r="M27" s="54" t="str">
        <f>IF(AND('Mapa final'!$AH$60="Alta",'Mapa final'!$AJ$60="Leve"),CONCATENATE("R2C",'Mapa final'!$R$60),"")</f>
        <v/>
      </c>
      <c r="N27" s="54" t="e">
        <f>IF(AND('Mapa final'!#REF!="Alta",'Mapa final'!#REF!="Leve"),CONCATENATE("R2C",'Mapa final'!#REF!),"")</f>
        <v>#REF!</v>
      </c>
      <c r="O27" s="54" t="str">
        <f>IF(AND('Mapa final'!$AH$62="Alta",'Mapa final'!$AJ$62="Leve"),CONCATENATE("R2C",'Mapa final'!$R$62),"")</f>
        <v/>
      </c>
      <c r="P27" s="55" t="str">
        <f>IF(AND('Mapa final'!$AH$73="Alta",'Mapa final'!$AJ$63="Leve"),CONCATENATE("R2C",'Mapa final'!$R$63),"")</f>
        <v/>
      </c>
      <c r="Q27" s="53" t="str">
        <f>IF(AND('Mapa final'!$AH$58="Alta",'Mapa final'!$AJ$58="Menor"),CONCATENATE("R2C",'Mapa final'!$R$58),"")</f>
        <v/>
      </c>
      <c r="R27" s="54" t="str">
        <f>IF(AND('Mapa final'!$AH$59="Alta",'Mapa final'!$AJ$59="Menor"),CONCATENATE("R2C",'Mapa final'!$R$59),"")</f>
        <v/>
      </c>
      <c r="S27" s="54" t="str">
        <f>IF(AND('Mapa final'!$AH$60="Alta",'Mapa final'!$AJ$60="Menor"),CONCATENATE("R2C",'Mapa final'!$R$60),"")</f>
        <v/>
      </c>
      <c r="T27" s="54" t="str">
        <f>IF(AND('Mapa final'!$AH$61="Alta",'Mapa final'!$AJ$61="Menor"),CONCATENATE("R2C",'Mapa final'!$R$61),"")</f>
        <v/>
      </c>
      <c r="U27" s="54" t="str">
        <f>IF(AND('Mapa final'!$AH$62="Alta",'Mapa final'!$AJ$62="Menor"),CONCATENATE("R2C",'Mapa final'!$R$62),"")</f>
        <v/>
      </c>
      <c r="V27" s="55" t="str">
        <f>IF(AND('Mapa final'!$AH$73="Alta",'Mapa final'!$AJ$63="Menor"),CONCATENATE("R2C",'Mapa final'!$R$63),"")</f>
        <v/>
      </c>
      <c r="W27" s="38" t="str">
        <f>IF(AND('Mapa final'!$AH$58="Alta",'Mapa final'!$AJ$58="Moderado"),CONCATENATE("R2C",'Mapa final'!$R$58),"")</f>
        <v/>
      </c>
      <c r="X27" s="39" t="str">
        <f>IF(AND('Mapa final'!$AH$59="Alta",'Mapa final'!$AJ$59="Moderado"),CONCATENATE("R2C",'Mapa final'!$R$59),"")</f>
        <v/>
      </c>
      <c r="Y27" s="39" t="str">
        <f>IF(AND('Mapa final'!$AH$60="Alta",'Mapa final'!$AJ$60="Moderado"),CONCATENATE("R2C",'Mapa final'!$R$60),"")</f>
        <v/>
      </c>
      <c r="Z27" s="39" t="str">
        <f>IF(AND('Mapa final'!$AH$61="Alta",'Mapa final'!$AJ$61="Moderado"),CONCATENATE("R2C",'Mapa final'!$R$61),"")</f>
        <v/>
      </c>
      <c r="AA27" s="39" t="str">
        <f>IF(AND('Mapa final'!$AH$62="Alta",'Mapa final'!$AJ$62="Moderado"),CONCATENATE("R2C",'Mapa final'!$R$62),"")</f>
        <v/>
      </c>
      <c r="AB27" s="40" t="str">
        <f>IF(AND('Mapa final'!$AH$73="Alta",'Mapa final'!$AJ$63="Moderado"),CONCATENATE("R2C",'Mapa final'!$R$63),"")</f>
        <v/>
      </c>
      <c r="AC27" s="38" t="str">
        <f>IF(AND('Mapa final'!$AH$58="Alta",'Mapa final'!$AJ$58="Mayor"),CONCATENATE("R2C",'Mapa final'!$R$58),"")</f>
        <v/>
      </c>
      <c r="AD27" s="39" t="str">
        <f>IF(AND('Mapa final'!$AH$59="Alta",'Mapa final'!$AJ$59="Mayor"),CONCATENATE("R2C",'Mapa final'!$R$59),"")</f>
        <v/>
      </c>
      <c r="AE27" s="39" t="str">
        <f>IF(AND('Mapa final'!$AH$60="Alta",'Mapa final'!$AJ$60="Mayor"),CONCATENATE("R2C",'Mapa final'!$R$60),"")</f>
        <v/>
      </c>
      <c r="AF27" s="39" t="str">
        <f>IF(AND('Mapa final'!$AH$61="Alta",'Mapa final'!$AJ$61="Mayor"),CONCATENATE("R2C",'Mapa final'!$R$61),"")</f>
        <v/>
      </c>
      <c r="AG27" s="39" t="str">
        <f>IF(AND('Mapa final'!$AH$62="Alta",'Mapa final'!$AJ$62="Mayor"),CONCATENATE("R2C",'Mapa final'!$R$62),"")</f>
        <v/>
      </c>
      <c r="AH27" s="40" t="str">
        <f>IF(AND('Mapa final'!$AH$73="Alta",'Mapa final'!$AJ$63="Mayor"),CONCATENATE("R2C",'Mapa final'!$R$63),"")</f>
        <v/>
      </c>
      <c r="AI27" s="41" t="str">
        <f>IF(AND('Mapa final'!$AH$58="Alta",'Mapa final'!$AJ$58="Catastrófico"),CONCATENATE("R2C",'Mapa final'!$R$58),"")</f>
        <v/>
      </c>
      <c r="AJ27" s="42" t="str">
        <f>IF(AND('Mapa final'!$AH$59="Alta",'Mapa final'!$AJ$59="Catastrófico"),CONCATENATE("R2C",'Mapa final'!$R$59),"")</f>
        <v/>
      </c>
      <c r="AK27" s="42" t="str">
        <f>IF(AND('Mapa final'!$AH$60="Alta",'Mapa final'!$AJ$60="Catastrófico"),CONCATENATE("R2C",'Mapa final'!$R$60),"")</f>
        <v/>
      </c>
      <c r="AL27" s="42" t="str">
        <f>IF(AND('Mapa final'!$AH$61="Alta",'Mapa final'!$AJ$61="Catastrófico"),CONCATENATE("R2C",'Mapa final'!$R$61),"")</f>
        <v/>
      </c>
      <c r="AM27" s="42" t="str">
        <f>IF(AND('Mapa final'!$AH$62="Alta",'Mapa final'!$AJ$62="Catastrófico"),CONCATENATE("R2C",'Mapa final'!$R$62),"")</f>
        <v/>
      </c>
      <c r="AN27" s="43" t="str">
        <f>IF(AND('Mapa final'!$AH$73="Alta",'Mapa final'!$AJ$63="Catastrófico"),CONCATENATE("R2C",'Mapa final'!$R$63),"")</f>
        <v/>
      </c>
      <c r="AO27" s="68"/>
      <c r="AP27" s="526"/>
      <c r="AQ27" s="527"/>
      <c r="AR27" s="527"/>
      <c r="AS27" s="527"/>
      <c r="AT27" s="527"/>
      <c r="AU27" s="52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27"/>
      <c r="D28" s="427"/>
      <c r="E28" s="428"/>
      <c r="F28" s="517"/>
      <c r="G28" s="518"/>
      <c r="H28" s="518"/>
      <c r="I28" s="518"/>
      <c r="J28" s="518"/>
      <c r="K28" s="53" t="str">
        <f>IF(AND('Mapa final'!$AH$64="Alta",'Mapa final'!$AJ$64="Leve"),CONCATENATE("R2C",'Mapa final'!$R$64),"")</f>
        <v/>
      </c>
      <c r="L28" s="54" t="str">
        <f>IF(AND('Mapa final'!$AH$65="Alta",'Mapa final'!$AJ$65="Leve"),CONCATENATE("R2C",'Mapa final'!$R$65),"")</f>
        <v/>
      </c>
      <c r="M28" s="54" t="str">
        <f>IF(AND('Mapa final'!$AH$66="Alta",'Mapa final'!$AJ$66="Leve"),CONCATENATE("R2C",'Mapa final'!$R$66),"")</f>
        <v/>
      </c>
      <c r="N28" s="54" t="e">
        <f>IF(AND('Mapa final'!#REF!="Alta",'Mapa final'!#REF!="Leve"),CONCATENATE("R2C",'Mapa final'!#REF!),"")</f>
        <v>#REF!</v>
      </c>
      <c r="O28" s="54" t="str">
        <f>IF(AND('Mapa final'!$AH$68="Alta",'Mapa final'!$AJ$68="Leve"),CONCATENATE("R2C",'Mapa final'!$R$68),"")</f>
        <v/>
      </c>
      <c r="P28" s="55" t="str">
        <f>IF(AND('Mapa final'!$AH$69="Alta",'Mapa final'!$AJ$69="Leve"),CONCATENATE("R2C",'Mapa final'!$R$69),"")</f>
        <v/>
      </c>
      <c r="Q28" s="53" t="str">
        <f>IF(AND('Mapa final'!$AH$64="Alta",'Mapa final'!$AJ$64="Menor"),CONCATENATE("R2C",'Mapa final'!$R$64),"")</f>
        <v/>
      </c>
      <c r="R28" s="54" t="str">
        <f>IF(AND('Mapa final'!$AH$65="Alta",'Mapa final'!$AJ$65="Menor"),CONCATENATE("R2C",'Mapa final'!$R$65),"")</f>
        <v/>
      </c>
      <c r="S28" s="54" t="str">
        <f>IF(AND('Mapa final'!$AH$66="Alta",'Mapa final'!$AJ$66="Menor"),CONCATENATE("R2C",'Mapa final'!$R$66),"")</f>
        <v/>
      </c>
      <c r="T28" s="54" t="str">
        <f>IF(AND('Mapa final'!$AH$67="Alta",'Mapa final'!$AJ$67="Menor"),CONCATENATE("R2C",'Mapa final'!$R$67),"")</f>
        <v/>
      </c>
      <c r="U28" s="54" t="str">
        <f>IF(AND('Mapa final'!$AH$68="Alta",'Mapa final'!$AJ$68="Menor"),CONCATENATE("R2C",'Mapa final'!$R$68),"")</f>
        <v/>
      </c>
      <c r="V28" s="55" t="str">
        <f>IF(AND('Mapa final'!$AH$69="Alta",'Mapa final'!$AJ$69="Menor"),CONCATENATE("R2C",'Mapa final'!$R$69),"")</f>
        <v/>
      </c>
      <c r="W28" s="38" t="str">
        <f>IF(AND('Mapa final'!$AH$64="Alta",'Mapa final'!$AJ$64="Moderado"),CONCATENATE("R2C",'Mapa final'!$R$64),"")</f>
        <v/>
      </c>
      <c r="X28" s="39" t="str">
        <f>IF(AND('Mapa final'!$AH$65="Alta",'Mapa final'!$AJ$65="Moderado"),CONCATENATE("R2C",'Mapa final'!$R$65),"")</f>
        <v/>
      </c>
      <c r="Y28" s="39" t="str">
        <f>IF(AND('Mapa final'!$AH$66="Alta",'Mapa final'!$AJ$66="Moderado"),CONCATENATE("R2C",'Mapa final'!$R$66),"")</f>
        <v/>
      </c>
      <c r="Z28" s="39" t="str">
        <f>IF(AND('Mapa final'!$AH$67="Alta",'Mapa final'!$AJ$67="Moderado"),CONCATENATE("R2C",'Mapa final'!$R$67),"")</f>
        <v/>
      </c>
      <c r="AA28" s="39" t="str">
        <f>IF(AND('Mapa final'!$AH$68="Alta",'Mapa final'!$AJ$68="Moderado"),CONCATENATE("R2C",'Mapa final'!$R$68),"")</f>
        <v/>
      </c>
      <c r="AB28" s="40" t="str">
        <f>IF(AND('Mapa final'!$AH$69="Alta",'Mapa final'!$AJ$69="Moderado"),CONCATENATE("R2C",'Mapa final'!$R$69),"")</f>
        <v/>
      </c>
      <c r="AC28" s="38" t="str">
        <f>IF(AND('Mapa final'!$AH$64="Alta",'Mapa final'!$AJ$64="Mayor"),CONCATENATE("R2C",'Mapa final'!$R$64),"")</f>
        <v/>
      </c>
      <c r="AD28" s="39" t="str">
        <f>IF(AND('Mapa final'!$AH$65="Alta",'Mapa final'!$AJ$65="Mayor"),CONCATENATE("R2C",'Mapa final'!$R$65),"")</f>
        <v/>
      </c>
      <c r="AE28" s="39" t="str">
        <f>IF(AND('Mapa final'!$AH$66="Alta",'Mapa final'!$AJ$66="Mayor"),CONCATENATE("R2C",'Mapa final'!$R$66),"")</f>
        <v/>
      </c>
      <c r="AF28" s="39" t="str">
        <f>IF(AND('Mapa final'!$AH$67="Alta",'Mapa final'!$AJ$67="Mayor"),CONCATENATE("R2C",'Mapa final'!$R$67),"")</f>
        <v/>
      </c>
      <c r="AG28" s="39" t="str">
        <f>IF(AND('Mapa final'!$AH$68="Alta",'Mapa final'!$AJ$68="Mayor"),CONCATENATE("R2C",'Mapa final'!$R$68),"")</f>
        <v/>
      </c>
      <c r="AH28" s="40" t="str">
        <f>IF(AND('Mapa final'!$AH$69="Alta",'Mapa final'!$AJ$69="Mayor"),CONCATENATE("R2C",'Mapa final'!$R$69),"")</f>
        <v/>
      </c>
      <c r="AI28" s="41" t="str">
        <f>IF(AND('Mapa final'!$AH$64="Alta",'Mapa final'!$AJ$64="Catastrófico"),CONCATENATE("R2C",'Mapa final'!$R$64),"")</f>
        <v/>
      </c>
      <c r="AJ28" s="42" t="str">
        <f>IF(AND('Mapa final'!$AH$65="Alta",'Mapa final'!$AJ$65="Catastrófico"),CONCATENATE("R2C",'Mapa final'!$R$65),"")</f>
        <v/>
      </c>
      <c r="AK28" s="42" t="str">
        <f>IF(AND('Mapa final'!$AH$66="Alta",'Mapa final'!$AJ$66="Catastrófico"),CONCATENATE("R2C",'Mapa final'!$R$66),"")</f>
        <v/>
      </c>
      <c r="AL28" s="42" t="str">
        <f>IF(AND('Mapa final'!$AH$67="Alta",'Mapa final'!$AJ$67="Catastrófico"),CONCATENATE("R2C",'Mapa final'!$R$67),"")</f>
        <v/>
      </c>
      <c r="AM28" s="42" t="str">
        <f>IF(AND('Mapa final'!$AH$68="Alta",'Mapa final'!$AJ$68="Catastrófico"),CONCATENATE("R2C",'Mapa final'!$R$68),"")</f>
        <v/>
      </c>
      <c r="AN28" s="43" t="str">
        <f>IF(AND('Mapa final'!$AH$69="Alta",'Mapa final'!$AJ$69="Catastrófico"),CONCATENATE("R2C",'Mapa final'!$R$69),"")</f>
        <v/>
      </c>
      <c r="AO28" s="68"/>
      <c r="AP28" s="526"/>
      <c r="AQ28" s="527"/>
      <c r="AR28" s="527"/>
      <c r="AS28" s="527"/>
      <c r="AT28" s="527"/>
      <c r="AU28" s="52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27"/>
      <c r="D29" s="427"/>
      <c r="E29" s="428"/>
      <c r="F29" s="517"/>
      <c r="G29" s="518"/>
      <c r="H29" s="518"/>
      <c r="I29" s="518"/>
      <c r="J29" s="518"/>
      <c r="K29" s="53" t="str">
        <f>IF(AND('Mapa final'!$AH$70="Alta",'Mapa final'!$AJ$70="Leve"),CONCATENATE("R2C",'Mapa final'!$R$70),"")</f>
        <v/>
      </c>
      <c r="L29" s="54" t="str">
        <f>IF(AND('Mapa final'!$AH$71="Alta",'Mapa final'!$AJ$71="Leve"),CONCATENATE("R2C",'Mapa final'!$R$71),"")</f>
        <v/>
      </c>
      <c r="M29" s="54" t="str">
        <f>IF(AND('Mapa final'!$AH$72="Alta",'Mapa final'!$AJ$72="Leve"),CONCATENATE("R2C",'Mapa final'!$R$72),"")</f>
        <v/>
      </c>
      <c r="N29" s="54" t="e">
        <f>IF(AND('Mapa final'!#REF!="Alta",'Mapa final'!#REF!="Leve"),CONCATENATE("R2C",'Mapa final'!#REF!),"")</f>
        <v>#REF!</v>
      </c>
      <c r="O29" s="54" t="str">
        <f>IF(AND('Mapa final'!$AH$74="Alta",'Mapa final'!$AJ$74="Leve"),CONCATENATE("R2C",'Mapa final'!$R$74),"")</f>
        <v/>
      </c>
      <c r="P29" s="55" t="str">
        <f>IF(AND('Mapa final'!$AH$75="Alta",'Mapa final'!$AJ$75="Leve"),CONCATENATE("R2C",'Mapa final'!$R$75),"")</f>
        <v/>
      </c>
      <c r="Q29" s="53" t="str">
        <f>IF(AND('Mapa final'!$AH$70="Alta",'Mapa final'!$AJ$70="Menor"),CONCATENATE("R2C",'Mapa final'!$R$70),"")</f>
        <v/>
      </c>
      <c r="R29" s="54" t="str">
        <f>IF(AND('Mapa final'!$AH$71="Alta",'Mapa final'!$AJ$71="Menor"),CONCATENATE("R2C",'Mapa final'!$R$71),"")</f>
        <v/>
      </c>
      <c r="S29" s="54" t="str">
        <f>IF(AND('Mapa final'!$AH$72="Alta",'Mapa final'!$AJ$72="Menor"),CONCATENATE("R2C",'Mapa final'!$R$72),"")</f>
        <v/>
      </c>
      <c r="T29" s="54" t="str">
        <f>IF(AND('Mapa final'!$AH$73="Alta",'Mapa final'!$AJ$73="Menor"),CONCATENATE("R2C",'Mapa final'!$R$73),"")</f>
        <v/>
      </c>
      <c r="U29" s="54" t="str">
        <f>IF(AND('Mapa final'!$AH$74="Alta",'Mapa final'!$AJ$74="Menor"),CONCATENATE("R2C",'Mapa final'!$R$74),"")</f>
        <v/>
      </c>
      <c r="V29" s="55" t="str">
        <f>IF(AND('Mapa final'!$AH$75="Alta",'Mapa final'!$AJ$75="Menor"),CONCATENATE("R2C",'Mapa final'!$R$75),"")</f>
        <v/>
      </c>
      <c r="W29" s="38" t="str">
        <f>IF(AND('Mapa final'!$AH$70="Alta",'Mapa final'!$AJ$70="Moderado"),CONCATENATE("R2C",'Mapa final'!$R$70),"")</f>
        <v/>
      </c>
      <c r="X29" s="39" t="str">
        <f>IF(AND('Mapa final'!$AH$71="Alta",'Mapa final'!$AJ$71="Moderado"),CONCATENATE("R2C",'Mapa final'!$R$71),"")</f>
        <v/>
      </c>
      <c r="Y29" s="39" t="str">
        <f>IF(AND('Mapa final'!$AH$72="Alta",'Mapa final'!$AJ$72="Moderado"),CONCATENATE("R2C",'Mapa final'!$R$72),"")</f>
        <v/>
      </c>
      <c r="Z29" s="39" t="str">
        <f>IF(AND('Mapa final'!$AH$73="Alta",'Mapa final'!$AJ$73="Moderado"),CONCATENATE("R2C",'Mapa final'!$R$73),"")</f>
        <v/>
      </c>
      <c r="AA29" s="39" t="str">
        <f>IF(AND('Mapa final'!$AH$74="Alta",'Mapa final'!$AJ$74="Moderado"),CONCATENATE("R2C",'Mapa final'!$R$74),"")</f>
        <v/>
      </c>
      <c r="AB29" s="40" t="str">
        <f>IF(AND('Mapa final'!$AH$75="Alta",'Mapa final'!$AJ$75="Moderado"),CONCATENATE("R2C",'Mapa final'!$R$75),"")</f>
        <v/>
      </c>
      <c r="AC29" s="38" t="str">
        <f>IF(AND('Mapa final'!$AH$70="Alta",'Mapa final'!$AJ$70="Mayor"),CONCATENATE("R2C",'Mapa final'!$R$70),"")</f>
        <v/>
      </c>
      <c r="AD29" s="39" t="str">
        <f>IF(AND('Mapa final'!$AH$71="Alta",'Mapa final'!$AJ$71="Mayor"),CONCATENATE("R2C",'Mapa final'!$R$71),"")</f>
        <v/>
      </c>
      <c r="AE29" s="39" t="str">
        <f>IF(AND('Mapa final'!$AH$72="Alta",'Mapa final'!$AJ$72="Mayor"),CONCATENATE("R2C",'Mapa final'!$R$72),"")</f>
        <v/>
      </c>
      <c r="AF29" s="39" t="str">
        <f>IF(AND('Mapa final'!$AH$73="Alta",'Mapa final'!$AJ$73="Mayor"),CONCATENATE("R2C",'Mapa final'!$R$73),"")</f>
        <v/>
      </c>
      <c r="AG29" s="39" t="str">
        <f>IF(AND('Mapa final'!$AH$74="Alta",'Mapa final'!$AJ$74="Mayor"),CONCATENATE("R2C",'Mapa final'!$R$74),"")</f>
        <v/>
      </c>
      <c r="AH29" s="40" t="str">
        <f>IF(AND('Mapa final'!$AH$75="Alta",'Mapa final'!$AJ$75="Mayor"),CONCATENATE("R2C",'Mapa final'!$R$75),"")</f>
        <v/>
      </c>
      <c r="AI29" s="41" t="str">
        <f>IF(AND('Mapa final'!$AH$70="Alta",'Mapa final'!$AJ$70="Catastrófico"),CONCATENATE("R2C",'Mapa final'!$R$70),"")</f>
        <v/>
      </c>
      <c r="AJ29" s="42" t="str">
        <f>IF(AND('Mapa final'!$AH$71="Alta",'Mapa final'!$AJ$71="Catastrófico"),CONCATENATE("R2C",'Mapa final'!$R$71),"")</f>
        <v/>
      </c>
      <c r="AK29" s="42" t="str">
        <f>IF(AND('Mapa final'!$AH$72="Alta",'Mapa final'!$AJ$72="Catastrófico"),CONCATENATE("R2C",'Mapa final'!$R$72),"")</f>
        <v/>
      </c>
      <c r="AL29" s="42" t="str">
        <f>IF(AND('Mapa final'!$AH$73="Alta",'Mapa final'!$AJ$73="Catastrófico"),CONCATENATE("R2C",'Mapa final'!$R$73),"")</f>
        <v/>
      </c>
      <c r="AM29" s="42" t="str">
        <f>IF(AND('Mapa final'!$AH$74="Alta",'Mapa final'!$AJ$74="Catastrófico"),CONCATENATE("R2C",'Mapa final'!$R$74),"")</f>
        <v/>
      </c>
      <c r="AN29" s="43" t="str">
        <f>IF(AND('Mapa final'!$AH$75="Alta",'Mapa final'!$AJ$75="Catastrófico"),CONCATENATE("R2C",'Mapa final'!$R$75),"")</f>
        <v/>
      </c>
      <c r="AO29" s="68"/>
      <c r="AP29" s="526"/>
      <c r="AQ29" s="527"/>
      <c r="AR29" s="527"/>
      <c r="AS29" s="527"/>
      <c r="AT29" s="527"/>
      <c r="AU29" s="52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27"/>
      <c r="D30" s="427"/>
      <c r="E30" s="428"/>
      <c r="F30" s="517"/>
      <c r="G30" s="518"/>
      <c r="H30" s="518"/>
      <c r="I30" s="518"/>
      <c r="J30" s="518"/>
      <c r="K30" s="53" t="str">
        <f>IF(AND('Mapa final'!$AH$76="Alta",'Mapa final'!$AJ$76="Leve"),CONCATENATE("R2C",'Mapa final'!$R$76),"")</f>
        <v/>
      </c>
      <c r="L30" s="54" t="str">
        <f>IF(AND('Mapa final'!$AH$77="Alta",'Mapa final'!$AJ$77="Leve"),CONCATENATE("R2C",'Mapa final'!$R$77),"")</f>
        <v/>
      </c>
      <c r="M30" s="54" t="str">
        <f>IF(AND('Mapa final'!$AH$78="Alta",'Mapa final'!$AJ$78="Leve"),CONCATENATE("R2C",'Mapa final'!$R$78),"")</f>
        <v/>
      </c>
      <c r="N30" s="54" t="e">
        <f>IF(AND('Mapa final'!#REF!="Alta",'Mapa final'!#REF!="Leve"),CONCATENATE("R2C",'Mapa final'!#REF!),"")</f>
        <v>#REF!</v>
      </c>
      <c r="O30" s="54" t="str">
        <f>IF(AND('Mapa final'!$AH$80="Alta",'Mapa final'!$AJ$80="Leve"),CONCATENATE("R2C",'Mapa final'!$R$80),"")</f>
        <v/>
      </c>
      <c r="P30" s="55" t="str">
        <f>IF(AND('Mapa final'!$AH$81="Alta",'Mapa final'!$AJ$81="Leve"),CONCATENATE("R2C",'Mapa final'!$R$81),"")</f>
        <v/>
      </c>
      <c r="Q30" s="53" t="str">
        <f>IF(AND('Mapa final'!$AH$76="Alta",'Mapa final'!$AJ$76="Menor"),CONCATENATE("R2C",'Mapa final'!$R$76),"")</f>
        <v/>
      </c>
      <c r="R30" s="54" t="str">
        <f>IF(AND('Mapa final'!$AH$77="Alta",'Mapa final'!$AJ$77="Menor"),CONCATENATE("R2C",'Mapa final'!$R$77),"")</f>
        <v/>
      </c>
      <c r="S30" s="54" t="str">
        <f>IF(AND('Mapa final'!$AH$78="Alta",'Mapa final'!$AJ$78="Menor"),CONCATENATE("R2C",'Mapa final'!$R$78),"")</f>
        <v/>
      </c>
      <c r="T30" s="54" t="str">
        <f>IF(AND('Mapa final'!$AH$79="Alta",'Mapa final'!$AJ$79="Menor"),CONCATENATE("R2C",'Mapa final'!$R$79),"")</f>
        <v/>
      </c>
      <c r="U30" s="54" t="str">
        <f>IF(AND('Mapa final'!$AH$80="Alta",'Mapa final'!$AJ$80="Menor"),CONCATENATE("R2C",'Mapa final'!$R$80),"")</f>
        <v/>
      </c>
      <c r="V30" s="55" t="str">
        <f>IF(AND('Mapa final'!$AH$81="Alta",'Mapa final'!$AJ$81="Menor"),CONCATENATE("R2C",'Mapa final'!$R$81),"")</f>
        <v/>
      </c>
      <c r="W30" s="38" t="str">
        <f>IF(AND('Mapa final'!$AH$76="Alta",'Mapa final'!$AJ$76="Moderado"),CONCATENATE("R2C",'Mapa final'!$R$76),"")</f>
        <v/>
      </c>
      <c r="X30" s="39" t="str">
        <f>IF(AND('Mapa final'!$AH$77="Alta",'Mapa final'!$AJ$77="Moderado"),CONCATENATE("R2C",'Mapa final'!$R$77),"")</f>
        <v/>
      </c>
      <c r="Y30" s="39" t="str">
        <f>IF(AND('Mapa final'!$AH$78="Alta",'Mapa final'!$AJ$78="Moderado"),CONCATENATE("R2C",'Mapa final'!$R$78),"")</f>
        <v/>
      </c>
      <c r="Z30" s="39" t="str">
        <f>IF(AND('Mapa final'!$AH$79="Alta",'Mapa final'!$AJ$79="Moderado"),CONCATENATE("R2C",'Mapa final'!$R$79),"")</f>
        <v/>
      </c>
      <c r="AA30" s="39" t="str">
        <f>IF(AND('Mapa final'!$AH$80="Alta",'Mapa final'!$AJ$80="Moderado"),CONCATENATE("R2C",'Mapa final'!$R$80),"")</f>
        <v/>
      </c>
      <c r="AB30" s="40" t="str">
        <f>IF(AND('Mapa final'!$AH$81="Alta",'Mapa final'!$AJ$81="Moderado"),CONCATENATE("R2C",'Mapa final'!$R$81),"")</f>
        <v/>
      </c>
      <c r="AC30" s="38" t="str">
        <f>IF(AND('Mapa final'!$AH$76="Alta",'Mapa final'!$AJ$76="Mayor"),CONCATENATE("R2C",'Mapa final'!$R$76),"")</f>
        <v/>
      </c>
      <c r="AD30" s="39" t="str">
        <f>IF(AND('Mapa final'!$AH$77="Alta",'Mapa final'!$AJ$77="Mayor"),CONCATENATE("R2C",'Mapa final'!$R$77),"")</f>
        <v/>
      </c>
      <c r="AE30" s="39" t="str">
        <f>IF(AND('Mapa final'!$AH$78="Alta",'Mapa final'!$AJ$78="Mayor"),CONCATENATE("R2C",'Mapa final'!$R$78),"")</f>
        <v/>
      </c>
      <c r="AF30" s="39" t="str">
        <f>IF(AND('Mapa final'!$AH$79="Alta",'Mapa final'!$AJ$79="Mayor"),CONCATENATE("R2C",'Mapa final'!$R$79),"")</f>
        <v/>
      </c>
      <c r="AG30" s="39" t="str">
        <f>IF(AND('Mapa final'!$AH$80="Alta",'Mapa final'!$AJ$80="Mayor"),CONCATENATE("R2C",'Mapa final'!$R$80),"")</f>
        <v/>
      </c>
      <c r="AH30" s="40" t="str">
        <f>IF(AND('Mapa final'!$AH$81="Alta",'Mapa final'!$AJ$81="Mayor"),CONCATENATE("R2C",'Mapa final'!$R$81),"")</f>
        <v/>
      </c>
      <c r="AI30" s="41" t="str">
        <f>IF(AND('Mapa final'!$AH$76="Alta",'Mapa final'!$AJ$76="Catastrófico"),CONCATENATE("R2C",'Mapa final'!$R$76),"")</f>
        <v/>
      </c>
      <c r="AJ30" s="42" t="str">
        <f>IF(AND('Mapa final'!$AH$77="Alta",'Mapa final'!$AJ$77="Catastrófico"),CONCATENATE("R2C",'Mapa final'!$R$77),"")</f>
        <v/>
      </c>
      <c r="AK30" s="42" t="str">
        <f>IF(AND('Mapa final'!$AH$78="Alta",'Mapa final'!$AJ$78="Catastrófico"),CONCATENATE("R2C",'Mapa final'!$R$78),"")</f>
        <v/>
      </c>
      <c r="AL30" s="42" t="str">
        <f>IF(AND('Mapa final'!$AH$79="Alta",'Mapa final'!$AJ$79="Catastrófico"),CONCATENATE("R2C",'Mapa final'!$R$79),"")</f>
        <v/>
      </c>
      <c r="AM30" s="42" t="str">
        <f>IF(AND('Mapa final'!$AH$80="Alta",'Mapa final'!$AJ$80="Catastrófico"),CONCATENATE("R2C",'Mapa final'!$R$80),"")</f>
        <v/>
      </c>
      <c r="AN30" s="43" t="str">
        <f>IF(AND('Mapa final'!$AH$81="Alta",'Mapa final'!$AJ$81="Catastrófico"),CONCATENATE("R2C",'Mapa final'!$R$81),"")</f>
        <v/>
      </c>
      <c r="AO30" s="68"/>
      <c r="AP30" s="526"/>
      <c r="AQ30" s="527"/>
      <c r="AR30" s="527"/>
      <c r="AS30" s="527"/>
      <c r="AT30" s="527"/>
      <c r="AU30" s="52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27"/>
      <c r="D31" s="427"/>
      <c r="E31" s="428"/>
      <c r="F31" s="520"/>
      <c r="G31" s="521"/>
      <c r="H31" s="521"/>
      <c r="I31" s="521"/>
      <c r="J31" s="521"/>
      <c r="K31" s="56" t="str">
        <f>IF(AND('Mapa final'!$AH$82="Alta",'Mapa final'!$AJ$82="Leve"),CONCATENATE("R2C",'Mapa final'!$R$82),"")</f>
        <v/>
      </c>
      <c r="L31" s="57" t="str">
        <f>IF(AND('Mapa final'!$AH$83="Alta",'Mapa final'!$AJ$83="Leve"),CONCATENATE("R2C",'Mapa final'!$R$83),"")</f>
        <v/>
      </c>
      <c r="M31" s="57" t="str">
        <f>IF(AND('Mapa final'!$AH$84="Alta",'Mapa final'!$AJ$84="Leve"),CONCATENATE("R2C",'Mapa final'!$R$84),"")</f>
        <v/>
      </c>
      <c r="N31" s="54" t="e">
        <f>IF(AND('Mapa final'!#REF!="Alta",'Mapa final'!#REF!="Leve"),CONCATENATE("R2C",'Mapa final'!#REF!),"")</f>
        <v>#REF!</v>
      </c>
      <c r="O31" s="57" t="str">
        <f>IF(AND('Mapa final'!$AH$87="Alta",'Mapa final'!$AJ$87="Leve"),CONCATENATE("R2C",'Mapa final'!$R$87),"")</f>
        <v/>
      </c>
      <c r="P31" s="58" t="str">
        <f>IF(AND('Mapa final'!$AH$88="Alta",'Mapa final'!$AJ$88="Leve"),CONCATENATE("R2C",'Mapa final'!$R$88),"")</f>
        <v/>
      </c>
      <c r="Q31" s="56" t="str">
        <f>IF(AND('Mapa final'!$AH$82="Alta",'Mapa final'!$AJ$82="Menor"),CONCATENATE("R2C",'Mapa final'!$R$82),"")</f>
        <v/>
      </c>
      <c r="R31" s="57" t="str">
        <f>IF(AND('Mapa final'!$AH$83="Alta",'Mapa final'!$AJ$83="Menor"),CONCATENATE("R2C",'Mapa final'!$R$83),"")</f>
        <v/>
      </c>
      <c r="S31" s="57" t="str">
        <f>IF(AND('Mapa final'!$AH$84="Alta",'Mapa final'!$AJ$84="Menor"),CONCATENATE("R2C",'Mapa final'!$R$84),"")</f>
        <v/>
      </c>
      <c r="T31" s="57" t="str">
        <f>IF(AND('Mapa final'!$AH$85="Alta",'Mapa final'!$AJ$85="Menor"),CONCATENATE("R2C",'Mapa final'!$R$85),"")</f>
        <v/>
      </c>
      <c r="U31" s="57" t="str">
        <f>IF(AND('Mapa final'!$AH$87="Alta",'Mapa final'!$AJ$87="Menor"),CONCATENATE("R2C",'Mapa final'!$R$87),"")</f>
        <v/>
      </c>
      <c r="V31" s="58" t="str">
        <f>IF(AND('Mapa final'!$AH$88="Alta",'Mapa final'!$AJ$88="Menor"),CONCATENATE("R2C",'Mapa final'!$R$88),"")</f>
        <v/>
      </c>
      <c r="W31" s="44" t="str">
        <f>IF(AND('Mapa final'!$AH$82="Alta",'Mapa final'!$AJ$82="Moderado"),CONCATENATE("R2C",'Mapa final'!$R$82),"")</f>
        <v/>
      </c>
      <c r="X31" s="45" t="str">
        <f>IF(AND('Mapa final'!$AH$83="Alta",'Mapa final'!$AJ$83="Moderado"),CONCATENATE("R2C",'Mapa final'!$R$83),"")</f>
        <v/>
      </c>
      <c r="Y31" s="45" t="str">
        <f>IF(AND('Mapa final'!$AH$84="Alta",'Mapa final'!$AJ$84="Moderado"),CONCATENATE("R2C",'Mapa final'!$R$84),"")</f>
        <v/>
      </c>
      <c r="Z31" s="45" t="str">
        <f>IF(AND('Mapa final'!$AH$85="Alta",'Mapa final'!$AJ$85="Moderado"),CONCATENATE("R2C",'Mapa final'!$R$85),"")</f>
        <v/>
      </c>
      <c r="AA31" s="45" t="str">
        <f>IF(AND('Mapa final'!$AH$87="Alta",'Mapa final'!$AJ$87="Moderado"),CONCATENATE("R2C",'Mapa final'!$R$87),"")</f>
        <v/>
      </c>
      <c r="AB31" s="46" t="str">
        <f>IF(AND('Mapa final'!$AH$88="Alta",'Mapa final'!$AJ$88="Moderado"),CONCATENATE("R2C",'Mapa final'!$R$88),"")</f>
        <v/>
      </c>
      <c r="AC31" s="44" t="str">
        <f>IF(AND('Mapa final'!$AH$82="Alta",'Mapa final'!$AJ$82="Mayor"),CONCATENATE("R2C",'Mapa final'!$R$82),"")</f>
        <v/>
      </c>
      <c r="AD31" s="45" t="str">
        <f>IF(AND('Mapa final'!$AH$83="Alta",'Mapa final'!$AJ$83="Mayor"),CONCATENATE("R2C",'Mapa final'!$R$83),"")</f>
        <v/>
      </c>
      <c r="AE31" s="45" t="str">
        <f>IF(AND('Mapa final'!$AH$84="Alta",'Mapa final'!$AJ$84="Mayor"),CONCATENATE("R2C",'Mapa final'!$R$84),"")</f>
        <v/>
      </c>
      <c r="AF31" s="45" t="str">
        <f>IF(AND('Mapa final'!$AH$85="Alta",'Mapa final'!$AJ$85="Mayor"),CONCATENATE("R2C",'Mapa final'!$R$85),"")</f>
        <v/>
      </c>
      <c r="AG31" s="45" t="str">
        <f>IF(AND('Mapa final'!$AH$87="Alta",'Mapa final'!$AJ$87="Mayor"),CONCATENATE("R2C",'Mapa final'!$R$87),"")</f>
        <v/>
      </c>
      <c r="AH31" s="46" t="str">
        <f>IF(AND('Mapa final'!$AH$88="Alta",'Mapa final'!$AJ$88="Mayor"),CONCATENATE("R2C",'Mapa final'!$R$88),"")</f>
        <v/>
      </c>
      <c r="AI31" s="47" t="str">
        <f>IF(AND('Mapa final'!$AH$82="Alta",'Mapa final'!$AJ$82="Catastrófico"),CONCATENATE("R2C",'Mapa final'!$R$82),"")</f>
        <v/>
      </c>
      <c r="AJ31" s="48" t="str">
        <f>IF(AND('Mapa final'!$AH$83="Alta",'Mapa final'!$AJ$83="Catastrófico"),CONCATENATE("R2C",'Mapa final'!$R$83),"")</f>
        <v/>
      </c>
      <c r="AK31" s="48" t="str">
        <f>IF(AND('Mapa final'!$AH$84="Alta",'Mapa final'!$AJ$84="Catastrófico"),CONCATENATE("R2C",'Mapa final'!$R$84),"")</f>
        <v/>
      </c>
      <c r="AL31" s="48" t="str">
        <f>IF(AND('Mapa final'!$AH$85="Alta",'Mapa final'!$AJ$85="Catastrófico"),CONCATENATE("R2C",'Mapa final'!$R$85),"")</f>
        <v/>
      </c>
      <c r="AM31" s="48" t="str">
        <f>IF(AND('Mapa final'!$AH$87="Alta",'Mapa final'!$AJ$87="Catastrófico"),CONCATENATE("R2C",'Mapa final'!$R$87),"")</f>
        <v/>
      </c>
      <c r="AN31" s="49" t="str">
        <f>IF(AND('Mapa final'!$AH$88="Muy Alta",'Mapa final'!$AJ$88="Catastrófico"),CONCATENATE("R2C",'Mapa final'!$R$88),"")</f>
        <v/>
      </c>
      <c r="AO31" s="68"/>
      <c r="AP31" s="529"/>
      <c r="AQ31" s="530"/>
      <c r="AR31" s="530"/>
      <c r="AS31" s="530"/>
      <c r="AT31" s="530"/>
      <c r="AU31" s="531"/>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27"/>
      <c r="D32" s="427"/>
      <c r="E32" s="428"/>
      <c r="F32" s="514" t="s">
        <v>257</v>
      </c>
      <c r="G32" s="515"/>
      <c r="H32" s="515"/>
      <c r="I32" s="515"/>
      <c r="J32" s="516"/>
      <c r="K32" s="50"/>
      <c r="L32" s="51" t="str">
        <f>IF(AND('Mapa final'!$AH$18="Media",'Mapa final'!$AJ$18="Leve"),CONCATENATE("R2C",'Mapa final'!$R$15),"")</f>
        <v/>
      </c>
      <c r="M32" s="51" t="str">
        <f>IF(AND('Mapa final'!$AH$32="Media",'Mapa final'!$AJ$32="Leve"),CONCATENATE("R2C",'Mapa final'!$R$32),"")</f>
        <v/>
      </c>
      <c r="N32" s="54" t="e">
        <f>IF(AND('Mapa final'!#REF!="Alta",'Mapa final'!#REF!="Leve"),CONCATENATE("R2C",'Mapa final'!#REF!),"")</f>
        <v>#REF!</v>
      </c>
      <c r="O32" s="51" t="e">
        <f>IF(AND('Mapa final'!#REF!="Media",'Mapa final'!#REF!="Leve"),CONCATENATE("R2C",'Mapa final'!#REF!),"")</f>
        <v>#REF!</v>
      </c>
      <c r="P32" s="52" t="e">
        <f>IF(AND('Mapa final'!#REF!="Media",'Mapa final'!#REF!="Leve"),CONCATENATE("R2C",'Mapa final'!#REF!),"")</f>
        <v>#REF!</v>
      </c>
      <c r="Q32" s="50"/>
      <c r="R32" s="51" t="str">
        <f>IF(AND('Mapa final'!$AH$18="Media",'Mapa final'!$AJ$18="Menore"),CONCATENATE("R2C",'Mapa final'!$R$15),"")</f>
        <v/>
      </c>
      <c r="S32" s="51" t="str">
        <f>IF(AND('Mapa final'!$AH$32="Media",'Mapa final'!$AJ$32="Menor"),CONCATENATE("R2C",'Mapa final'!$R$32),"")</f>
        <v/>
      </c>
      <c r="T32" s="51" t="e">
        <f>IF(AND('Mapa final'!#REF!="Media",'Mapa final'!#REF!="Menor"),CONCATENATE("R2C",'Mapa final'!#REF!),"")</f>
        <v>#REF!</v>
      </c>
      <c r="U32" s="51" t="e">
        <f>IF(AND('Mapa final'!#REF!="Media",'Mapa final'!#REF!="Menor"),CONCATENATE("R2C",'Mapa final'!#REF!),"")</f>
        <v>#REF!</v>
      </c>
      <c r="V32" s="52" t="e">
        <f>IF(AND('Mapa final'!#REF!="Media",'Mapa final'!#REF!="Menor"),CONCATENATE("R2C",'Mapa final'!#REF!),"")</f>
        <v>#REF!</v>
      </c>
      <c r="W32" s="50"/>
      <c r="X32" s="51" t="str">
        <f>IF(AND('Mapa final'!$AH$18="Media",'Mapa final'!$AJ$18="Moderado"),CONCATENATE("R2C",'Mapa final'!$R$15),"")</f>
        <v/>
      </c>
      <c r="Y32" s="51"/>
      <c r="Z32" s="51" t="e">
        <f>IF(AND('Mapa final'!#REF!="Media",'Mapa final'!#REF!="Moderado"),CONCATENATE("R2C",'Mapa final'!#REF!),"")</f>
        <v>#REF!</v>
      </c>
      <c r="AA32" s="51" t="e">
        <f>IF(AND('Mapa final'!#REF!="Media",'Mapa final'!#REF!="Moderado"),CONCATENATE("R2C",'Mapa final'!#REF!),"")</f>
        <v>#REF!</v>
      </c>
      <c r="AB32" s="52" t="e">
        <f>IF(AND('Mapa final'!#REF!="Media",'Mapa final'!#REF!="Moderado"),CONCATENATE("R2C",'Mapa final'!#REF!),"")</f>
        <v>#REF!</v>
      </c>
      <c r="AC32" s="32"/>
      <c r="AD32" s="33" t="str">
        <f>IF(AND('Mapa final'!$AH$18="Media",'Mapa final'!$AJ$18="Mayor"),CONCATENATE("R2C",'Mapa final'!$R$15),"")</f>
        <v/>
      </c>
      <c r="AE32" s="33" t="str">
        <f>IF(AND('Mapa final'!$AH$32="Media",'Mapa final'!$AJ$32="Mayor"),CONCATENATE("R2C",'Mapa final'!$R$32),"")</f>
        <v xml:space="preserve">R2C     Entre 100 y 500 SMLMV </v>
      </c>
      <c r="AF32" s="33" t="e">
        <f>IF(AND('Mapa final'!#REF!="Media",'Mapa final'!#REF!="Mayor"),CONCATENATE("R2C",'Mapa final'!#REF!),"")</f>
        <v>#REF!</v>
      </c>
      <c r="AG32" s="33" t="e">
        <f>IF(AND('Mapa final'!#REF!="Media",'Mapa final'!#REF!="Mayor"),CONCATENATE("R2C",'Mapa final'!#REF!),"")</f>
        <v>#REF!</v>
      </c>
      <c r="AH32" s="34" t="e">
        <f>IF(AND('Mapa final'!#REF!="Media",'Mapa final'!#REF!="Mayor"),CONCATENATE("R2C",'Mapa final'!#REF!),"")</f>
        <v>#REF!</v>
      </c>
      <c r="AI32" s="35"/>
      <c r="AJ32" s="36" t="str">
        <f>IF(AND('Mapa final'!$AH$18="Media",'Mapa final'!$AJ$18="Catastrófico"),CONCATENATE("R2C",'Mapa final'!$R$15),"")</f>
        <v/>
      </c>
      <c r="AK32" s="36" t="str">
        <f>IF(AND('Mapa final'!$AH$32="Media",'Mapa final'!$AJ$32="Catastrófico"),CONCATENATE("R2C",'Mapa final'!$R$32),"")</f>
        <v/>
      </c>
      <c r="AL32" s="36" t="e">
        <f>IF(AND('Mapa final'!#REF!="Media",'Mapa final'!#REF!="Catastrófico"),CONCATENATE("R2C",'Mapa final'!#REF!),"")</f>
        <v>#REF!</v>
      </c>
      <c r="AM32" s="36" t="e">
        <f>IF(AND('Mapa final'!#REF!="Media",'Mapa final'!#REF!="Catastrófico"),CONCATENATE("R2C",'Mapa final'!#REF!),"")</f>
        <v>#REF!</v>
      </c>
      <c r="AN32" s="37" t="e">
        <f>IF(AND('Mapa final'!#REF!="Media",'Mapa final'!#REF!="Catastrófico"),CONCATENATE("R2C",'Mapa final'!#REF!),"")</f>
        <v>#REF!</v>
      </c>
      <c r="AO32" s="68"/>
      <c r="AP32" s="554" t="s">
        <v>121</v>
      </c>
      <c r="AQ32" s="555"/>
      <c r="AR32" s="555"/>
      <c r="AS32" s="555"/>
      <c r="AT32" s="555"/>
      <c r="AU32" s="556"/>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27"/>
      <c r="D33" s="427"/>
      <c r="E33" s="428"/>
      <c r="F33" s="532"/>
      <c r="G33" s="518"/>
      <c r="H33" s="518"/>
      <c r="I33" s="518"/>
      <c r="J33" s="519"/>
      <c r="K33" s="53" t="e">
        <f>IF(AND('Mapa final'!#REF!="Media",'Mapa final'!#REF!="Leve"),CONCATENATE("R2C",'Mapa final'!#REF!),"")</f>
        <v>#REF!</v>
      </c>
      <c r="L33" s="54" t="e">
        <f>IF(AND('Mapa final'!#REF!="Media",'Mapa final'!#REF!="Leve"),CONCATENATE("R2C",'Mapa final'!#REF!),"")</f>
        <v>#REF!</v>
      </c>
      <c r="M33" s="54" t="str">
        <f>IF(AND('Mapa final'!$AH$36="Media",'Mapa final'!$AJ$36="Leve"),CONCATENATE("R2C",'Mapa final'!$R$36),"")</f>
        <v/>
      </c>
      <c r="N33" s="54" t="e">
        <f>IF(AND('Mapa final'!#REF!="Alta",'Mapa final'!#REF!="Leve"),CONCATENATE("R2C",'Mapa final'!#REF!),"")</f>
        <v>#REF!</v>
      </c>
      <c r="O33" s="54" t="str">
        <f>IF(AND('Mapa final'!$AH$38="Media",'Mapa final'!$AJ$38="Leve"),CONCATENATE("R2C",'Mapa final'!$R$38),"")</f>
        <v/>
      </c>
      <c r="P33" s="55" t="str">
        <f>IF(AND('Mapa final'!$AH$39="Media",'Mapa final'!$AJ$39="Leve"),CONCATENATE("R2C",'Mapa final'!$R$39),"")</f>
        <v/>
      </c>
      <c r="Q33" s="53" t="e">
        <f>IF(AND('Mapa final'!#REF!="Media",'Mapa final'!#REF!="Menor"),CONCATENATE("R2C",'Mapa final'!#REF!),"")</f>
        <v>#REF!</v>
      </c>
      <c r="R33" s="54" t="e">
        <f>IF(AND('Mapa final'!#REF!="Media",'Mapa final'!#REF!="Menor"),CONCATENATE("R2C",'Mapa final'!#REF!),"")</f>
        <v>#REF!</v>
      </c>
      <c r="S33" s="54" t="str">
        <f>IF(AND('Mapa final'!$AH$36="Media",'Mapa final'!$AJ$36="Menor"),CONCATENATE("R2C",'Mapa final'!$R$36),"")</f>
        <v/>
      </c>
      <c r="T33" s="54" t="str">
        <f>IF(AND('Mapa final'!$AH$37="Media",'Mapa final'!$AJ$37="Menor"),CONCATENATE("R2C",'Mapa final'!$R$37),"")</f>
        <v/>
      </c>
      <c r="U33" s="54" t="str">
        <f>IF(AND('Mapa final'!$AH$38="Media",'Mapa final'!$AJ$38="Menor"),CONCATENATE("R2C",'Mapa final'!$R$38),"")</f>
        <v/>
      </c>
      <c r="V33" s="55" t="str">
        <f>IF(AND('Mapa final'!$AH$39="Media",'Mapa final'!$AJ$39="Menor"),CONCATENATE("R2C",'Mapa final'!$R$39),"")</f>
        <v/>
      </c>
      <c r="W33" s="53" t="e">
        <f>IF(AND('Mapa final'!#REF!="Media",'Mapa final'!#REF!="Moderado"),CONCATENATE("R2C",'Mapa final'!#REF!),"")</f>
        <v>#REF!</v>
      </c>
      <c r="X33" s="54" t="e">
        <f>IF(AND('Mapa final'!#REF!="Media",'Mapa final'!#REF!="Moderado"),CONCATENATE("R2C",'Mapa final'!#REF!),"")</f>
        <v>#REF!</v>
      </c>
      <c r="Y33" s="54" t="str">
        <f>IF(AND('Mapa final'!$AH$36="Media",'Mapa final'!$AJ$36="Moderado"),CONCATENATE("R2C",'Mapa final'!$R$36),"")</f>
        <v/>
      </c>
      <c r="Z33" s="54" t="str">
        <f>IF(AND('Mapa final'!$AH$37="Media",'Mapa final'!$AJ$37="Moderado"),CONCATENATE("R2C",'Mapa final'!$R$37),"")</f>
        <v/>
      </c>
      <c r="AA33" s="54" t="str">
        <f>IF(AND('Mapa final'!$AH$38="Media",'Mapa final'!$AJ$38="Moderado"),CONCATENATE("R2C",'Mapa final'!$R$38),"")</f>
        <v/>
      </c>
      <c r="AB33" s="55" t="str">
        <f>IF(AND('Mapa final'!$AH$39="Media",'Mapa final'!$AJ$39="Moderado"),CONCATENATE("R2C",'Mapa final'!$R$39),"")</f>
        <v/>
      </c>
      <c r="AC33" s="38" t="e">
        <f>IF(AND('Mapa final'!#REF!="Media",'Mapa final'!#REF!="Mayor"),CONCATENATE("R2C",'Mapa final'!#REF!),"")</f>
        <v>#REF!</v>
      </c>
      <c r="AD33" s="39" t="e">
        <f>IF(AND('Mapa final'!#REF!="Muy Alta",'Mapa final'!#REF!="Mayor"),CONCATENATE("R2C",'Mapa final'!#REF!),"")</f>
        <v>#REF!</v>
      </c>
      <c r="AE33" s="39" t="str">
        <f>IF(AND('Mapa final'!$AH$36="Media",'Mapa final'!$AJ$36="Mayor"),CONCATENATE("R2C",'Mapa final'!$R$36),"")</f>
        <v/>
      </c>
      <c r="AF33" s="39" t="str">
        <f>IF(AND('Mapa final'!$AH$37="Media",'Mapa final'!$AJ$37="Mayor"),CONCATENATE("R2C",'Mapa final'!$R$37),"")</f>
        <v/>
      </c>
      <c r="AG33" s="39" t="str">
        <f>IF(AND('Mapa final'!$AH$38="Media",'Mapa final'!$AJ$38="Mayor"),CONCATENATE("R2C",'Mapa final'!$R$38),"")</f>
        <v/>
      </c>
      <c r="AH33" s="40" t="str">
        <f>IF(AND('Mapa final'!$AH$39="Media",'Mapa final'!$AJ$39="Mayor"),CONCATENATE("R2C",'Mapa final'!$R$39),"")</f>
        <v/>
      </c>
      <c r="AI33" s="41" t="e">
        <f>IF(AND('Mapa final'!#REF!="Media",'Mapa final'!#REF!="Catastrófico"),CONCATENATE("R2C",'Mapa final'!#REF!),"")</f>
        <v>#REF!</v>
      </c>
      <c r="AJ33" s="42" t="e">
        <f>IF(AND('Mapa final'!#REF!="Media",'Mapa final'!#REF!="Catastrófico"),CONCATENATE("R2C",'Mapa final'!#REF!),"")</f>
        <v>#REF!</v>
      </c>
      <c r="AK33" s="42" t="str">
        <f>IF(AND('Mapa final'!$AH$36="Media",'Mapa final'!$AJ$36="Catastrófico"),CONCATENATE("R2C",'Mapa final'!$R$36),"")</f>
        <v/>
      </c>
      <c r="AL33" s="42" t="str">
        <f>IF(AND('Mapa final'!$AH$37="Media",'Mapa final'!$AJ$37="Catastrófico"),CONCATENATE("R2C",'Mapa final'!$R$37),"")</f>
        <v/>
      </c>
      <c r="AM33" s="42" t="str">
        <f>IF(AND('Mapa final'!$AH$38="Media",'Mapa final'!$AJ$38="Catastrófico"),CONCATENATE("R2C",'Mapa final'!$R$38),"")</f>
        <v/>
      </c>
      <c r="AN33" s="43" t="str">
        <f>IF(AND('Mapa final'!$AH$39="Media",'Mapa final'!$AJ$39="Catastrófico"),CONCATENATE("R2C",'Mapa final'!$R$39),"")</f>
        <v/>
      </c>
      <c r="AO33" s="68"/>
      <c r="AP33" s="557"/>
      <c r="AQ33" s="558"/>
      <c r="AR33" s="558"/>
      <c r="AS33" s="558"/>
      <c r="AT33" s="558"/>
      <c r="AU33" s="559"/>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27"/>
      <c r="D34" s="427"/>
      <c r="E34" s="428"/>
      <c r="F34" s="517"/>
      <c r="G34" s="518"/>
      <c r="H34" s="518"/>
      <c r="I34" s="518"/>
      <c r="J34" s="519"/>
      <c r="K34" s="53" t="str">
        <f>IF(AND('Mapa final'!$AH$40="Media",'Mapa final'!$AJ$40="Leve"),CONCATENATE("R2C",'Mapa final'!$R$40),"")</f>
        <v/>
      </c>
      <c r="L34" s="54" t="str">
        <f>IF(AND('Mapa final'!$AH$41="Media",'Mapa final'!$AJ$41="Leve"),CONCATENATE("R2C",'Mapa final'!$R$41),"")</f>
        <v/>
      </c>
      <c r="M34" s="54" t="str">
        <f>IF(AND('Mapa final'!$AH$42="Media",'Mapa final'!$AJ$42="Leve"),CONCATENATE("R2C",'Mapa final'!$R$42),"")</f>
        <v/>
      </c>
      <c r="N34" s="54" t="e">
        <f>IF(AND('Mapa final'!#REF!="Alta",'Mapa final'!#REF!="Leve"),CONCATENATE("R2C",'Mapa final'!#REF!),"")</f>
        <v>#REF!</v>
      </c>
      <c r="O34" s="54" t="str">
        <f>IF(AND('Mapa final'!$AH$44="Media",'Mapa final'!$AJ$44="Leve"),CONCATENATE("R2C",'Mapa final'!$R$44),"")</f>
        <v/>
      </c>
      <c r="P34" s="55" t="str">
        <f>IF(AND('Mapa final'!$AH$45="Media",'Mapa final'!$AJ$45="Leve"),CONCATENATE("R2C",'Mapa final'!$R$45),"")</f>
        <v/>
      </c>
      <c r="Q34" s="53" t="str">
        <f>IF(AND('Mapa final'!$AH$40="Media",'Mapa final'!$AJ$40="Menor"),CONCATENATE("R2C",'Mapa final'!$R$40),"")</f>
        <v/>
      </c>
      <c r="R34" s="54" t="str">
        <f>IF(AND('Mapa final'!$AH$41="Media",'Mapa final'!$AJ$41="Menor"),CONCATENATE("R2C",'Mapa final'!$R$41),"")</f>
        <v/>
      </c>
      <c r="S34" s="54" t="str">
        <f>IF(AND('Mapa final'!$AH$42="Media",'Mapa final'!$AJ$42="Menor"),CONCATENATE("R2C",'Mapa final'!$R$42),"")</f>
        <v/>
      </c>
      <c r="T34" s="54" t="str">
        <f>IF(AND('Mapa final'!$AH$43="Media",'Mapa final'!$AJ$43="Menor"),CONCATENATE("R2C",'Mapa final'!$R$43),"")</f>
        <v/>
      </c>
      <c r="U34" s="54" t="str">
        <f>IF(AND('Mapa final'!$AH$44="Media",'Mapa final'!$AJ$44="Menor"),CONCATENATE("R2C",'Mapa final'!$R$44),"")</f>
        <v/>
      </c>
      <c r="V34" s="55" t="str">
        <f>IF(AND('Mapa final'!$AH$45="Media",'Mapa final'!$AJ$45="Menor"),CONCATENATE("R2C",'Mapa final'!$R$45),"")</f>
        <v/>
      </c>
      <c r="W34" s="53" t="str">
        <f>IF(AND('Mapa final'!$AH$40="Media",'Mapa final'!$AJ$40="Moderado"),CONCATENATE("R2C",'Mapa final'!$R$40),"")</f>
        <v/>
      </c>
      <c r="X34" s="54" t="str">
        <f>IF(AND('Mapa final'!$AH$41="Media",'Mapa final'!$AJ$41="Moderado"),CONCATENATE("R2C",'Mapa final'!$R$41),"")</f>
        <v/>
      </c>
      <c r="Y34" s="54" t="str">
        <f>IF(AND('Mapa final'!$AH$42="Media",'Mapa final'!$AJ$42="Moderado"),CONCATENATE("R2C",'Mapa final'!$R$42),"")</f>
        <v/>
      </c>
      <c r="Z34" s="54" t="str">
        <f>IF(AND('Mapa final'!$AH$43="Media",'Mapa final'!$AJ$43="Moderado"),CONCATENATE("R2C",'Mapa final'!$R$43),"")</f>
        <v/>
      </c>
      <c r="AA34" s="54" t="str">
        <f>IF(AND('Mapa final'!$AH$44="Media",'Mapa final'!$AJ$44="Moderado"),CONCATENATE("R2C",'Mapa final'!$R$44),"")</f>
        <v/>
      </c>
      <c r="AB34" s="55" t="str">
        <f>IF(AND('Mapa final'!$AH$45="Media",'Mapa final'!$AJ$45="Moderado"),CONCATENATE("R2C",'Mapa final'!$R$45),"")</f>
        <v/>
      </c>
      <c r="AC34" s="38" t="str">
        <f>IF(AND('Mapa final'!$AH$40="Media",'Mapa final'!$AJ$40="Mayor"),CONCATENATE("R2C",'Mapa final'!$R$40),"")</f>
        <v/>
      </c>
      <c r="AD34" s="39" t="str">
        <f>IF(AND('Mapa final'!$AH$41="Media",'Mapa final'!$AJ$41="Mayor"),CONCATENATE("R2C",'Mapa final'!$R$41),"")</f>
        <v/>
      </c>
      <c r="AE34" s="39" t="str">
        <f>IF(AND('Mapa final'!$AH$42="Media",'Mapa final'!$AJ$42="Mayor"),CONCATENATE("R2C",'Mapa final'!$R$42),"")</f>
        <v/>
      </c>
      <c r="AF34" s="39" t="str">
        <f>IF(AND('Mapa final'!$AH$43="Media",'Mapa final'!$AJ$43="Mayor"),CONCATENATE("R2C",'Mapa final'!$R$43),"")</f>
        <v/>
      </c>
      <c r="AG34" s="39" t="str">
        <f>IF(AND('Mapa final'!$AH$44="Media",'Mapa final'!$AJ$44="Mayor"),CONCATENATE("R2C",'Mapa final'!$R$44),"")</f>
        <v/>
      </c>
      <c r="AH34" s="40" t="str">
        <f>IF(AND('Mapa final'!$AH$45="Media",'Mapa final'!$AJ$45="Mayor"),CONCATENATE("R2C",'Mapa final'!$R$45),"")</f>
        <v/>
      </c>
      <c r="AI34" s="41" t="str">
        <f>IF(AND('Mapa final'!$AH$40="Media",'Mapa final'!$AJ$40="Catastrófico"),CONCATENATE("R2C",'Mapa final'!$R$40),"")</f>
        <v/>
      </c>
      <c r="AJ34" s="42" t="str">
        <f>IF(AND('Mapa final'!$AH$41="Media",'Mapa final'!$AJ$41="Catastrófico"),CONCATENATE("R2C",'Mapa final'!$R$41),"")</f>
        <v/>
      </c>
      <c r="AK34" s="42" t="str">
        <f>IF(AND('Mapa final'!$AH$42="Media",'Mapa final'!$AJ$42="Catastrófico"),CONCATENATE("R2C",'Mapa final'!$R$42),"")</f>
        <v/>
      </c>
      <c r="AL34" s="42" t="str">
        <f>IF(AND('Mapa final'!$AH$43="Media",'Mapa final'!$AJ$43="Catastrófico"),CONCATENATE("R2C",'Mapa final'!$R$43),"")</f>
        <v/>
      </c>
      <c r="AM34" s="42" t="str">
        <f>IF(AND('Mapa final'!$AH$44="Media",'Mapa final'!$AJ$44="Catastrófico"),CONCATENATE("R2C",'Mapa final'!$R$44),"")</f>
        <v/>
      </c>
      <c r="AN34" s="43" t="str">
        <f>IF(AND('Mapa final'!$AH$45="Media",'Mapa final'!$AJ$45="Catastrófico"),CONCATENATE("R2C",'Mapa final'!$R$45),"")</f>
        <v/>
      </c>
      <c r="AO34" s="68"/>
      <c r="AP34" s="557"/>
      <c r="AQ34" s="558"/>
      <c r="AR34" s="558"/>
      <c r="AS34" s="558"/>
      <c r="AT34" s="558"/>
      <c r="AU34" s="559"/>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27"/>
      <c r="D35" s="427"/>
      <c r="E35" s="428"/>
      <c r="F35" s="517"/>
      <c r="G35" s="518"/>
      <c r="H35" s="518"/>
      <c r="I35" s="518"/>
      <c r="J35" s="519"/>
      <c r="K35" s="53" t="str">
        <f>IF(AND('Mapa final'!$AH$46="Media",'Mapa final'!$AJ$46="Leve"),CONCATENATE("R2C",'Mapa final'!$R$46),"")</f>
        <v/>
      </c>
      <c r="L35" s="54" t="str">
        <f>IF(AND('Mapa final'!$AH$47="Media",'Mapa final'!$AJ$47="Leve"),CONCATENATE("R2C",'Mapa final'!$R$47),"")</f>
        <v/>
      </c>
      <c r="M35" s="54" t="str">
        <f>IF(AND('Mapa final'!$AH$48="Media",'Mapa final'!$AJ$48="Leve"),CONCATENATE("R2C",'Mapa final'!$R$48),"")</f>
        <v/>
      </c>
      <c r="N35" s="54" t="e">
        <f>IF(AND('Mapa final'!#REF!="Alta",'Mapa final'!#REF!="Leve"),CONCATENATE("R2C",'Mapa final'!#REF!),"")</f>
        <v>#REF!</v>
      </c>
      <c r="O35" s="54" t="str">
        <f>IF(AND('Mapa final'!$AH$50="Media",'Mapa final'!$AJ$50="Leve"),CONCATENATE("R2C",'Mapa final'!$R$50),"")</f>
        <v/>
      </c>
      <c r="P35" s="55" t="str">
        <f>IF(AND('Mapa final'!$AH$51="Media",'Mapa final'!$AJ$51="Leve"),CONCATENATE("R2C",'Mapa final'!$R$51),"")</f>
        <v/>
      </c>
      <c r="Q35" s="53" t="str">
        <f>IF(AND('Mapa final'!$AH$46="Media",'Mapa final'!$AJ$46="Menor"),CONCATENATE("R2C",'Mapa final'!$R$46),"")</f>
        <v/>
      </c>
      <c r="R35" s="54" t="str">
        <f>IF(AND('Mapa final'!$AH$47="Media",'Mapa final'!$AJ$47="Menor"),CONCATENATE("R2C",'Mapa final'!$R$47),"")</f>
        <v/>
      </c>
      <c r="S35" s="54" t="str">
        <f>IF(AND('Mapa final'!$AH$48="Media",'Mapa final'!$AJ$48="Menor"),CONCATENATE("R2C",'Mapa final'!$R$48),"")</f>
        <v/>
      </c>
      <c r="T35" s="54" t="str">
        <f>IF(AND('Mapa final'!$AH$49="Media",'Mapa final'!$AJ$49="Menor"),CONCATENATE("R2C",'Mapa final'!$R$49),"")</f>
        <v/>
      </c>
      <c r="U35" s="54" t="str">
        <f>IF(AND('Mapa final'!$AH$50="Media",'Mapa final'!$AJ$50="LMenor"),CONCATENATE("R2C",'Mapa final'!$R$50),"")</f>
        <v/>
      </c>
      <c r="V35" s="55" t="str">
        <f>IF(AND('Mapa final'!$AH$51="Media",'Mapa final'!$AJ$51="Menor"),CONCATENATE("R2C",'Mapa final'!$R$51),"")</f>
        <v/>
      </c>
      <c r="W35" s="53" t="str">
        <f>IF(AND('Mapa final'!$AH$46="Media",'Mapa final'!$AJ$46="Moderado"),CONCATENATE("R2C",'Mapa final'!$R$46),"")</f>
        <v/>
      </c>
      <c r="X35" s="54" t="str">
        <f>IF(AND('Mapa final'!$AH$47="Media",'Mapa final'!$AJ$47="Moderado"),CONCATENATE("R2C",'Mapa final'!$R$47),"")</f>
        <v/>
      </c>
      <c r="Y35" s="54" t="str">
        <f>IF(AND('Mapa final'!$AH$48="Media",'Mapa final'!$AJ$48="Moderado"),CONCATENATE("R2C",'Mapa final'!$R$48),"")</f>
        <v/>
      </c>
      <c r="Z35" s="54" t="str">
        <f>IF(AND('Mapa final'!$AH$49="Media",'Mapa final'!$AJ$49="Moderado"),CONCATENATE("R2C",'Mapa final'!$R$49),"")</f>
        <v/>
      </c>
      <c r="AA35" s="54" t="str">
        <f>IF(AND('Mapa final'!$AH$50="Media",'Mapa final'!$AJ$50="Moderado"),CONCATENATE("R2C",'Mapa final'!$R$50),"")</f>
        <v/>
      </c>
      <c r="AB35" s="55" t="str">
        <f>IF(AND('Mapa final'!$AH$51="Media",'Mapa final'!$AJ$51="Moderado"),CONCATENATE("R2C",'Mapa final'!$R$51),"")</f>
        <v/>
      </c>
      <c r="AC35" s="38" t="str">
        <f>IF(AND('Mapa final'!$AH$46="Media",'Mapa final'!$AJ$46="Mayor"),CONCATENATE("R2C",'Mapa final'!$R$46),"")</f>
        <v/>
      </c>
      <c r="AD35" s="39" t="str">
        <f>IF(AND('Mapa final'!$AH$47="Media",'Mapa final'!$AJ$47="Mayor"),CONCATENATE("R2C",'Mapa final'!$R$47),"")</f>
        <v/>
      </c>
      <c r="AE35" s="39" t="str">
        <f>IF(AND('Mapa final'!$AH$48="Media",'Mapa final'!$AJ$48="Mayor"),CONCATENATE("R2C",'Mapa final'!$R$48),"")</f>
        <v/>
      </c>
      <c r="AF35" s="39" t="str">
        <f>IF(AND('Mapa final'!$AH$49="Media",'Mapa final'!$AJ$49="Mayor"),CONCATENATE("R2C",'Mapa final'!$R$49),"")</f>
        <v/>
      </c>
      <c r="AG35" s="39" t="str">
        <f>IF(AND('Mapa final'!$AH$50="Media",'Mapa final'!$AJ$50="Mayor"),CONCATENATE("R2C",'Mapa final'!$R$50),"")</f>
        <v/>
      </c>
      <c r="AH35" s="40" t="str">
        <f>IF(AND('Mapa final'!$AH$51="Media",'Mapa final'!$AJ$51="Mayor"),CONCATENATE("R2C",'Mapa final'!$R$51),"")</f>
        <v/>
      </c>
      <c r="AI35" s="41" t="str">
        <f>IF(AND('Mapa final'!$AH$46="Media",'Mapa final'!$AJ$46="Catastrófico"),CONCATENATE("R2C",'Mapa final'!$R$46),"")</f>
        <v/>
      </c>
      <c r="AJ35" s="42" t="str">
        <f>IF(AND('Mapa final'!$AH$47="Media",'Mapa final'!$AJ$47="Catastrófico"),CONCATENATE("R2C",'Mapa final'!$R$47),"")</f>
        <v/>
      </c>
      <c r="AK35" s="42" t="str">
        <f>IF(AND('Mapa final'!$AH$48="Media",'Mapa final'!$AJ$48="Catastrófico"),CONCATENATE("R2C",'Mapa final'!$R$48),"")</f>
        <v/>
      </c>
      <c r="AL35" s="42" t="str">
        <f>IF(AND('Mapa final'!$AH$49="Media",'Mapa final'!$AJ$49="Catastrófico"),CONCATENATE("R2C",'Mapa final'!$R$49),"")</f>
        <v/>
      </c>
      <c r="AM35" s="42" t="str">
        <f>IF(AND('Mapa final'!$AH$50="Media",'Mapa final'!$AJ$50="LCatastrófico"),CONCATENATE("R2C",'Mapa final'!$R$50),"")</f>
        <v/>
      </c>
      <c r="AN35" s="43" t="str">
        <f>IF(AND('Mapa final'!$AH$51="Media",'Mapa final'!$AJ$51="Catastrófico"),CONCATENATE("R2C",'Mapa final'!$R$51),"")</f>
        <v/>
      </c>
      <c r="AO35" s="68"/>
      <c r="AP35" s="557"/>
      <c r="AQ35" s="558"/>
      <c r="AR35" s="558"/>
      <c r="AS35" s="558"/>
      <c r="AT35" s="558"/>
      <c r="AU35" s="559"/>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27"/>
      <c r="D36" s="427"/>
      <c r="E36" s="428"/>
      <c r="F36" s="517"/>
      <c r="G36" s="518"/>
      <c r="H36" s="518"/>
      <c r="I36" s="518"/>
      <c r="J36" s="519"/>
      <c r="K36" s="53" t="str">
        <f>IF(AND('Mapa final'!$AH$52="Media",'Mapa final'!$AJ$52="Leve"),CONCATENATE("R2C",'Mapa final'!$R$52),"")</f>
        <v/>
      </c>
      <c r="L36" s="54" t="str">
        <f>IF(AND('Mapa final'!$AH$53="Media",'Mapa final'!$AJ$53="Leve"),CONCATENATE("R2C",'Mapa final'!$R$53),"")</f>
        <v/>
      </c>
      <c r="M36" s="54" t="str">
        <f>IF(AND('Mapa final'!$AH$54="Media",'Mapa final'!$AJ$54="Leve"),CONCATENATE("R2C",'Mapa final'!$R$54),"")</f>
        <v/>
      </c>
      <c r="N36" s="54" t="e">
        <f>IF(AND('Mapa final'!#REF!="Alta",'Mapa final'!#REF!="Leve"),CONCATENATE("R2C",'Mapa final'!#REF!),"")</f>
        <v>#REF!</v>
      </c>
      <c r="O36" s="54" t="str">
        <f>IF(AND('Mapa final'!$AH$56="Media",'Mapa final'!$AJ$56="Leve"),CONCATENATE("R2C",'Mapa final'!$R$56),"")</f>
        <v/>
      </c>
      <c r="P36" s="55" t="str">
        <f>IF(AND('Mapa final'!$AH$57="Media",'Mapa final'!$AJ$57="Leve"),CONCATENATE("R2C",'Mapa final'!$R$57),"")</f>
        <v/>
      </c>
      <c r="Q36" s="53" t="str">
        <f>IF(AND('Mapa final'!$AH$52="Media",'Mapa final'!$AJ$52="Menor"),CONCATENATE("R2C",'Mapa final'!$R$52),"")</f>
        <v/>
      </c>
      <c r="R36" s="54" t="str">
        <f>IF(AND('Mapa final'!$AH$53="Media",'Mapa final'!$AJ$53="Menor"),CONCATENATE("R2C",'Mapa final'!$R$53),"")</f>
        <v/>
      </c>
      <c r="S36" s="54" t="str">
        <f>IF(AND('Mapa final'!$AH$54="Media",'Mapa final'!$AJ$54="Menor"),CONCATENATE("R2C",'Mapa final'!$R$54),"")</f>
        <v/>
      </c>
      <c r="T36" s="54" t="str">
        <f>IF(AND('Mapa final'!$AH$55="Media",'Mapa final'!$AJ$55="Menor"),CONCATENATE("R2C",'Mapa final'!$R$55),"")</f>
        <v/>
      </c>
      <c r="U36" s="54" t="str">
        <f>IF(AND('Mapa final'!$AH$56="Media",'Mapa final'!$AJ$56="Menor"),CONCATENATE("R2C",'Mapa final'!$R$56),"")</f>
        <v/>
      </c>
      <c r="V36" s="55" t="str">
        <f>IF(AND('Mapa final'!$AH$57="Media",'Mapa final'!$AJ$57="Menor"),CONCATENATE("R2C",'Mapa final'!$R$57),"")</f>
        <v/>
      </c>
      <c r="W36" s="53" t="str">
        <f>IF(AND('Mapa final'!$AH$52="Media",'Mapa final'!$AJ$52="Moderado"),CONCATENATE("R2C",'Mapa final'!$R$52),"")</f>
        <v/>
      </c>
      <c r="X36" s="54" t="str">
        <f>IF(AND('Mapa final'!$AH$53="Media",'Mapa final'!$AJ$53="Moderado"),CONCATENATE("R2C",'Mapa final'!$R$53),"")</f>
        <v/>
      </c>
      <c r="Y36" s="54" t="str">
        <f>IF(AND('Mapa final'!$AH$54="Media",'Mapa final'!$AJ$54="Moderado"),CONCATENATE("R2C",'Mapa final'!$R$54),"")</f>
        <v/>
      </c>
      <c r="Z36" s="54" t="str">
        <f>IF(AND('Mapa final'!$AH$55="Media",'Mapa final'!$AJ$55="Moderado"),CONCATENATE("R2C",'Mapa final'!$R$55),"")</f>
        <v/>
      </c>
      <c r="AA36" s="54" t="str">
        <f>IF(AND('Mapa final'!$AH$56="Media",'Mapa final'!$AJ$56="Moderado"),CONCATENATE("R2C",'Mapa final'!$R$56),"")</f>
        <v/>
      </c>
      <c r="AB36" s="55" t="str">
        <f>IF(AND('Mapa final'!$AH$57="Media",'Mapa final'!$AJ$57="Moderado"),CONCATENATE("R2C",'Mapa final'!$R$57),"")</f>
        <v/>
      </c>
      <c r="AC36" s="38" t="str">
        <f>IF(AND('Mapa final'!$AH$52="Media",'Mapa final'!$AJ$52="Mayor"),CONCATENATE("R2C",'Mapa final'!$R$52),"")</f>
        <v/>
      </c>
      <c r="AD36" s="39" t="str">
        <f>IF(AND('Mapa final'!$AH$53="Media",'Mapa final'!$AJ$53="Mayor"),CONCATENATE("R2C",'Mapa final'!$R$53),"")</f>
        <v/>
      </c>
      <c r="AE36" s="39" t="str">
        <f>IF(AND('Mapa final'!$AH$54="Media",'Mapa final'!$AJ$54="Mayor"),CONCATENATE("R2C",'Mapa final'!$R$54),"")</f>
        <v/>
      </c>
      <c r="AF36" s="39" t="str">
        <f>IF(AND('Mapa final'!$AH$55="Media",'Mapa final'!$AJ$55="Mayor"),CONCATENATE("R2C",'Mapa final'!$R$55),"")</f>
        <v/>
      </c>
      <c r="AG36" s="39" t="str">
        <f>IF(AND('Mapa final'!$AH$56="Media",'Mapa final'!$AJ$56="Mayor"),CONCATENATE("R2C",'Mapa final'!$R$56),"")</f>
        <v/>
      </c>
      <c r="AH36" s="40" t="str">
        <f>IF(AND('Mapa final'!$AH$57="Media",'Mapa final'!$AJ$57="Mayor"),CONCATENATE("R2C",'Mapa final'!$R$57),"")</f>
        <v/>
      </c>
      <c r="AI36" s="41" t="str">
        <f>IF(AND('Mapa final'!$AH$52="Media",'Mapa final'!$AJ$52="Catastrófico"),CONCATENATE("R2C",'Mapa final'!$R$52),"")</f>
        <v/>
      </c>
      <c r="AJ36" s="42" t="str">
        <f>IF(AND('Mapa final'!$AH$53="Media",'Mapa final'!$AJ$53="Catastrófico"),CONCATENATE("R2C",'Mapa final'!$R$53),"")</f>
        <v/>
      </c>
      <c r="AK36" s="42" t="str">
        <f>IF(AND('Mapa final'!$AH$54="Media",'Mapa final'!$AJ$54="Catastrófico"),CONCATENATE("R2C",'Mapa final'!$R$54),"")</f>
        <v/>
      </c>
      <c r="AL36" s="42" t="str">
        <f>IF(AND('Mapa final'!$AH$55="Media",'Mapa final'!$AJ$55="Catastrófico"),CONCATENATE("R2C",'Mapa final'!$R$55),"")</f>
        <v/>
      </c>
      <c r="AM36" s="42" t="str">
        <f>IF(AND('Mapa final'!$AH$56="Media",'Mapa final'!$AJ$56="Catastrófico"),CONCATENATE("R2C",'Mapa final'!$R$56),"")</f>
        <v/>
      </c>
      <c r="AN36" s="43" t="str">
        <f>IF(AND('Mapa final'!$AH$57="Media",'Mapa final'!$AJ$57="Catastrófico"),CONCATENATE("R2C",'Mapa final'!$R$57),"")</f>
        <v/>
      </c>
      <c r="AO36" s="68"/>
      <c r="AP36" s="557"/>
      <c r="AQ36" s="558"/>
      <c r="AR36" s="558"/>
      <c r="AS36" s="558"/>
      <c r="AT36" s="558"/>
      <c r="AU36" s="559"/>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27"/>
      <c r="D37" s="427"/>
      <c r="E37" s="428"/>
      <c r="F37" s="517"/>
      <c r="G37" s="518"/>
      <c r="H37" s="518"/>
      <c r="I37" s="518"/>
      <c r="J37" s="519"/>
      <c r="K37" s="53" t="str">
        <f>IF(AND('Mapa final'!$AH$58="Media",'Mapa final'!$AJ$58="Leve"),CONCATENATE("R2C",'Mapa final'!$R$58),"")</f>
        <v/>
      </c>
      <c r="L37" s="54" t="str">
        <f>IF(AND('Mapa final'!$AH$59="Media",'Mapa final'!$AJ$59="Leve"),CONCATENATE("R2C",'Mapa final'!$R$59),"")</f>
        <v/>
      </c>
      <c r="M37" s="54" t="str">
        <f>IF(AND('Mapa final'!$AH$60="Media",'Mapa final'!$AJ$60="Leve"),CONCATENATE("R2C",'Mapa final'!$R$60),"")</f>
        <v/>
      </c>
      <c r="N37" s="54" t="e">
        <f>IF(AND('Mapa final'!#REF!="Alta",'Mapa final'!#REF!="Leve"),CONCATENATE("R2C",'Mapa final'!#REF!),"")</f>
        <v>#REF!</v>
      </c>
      <c r="O37" s="54" t="str">
        <f>IF(AND('Mapa final'!$AH$62="Media",'Mapa final'!$AJ$62="Leve"),CONCATENATE("R2C",'Mapa final'!$R$62),"")</f>
        <v/>
      </c>
      <c r="P37" s="55" t="str">
        <f>IF(AND('Mapa final'!$AH$73="Media",'Mapa final'!$AJ$63="Leve"),CONCATENATE("R2C",'Mapa final'!$R$63),"")</f>
        <v/>
      </c>
      <c r="Q37" s="53" t="str">
        <f>IF(AND('Mapa final'!$AH$58="Media",'Mapa final'!$AJ$58="Menor"),CONCATENATE("R2C",'Mapa final'!$R$58),"")</f>
        <v/>
      </c>
      <c r="R37" s="54" t="str">
        <f>IF(AND('Mapa final'!$AH$59="Media",'Mapa final'!$AJ$59="Menor"),CONCATENATE("R2C",'Mapa final'!$R$59),"")</f>
        <v/>
      </c>
      <c r="S37" s="54" t="str">
        <f>IF(AND('Mapa final'!$AH$60="Media",'Mapa final'!$AJ$60="Menor"),CONCATENATE("R2C",'Mapa final'!$R$60),"")</f>
        <v/>
      </c>
      <c r="T37" s="54" t="str">
        <f>IF(AND('Mapa final'!$AH$61="Media",'Mapa final'!$AJ$61="Menor"),CONCATENATE("R2C",'Mapa final'!$R$61),"")</f>
        <v/>
      </c>
      <c r="U37" s="54" t="str">
        <f>IF(AND('Mapa final'!$AH$62="Media",'Mapa final'!$AJ$62="Menor"),CONCATENATE("R2C",'Mapa final'!$R$62),"")</f>
        <v/>
      </c>
      <c r="V37" s="55" t="str">
        <f>IF(AND('Mapa final'!$AH$73="Media",'Mapa final'!$AJ$63="Menor"),CONCATENATE("R2C",'Mapa final'!$R$63),"")</f>
        <v/>
      </c>
      <c r="W37" s="53" t="str">
        <f>IF(AND('Mapa final'!$AH$58="Media",'Mapa final'!$AJ$58="Moderado"),CONCATENATE("R2C",'Mapa final'!$R$58),"")</f>
        <v/>
      </c>
      <c r="X37" s="54" t="str">
        <f>IF(AND('Mapa final'!$AH$59="Media",'Mapa final'!$AJ$59="Moderado"),CONCATENATE("R2C",'Mapa final'!$R$59),"")</f>
        <v/>
      </c>
      <c r="Y37" s="54" t="str">
        <f>IF(AND('Mapa final'!$AH$60="Media",'Mapa final'!$AJ$60="Moderado"),CONCATENATE("R2C",'Mapa final'!$R$60),"")</f>
        <v/>
      </c>
      <c r="Z37" s="54" t="str">
        <f>IF(AND('Mapa final'!$AH$61="Media",'Mapa final'!$AJ$61="Moderado"),CONCATENATE("R2C",'Mapa final'!$R$61),"")</f>
        <v/>
      </c>
      <c r="AA37" s="54" t="str">
        <f>IF(AND('Mapa final'!$AH$62="Media",'Mapa final'!$AJ$62="Moderado"),CONCATENATE("R2C",'Mapa final'!$R$62),"")</f>
        <v/>
      </c>
      <c r="AB37" s="55" t="str">
        <f>IF(AND('Mapa final'!$AH$73="Media",'Mapa final'!$AJ$63="Moderado"),CONCATENATE("R2C",'Mapa final'!$R$63),"")</f>
        <v/>
      </c>
      <c r="AC37" s="38" t="str">
        <f>IF(AND('Mapa final'!$AH$58="Media",'Mapa final'!$AJ$58="Mayor"),CONCATENATE("R2C",'Mapa final'!$R$58),"")</f>
        <v/>
      </c>
      <c r="AD37" s="39" t="str">
        <f>IF(AND('Mapa final'!$AH$59="Media",'Mapa final'!$AJ$59="Mayor"),CONCATENATE("R2C",'Mapa final'!$R$59),"")</f>
        <v/>
      </c>
      <c r="AE37" s="39" t="str">
        <f>IF(AND('Mapa final'!$AH$60="Media",'Mapa final'!$AJ$60="Mayor"),CONCATENATE("R2C",'Mapa final'!$R$60),"")</f>
        <v/>
      </c>
      <c r="AF37" s="39" t="str">
        <f>IF(AND('Mapa final'!$AH$61="Media",'Mapa final'!$AJ$61="Mayor"),CONCATENATE("R2C",'Mapa final'!$R$61),"")</f>
        <v/>
      </c>
      <c r="AG37" s="39" t="str">
        <f>IF(AND('Mapa final'!$AH$62="Media",'Mapa final'!$AJ$62="Mayor"),CONCATENATE("R2C",'Mapa final'!$R$62),"")</f>
        <v/>
      </c>
      <c r="AH37" s="40" t="str">
        <f>IF(AND('Mapa final'!$AH$73="Media",'Mapa final'!$AJ$63="Mayor"),CONCATENATE("R2C",'Mapa final'!$R$63),"")</f>
        <v/>
      </c>
      <c r="AI37" s="41" t="str">
        <f>IF(AND('Mapa final'!$AH$58="Media",'Mapa final'!$AJ$58="Catastrófico"),CONCATENATE("R2C",'Mapa final'!$R$58),"")</f>
        <v/>
      </c>
      <c r="AJ37" s="42" t="str">
        <f>IF(AND('Mapa final'!$AH$59="Media",'Mapa final'!$AJ$59="Catastrófico"),CONCATENATE("R2C",'Mapa final'!$R$59),"")</f>
        <v/>
      </c>
      <c r="AK37" s="42" t="str">
        <f>IF(AND('Mapa final'!$AH$60="Media",'Mapa final'!$AJ$60="Catastrófico"),CONCATENATE("R2C",'Mapa final'!$R$60),"")</f>
        <v/>
      </c>
      <c r="AL37" s="42" t="str">
        <f>IF(AND('Mapa final'!$AH$61="Media",'Mapa final'!$AJ$61="Catastrófico"),CONCATENATE("R2C",'Mapa final'!$R$61),"")</f>
        <v/>
      </c>
      <c r="AM37" s="42" t="str">
        <f>IF(AND('Mapa final'!$AH$62="Media",'Mapa final'!$AJ$62="Catastrófico"),CONCATENATE("R2C",'Mapa final'!$R$62),"")</f>
        <v/>
      </c>
      <c r="AN37" s="43" t="str">
        <f>IF(AND('Mapa final'!$AH$73="Media",'Mapa final'!$AJ$63="Catastrófico"),CONCATENATE("R2C",'Mapa final'!$R$63),"")</f>
        <v/>
      </c>
      <c r="AO37" s="68"/>
      <c r="AP37" s="557"/>
      <c r="AQ37" s="558"/>
      <c r="AR37" s="558"/>
      <c r="AS37" s="558"/>
      <c r="AT37" s="558"/>
      <c r="AU37" s="559"/>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27"/>
      <c r="D38" s="427"/>
      <c r="E38" s="428"/>
      <c r="F38" s="517"/>
      <c r="G38" s="518"/>
      <c r="H38" s="518"/>
      <c r="I38" s="518"/>
      <c r="J38" s="519"/>
      <c r="K38" s="53" t="str">
        <f>IF(AND('Mapa final'!$AH$64="Media",'Mapa final'!$AJ$64="Leve"),CONCATENATE("R2C",'Mapa final'!$R$64),"")</f>
        <v/>
      </c>
      <c r="L38" s="54" t="str">
        <f>IF(AND('Mapa final'!$AH$65="Media",'Mapa final'!$AJ$65="Leve"),CONCATENATE("R2C",'Mapa final'!$R$65),"")</f>
        <v/>
      </c>
      <c r="M38" s="54" t="str">
        <f>IF(AND('Mapa final'!$AH$66="Media",'Mapa final'!$AJ$66="Leve"),CONCATENATE("R2C",'Mapa final'!$R$66),"")</f>
        <v/>
      </c>
      <c r="N38" s="54" t="e">
        <f>IF(AND('Mapa final'!#REF!="Alta",'Mapa final'!#REF!="Leve"),CONCATENATE("R2C",'Mapa final'!#REF!),"")</f>
        <v>#REF!</v>
      </c>
      <c r="O38" s="54" t="str">
        <f>IF(AND('Mapa final'!$AH$68="Media",'Mapa final'!$AJ$68="Leve"),CONCATENATE("R2C",'Mapa final'!$R$68),"")</f>
        <v/>
      </c>
      <c r="P38" s="55" t="str">
        <f>IF(AND('Mapa final'!$AH$69="Media",'Mapa final'!$AJ$69="Leve"),CONCATENATE("R2C",'Mapa final'!$R$69),"")</f>
        <v/>
      </c>
      <c r="Q38" s="53" t="str">
        <f>IF(AND('Mapa final'!$AH$64="Media",'Mapa final'!$AJ$64="Menor"),CONCATENATE("R2C",'Mapa final'!$R$64),"")</f>
        <v/>
      </c>
      <c r="R38" s="54" t="str">
        <f>IF(AND('Mapa final'!$AH$65="Media",'Mapa final'!$AJ$65="Menor"),CONCATENATE("R2C",'Mapa final'!$R$65),"")</f>
        <v/>
      </c>
      <c r="S38" s="54" t="str">
        <f>IF(AND('Mapa final'!$AH$66="Media",'Mapa final'!$AJ$66="Menor"),CONCATENATE("R2C",'Mapa final'!$R$66),"")</f>
        <v/>
      </c>
      <c r="T38" s="54" t="str">
        <f>IF(AND('Mapa final'!$AH$67="Media",'Mapa final'!$AJ$67="Menor"),CONCATENATE("R2C",'Mapa final'!$R$67),"")</f>
        <v/>
      </c>
      <c r="U38" s="54" t="str">
        <f>IF(AND('Mapa final'!$AH$68="Media",'Mapa final'!$AJ$68="Menor"),CONCATENATE("R2C",'Mapa final'!$R$68),"")</f>
        <v/>
      </c>
      <c r="V38" s="55" t="str">
        <f>IF(AND('Mapa final'!$AH$69="Media",'Mapa final'!$AJ$69="Menor"),CONCATENATE("R2C",'Mapa final'!$R$69),"")</f>
        <v/>
      </c>
      <c r="W38" s="53" t="str">
        <f>IF(AND('Mapa final'!$AH$64="Media",'Mapa final'!$AJ$64="Moderado"),CONCATENATE("R2C",'Mapa final'!$R$64),"")</f>
        <v/>
      </c>
      <c r="X38" s="54" t="str">
        <f>IF(AND('Mapa final'!$AH$65="Media",'Mapa final'!$AJ$65="Moderado"),CONCATENATE("R2C",'Mapa final'!$R$65),"")</f>
        <v/>
      </c>
      <c r="Y38" s="54" t="str">
        <f>IF(AND('Mapa final'!$AH$66="Media",'Mapa final'!$AJ$66="Moderado"),CONCATENATE("R2C",'Mapa final'!$R$66),"")</f>
        <v/>
      </c>
      <c r="Z38" s="54" t="str">
        <f>IF(AND('Mapa final'!$AH$67="Media",'Mapa final'!$AJ$67="Moderado"),CONCATENATE("R2C",'Mapa final'!$R$67),"")</f>
        <v/>
      </c>
      <c r="AA38" s="54" t="str">
        <f>IF(AND('Mapa final'!$AH$68="Media",'Mapa final'!$AJ$68="Moderado"),CONCATENATE("R2C",'Mapa final'!$R$68),"")</f>
        <v/>
      </c>
      <c r="AB38" s="55" t="str">
        <f>IF(AND('Mapa final'!$AH$69="Media",'Mapa final'!$AJ$69="Moderado"),CONCATENATE("R2C",'Mapa final'!$R$69),"")</f>
        <v/>
      </c>
      <c r="AC38" s="38" t="str">
        <f>IF(AND('Mapa final'!$AH$64="Media",'Mapa final'!$AJ$64="Mayor"),CONCATENATE("R2C",'Mapa final'!$R$64),"")</f>
        <v/>
      </c>
      <c r="AD38" s="39" t="str">
        <f>IF(AND('Mapa final'!$AH$65="Media",'Mapa final'!$AJ$65="Mayor"),CONCATENATE("R2C",'Mapa final'!$R$65),"")</f>
        <v/>
      </c>
      <c r="AE38" s="39" t="str">
        <f>IF(AND('Mapa final'!$AH$66="Media",'Mapa final'!$AJ$66="Mayor"),CONCATENATE("R2C",'Mapa final'!$R$66),"")</f>
        <v/>
      </c>
      <c r="AF38" s="39" t="str">
        <f>IF(AND('Mapa final'!$AH$67="Media",'Mapa final'!$AJ$67="Mayor"),CONCATENATE("R2C",'Mapa final'!$R$67),"")</f>
        <v/>
      </c>
      <c r="AG38" s="39" t="str">
        <f>IF(AND('Mapa final'!$AH$68="Media",'Mapa final'!$AJ$68="Mayor"),CONCATENATE("R2C",'Mapa final'!$R$68),"")</f>
        <v/>
      </c>
      <c r="AH38" s="40" t="str">
        <f>IF(AND('Mapa final'!$AH$69="Media",'Mapa final'!$AJ$69="Mayor"),CONCATENATE("R2C",'Mapa final'!$R$69),"")</f>
        <v/>
      </c>
      <c r="AI38" s="41" t="str">
        <f>IF(AND('Mapa final'!$AH$64="Media",'Mapa final'!$AJ$64="Catastrófico"),CONCATENATE("R2C",'Mapa final'!$R$64),"")</f>
        <v/>
      </c>
      <c r="AJ38" s="42" t="str">
        <f>IF(AND('Mapa final'!$AH$65="Media",'Mapa final'!$AJ$65="Catastrófico"),CONCATENATE("R2C",'Mapa final'!$R$65),"")</f>
        <v/>
      </c>
      <c r="AK38" s="42" t="str">
        <f>IF(AND('Mapa final'!$AH$66="Media",'Mapa final'!$AJ$66="Catastrófico"),CONCATENATE("R2C",'Mapa final'!$R$66),"")</f>
        <v/>
      </c>
      <c r="AL38" s="42" t="str">
        <f>IF(AND('Mapa final'!$AH$67="Media",'Mapa final'!$AJ$67="Catastrófico"),CONCATENATE("R2C",'Mapa final'!$R$67),"")</f>
        <v/>
      </c>
      <c r="AM38" s="42" t="str">
        <f>IF(AND('Mapa final'!$AH$68="Media",'Mapa final'!$AJ$68="Catastrófico"),CONCATENATE("R2C",'Mapa final'!$R$68),"")</f>
        <v/>
      </c>
      <c r="AN38" s="43" t="str">
        <f>IF(AND('Mapa final'!$AH$69="Media",'Mapa final'!$AJ$69="Catastrófico"),CONCATENATE("R2C",'Mapa final'!$R$69),"")</f>
        <v/>
      </c>
      <c r="AO38" s="68"/>
      <c r="AP38" s="557"/>
      <c r="AQ38" s="558"/>
      <c r="AR38" s="558"/>
      <c r="AS38" s="558"/>
      <c r="AT38" s="558"/>
      <c r="AU38" s="559"/>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27"/>
      <c r="D39" s="427"/>
      <c r="E39" s="428"/>
      <c r="F39" s="517"/>
      <c r="G39" s="518"/>
      <c r="H39" s="518"/>
      <c r="I39" s="518"/>
      <c r="J39" s="519"/>
      <c r="K39" s="53" t="str">
        <f>IF(AND('Mapa final'!$AH$70="Media",'Mapa final'!$AJ$70="Leve"),CONCATENATE("R2C",'Mapa final'!$R$70),"")</f>
        <v/>
      </c>
      <c r="L39" s="54" t="str">
        <f>IF(AND('Mapa final'!$AH$71="Media",'Mapa final'!$AJ$71="Leve"),CONCATENATE("R2C",'Mapa final'!$R$71),"")</f>
        <v/>
      </c>
      <c r="M39" s="54" t="str">
        <f>IF(AND('Mapa final'!$AH$72="Media",'Mapa final'!$AJ$72="Leve"),CONCATENATE("R2C",'Mapa final'!$R$72),"")</f>
        <v/>
      </c>
      <c r="N39" s="54" t="e">
        <f>IF(AND('Mapa final'!#REF!="Alta",'Mapa final'!#REF!="Leve"),CONCATENATE("R2C",'Mapa final'!#REF!),"")</f>
        <v>#REF!</v>
      </c>
      <c r="O39" s="54" t="str">
        <f>IF(AND('Mapa final'!$AH$74="Media",'Mapa final'!$AJ$74="Leve"),CONCATENATE("R2C",'Mapa final'!$R$74),"")</f>
        <v/>
      </c>
      <c r="P39" s="55" t="str">
        <f>IF(AND('Mapa final'!$AH$75="Media",'Mapa final'!$AJ$75="Leve"),CONCATENATE("R2C",'Mapa final'!$R$75),"")</f>
        <v/>
      </c>
      <c r="Q39" s="53" t="str">
        <f>IF(AND('Mapa final'!$AH$70="Media",'Mapa final'!$AJ$70="Menor"),CONCATENATE("R2C",'Mapa final'!$R$70),"")</f>
        <v/>
      </c>
      <c r="R39" s="54" t="str">
        <f>IF(AND('Mapa final'!$AH$71="Media",'Mapa final'!$AJ$71="Menor"),CONCATENATE("R2C",'Mapa final'!$R$71),"")</f>
        <v/>
      </c>
      <c r="S39" s="54" t="str">
        <f>IF(AND('Mapa final'!$AH$72="Media",'Mapa final'!$AJ$72="Menor"),CONCATENATE("R2C",'Mapa final'!$R$72),"")</f>
        <v/>
      </c>
      <c r="T39" s="54" t="str">
        <f>IF(AND('Mapa final'!$AH$73="Media",'Mapa final'!$AJ$73="Menor"),CONCATENATE("R2C",'Mapa final'!$R$73),"")</f>
        <v/>
      </c>
      <c r="U39" s="54" t="str">
        <f>IF(AND('Mapa final'!$AH$74="Media",'Mapa final'!$AJ$74="Menor"),CONCATENATE("R2C",'Mapa final'!$R$74),"")</f>
        <v/>
      </c>
      <c r="V39" s="55" t="str">
        <f>IF(AND('Mapa final'!$AH$75="Media",'Mapa final'!$AJ$75="Menor"),CONCATENATE("R2C",'Mapa final'!$R$75),"")</f>
        <v/>
      </c>
      <c r="W39" s="53" t="str">
        <f>IF(AND('Mapa final'!$AH$70="Media",'Mapa final'!$AJ$70="Moderado"),CONCATENATE("R2C",'Mapa final'!$R$70),"")</f>
        <v/>
      </c>
      <c r="X39" s="54" t="str">
        <f>IF(AND('Mapa final'!$AH$71="Media",'Mapa final'!$AJ$71="Moderado"),CONCATENATE("R2C",'Mapa final'!$R$71),"")</f>
        <v/>
      </c>
      <c r="Y39" s="54" t="str">
        <f>IF(AND('Mapa final'!$AH$72="Media",'Mapa final'!$AJ$72="Moderado"),CONCATENATE("R2C",'Mapa final'!$R$72),"")</f>
        <v/>
      </c>
      <c r="Z39" s="54" t="str">
        <f>IF(AND('Mapa final'!$AH$73="Media",'Mapa final'!$AJ$73="Moderado"),CONCATENATE("R2C",'Mapa final'!$R$73),"")</f>
        <v/>
      </c>
      <c r="AA39" s="54" t="str">
        <f>IF(AND('Mapa final'!$AH$74="Media",'Mapa final'!$AJ$74="Moderado"),CONCATENATE("R2C",'Mapa final'!$R$74),"")</f>
        <v/>
      </c>
      <c r="AB39" s="55" t="str">
        <f>IF(AND('Mapa final'!$AH$75="Media",'Mapa final'!$AJ$75="Moderado"),CONCATENATE("R2C",'Mapa final'!$R$75),"")</f>
        <v/>
      </c>
      <c r="AC39" s="38" t="str">
        <f>IF(AND('Mapa final'!$AH$70="Media",'Mapa final'!$AJ$70="Mayor"),CONCATENATE("R2C",'Mapa final'!$R$70),"")</f>
        <v/>
      </c>
      <c r="AD39" s="39" t="str">
        <f>IF(AND('Mapa final'!$AH$71="Media",'Mapa final'!$AJ$71="Mayor"),CONCATENATE("R2C",'Mapa final'!$R$71),"")</f>
        <v/>
      </c>
      <c r="AE39" s="39" t="str">
        <f>IF(AND('Mapa final'!$AH$72="Media",'Mapa final'!$AJ$72="Mayor"),CONCATENATE("R2C",'Mapa final'!$R$72),"")</f>
        <v/>
      </c>
      <c r="AF39" s="39" t="str">
        <f>IF(AND('Mapa final'!$AH$73="Media",'Mapa final'!$AJ$73="Mayor"),CONCATENATE("R2C",'Mapa final'!$R$73),"")</f>
        <v/>
      </c>
      <c r="AG39" s="39" t="str">
        <f>IF(AND('Mapa final'!$AH$74="Media",'Mapa final'!$AJ$74="Mayor"),CONCATENATE("R2C",'Mapa final'!$R$74),"")</f>
        <v/>
      </c>
      <c r="AH39" s="40" t="str">
        <f>IF(AND('Mapa final'!$AH$75="Media",'Mapa final'!$AJ$75="Mayor"),CONCATENATE("R2C",'Mapa final'!$R$75),"")</f>
        <v/>
      </c>
      <c r="AI39" s="41" t="str">
        <f>IF(AND('Mapa final'!$AH$70="Media",'Mapa final'!$AJ$70="Catastrófico"),CONCATENATE("R2C",'Mapa final'!$R$70),"")</f>
        <v/>
      </c>
      <c r="AJ39" s="42" t="str">
        <f>IF(AND('Mapa final'!$AH$71="Media",'Mapa final'!$AJ$71="Catastrófico"),CONCATENATE("R2C",'Mapa final'!$R$71),"")</f>
        <v/>
      </c>
      <c r="AK39" s="42" t="str">
        <f>IF(AND('Mapa final'!$AH$72="Media",'Mapa final'!$AJ$72="Catastrófico"),CONCATENATE("R2C",'Mapa final'!$R$72),"")</f>
        <v/>
      </c>
      <c r="AL39" s="42" t="str">
        <f>IF(AND('Mapa final'!$AH$73="Media",'Mapa final'!$AJ$73="Catastrófico"),CONCATENATE("R2C",'Mapa final'!$R$73),"")</f>
        <v/>
      </c>
      <c r="AM39" s="42" t="str">
        <f>IF(AND('Mapa final'!$AH$74="Media",'Mapa final'!$AJ$74="Catastrófico"),CONCATENATE("R2C",'Mapa final'!$R$74),"")</f>
        <v/>
      </c>
      <c r="AN39" s="43" t="str">
        <f>IF(AND('Mapa final'!$AH$75="Media",'Mapa final'!$AJ$75="Catastrófico"),CONCATENATE("R2C",'Mapa final'!$R$75),"")</f>
        <v/>
      </c>
      <c r="AO39" s="68"/>
      <c r="AP39" s="557"/>
      <c r="AQ39" s="558"/>
      <c r="AR39" s="558"/>
      <c r="AS39" s="558"/>
      <c r="AT39" s="558"/>
      <c r="AU39" s="559"/>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27"/>
      <c r="D40" s="427"/>
      <c r="E40" s="428"/>
      <c r="F40" s="517"/>
      <c r="G40" s="518"/>
      <c r="H40" s="518"/>
      <c r="I40" s="518"/>
      <c r="J40" s="519"/>
      <c r="K40" s="53" t="str">
        <f>IF(AND('Mapa final'!$AH$76="Media",'Mapa final'!$AJ$76="Leve"),CONCATENATE("R2C",'Mapa final'!$R$76),"")</f>
        <v/>
      </c>
      <c r="L40" s="54" t="str">
        <f>IF(AND('Mapa final'!$AH$77="Media",'Mapa final'!$AJ$77="Leve"),CONCATENATE("R2C",'Mapa final'!$R$77),"")</f>
        <v/>
      </c>
      <c r="M40" s="54" t="str">
        <f>IF(AND('Mapa final'!$AH$78="Media",'Mapa final'!$AJ$78="Leve"),CONCATENATE("R2C",'Mapa final'!$R$78),"")</f>
        <v/>
      </c>
      <c r="N40" s="54" t="e">
        <f>IF(AND('Mapa final'!#REF!="Alta",'Mapa final'!#REF!="Leve"),CONCATENATE("R2C",'Mapa final'!#REF!),"")</f>
        <v>#REF!</v>
      </c>
      <c r="O40" s="54" t="str">
        <f>IF(AND('Mapa final'!$AH$80="Media",'Mapa final'!$AJ$80="Leve"),CONCATENATE("R2C",'Mapa final'!$R$80),"")</f>
        <v/>
      </c>
      <c r="P40" s="55" t="str">
        <f>IF(AND('Mapa final'!$AH$81="Media",'Mapa final'!$AJ$81="Leve"),CONCATENATE("R2C",'Mapa final'!$R$81),"")</f>
        <v/>
      </c>
      <c r="Q40" s="53" t="str">
        <f>IF(AND('Mapa final'!$AH$76="Media",'Mapa final'!$AJ$76="Menor"),CONCATENATE("R2C",'Mapa final'!$R$76),"")</f>
        <v/>
      </c>
      <c r="R40" s="54" t="str">
        <f>IF(AND('Mapa final'!$AH$77="Media",'Mapa final'!$AJ$77="Menor"),CONCATENATE("R2C",'Mapa final'!$R$77),"")</f>
        <v/>
      </c>
      <c r="S40" s="54" t="str">
        <f>IF(AND('Mapa final'!$AH$78="Media",'Mapa final'!$AJ$78="Menor"),CONCATENATE("R2C",'Mapa final'!$R$78),"")</f>
        <v/>
      </c>
      <c r="T40" s="54" t="str">
        <f>IF(AND('Mapa final'!$AH$79="Media",'Mapa final'!$AJ$79="Menor"),CONCATENATE("R2C",'Mapa final'!$R$79),"")</f>
        <v/>
      </c>
      <c r="U40" s="54" t="str">
        <f>IF(AND('Mapa final'!$AH$80="Media",'Mapa final'!$AJ$80="Menor"),CONCATENATE("R2C",'Mapa final'!$R$80),"")</f>
        <v/>
      </c>
      <c r="V40" s="55" t="str">
        <f>IF(AND('Mapa final'!$AH$81="Media",'Mapa final'!$AJ$81="Menor"),CONCATENATE("R2C",'Mapa final'!$R$81),"")</f>
        <v/>
      </c>
      <c r="W40" s="53" t="str">
        <f>IF(AND('Mapa final'!$AH$76="Media",'Mapa final'!$AJ$76="Moderado"),CONCATENATE("R2C",'Mapa final'!$R$76),"")</f>
        <v/>
      </c>
      <c r="X40" s="54" t="str">
        <f>IF(AND('Mapa final'!$AH$77="Media",'Mapa final'!$AJ$77="Moderado"),CONCATENATE("R2C",'Mapa final'!$R$77),"")</f>
        <v/>
      </c>
      <c r="Y40" s="54" t="str">
        <f>IF(AND('Mapa final'!$AH$78="Media",'Mapa final'!$AJ$78="Moderado"),CONCATENATE("R2C",'Mapa final'!$R$78),"")</f>
        <v/>
      </c>
      <c r="Z40" s="54" t="str">
        <f>IF(AND('Mapa final'!$AH$79="Media",'Mapa final'!$AJ$79="Moderado"),CONCATENATE("R2C",'Mapa final'!$R$79),"")</f>
        <v/>
      </c>
      <c r="AA40" s="54" t="str">
        <f>IF(AND('Mapa final'!$AH$80="Media",'Mapa final'!$AJ$80="Moderado"),CONCATENATE("R2C",'Mapa final'!$R$80),"")</f>
        <v/>
      </c>
      <c r="AB40" s="55" t="str">
        <f>IF(AND('Mapa final'!$AH$81="Media",'Mapa final'!$AJ$81="Moderado"),CONCATENATE("R2C",'Mapa final'!$R$81),"")</f>
        <v/>
      </c>
      <c r="AC40" s="38" t="str">
        <f>IF(AND('Mapa final'!$AH$76="Media",'Mapa final'!$AJ$76="Mayor"),CONCATENATE("R2C",'Mapa final'!$R$76),"")</f>
        <v/>
      </c>
      <c r="AD40" s="39" t="str">
        <f>IF(AND('Mapa final'!$AH$77="Media",'Mapa final'!$AJ$77="Mayor"),CONCATENATE("R2C",'Mapa final'!$R$77),"")</f>
        <v/>
      </c>
      <c r="AE40" s="39" t="str">
        <f>IF(AND('Mapa final'!$AH$78="Media",'Mapa final'!$AJ$78="Mayor"),CONCATENATE("R2C",'Mapa final'!$R$78),"")</f>
        <v/>
      </c>
      <c r="AF40" s="39" t="str">
        <f>IF(AND('Mapa final'!$AH$79="Media",'Mapa final'!$AJ$79="Mayor"),CONCATENATE("R2C",'Mapa final'!$R$79),"")</f>
        <v/>
      </c>
      <c r="AG40" s="39" t="str">
        <f>IF(AND('Mapa final'!$AH$80="Media",'Mapa final'!$AJ$80="Mayor"),CONCATENATE("R2C",'Mapa final'!$R$80),"")</f>
        <v/>
      </c>
      <c r="AH40" s="40" t="str">
        <f>IF(AND('Mapa final'!$AH$81="Media",'Mapa final'!$AJ$81="Mayor"),CONCATENATE("R2C",'Mapa final'!$R$81),"")</f>
        <v/>
      </c>
      <c r="AI40" s="41" t="str">
        <f>IF(AND('Mapa final'!$AH$76="Media",'Mapa final'!$AJ$76="Catastrófico"),CONCATENATE("R2C",'Mapa final'!$R$76),"")</f>
        <v/>
      </c>
      <c r="AJ40" s="42" t="str">
        <f>IF(AND('Mapa final'!$AH$77="Media",'Mapa final'!$AJ$77="Catastrófico"),CONCATENATE("R2C",'Mapa final'!$R$77),"")</f>
        <v/>
      </c>
      <c r="AK40" s="42" t="str">
        <f>IF(AND('Mapa final'!$AH$78="Media",'Mapa final'!$AJ$78="Catastrófico"),CONCATENATE("R2C",'Mapa final'!$R$78),"")</f>
        <v/>
      </c>
      <c r="AL40" s="42" t="str">
        <f>IF(AND('Mapa final'!$AH$79="Media",'Mapa final'!$AJ$79="Catastrófico"),CONCATENATE("R2C",'Mapa final'!$R$79),"")</f>
        <v/>
      </c>
      <c r="AM40" s="42" t="str">
        <f>IF(AND('Mapa final'!$AH$80="Media",'Mapa final'!$AJ$80="Catastrófico"),CONCATENATE("R2C",'Mapa final'!$R$80),"")</f>
        <v/>
      </c>
      <c r="AN40" s="43" t="str">
        <f>IF(AND('Mapa final'!$AH$81="Media",'Mapa final'!$AJ$81="Catastrófico"),CONCATENATE("R2C",'Mapa final'!$R$81),"")</f>
        <v/>
      </c>
      <c r="AO40" s="68"/>
      <c r="AP40" s="557"/>
      <c r="AQ40" s="558"/>
      <c r="AR40" s="558"/>
      <c r="AS40" s="558"/>
      <c r="AT40" s="558"/>
      <c r="AU40" s="559"/>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27"/>
      <c r="D41" s="427"/>
      <c r="E41" s="428"/>
      <c r="F41" s="520"/>
      <c r="G41" s="521"/>
      <c r="H41" s="521"/>
      <c r="I41" s="521"/>
      <c r="J41" s="522"/>
      <c r="K41" s="53" t="str">
        <f>IF(AND('Mapa final'!$AH$82="Media",'Mapa final'!$AJ$82="Leve"),CONCATENATE("R2C",'Mapa final'!$R$82),"")</f>
        <v/>
      </c>
      <c r="L41" s="54" t="str">
        <f>IF(AND('Mapa final'!$AH$83="Media",'Mapa final'!$AJ$83="Leve"),CONCATENATE("R2C",'Mapa final'!$R$83),"")</f>
        <v/>
      </c>
      <c r="M41" s="54" t="str">
        <f>IF(AND('Mapa final'!$AH$84="Media",'Mapa final'!$AJ$84="Leve"),CONCATENATE("R2C",'Mapa final'!$R$84),"")</f>
        <v/>
      </c>
      <c r="N41" s="54" t="e">
        <f>IF(AND('Mapa final'!#REF!="Alta",'Mapa final'!#REF!="Leve"),CONCATENATE("R2C",'Mapa final'!#REF!),"")</f>
        <v>#REF!</v>
      </c>
      <c r="O41" s="54" t="str">
        <f>IF(AND('Mapa final'!$AH$87="Media",'Mapa final'!$AJ$87="Leve"),CONCATENATE("R2C",'Mapa final'!$R$87),"")</f>
        <v/>
      </c>
      <c r="P41" s="55" t="str">
        <f>IF(AND('Mapa final'!$AH$88="Media",'Mapa final'!$AJ$88="Leve"),CONCATENATE("R2C",'Mapa final'!$R$88),"")</f>
        <v/>
      </c>
      <c r="Q41" s="53" t="str">
        <f>IF(AND('Mapa final'!$AH$82="Media",'Mapa final'!$AJ$82="Menor"),CONCATENATE("R2C",'Mapa final'!$R$82),"")</f>
        <v/>
      </c>
      <c r="R41" s="54" t="str">
        <f>IF(AND('Mapa final'!$AH$83="Media",'Mapa final'!$AJ$83="Menor"),CONCATENATE("R2C",'Mapa final'!$R$83),"")</f>
        <v/>
      </c>
      <c r="S41" s="54" t="str">
        <f>IF(AND('Mapa final'!$AH$84="Media",'Mapa final'!$AJ$84="Menor"),CONCATENATE("R2C",'Mapa final'!$R$84),"")</f>
        <v/>
      </c>
      <c r="T41" s="54" t="str">
        <f>IF(AND('Mapa final'!$AH$85="Media",'Mapa final'!$AJ$85="Menor"),CONCATENATE("R2C",'Mapa final'!$R$85),"")</f>
        <v/>
      </c>
      <c r="U41" s="54" t="str">
        <f>IF(AND('Mapa final'!$AH$87="Media",'Mapa final'!$AJ$87="Menor"),CONCATENATE("R2C",'Mapa final'!$R$87),"")</f>
        <v/>
      </c>
      <c r="V41" s="55" t="str">
        <f>IF(AND('Mapa final'!$AH$88="Media",'Mapa final'!$AJ$88="Menor"),CONCATENATE("R2C",'Mapa final'!$R$88),"")</f>
        <v/>
      </c>
      <c r="W41" s="53" t="str">
        <f>IF(AND('Mapa final'!$AH$82="Media",'Mapa final'!$AJ$82="Moderado"),CONCATENATE("R2C",'Mapa final'!$R$82),"")</f>
        <v/>
      </c>
      <c r="X41" s="54" t="str">
        <f>IF(AND('Mapa final'!$AH$83="Media",'Mapa final'!$AJ$83="Moderado"),CONCATENATE("R2C",'Mapa final'!$R$83),"")</f>
        <v/>
      </c>
      <c r="Y41" s="54" t="str">
        <f>IF(AND('Mapa final'!$AH$84="Media",'Mapa final'!$AJ$84="Moderado"),CONCATENATE("R2C",'Mapa final'!$R$84),"")</f>
        <v/>
      </c>
      <c r="Z41" s="54" t="str">
        <f>IF(AND('Mapa final'!$AH$85="Media",'Mapa final'!$AJ$85="Moderado"),CONCATENATE("R2C",'Mapa final'!$R$85),"")</f>
        <v/>
      </c>
      <c r="AA41" s="54" t="str">
        <f>IF(AND('Mapa final'!$AH$87="Media",'Mapa final'!$AJ$87="Moderado"),CONCATENATE("R2C",'Mapa final'!$R$87),"")</f>
        <v/>
      </c>
      <c r="AB41" s="55" t="str">
        <f>IF(AND('Mapa final'!$AH$88="Media",'Mapa final'!$AJ$88="Moderado"),CONCATENATE("R2C",'Mapa final'!$R$88),"")</f>
        <v/>
      </c>
      <c r="AC41" s="44" t="str">
        <f>IF(AND('Mapa final'!$AH$82="Media",'Mapa final'!$AJ$82="Mayor"),CONCATENATE("R2C",'Mapa final'!$R$82),"")</f>
        <v/>
      </c>
      <c r="AD41" s="45" t="str">
        <f>IF(AND('Mapa final'!$AH$83="Media",'Mapa final'!$AJ$83="Mayor"),CONCATENATE("R2C",'Mapa final'!$R$83),"")</f>
        <v/>
      </c>
      <c r="AE41" s="45" t="str">
        <f>IF(AND('Mapa final'!$AH$84="Media",'Mapa final'!$AJ$84="Mayor"),CONCATENATE("R2C",'Mapa final'!$R$84),"")</f>
        <v/>
      </c>
      <c r="AF41" s="45" t="str">
        <f>IF(AND('Mapa final'!$AH$85="Media",'Mapa final'!$AJ$85="Mayor"),CONCATENATE("R2C",'Mapa final'!$R$85),"")</f>
        <v/>
      </c>
      <c r="AG41" s="45" t="str">
        <f>IF(AND('Mapa final'!$AH$87="Media",'Mapa final'!$AJ$87="Mayor"),CONCATENATE("R2C",'Mapa final'!$R$87),"")</f>
        <v/>
      </c>
      <c r="AH41" s="46" t="str">
        <f>IF(AND('Mapa final'!$AH$88="Media",'Mapa final'!$AJ$88="Mayor"),CONCATENATE("R2C",'Mapa final'!$R$88),"")</f>
        <v/>
      </c>
      <c r="AI41" s="47" t="str">
        <f>IF(AND('Mapa final'!$AH$82="Media",'Mapa final'!$AJ$82="Catastrófico"),CONCATENATE("R2C",'Mapa final'!$R$82),"")</f>
        <v/>
      </c>
      <c r="AJ41" s="48" t="str">
        <f>IF(AND('Mapa final'!$AH$83="Media",'Mapa final'!$AJ$83="Catastrófico"),CONCATENATE("R2C",'Mapa final'!$R$83),"")</f>
        <v/>
      </c>
      <c r="AK41" s="48" t="str">
        <f>IF(AND('Mapa final'!$AH$84="Media",'Mapa final'!$AJ$84="Catastrófico"),CONCATENATE("R2C",'Mapa final'!$R$84),"")</f>
        <v/>
      </c>
      <c r="AL41" s="48" t="str">
        <f>IF(AND('Mapa final'!$AH$85="Media",'Mapa final'!$AJ$85="Catastrófico"),CONCATENATE("R2C",'Mapa final'!$R$85),"")</f>
        <v/>
      </c>
      <c r="AM41" s="48" t="str">
        <f>IF(AND('Mapa final'!$AH$87="Media",'Mapa final'!$AJ$87="Catastrófico"),CONCATENATE("R2C",'Mapa final'!$R$87),"")</f>
        <v/>
      </c>
      <c r="AN41" s="49" t="str">
        <f>IF(AND('Mapa final'!$AH$88="Muy Alta",'Mapa final'!$AJ$88="Catastrófico"),CONCATENATE("R2C",'Mapa final'!$R$88),"")</f>
        <v/>
      </c>
      <c r="AO41" s="68"/>
      <c r="AP41" s="560"/>
      <c r="AQ41" s="561"/>
      <c r="AR41" s="561"/>
      <c r="AS41" s="561"/>
      <c r="AT41" s="561"/>
      <c r="AU41" s="562"/>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27"/>
      <c r="D42" s="427"/>
      <c r="E42" s="428"/>
      <c r="F42" s="514" t="s">
        <v>258</v>
      </c>
      <c r="G42" s="515"/>
      <c r="H42" s="515"/>
      <c r="I42" s="515"/>
      <c r="J42" s="515"/>
      <c r="K42" s="59"/>
      <c r="L42" s="60" t="str">
        <f>IF(AND('Mapa final'!$AH$18="Baja",'Mapa final'!$AJ$18="Leve"),CONCATENATE("R2C",'Mapa final'!$R$15),"")</f>
        <v/>
      </c>
      <c r="M42" s="60" t="str">
        <f>IF(AND('Mapa final'!$AH$32="Baja",'Mapa final'!$AJ$32="Leve"),CONCATENATE("R2C",'Mapa final'!$R$32),"")</f>
        <v/>
      </c>
      <c r="N42" s="54" t="e">
        <f>IF(AND('Mapa final'!#REF!="Alta",'Mapa final'!#REF!="Leve"),CONCATENATE("R2C",'Mapa final'!#REF!),"")</f>
        <v>#REF!</v>
      </c>
      <c r="O42" s="60" t="e">
        <f>IF(AND('Mapa final'!#REF!="Baja",'Mapa final'!#REF!="Leve"),CONCATENATE("R2C",'Mapa final'!#REF!),"")</f>
        <v>#REF!</v>
      </c>
      <c r="P42" s="61" t="e">
        <f>IF(AND('Mapa final'!#REF!="Baja",'Mapa final'!#REF!="Leve"),CONCATENATE("R2C",'Mapa final'!#REF!),"")</f>
        <v>#REF!</v>
      </c>
      <c r="Q42" s="50"/>
      <c r="R42" s="51" t="str">
        <f>IF(AND('Mapa final'!$AH$18="Baja",'Mapa final'!$AJ$18="Menore"),CONCATENATE("R2C",'Mapa final'!$R$15),"")</f>
        <v/>
      </c>
      <c r="S42" s="51" t="str">
        <f>IF(AND('Mapa final'!$AH$32="Baja",'Mapa final'!$AJ$32="Menor"),CONCATENATE("R2C",'Mapa final'!$R$32),"")</f>
        <v/>
      </c>
      <c r="T42" s="51" t="e">
        <f>IF(AND('Mapa final'!#REF!="Baja",'Mapa final'!#REF!="Menor"),CONCATENATE("R2C",'Mapa final'!#REF!),"")</f>
        <v>#REF!</v>
      </c>
      <c r="U42" s="51" t="e">
        <f>IF(AND('Mapa final'!#REF!="Baja",'Mapa final'!#REF!="Menor"),CONCATENATE("R2C",'Mapa final'!#REF!),"")</f>
        <v>#REF!</v>
      </c>
      <c r="V42" s="52" t="e">
        <f>IF(AND('Mapa final'!#REF!="Baja",'Mapa final'!#REF!="Menor"),CONCATENATE("R2C",'Mapa final'!#REF!),"")</f>
        <v>#REF!</v>
      </c>
      <c r="W42" s="50"/>
      <c r="X42" s="51" t="str">
        <f>IF(AND('Mapa final'!$AH$18="Baja",'Mapa final'!$AJ$18="Moderado"),CONCATENATE("R2C",'Mapa final'!$R$15),"")</f>
        <v/>
      </c>
      <c r="Y42" s="51"/>
      <c r="Z42" s="51" t="e">
        <f>IF(AND('Mapa final'!#REF!="Baja",'Mapa final'!#REF!="Moderado"),CONCATENATE("R2C",'Mapa final'!#REF!),"")</f>
        <v>#REF!</v>
      </c>
      <c r="AA42" s="51" t="e">
        <f>IF(AND('Mapa final'!#REF!="Baja",'Mapa final'!#REF!="Moderado"),CONCATENATE("R2C",'Mapa final'!#REF!),"")</f>
        <v>#REF!</v>
      </c>
      <c r="AB42" s="52" t="e">
        <f>IF(AND('Mapa final'!#REF!="Baja",'Mapa final'!#REF!="Moderado"),CONCATENATE("R2C",'Mapa final'!#REF!),"")</f>
        <v>#REF!</v>
      </c>
      <c r="AC42" s="32"/>
      <c r="AD42" s="33" t="str">
        <f>IF(AND('Mapa final'!$AH$18="Baja",'Mapa final'!$AJ$18="Mayor"),CONCATENATE("R2C",'Mapa final'!$R$15),"")</f>
        <v/>
      </c>
      <c r="AE42" s="33" t="str">
        <f>IF(AND('Mapa final'!$AH$32="Baja",'Mapa final'!$AJ$32="Mayor"),CONCATENATE("R2C",'Mapa final'!$R$32),"")</f>
        <v/>
      </c>
      <c r="AF42" s="33" t="e">
        <f>IF(AND('Mapa final'!#REF!="Baja",'Mapa final'!#REF!="Mayor"),CONCATENATE("R2C",'Mapa final'!#REF!),"")</f>
        <v>#REF!</v>
      </c>
      <c r="AG42" s="33" t="e">
        <f>IF(AND('Mapa final'!#REF!="Baja",'Mapa final'!#REF!="Mayor"),CONCATENATE("R2C",'Mapa final'!#REF!),"")</f>
        <v>#REF!</v>
      </c>
      <c r="AH42" s="34" t="e">
        <f>IF(AND('Mapa final'!#REF!="Baja",'Mapa final'!#REF!="Mayor"),CONCATENATE("R2C",'Mapa final'!#REF!),"")</f>
        <v>#REF!</v>
      </c>
      <c r="AI42" s="35"/>
      <c r="AJ42" s="36" t="str">
        <f>IF(AND('Mapa final'!$AH$18="Baja",'Mapa final'!$AJ$18="Catastrófico"),CONCATENATE("R2C",'Mapa final'!$R$15),"")</f>
        <v/>
      </c>
      <c r="AK42" s="36" t="str">
        <f>IF(AND('Mapa final'!$AH$32="Baja",'Mapa final'!$AJ$32="Catastrófico"),CONCATENATE("R2C",'Mapa final'!$R$32),"")</f>
        <v/>
      </c>
      <c r="AL42" s="36" t="e">
        <f>IF(AND('Mapa final'!#REF!="Baja",'Mapa final'!#REF!="Catastrófico"),CONCATENATE("R2C",'Mapa final'!#REF!),"")</f>
        <v>#REF!</v>
      </c>
      <c r="AM42" s="36" t="e">
        <f>IF(AND('Mapa final'!#REF!="Baja",'Mapa final'!#REF!="Catastrófico"),CONCATENATE("R2C",'Mapa final'!#REF!),"")</f>
        <v>#REF!</v>
      </c>
      <c r="AN42" s="37" t="e">
        <f>IF(AND('Mapa final'!#REF!="Baja",'Mapa final'!#REF!="Catastrófico"),CONCATENATE("R2C",'Mapa final'!#REF!),"")</f>
        <v>#REF!</v>
      </c>
      <c r="AO42" s="68"/>
      <c r="AP42" s="545" t="s">
        <v>259</v>
      </c>
      <c r="AQ42" s="546"/>
      <c r="AR42" s="546"/>
      <c r="AS42" s="546"/>
      <c r="AT42" s="546"/>
      <c r="AU42" s="547"/>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27"/>
      <c r="D43" s="427"/>
      <c r="E43" s="428"/>
      <c r="F43" s="532"/>
      <c r="G43" s="518"/>
      <c r="H43" s="518"/>
      <c r="I43" s="518"/>
      <c r="J43" s="518"/>
      <c r="K43" s="62" t="e">
        <f>IF(AND('Mapa final'!#REF!="Baja",'Mapa final'!#REF!="Leve"),CONCATENATE("R2C",'Mapa final'!#REF!),"")</f>
        <v>#REF!</v>
      </c>
      <c r="L43" s="63" t="e">
        <f>IF(AND('Mapa final'!#REF!="Baja",'Mapa final'!#REF!="Leve"),CONCATENATE("R2C",'Mapa final'!#REF!),"")</f>
        <v>#REF!</v>
      </c>
      <c r="M43" s="63" t="str">
        <f>IF(AND('Mapa final'!$AH$36="Baja",'Mapa final'!$AJ$36="Leve"),CONCATENATE("R2C",'Mapa final'!$R$36),"")</f>
        <v/>
      </c>
      <c r="N43" s="54" t="e">
        <f>IF(AND('Mapa final'!#REF!="Alta",'Mapa final'!#REF!="Leve"),CONCATENATE("R2C",'Mapa final'!#REF!),"")</f>
        <v>#REF!</v>
      </c>
      <c r="O43" s="63" t="str">
        <f>IF(AND('Mapa final'!$AH$38="Baja",'Mapa final'!$AJ$38="Leve"),CONCATENATE("R2C",'Mapa final'!$R$38),"")</f>
        <v/>
      </c>
      <c r="P43" s="64" t="str">
        <f>IF(AND('Mapa final'!$AH$39="Baja",'Mapa final'!$AJ$39="Leve"),CONCATENATE("R2C",'Mapa final'!$R$39),"")</f>
        <v/>
      </c>
      <c r="Q43" s="53" t="e">
        <f>IF(AND('Mapa final'!#REF!="Baja",'Mapa final'!#REF!="Menor"),CONCATENATE("R2C",'Mapa final'!#REF!),"")</f>
        <v>#REF!</v>
      </c>
      <c r="R43" s="54" t="e">
        <f>IF(AND('Mapa final'!#REF!="Baja",'Mapa final'!#REF!="Menor"),CONCATENATE("R2C",'Mapa final'!#REF!),"")</f>
        <v>#REF!</v>
      </c>
      <c r="S43" s="54" t="str">
        <f>IF(AND('Mapa final'!$AH$36="Baja",'Mapa final'!$AJ$36="Menor"),CONCATENATE("R2C",'Mapa final'!$R$36),"")</f>
        <v/>
      </c>
      <c r="T43" s="54" t="str">
        <f>IF(AND('Mapa final'!$AH$37="Baja",'Mapa final'!$AJ$37="Menor"),CONCATENATE("R2C",'Mapa final'!$R$37),"")</f>
        <v/>
      </c>
      <c r="U43" s="54" t="str">
        <f>IF(AND('Mapa final'!$AH$38="Baja",'Mapa final'!$AJ$38="Menor"),CONCATENATE("R2C",'Mapa final'!$R$38),"")</f>
        <v/>
      </c>
      <c r="V43" s="55" t="str">
        <f>IF(AND('Mapa final'!$AH$39="Baja",'Mapa final'!$AJ$39="Menor"),CONCATENATE("R2C",'Mapa final'!$R$39),"")</f>
        <v/>
      </c>
      <c r="W43" s="53" t="e">
        <f>IF(AND('Mapa final'!#REF!="Baja",'Mapa final'!#REF!="Moderado"),CONCATENATE("R2C",'Mapa final'!#REF!),"")</f>
        <v>#REF!</v>
      </c>
      <c r="X43" s="54" t="e">
        <f>IF(AND('Mapa final'!#REF!="Baja",'Mapa final'!#REF!="Moderado"),CONCATENATE("R2C",'Mapa final'!#REF!),"")</f>
        <v>#REF!</v>
      </c>
      <c r="Y43" s="54" t="str">
        <f>IF(AND('Mapa final'!$AH$36="Baja",'Mapa final'!$AJ$36="Moderado"),CONCATENATE("R2C",'Mapa final'!$R$36),"")</f>
        <v/>
      </c>
      <c r="Z43" s="54" t="str">
        <f>IF(AND('Mapa final'!$AH$37="Baja",'Mapa final'!$AJ$37="Moderado"),CONCATENATE("R2C",'Mapa final'!$R$37),"")</f>
        <v/>
      </c>
      <c r="AA43" s="54" t="str">
        <f>IF(AND('Mapa final'!$AH$38="Baja",'Mapa final'!$AJ$38="Moderado"),CONCATENATE("R2C",'Mapa final'!$R$38),"")</f>
        <v/>
      </c>
      <c r="AB43" s="55" t="str">
        <f>IF(AND('Mapa final'!$AH$39="Baja",'Mapa final'!$AJ$39="Moderado"),CONCATENATE("R2C",'Mapa final'!$R$39),"")</f>
        <v/>
      </c>
      <c r="AC43" s="38" t="e">
        <f>IF(AND('Mapa final'!#REF!="Baja",'Mapa final'!#REF!="Mayor"),CONCATENATE("R2C",'Mapa final'!#REF!),"")</f>
        <v>#REF!</v>
      </c>
      <c r="AD43" s="39" t="e">
        <f>IF(AND('Mapa final'!#REF!="Baja",'Mapa final'!#REF!="Mayor"),CONCATENATE("R2C",'Mapa final'!#REF!),"")</f>
        <v>#REF!</v>
      </c>
      <c r="AE43" s="39" t="str">
        <f>IF(AND('Mapa final'!$AH$36="Baja",'Mapa final'!$AJ$36="Mayor"),CONCATENATE("R2C",'Mapa final'!$R$36),"")</f>
        <v/>
      </c>
      <c r="AF43" s="39" t="str">
        <f>IF(AND('Mapa final'!$AH$37="Baja",'Mapa final'!$AJ$37="Mayor"),CONCATENATE("R2C",'Mapa final'!$R$37),"")</f>
        <v/>
      </c>
      <c r="AG43" s="39" t="str">
        <f>IF(AND('Mapa final'!$AH$38="Baja",'Mapa final'!$AJ$38="Mayor"),CONCATENATE("R2C",'Mapa final'!$R$38),"")</f>
        <v/>
      </c>
      <c r="AH43" s="40" t="str">
        <f>IF(AND('Mapa final'!$AH$39="Baja",'Mapa final'!$AJ$39="Mayor"),CONCATENATE("R2C",'Mapa final'!$R$39),"")</f>
        <v/>
      </c>
      <c r="AI43" s="41" t="e">
        <f>IF(AND('Mapa final'!#REF!="Baja",'Mapa final'!#REF!="Catastrófico"),CONCATENATE("R2C",'Mapa final'!#REF!),"")</f>
        <v>#REF!</v>
      </c>
      <c r="AJ43" s="42" t="e">
        <f>IF(AND('Mapa final'!#REF!="Baja",'Mapa final'!#REF!="Catastrófico"),CONCATENATE("R2C",'Mapa final'!#REF!),"")</f>
        <v>#REF!</v>
      </c>
      <c r="AK43" s="42" t="str">
        <f>IF(AND('Mapa final'!$AH$36="Baja",'Mapa final'!$AJ$36="Catastrófico"),CONCATENATE("R2C",'Mapa final'!$R$36),"")</f>
        <v/>
      </c>
      <c r="AL43" s="42" t="str">
        <f>IF(AND('Mapa final'!$AH$37="Baja",'Mapa final'!$AJ$37="Catastrófico"),CONCATENATE("R2C",'Mapa final'!$R$37),"")</f>
        <v/>
      </c>
      <c r="AM43" s="42" t="str">
        <f>IF(AND('Mapa final'!$AH$38="Baja",'Mapa final'!$AJ$38="Catastrófico"),CONCATENATE("R2C",'Mapa final'!$R$38),"")</f>
        <v/>
      </c>
      <c r="AN43" s="43" t="str">
        <f>IF(AND('Mapa final'!$AH$39="Baja",'Mapa final'!$AJ$39="Catastrófico"),CONCATENATE("R2C",'Mapa final'!$R$39),"")</f>
        <v/>
      </c>
      <c r="AO43" s="68"/>
      <c r="AP43" s="548"/>
      <c r="AQ43" s="549"/>
      <c r="AR43" s="549"/>
      <c r="AS43" s="549"/>
      <c r="AT43" s="549"/>
      <c r="AU43" s="550"/>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27"/>
      <c r="D44" s="427"/>
      <c r="E44" s="428"/>
      <c r="F44" s="517"/>
      <c r="G44" s="518"/>
      <c r="H44" s="518"/>
      <c r="I44" s="518"/>
      <c r="J44" s="518"/>
      <c r="K44" s="62" t="str">
        <f>IF(AND('Mapa final'!$AH$40="Baja",'Mapa final'!$AJ$40="Leve"),CONCATENATE("R2C",'Mapa final'!$R$40),"")</f>
        <v/>
      </c>
      <c r="L44" s="63" t="str">
        <f>IF(AND('Mapa final'!$AH$41="Baja",'Mapa final'!$AJ$41="Leve"),CONCATENATE("R2C",'Mapa final'!$R$41),"")</f>
        <v/>
      </c>
      <c r="M44" s="63" t="str">
        <f>IF(AND('Mapa final'!$AH$42="Baja",'Mapa final'!$AJ$42="Leve"),CONCATENATE("R2C",'Mapa final'!$R$42),"")</f>
        <v/>
      </c>
      <c r="N44" s="54" t="e">
        <f>IF(AND('Mapa final'!#REF!="Alta",'Mapa final'!#REF!="Leve"),CONCATENATE("R2C",'Mapa final'!#REF!),"")</f>
        <v>#REF!</v>
      </c>
      <c r="O44" s="63" t="str">
        <f>IF(AND('Mapa final'!$AH$44="Baja",'Mapa final'!$AJ$44="Leve"),CONCATENATE("R2C",'Mapa final'!$R$44),"")</f>
        <v/>
      </c>
      <c r="P44" s="64" t="str">
        <f>IF(AND('Mapa final'!$AH$45="Baja",'Mapa final'!$AJ$45="Leve"),CONCATENATE("R2C",'Mapa final'!$R$45),"")</f>
        <v/>
      </c>
      <c r="Q44" s="53" t="str">
        <f>IF(AND('Mapa final'!$AH$40="Baja",'Mapa final'!$AJ$40="Menor"),CONCATENATE("R2C",'Mapa final'!$R$40),"")</f>
        <v/>
      </c>
      <c r="R44" s="54" t="str">
        <f>IF(AND('Mapa final'!$AH$41="Baja",'Mapa final'!$AJ$41="Menor"),CONCATENATE("R2C",'Mapa final'!$R$41),"")</f>
        <v/>
      </c>
      <c r="S44" s="54" t="str">
        <f>IF(AND('Mapa final'!$AH$42="Baja",'Mapa final'!$AJ$42="Menor"),CONCATENATE("R2C",'Mapa final'!$R$42),"")</f>
        <v/>
      </c>
      <c r="T44" s="54" t="str">
        <f>IF(AND('Mapa final'!$AH$43="Baja",'Mapa final'!$AJ$43="Menor"),CONCATENATE("R2C",'Mapa final'!$R$43),"")</f>
        <v/>
      </c>
      <c r="U44" s="54" t="str">
        <f>IF(AND('Mapa final'!$AH$44="Baja",'Mapa final'!$AJ$44="Menor"),CONCATENATE("R2C",'Mapa final'!$R$44),"")</f>
        <v/>
      </c>
      <c r="V44" s="55" t="str">
        <f>IF(AND('Mapa final'!$AH$45="Baja",'Mapa final'!$AJ$45="Menor"),CONCATENATE("R2C",'Mapa final'!$R$45),"")</f>
        <v/>
      </c>
      <c r="W44" s="53" t="str">
        <f>IF(AND('Mapa final'!$AH$40="Baja",'Mapa final'!$AJ$40="Moderado"),CONCATENATE("R2C",'Mapa final'!$R$40),"")</f>
        <v/>
      </c>
      <c r="X44" s="54" t="str">
        <f>IF(AND('Mapa final'!$AH$41="Baja",'Mapa final'!$AJ$41="Moderado"),CONCATENATE("R2C",'Mapa final'!$R$41),"")</f>
        <v/>
      </c>
      <c r="Y44" s="54" t="str">
        <f>IF(AND('Mapa final'!$AH$42="Baja",'Mapa final'!$AJ$42="Moderado"),CONCATENATE("R2C",'Mapa final'!$R$42),"")</f>
        <v/>
      </c>
      <c r="Z44" s="54" t="str">
        <f>IF(AND('Mapa final'!$AH$43="Baja",'Mapa final'!$AJ$43="Moderado"),CONCATENATE("R2C",'Mapa final'!$R$43),"")</f>
        <v/>
      </c>
      <c r="AA44" s="54" t="str">
        <f>IF(AND('Mapa final'!$AH$44="Baja",'Mapa final'!$AJ$44="Moderado"),CONCATENATE("R2C",'Mapa final'!$R$44),"")</f>
        <v/>
      </c>
      <c r="AB44" s="55" t="str">
        <f>IF(AND('Mapa final'!$AH$45="Baja",'Mapa final'!$AJ$45="Moderado"),CONCATENATE("R2C",'Mapa final'!$R$45),"")</f>
        <v/>
      </c>
      <c r="AC44" s="38" t="str">
        <f>IF(AND('Mapa final'!$AH$40="Baja",'Mapa final'!$AJ$40="Mayor"),CONCATENATE("R2C",'Mapa final'!$R$40),"")</f>
        <v/>
      </c>
      <c r="AD44" s="39" t="str">
        <f>IF(AND('Mapa final'!$AH$41="Baja",'Mapa final'!$AJ$41="Mayor"),CONCATENATE("R2C",'Mapa final'!$R$41),"")</f>
        <v/>
      </c>
      <c r="AE44" s="39" t="str">
        <f>IF(AND('Mapa final'!$AH$42="Baja",'Mapa final'!$AJ$42="Mayor"),CONCATENATE("R2C",'Mapa final'!$R$42),"")</f>
        <v/>
      </c>
      <c r="AF44" s="39" t="str">
        <f>IF(AND('Mapa final'!$AH$43="Baja",'Mapa final'!$AJ$43="Mayor"),CONCATENATE("R2C",'Mapa final'!$R$43),"")</f>
        <v/>
      </c>
      <c r="AG44" s="39" t="str">
        <f>IF(AND('Mapa final'!$AH$44="Baja",'Mapa final'!$AJ$44="Mayor"),CONCATENATE("R2C",'Mapa final'!$R$44),"")</f>
        <v/>
      </c>
      <c r="AH44" s="40" t="str">
        <f>IF(AND('Mapa final'!$AH$45="Baja",'Mapa final'!$AJ$45="Mayor"),CONCATENATE("R2C",'Mapa final'!$R$45),"")</f>
        <v/>
      </c>
      <c r="AI44" s="41" t="str">
        <f>IF(AND('Mapa final'!$AH$40="Baja",'Mapa final'!$AJ$40="Catastrófico"),CONCATENATE("R2C",'Mapa final'!$R$40),"")</f>
        <v/>
      </c>
      <c r="AJ44" s="42" t="str">
        <f>IF(AND('Mapa final'!$AH$41="Baja",'Mapa final'!$AJ$41="Catastrófico"),CONCATENATE("R2C",'Mapa final'!$R$41),"")</f>
        <v/>
      </c>
      <c r="AK44" s="42" t="str">
        <f>IF(AND('Mapa final'!$AH$42="Baja",'Mapa final'!$AJ$42="Catastrófico"),CONCATENATE("R2C",'Mapa final'!$R$42),"")</f>
        <v/>
      </c>
      <c r="AL44" s="42" t="str">
        <f>IF(AND('Mapa final'!$AH$43="Baja",'Mapa final'!$AJ$43="Catastrófico"),CONCATENATE("R2C",'Mapa final'!$R$43),"")</f>
        <v/>
      </c>
      <c r="AM44" s="42" t="str">
        <f>IF(AND('Mapa final'!$AH$44="Baja",'Mapa final'!$AJ$44="Catastrófico"),CONCATENATE("R2C",'Mapa final'!$R$44),"")</f>
        <v/>
      </c>
      <c r="AN44" s="43" t="str">
        <f>IF(AND('Mapa final'!$AH$45="Baja",'Mapa final'!$AJ$45="Catastrófico"),CONCATENATE("R2C",'Mapa final'!$R$45),"")</f>
        <v/>
      </c>
      <c r="AO44" s="68"/>
      <c r="AP44" s="548"/>
      <c r="AQ44" s="549"/>
      <c r="AR44" s="549"/>
      <c r="AS44" s="549"/>
      <c r="AT44" s="549"/>
      <c r="AU44" s="550"/>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27"/>
      <c r="D45" s="427"/>
      <c r="E45" s="428"/>
      <c r="F45" s="517"/>
      <c r="G45" s="518"/>
      <c r="H45" s="518"/>
      <c r="I45" s="518"/>
      <c r="J45" s="518"/>
      <c r="K45" s="62" t="str">
        <f>IF(AND('Mapa final'!$AH$46="Baja",'Mapa final'!$AJ$46="Leve"),CONCATENATE("R2C",'Mapa final'!$R$46),"")</f>
        <v/>
      </c>
      <c r="L45" s="63" t="str">
        <f>IF(AND('Mapa final'!$AH$47="Baja",'Mapa final'!$AJ$47="Leve"),CONCATENATE("R2C",'Mapa final'!$R$47),"")</f>
        <v/>
      </c>
      <c r="M45" s="63" t="str">
        <f>IF(AND('Mapa final'!$AH$48="Baja",'Mapa final'!$AJ$48="Leve"),CONCATENATE("R2C",'Mapa final'!$R$48),"")</f>
        <v/>
      </c>
      <c r="N45" s="54" t="e">
        <f>IF(AND('Mapa final'!#REF!="Alta",'Mapa final'!#REF!="Leve"),CONCATENATE("R2C",'Mapa final'!#REF!),"")</f>
        <v>#REF!</v>
      </c>
      <c r="O45" s="63" t="str">
        <f>IF(AND('Mapa final'!$AH$50="Baja",'Mapa final'!$AJ$50="Leve"),CONCATENATE("R2C",'Mapa final'!$R$50),"")</f>
        <v/>
      </c>
      <c r="P45" s="64" t="str">
        <f>IF(AND('Mapa final'!$AH$51="Baja",'Mapa final'!$AJ$51="Leve"),CONCATENATE("R2C",'Mapa final'!$R$51),"")</f>
        <v/>
      </c>
      <c r="Q45" s="53" t="str">
        <f>IF(AND('Mapa final'!$AH$46="Baja",'Mapa final'!$AJ$46="Menor"),CONCATENATE("R2C",'Mapa final'!$R$46),"")</f>
        <v/>
      </c>
      <c r="R45" s="54" t="str">
        <f>IF(AND('Mapa final'!$AH$47="Baja",'Mapa final'!$AJ$47="Menor"),CONCATENATE("R2C",'Mapa final'!$R$47),"")</f>
        <v/>
      </c>
      <c r="S45" s="54" t="str">
        <f>IF(AND('Mapa final'!$AH$48="Baja",'Mapa final'!$AJ$48="Menor"),CONCATENATE("R2C",'Mapa final'!$R$48),"")</f>
        <v/>
      </c>
      <c r="T45" s="54" t="str">
        <f>IF(AND('Mapa final'!$AH$49="Baja",'Mapa final'!$AJ$49="Menor"),CONCATENATE("R2C",'Mapa final'!$R$49),"")</f>
        <v/>
      </c>
      <c r="U45" s="54" t="str">
        <f>IF(AND('Mapa final'!$AH$50="Baja",'Mapa final'!$AJ$50="LMenor"),CONCATENATE("R2C",'Mapa final'!$R$50),"")</f>
        <v/>
      </c>
      <c r="V45" s="55" t="str">
        <f>IF(AND('Mapa final'!$AH$51="Baja",'Mapa final'!$AJ$51="Menor"),CONCATENATE("R2C",'Mapa final'!$R$51),"")</f>
        <v/>
      </c>
      <c r="W45" s="53" t="str">
        <f>IF(AND('Mapa final'!$AH$46="Baja",'Mapa final'!$AJ$46="Moderado"),CONCATENATE("R2C",'Mapa final'!$R$46),"")</f>
        <v/>
      </c>
      <c r="X45" s="54" t="str">
        <f>IF(AND('Mapa final'!$AH$47="Baja",'Mapa final'!$AJ$47="Moderado"),CONCATENATE("R2C",'Mapa final'!$R$47),"")</f>
        <v/>
      </c>
      <c r="Y45" s="54" t="str">
        <f>IF(AND('Mapa final'!$AH$48="Baja",'Mapa final'!$AJ$48="Moderado"),CONCATENATE("R2C",'Mapa final'!$R$48),"")</f>
        <v/>
      </c>
      <c r="Z45" s="54" t="str">
        <f>IF(AND('Mapa final'!$AH$49="Baja",'Mapa final'!$AJ$49="Moderado"),CONCATENATE("R2C",'Mapa final'!$R$49),"")</f>
        <v/>
      </c>
      <c r="AA45" s="54" t="str">
        <f>IF(AND('Mapa final'!$AH$50="Baja",'Mapa final'!$AJ$50="Moderado"),CONCATENATE("R2C",'Mapa final'!$R$50),"")</f>
        <v/>
      </c>
      <c r="AB45" s="55" t="str">
        <f>IF(AND('Mapa final'!$AH$51="Baja",'Mapa final'!$AJ$51="Moderado"),CONCATENATE("R2C",'Mapa final'!$R$51),"")</f>
        <v/>
      </c>
      <c r="AC45" s="38" t="str">
        <f>IF(AND('Mapa final'!$AH$46="Baja",'Mapa final'!$AJ$46="Mayor"),CONCATENATE("R2C",'Mapa final'!$R$46),"")</f>
        <v/>
      </c>
      <c r="AD45" s="39" t="str">
        <f>IF(AND('Mapa final'!$AH$47="Baja",'Mapa final'!$AJ$47="Mayor"),CONCATENATE("R2C",'Mapa final'!$R$47),"")</f>
        <v/>
      </c>
      <c r="AE45" s="39" t="str">
        <f>IF(AND('Mapa final'!$AH$48="Baja",'Mapa final'!$AJ$48="Mayor"),CONCATENATE("R2C",'Mapa final'!$R$48),"")</f>
        <v/>
      </c>
      <c r="AF45" s="39" t="str">
        <f>IF(AND('Mapa final'!$AH$49="Baja",'Mapa final'!$AJ$49="Mayor"),CONCATENATE("R2C",'Mapa final'!$R$49),"")</f>
        <v/>
      </c>
      <c r="AG45" s="39" t="str">
        <f>IF(AND('Mapa final'!$AH$50="Baja",'Mapa final'!$AJ$50="Mayor"),CONCATENATE("R2C",'Mapa final'!$R$50),"")</f>
        <v/>
      </c>
      <c r="AH45" s="40" t="str">
        <f>IF(AND('Mapa final'!$AH$51="Baja",'Mapa final'!$AJ$51="Mayor"),CONCATENATE("R2C",'Mapa final'!$R$51),"")</f>
        <v/>
      </c>
      <c r="AI45" s="41" t="str">
        <f>IF(AND('Mapa final'!$AH$46="Baja",'Mapa final'!$AJ$46="Catastrófico"),CONCATENATE("R2C",'Mapa final'!$R$46),"")</f>
        <v/>
      </c>
      <c r="AJ45" s="42" t="str">
        <f>IF(AND('Mapa final'!$AH$47="Baja",'Mapa final'!$AJ$47="Catastrófico"),CONCATENATE("R2C",'Mapa final'!$R$47),"")</f>
        <v/>
      </c>
      <c r="AK45" s="42" t="str">
        <f>IF(AND('Mapa final'!$AH$48="Baja",'Mapa final'!$AJ$48="Catastrófico"),CONCATENATE("R2C",'Mapa final'!$R$48),"")</f>
        <v/>
      </c>
      <c r="AL45" s="42" t="str">
        <f>IF(AND('Mapa final'!$AH$49="Baja",'Mapa final'!$AJ$49="Catastrófico"),CONCATENATE("R2C",'Mapa final'!$R$49),"")</f>
        <v/>
      </c>
      <c r="AM45" s="42" t="str">
        <f>IF(AND('Mapa final'!$AH$50="Baja",'Mapa final'!$AJ$50="LCatastrófico"),CONCATENATE("R2C",'Mapa final'!$R$50),"")</f>
        <v/>
      </c>
      <c r="AN45" s="43" t="str">
        <f>IF(AND('Mapa final'!$AH$51="Baja",'Mapa final'!$AJ$51="Catastrófico"),CONCATENATE("R2C",'Mapa final'!$R$51),"")</f>
        <v/>
      </c>
      <c r="AO45" s="68"/>
      <c r="AP45" s="548"/>
      <c r="AQ45" s="549"/>
      <c r="AR45" s="549"/>
      <c r="AS45" s="549"/>
      <c r="AT45" s="549"/>
      <c r="AU45" s="550"/>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27"/>
      <c r="D46" s="427"/>
      <c r="E46" s="428"/>
      <c r="F46" s="517"/>
      <c r="G46" s="518"/>
      <c r="H46" s="518"/>
      <c r="I46" s="518"/>
      <c r="J46" s="518"/>
      <c r="K46" s="62" t="str">
        <f>IF(AND('Mapa final'!$AH$52="Baja",'Mapa final'!$AJ$52="Leve"),CONCATENATE("R2C",'Mapa final'!$R$52),"")</f>
        <v/>
      </c>
      <c r="L46" s="63" t="str">
        <f>IF(AND('Mapa final'!$AH$53="Baja",'Mapa final'!$AJ$53="Leve"),CONCATENATE("R2C",'Mapa final'!$R$53),"")</f>
        <v/>
      </c>
      <c r="M46" s="63" t="str">
        <f>IF(AND('Mapa final'!$AH$54="Baja",'Mapa final'!$AJ$54="Leve"),CONCATENATE("R2C",'Mapa final'!$R$54),"")</f>
        <v/>
      </c>
      <c r="N46" s="54" t="e">
        <f>IF(AND('Mapa final'!#REF!="Alta",'Mapa final'!#REF!="Leve"),CONCATENATE("R2C",'Mapa final'!#REF!),"")</f>
        <v>#REF!</v>
      </c>
      <c r="O46" s="63" t="str">
        <f>IF(AND('Mapa final'!$AH$56="Baja",'Mapa final'!$AJ$56="Leve"),CONCATENATE("R2C",'Mapa final'!$R$56),"")</f>
        <v/>
      </c>
      <c r="P46" s="64" t="str">
        <f>IF(AND('Mapa final'!$AH$57="Baja",'Mapa final'!$AJ$57="Leve"),CONCATENATE("R2C",'Mapa final'!$R$57),"")</f>
        <v/>
      </c>
      <c r="Q46" s="53" t="str">
        <f>IF(AND('Mapa final'!$AH$52="Baja",'Mapa final'!$AJ$52="Menor"),CONCATENATE("R2C",'Mapa final'!$R$52),"")</f>
        <v/>
      </c>
      <c r="R46" s="54" t="str">
        <f>IF(AND('Mapa final'!$AH$53="Baja",'Mapa final'!$AJ$53="Menor"),CONCATENATE("R2C",'Mapa final'!$R$53),"")</f>
        <v/>
      </c>
      <c r="S46" s="54" t="str">
        <f>IF(AND('Mapa final'!$AH$54="Baja",'Mapa final'!$AJ$54="Menor"),CONCATENATE("R2C",'Mapa final'!$R$54),"")</f>
        <v/>
      </c>
      <c r="T46" s="54" t="str">
        <f>IF(AND('Mapa final'!$AH$55="Baja",'Mapa final'!$AJ$55="Menor"),CONCATENATE("R2C",'Mapa final'!$R$55),"")</f>
        <v/>
      </c>
      <c r="U46" s="54" t="str">
        <f>IF(AND('Mapa final'!$AH$56="Baja",'Mapa final'!$AJ$56="Menor"),CONCATENATE("R2C",'Mapa final'!$R$56),"")</f>
        <v/>
      </c>
      <c r="V46" s="55" t="str">
        <f>IF(AND('Mapa final'!$AH$57="Baja",'Mapa final'!$AJ$57="Menor"),CONCATENATE("R2C",'Mapa final'!$R$57),"")</f>
        <v/>
      </c>
      <c r="W46" s="53" t="str">
        <f>IF(AND('Mapa final'!$AH$52="Baja",'Mapa final'!$AJ$52="Moderado"),CONCATENATE("R2C",'Mapa final'!$R$52),"")</f>
        <v/>
      </c>
      <c r="X46" s="54" t="str">
        <f>IF(AND('Mapa final'!$AH$53="Baja",'Mapa final'!$AJ$53="Moderado"),CONCATENATE("R2C",'Mapa final'!$R$53),"")</f>
        <v/>
      </c>
      <c r="Y46" s="54" t="str">
        <f>IF(AND('Mapa final'!$AH$54="Baja",'Mapa final'!$AJ$54="Moderado"),CONCATENATE("R2C",'Mapa final'!$R$54),"")</f>
        <v/>
      </c>
      <c r="Z46" s="54" t="str">
        <f>IF(AND('Mapa final'!$AH$55="Baja",'Mapa final'!$AJ$55="Moderado"),CONCATENATE("R2C",'Mapa final'!$R$55),"")</f>
        <v/>
      </c>
      <c r="AA46" s="54" t="str">
        <f>IF(AND('Mapa final'!$AH$56="Baja",'Mapa final'!$AJ$56="Moderado"),CONCATENATE("R2C",'Mapa final'!$R$56),"")</f>
        <v/>
      </c>
      <c r="AB46" s="55" t="str">
        <f>IF(AND('Mapa final'!$AH$57="Baja",'Mapa final'!$AJ$57="Moderado"),CONCATENATE("R2C",'Mapa final'!$R$57),"")</f>
        <v/>
      </c>
      <c r="AC46" s="38" t="str">
        <f>IF(AND('Mapa final'!$AH$52="Baja",'Mapa final'!$AJ$52="Mayor"),CONCATENATE("R2C",'Mapa final'!$R$52),"")</f>
        <v/>
      </c>
      <c r="AD46" s="39" t="str">
        <f>IF(AND('Mapa final'!$AH$53="Baja",'Mapa final'!$AJ$53="Mayor"),CONCATENATE("R2C",'Mapa final'!$R$53),"")</f>
        <v/>
      </c>
      <c r="AE46" s="39" t="str">
        <f>IF(AND('Mapa final'!$AH$54="Baja",'Mapa final'!$AJ$54="Mayor"),CONCATENATE("R2C",'Mapa final'!$R$54),"")</f>
        <v/>
      </c>
      <c r="AF46" s="39" t="str">
        <f>IF(AND('Mapa final'!$AH$55="Baja",'Mapa final'!$AJ$55="Mayor"),CONCATENATE("R2C",'Mapa final'!$R$55),"")</f>
        <v/>
      </c>
      <c r="AG46" s="39" t="str">
        <f>IF(AND('Mapa final'!$AH$56="Baja",'Mapa final'!$AJ$56="Mayor"),CONCATENATE("R2C",'Mapa final'!$R$56),"")</f>
        <v/>
      </c>
      <c r="AH46" s="40" t="str">
        <f>IF(AND('Mapa final'!$AH$57="Baja",'Mapa final'!$AJ$57="Mayor"),CONCATENATE("R2C",'Mapa final'!$R$57),"")</f>
        <v/>
      </c>
      <c r="AI46" s="41" t="str">
        <f>IF(AND('Mapa final'!$AH$52="Baja",'Mapa final'!$AJ$52="Catastrófico"),CONCATENATE("R2C",'Mapa final'!$R$52),"")</f>
        <v/>
      </c>
      <c r="AJ46" s="42" t="str">
        <f>IF(AND('Mapa final'!$AH$53="Baja",'Mapa final'!$AJ$53="Catastrófico"),CONCATENATE("R2C",'Mapa final'!$R$53),"")</f>
        <v/>
      </c>
      <c r="AK46" s="42" t="str">
        <f>IF(AND('Mapa final'!$AH$54="Baja",'Mapa final'!$AJ$54="Catastrófico"),CONCATENATE("R2C",'Mapa final'!$R$54),"")</f>
        <v/>
      </c>
      <c r="AL46" s="42" t="str">
        <f>IF(AND('Mapa final'!$AH$55="Baja",'Mapa final'!$AJ$55="Catastrófico"),CONCATENATE("R2C",'Mapa final'!$R$55),"")</f>
        <v/>
      </c>
      <c r="AM46" s="42" t="str">
        <f>IF(AND('Mapa final'!$AH$56="Baja",'Mapa final'!$AJ$56="Catastrófico"),CONCATENATE("R2C",'Mapa final'!$R$56),"")</f>
        <v/>
      </c>
      <c r="AN46" s="43" t="str">
        <f>IF(AND('Mapa final'!$AH$57="Baja",'Mapa final'!$AJ$57="Catastrófico"),CONCATENATE("R2C",'Mapa final'!$R$57),"")</f>
        <v/>
      </c>
      <c r="AO46" s="68"/>
      <c r="AP46" s="548"/>
      <c r="AQ46" s="549"/>
      <c r="AR46" s="549"/>
      <c r="AS46" s="549"/>
      <c r="AT46" s="549"/>
      <c r="AU46" s="550"/>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27"/>
      <c r="D47" s="427"/>
      <c r="E47" s="428"/>
      <c r="F47" s="517"/>
      <c r="G47" s="518"/>
      <c r="H47" s="518"/>
      <c r="I47" s="518"/>
      <c r="J47" s="518"/>
      <c r="K47" s="62" t="str">
        <f>IF(AND('Mapa final'!$AH$58="Baja",'Mapa final'!$AJ$58="Leve"),CONCATENATE("R2C",'Mapa final'!$R$58),"")</f>
        <v/>
      </c>
      <c r="L47" s="63" t="str">
        <f>IF(AND('Mapa final'!$AH$59="Baja",'Mapa final'!$AJ$59="Leve"),CONCATENATE("R2C",'Mapa final'!$R$59),"")</f>
        <v/>
      </c>
      <c r="M47" s="63" t="str">
        <f>IF(AND('Mapa final'!$AH$60="Baja",'Mapa final'!$AJ$60="Leve"),CONCATENATE("R2C",'Mapa final'!$R$60),"")</f>
        <v/>
      </c>
      <c r="N47" s="54" t="e">
        <f>IF(AND('Mapa final'!#REF!="Alta",'Mapa final'!#REF!="Leve"),CONCATENATE("R2C",'Mapa final'!#REF!),"")</f>
        <v>#REF!</v>
      </c>
      <c r="O47" s="63" t="str">
        <f>IF(AND('Mapa final'!$AH$62="Baja",'Mapa final'!$AJ$62="Leve"),CONCATENATE("R2C",'Mapa final'!$R$62),"")</f>
        <v/>
      </c>
      <c r="P47" s="64" t="str">
        <f>IF(AND('Mapa final'!$AH$73="Baja",'Mapa final'!$AJ$63="Leve"),CONCATENATE("R2C",'Mapa final'!$R$63),"")</f>
        <v/>
      </c>
      <c r="Q47" s="53" t="str">
        <f>IF(AND('Mapa final'!$AH$58="Baja",'Mapa final'!$AJ$58="Menor"),CONCATENATE("R2C",'Mapa final'!$R$58),"")</f>
        <v/>
      </c>
      <c r="R47" s="54" t="str">
        <f>IF(AND('Mapa final'!$AH$59="Baja",'Mapa final'!$AJ$59="Menor"),CONCATENATE("R2C",'Mapa final'!$R$59),"")</f>
        <v/>
      </c>
      <c r="S47" s="54" t="str">
        <f>IF(AND('Mapa final'!$AH$60="Baja",'Mapa final'!$AJ$60="Menor"),CONCATENATE("R2C",'Mapa final'!$R$60),"")</f>
        <v/>
      </c>
      <c r="T47" s="54" t="str">
        <f>IF(AND('Mapa final'!$AH$61="Baja",'Mapa final'!$AJ$61="Menor"),CONCATENATE("R2C",'Mapa final'!$R$61),"")</f>
        <v/>
      </c>
      <c r="U47" s="54" t="str">
        <f>IF(AND('Mapa final'!$AH$62="Baja",'Mapa final'!$AJ$62="Menor"),CONCATENATE("R2C",'Mapa final'!$R$62),"")</f>
        <v/>
      </c>
      <c r="V47" s="55" t="str">
        <f>IF(AND('Mapa final'!$AH$73="Baja",'Mapa final'!$AJ$63="Menor"),CONCATENATE("R2C",'Mapa final'!$R$63),"")</f>
        <v/>
      </c>
      <c r="W47" s="53" t="str">
        <f>IF(AND('Mapa final'!$AH$58="Baja",'Mapa final'!$AJ$58="Moderado"),CONCATENATE("R2C",'Mapa final'!$R$58),"")</f>
        <v/>
      </c>
      <c r="X47" s="54" t="str">
        <f>IF(AND('Mapa final'!$AH$59="Baja",'Mapa final'!$AJ$59="Moderado"),CONCATENATE("R2C",'Mapa final'!$R$59),"")</f>
        <v/>
      </c>
      <c r="Y47" s="54" t="str">
        <f>IF(AND('Mapa final'!$AH$60="Baja",'Mapa final'!$AJ$60="Moderado"),CONCATENATE("R2C",'Mapa final'!$R$60),"")</f>
        <v/>
      </c>
      <c r="Z47" s="54" t="str">
        <f>IF(AND('Mapa final'!$AH$61="Baja",'Mapa final'!$AJ$61="Moderado"),CONCATENATE("R2C",'Mapa final'!$R$61),"")</f>
        <v/>
      </c>
      <c r="AA47" s="54" t="str">
        <f>IF(AND('Mapa final'!$AH$62="Baja",'Mapa final'!$AJ$62="Moderado"),CONCATENATE("R2C",'Mapa final'!$R$62),"")</f>
        <v/>
      </c>
      <c r="AB47" s="55" t="str">
        <f>IF(AND('Mapa final'!$AH$73="Baja",'Mapa final'!$AJ$63="Moderado"),CONCATENATE("R2C",'Mapa final'!$R$63),"")</f>
        <v/>
      </c>
      <c r="AC47" s="38" t="str">
        <f>IF(AND('Mapa final'!$AH$58="Baja",'Mapa final'!$AJ$58="Mayor"),CONCATENATE("R2C",'Mapa final'!$R$58),"")</f>
        <v/>
      </c>
      <c r="AD47" s="39" t="str">
        <f>IF(AND('Mapa final'!$AH$59="Baja",'Mapa final'!$AJ$59="Mayor"),CONCATENATE("R2C",'Mapa final'!$R$59),"")</f>
        <v/>
      </c>
      <c r="AE47" s="39" t="str">
        <f>IF(AND('Mapa final'!$AH$60="Baja",'Mapa final'!$AJ$60="Mayor"),CONCATENATE("R2C",'Mapa final'!$R$60),"")</f>
        <v/>
      </c>
      <c r="AF47" s="39" t="str">
        <f>IF(AND('Mapa final'!$AH$61="Baja",'Mapa final'!$AJ$61="Mayor"),CONCATENATE("R2C",'Mapa final'!$R$61),"")</f>
        <v/>
      </c>
      <c r="AG47" s="39" t="str">
        <f>IF(AND('Mapa final'!$AH$62="Baja",'Mapa final'!$AJ$62="Mayor"),CONCATENATE("R2C",'Mapa final'!$R$62),"")</f>
        <v/>
      </c>
      <c r="AH47" s="40" t="str">
        <f>IF(AND('Mapa final'!$AH$73="Baja",'Mapa final'!$AJ$63="Mayor"),CONCATENATE("R2C",'Mapa final'!$R$63),"")</f>
        <v/>
      </c>
      <c r="AI47" s="41" t="str">
        <f>IF(AND('Mapa final'!$AH$58="Baja",'Mapa final'!$AJ$58="Catastrófico"),CONCATENATE("R2C",'Mapa final'!$R$58),"")</f>
        <v/>
      </c>
      <c r="AJ47" s="42" t="str">
        <f>IF(AND('Mapa final'!$AH$59="Baja",'Mapa final'!$AJ$59="Catastrófico"),CONCATENATE("R2C",'Mapa final'!$R$59),"")</f>
        <v/>
      </c>
      <c r="AK47" s="42" t="str">
        <f>IF(AND('Mapa final'!$AH$60="Baja",'Mapa final'!$AJ$60="Catastrófico"),CONCATENATE("R2C",'Mapa final'!$R$60),"")</f>
        <v/>
      </c>
      <c r="AL47" s="42" t="str">
        <f>IF(AND('Mapa final'!$AH$61="Baja",'Mapa final'!$AJ$61="Catastrófico"),CONCATENATE("R2C",'Mapa final'!$R$61),"")</f>
        <v/>
      </c>
      <c r="AM47" s="42" t="str">
        <f>IF(AND('Mapa final'!$AH$62="Baja",'Mapa final'!$AJ$62="Catastrófico"),CONCATENATE("R2C",'Mapa final'!$R$62),"")</f>
        <v/>
      </c>
      <c r="AN47" s="43" t="str">
        <f>IF(AND('Mapa final'!$AH$73="Baja",'Mapa final'!$AJ$63="Catastrófico"),CONCATENATE("R2C",'Mapa final'!$R$63),"")</f>
        <v/>
      </c>
      <c r="AO47" s="68"/>
      <c r="AP47" s="548"/>
      <c r="AQ47" s="549"/>
      <c r="AR47" s="549"/>
      <c r="AS47" s="549"/>
      <c r="AT47" s="549"/>
      <c r="AU47" s="550"/>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27"/>
      <c r="D48" s="427"/>
      <c r="E48" s="428"/>
      <c r="F48" s="517"/>
      <c r="G48" s="518"/>
      <c r="H48" s="518"/>
      <c r="I48" s="518"/>
      <c r="J48" s="518"/>
      <c r="K48" s="62" t="str">
        <f>IF(AND('Mapa final'!$AH$64="Baja",'Mapa final'!$AJ$64="Leve"),CONCATENATE("R2C",'Mapa final'!$R$64),"")</f>
        <v/>
      </c>
      <c r="L48" s="63" t="str">
        <f>IF(AND('Mapa final'!$AH$65="Baja",'Mapa final'!$AJ$65="Leve"),CONCATENATE("R2C",'Mapa final'!$R$65),"")</f>
        <v/>
      </c>
      <c r="M48" s="63" t="str">
        <f>IF(AND('Mapa final'!$AH$66="Baja",'Mapa final'!$AJ$66="Leve"),CONCATENATE("R2C",'Mapa final'!$R$66),"")</f>
        <v/>
      </c>
      <c r="N48" s="54" t="e">
        <f>IF(AND('Mapa final'!#REF!="Alta",'Mapa final'!#REF!="Leve"),CONCATENATE("R2C",'Mapa final'!#REF!),"")</f>
        <v>#REF!</v>
      </c>
      <c r="O48" s="63" t="str">
        <f>IF(AND('Mapa final'!$AH$68="Baja",'Mapa final'!$AJ$68="Leve"),CONCATENATE("R2C",'Mapa final'!$R$68),"")</f>
        <v/>
      </c>
      <c r="P48" s="64" t="str">
        <f>IF(AND('Mapa final'!$AH$69="Baja",'Mapa final'!$AJ$69="Leve"),CONCATENATE("R2C",'Mapa final'!$R$69),"")</f>
        <v/>
      </c>
      <c r="Q48" s="53" t="str">
        <f>IF(AND('Mapa final'!$AH$64="Baja",'Mapa final'!$AJ$64="Menor"),CONCATENATE("R2C",'Mapa final'!$R$64),"")</f>
        <v/>
      </c>
      <c r="R48" s="54" t="str">
        <f>IF(AND('Mapa final'!$AH$65="Baja",'Mapa final'!$AJ$65="Menor"),CONCATENATE("R2C",'Mapa final'!$R$65),"")</f>
        <v/>
      </c>
      <c r="S48" s="54" t="str">
        <f>IF(AND('Mapa final'!$AH$66="Baja",'Mapa final'!$AJ$66="Menor"),CONCATENATE("R2C",'Mapa final'!$R$66),"")</f>
        <v/>
      </c>
      <c r="T48" s="54" t="str">
        <f>IF(AND('Mapa final'!$AH$67="Baja",'Mapa final'!$AJ$67="Menor"),CONCATENATE("R2C",'Mapa final'!$R$67),"")</f>
        <v/>
      </c>
      <c r="U48" s="54" t="str">
        <f>IF(AND('Mapa final'!$AH$68="Baja",'Mapa final'!$AJ$68="Menor"),CONCATENATE("R2C",'Mapa final'!$R$68),"")</f>
        <v/>
      </c>
      <c r="V48" s="55" t="str">
        <f>IF(AND('Mapa final'!$AH$69="Baja",'Mapa final'!$AJ$69="Menor"),CONCATENATE("R2C",'Mapa final'!$R$69),"")</f>
        <v/>
      </c>
      <c r="W48" s="53" t="str">
        <f>IF(AND('Mapa final'!$AH$64="Baja",'Mapa final'!$AJ$64="Moderado"),CONCATENATE("R2C",'Mapa final'!$R$64),"")</f>
        <v/>
      </c>
      <c r="X48" s="54" t="str">
        <f>IF(AND('Mapa final'!$AH$65="Baja",'Mapa final'!$AJ$65="Moderado"),CONCATENATE("R2C",'Mapa final'!$R$65),"")</f>
        <v/>
      </c>
      <c r="Y48" s="54" t="str">
        <f>IF(AND('Mapa final'!$AH$66="Baja",'Mapa final'!$AJ$66="Moderado"),CONCATENATE("R2C",'Mapa final'!$R$66),"")</f>
        <v/>
      </c>
      <c r="Z48" s="54" t="str">
        <f>IF(AND('Mapa final'!$AH$67="Baja",'Mapa final'!$AJ$67="Moderado"),CONCATENATE("R2C",'Mapa final'!$R$67),"")</f>
        <v/>
      </c>
      <c r="AA48" s="54" t="str">
        <f>IF(AND('Mapa final'!$AH$68="Baja",'Mapa final'!$AJ$68="Moderado"),CONCATENATE("R2C",'Mapa final'!$R$68),"")</f>
        <v/>
      </c>
      <c r="AB48" s="55" t="str">
        <f>IF(AND('Mapa final'!$AH$69="Baja",'Mapa final'!$AJ$69="Moderado"),CONCATENATE("R2C",'Mapa final'!$R$69),"")</f>
        <v/>
      </c>
      <c r="AC48" s="38" t="str">
        <f>IF(AND('Mapa final'!$AH$64="Baja",'Mapa final'!$AJ$64="Mayor"),CONCATENATE("R2C",'Mapa final'!$R$64),"")</f>
        <v/>
      </c>
      <c r="AD48" s="39" t="str">
        <f>IF(AND('Mapa final'!$AH$65="Baja",'Mapa final'!$AJ$65="Mayor"),CONCATENATE("R2C",'Mapa final'!$R$65),"")</f>
        <v/>
      </c>
      <c r="AE48" s="39" t="str">
        <f>IF(AND('Mapa final'!$AH$66="Baja",'Mapa final'!$AJ$66="Mayor"),CONCATENATE("R2C",'Mapa final'!$R$66),"")</f>
        <v/>
      </c>
      <c r="AF48" s="39" t="str">
        <f>IF(AND('Mapa final'!$AH$67="Baja",'Mapa final'!$AJ$67="Mayor"),CONCATENATE("R2C",'Mapa final'!$R$67),"")</f>
        <v/>
      </c>
      <c r="AG48" s="39" t="str">
        <f>IF(AND('Mapa final'!$AH$68="Baja",'Mapa final'!$AJ$68="Mayor"),CONCATENATE("R2C",'Mapa final'!$R$68),"")</f>
        <v/>
      </c>
      <c r="AH48" s="40" t="str">
        <f>IF(AND('Mapa final'!$AH$69="Baja",'Mapa final'!$AJ$69="Mayor"),CONCATENATE("R2C",'Mapa final'!$R$69),"")</f>
        <v/>
      </c>
      <c r="AI48" s="41" t="str">
        <f>IF(AND('Mapa final'!$AH$64="Baja",'Mapa final'!$AJ$64="Catastrófico"),CONCATENATE("R2C",'Mapa final'!$R$64),"")</f>
        <v/>
      </c>
      <c r="AJ48" s="42" t="str">
        <f>IF(AND('Mapa final'!$AH$65="Baja",'Mapa final'!$AJ$65="Catastrófico"),CONCATENATE("R2C",'Mapa final'!$R$65),"")</f>
        <v/>
      </c>
      <c r="AK48" s="42" t="str">
        <f>IF(AND('Mapa final'!$AH$66="Baja",'Mapa final'!$AJ$66="Catastrófico"),CONCATENATE("R2C",'Mapa final'!$R$66),"")</f>
        <v/>
      </c>
      <c r="AL48" s="42" t="str">
        <f>IF(AND('Mapa final'!$AH$67="Baja",'Mapa final'!$AJ$67="Catastrófico"),CONCATENATE("R2C",'Mapa final'!$R$67),"")</f>
        <v/>
      </c>
      <c r="AM48" s="42" t="str">
        <f>IF(AND('Mapa final'!$AH$68="Baja",'Mapa final'!$AJ$68="Catastrófico"),CONCATENATE("R2C",'Mapa final'!$R$68),"")</f>
        <v/>
      </c>
      <c r="AN48" s="43" t="str">
        <f>IF(AND('Mapa final'!$AH$69="Baja",'Mapa final'!$AJ$69="Catastrófico"),CONCATENATE("R2C",'Mapa final'!$R$69),"")</f>
        <v/>
      </c>
      <c r="AO48" s="68"/>
      <c r="AP48" s="548"/>
      <c r="AQ48" s="549"/>
      <c r="AR48" s="549"/>
      <c r="AS48" s="549"/>
      <c r="AT48" s="549"/>
      <c r="AU48" s="550"/>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27"/>
      <c r="D49" s="427"/>
      <c r="E49" s="428"/>
      <c r="F49" s="517"/>
      <c r="G49" s="518"/>
      <c r="H49" s="518"/>
      <c r="I49" s="518"/>
      <c r="J49" s="518"/>
      <c r="K49" s="62" t="str">
        <f>IF(AND('Mapa final'!$AH$70="Baja",'Mapa final'!$AJ$70="Leve"),CONCATENATE("R2C",'Mapa final'!$R$70),"")</f>
        <v/>
      </c>
      <c r="L49" s="63" t="str">
        <f>IF(AND('Mapa final'!$AH$71="Baja",'Mapa final'!$AJ$71="Leve"),CONCATENATE("R2C",'Mapa final'!$R$71),"")</f>
        <v/>
      </c>
      <c r="M49" s="63" t="str">
        <f>IF(AND('Mapa final'!$AH$72="Baja",'Mapa final'!$AJ$72="Leve"),CONCATENATE("R2C",'Mapa final'!$R$72),"")</f>
        <v/>
      </c>
      <c r="N49" s="54" t="e">
        <f>IF(AND('Mapa final'!#REF!="Alta",'Mapa final'!#REF!="Leve"),CONCATENATE("R2C",'Mapa final'!#REF!),"")</f>
        <v>#REF!</v>
      </c>
      <c r="O49" s="63" t="str">
        <f>IF(AND('Mapa final'!$AH$74="Baja",'Mapa final'!$AJ$74="Leve"),CONCATENATE("R2C",'Mapa final'!$R$74),"")</f>
        <v/>
      </c>
      <c r="P49" s="64" t="str">
        <f>IF(AND('Mapa final'!$AH$75="Baja",'Mapa final'!$AJ$75="Leve"),CONCATENATE("R2C",'Mapa final'!$R$75),"")</f>
        <v/>
      </c>
      <c r="Q49" s="53" t="str">
        <f>IF(AND('Mapa final'!$AH$70="Baja",'Mapa final'!$AJ$70="Menor"),CONCATENATE("R2C",'Mapa final'!$R$70),"")</f>
        <v/>
      </c>
      <c r="R49" s="54" t="str">
        <f>IF(AND('Mapa final'!$AH$71="Baja",'Mapa final'!$AJ$71="Menor"),CONCATENATE("R2C",'Mapa final'!$R$71),"")</f>
        <v/>
      </c>
      <c r="S49" s="54" t="str">
        <f>IF(AND('Mapa final'!$AH$72="Baja",'Mapa final'!$AJ$72="Menor"),CONCATENATE("R2C",'Mapa final'!$R$72),"")</f>
        <v/>
      </c>
      <c r="T49" s="54" t="str">
        <f>IF(AND('Mapa final'!$AH$73="Baja",'Mapa final'!$AJ$73="Menor"),CONCATENATE("R2C",'Mapa final'!$R$73),"")</f>
        <v/>
      </c>
      <c r="U49" s="54" t="str">
        <f>IF(AND('Mapa final'!$AH$74="Baja",'Mapa final'!$AJ$74="Menor"),CONCATENATE("R2C",'Mapa final'!$R$74),"")</f>
        <v/>
      </c>
      <c r="V49" s="55" t="str">
        <f>IF(AND('Mapa final'!$AH$75="Baja",'Mapa final'!$AJ$75="Menor"),CONCATENATE("R2C",'Mapa final'!$R$75),"")</f>
        <v/>
      </c>
      <c r="W49" s="53" t="str">
        <f>IF(AND('Mapa final'!$AH$70="Baja",'Mapa final'!$AJ$70="Moderado"),CONCATENATE("R2C",'Mapa final'!$R$70),"")</f>
        <v/>
      </c>
      <c r="X49" s="54" t="str">
        <f>IF(AND('Mapa final'!$AH$71="Baja",'Mapa final'!$AJ$71="Moderado"),CONCATENATE("R2C",'Mapa final'!$R$71),"")</f>
        <v/>
      </c>
      <c r="Y49" s="54" t="str">
        <f>IF(AND('Mapa final'!$AH$72="Baja",'Mapa final'!$AJ$72="Moderado"),CONCATENATE("R2C",'Mapa final'!$R$72),"")</f>
        <v/>
      </c>
      <c r="Z49" s="54" t="str">
        <f>IF(AND('Mapa final'!$AH$73="Baja",'Mapa final'!$AJ$73="Moderado"),CONCATENATE("R2C",'Mapa final'!$R$73),"")</f>
        <v/>
      </c>
      <c r="AA49" s="54" t="str">
        <f>IF(AND('Mapa final'!$AH$74="Baja",'Mapa final'!$AJ$74="Moderado"),CONCATENATE("R2C",'Mapa final'!$R$74),"")</f>
        <v/>
      </c>
      <c r="AB49" s="55" t="str">
        <f>IF(AND('Mapa final'!$AH$75="Baja",'Mapa final'!$AJ$75="Moderado"),CONCATENATE("R2C",'Mapa final'!$R$75),"")</f>
        <v/>
      </c>
      <c r="AC49" s="38" t="str">
        <f>IF(AND('Mapa final'!$AH$70="Baja",'Mapa final'!$AJ$70="Mayor"),CONCATENATE("R2C",'Mapa final'!$R$70),"")</f>
        <v/>
      </c>
      <c r="AD49" s="39" t="str">
        <f>IF(AND('Mapa final'!$AH$71="Baja",'Mapa final'!$AJ$71="Mayor"),CONCATENATE("R2C",'Mapa final'!$R$71),"")</f>
        <v/>
      </c>
      <c r="AE49" s="39" t="str">
        <f>IF(AND('Mapa final'!$AH$72="Baja",'Mapa final'!$AJ$72="Mayor"),CONCATENATE("R2C",'Mapa final'!$R$72),"")</f>
        <v/>
      </c>
      <c r="AF49" s="39" t="str">
        <f>IF(AND('Mapa final'!$AH$73="Baja",'Mapa final'!$AJ$73="Mayor"),CONCATENATE("R2C",'Mapa final'!$R$73),"")</f>
        <v/>
      </c>
      <c r="AG49" s="39" t="str">
        <f>IF(AND('Mapa final'!$AH$74="Baja",'Mapa final'!$AJ$74="Mayor"),CONCATENATE("R2C",'Mapa final'!$R$74),"")</f>
        <v/>
      </c>
      <c r="AH49" s="40" t="str">
        <f>IF(AND('Mapa final'!$AH$75="Baja",'Mapa final'!$AJ$75="Mayor"),CONCATENATE("R2C",'Mapa final'!$R$75),"")</f>
        <v/>
      </c>
      <c r="AI49" s="41" t="str">
        <f>IF(AND('Mapa final'!$AH$70="Baja",'Mapa final'!$AJ$70="Catastrófico"),CONCATENATE("R2C",'Mapa final'!$R$70),"")</f>
        <v/>
      </c>
      <c r="AJ49" s="42" t="str">
        <f>IF(AND('Mapa final'!$AH$71="Baja",'Mapa final'!$AJ$71="Catastrófico"),CONCATENATE("R2C",'Mapa final'!$R$71),"")</f>
        <v/>
      </c>
      <c r="AK49" s="42" t="str">
        <f>IF(AND('Mapa final'!$AH$72="Baja",'Mapa final'!$AJ$72="Catastrófico"),CONCATENATE("R2C",'Mapa final'!$R$72),"")</f>
        <v/>
      </c>
      <c r="AL49" s="42" t="str">
        <f>IF(AND('Mapa final'!$AH$73="Baja",'Mapa final'!$AJ$73="Catastrófico"),CONCATENATE("R2C",'Mapa final'!$R$73),"")</f>
        <v/>
      </c>
      <c r="AM49" s="42" t="str">
        <f>IF(AND('Mapa final'!$AH$74="Baja",'Mapa final'!$AJ$74="Catastrófico"),CONCATENATE("R2C",'Mapa final'!$R$74),"")</f>
        <v/>
      </c>
      <c r="AN49" s="43" t="str">
        <f>IF(AND('Mapa final'!$AH$75="Baja",'Mapa final'!$AJ$75="Catastrófico"),CONCATENATE("R2C",'Mapa final'!$R$75),"")</f>
        <v/>
      </c>
      <c r="AO49" s="68"/>
      <c r="AP49" s="548"/>
      <c r="AQ49" s="549"/>
      <c r="AR49" s="549"/>
      <c r="AS49" s="549"/>
      <c r="AT49" s="549"/>
      <c r="AU49" s="550"/>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27"/>
      <c r="D50" s="427"/>
      <c r="E50" s="428"/>
      <c r="F50" s="517"/>
      <c r="G50" s="518"/>
      <c r="H50" s="518"/>
      <c r="I50" s="518"/>
      <c r="J50" s="518"/>
      <c r="K50" s="62" t="str">
        <f>IF(AND('Mapa final'!$AH$76="Baja",'Mapa final'!$AJ$76="Leve"),CONCATENATE("R2C",'Mapa final'!$R$76),"")</f>
        <v/>
      </c>
      <c r="L50" s="63" t="str">
        <f>IF(AND('Mapa final'!$AH$77="Baja",'Mapa final'!$AJ$77="Leve"),CONCATENATE("R2C",'Mapa final'!$R$77),"")</f>
        <v/>
      </c>
      <c r="M50" s="63" t="str">
        <f>IF(AND('Mapa final'!$AH$78="Baja",'Mapa final'!$AJ$78="Leve"),CONCATENATE("R2C",'Mapa final'!$R$78),"")</f>
        <v/>
      </c>
      <c r="N50" s="54" t="e">
        <f>IF(AND('Mapa final'!#REF!="Alta",'Mapa final'!#REF!="Leve"),CONCATENATE("R2C",'Mapa final'!#REF!),"")</f>
        <v>#REF!</v>
      </c>
      <c r="O50" s="63" t="str">
        <f>IF(AND('Mapa final'!$AH$80="Baja",'Mapa final'!$AJ$80="Leve"),CONCATENATE("R2C",'Mapa final'!$R$80),"")</f>
        <v/>
      </c>
      <c r="P50" s="64" t="str">
        <f>IF(AND('Mapa final'!$AH$81="Baja",'Mapa final'!$AJ$81="Leve"),CONCATENATE("R2C",'Mapa final'!$R$81),"")</f>
        <v/>
      </c>
      <c r="Q50" s="53" t="str">
        <f>IF(AND('Mapa final'!$AH$76="Baja",'Mapa final'!$AJ$76="Menor"),CONCATENATE("R2C",'Mapa final'!$R$76),"")</f>
        <v/>
      </c>
      <c r="R50" s="54" t="str">
        <f>IF(AND('Mapa final'!$AH$77="Baja",'Mapa final'!$AJ$77="Menor"),CONCATENATE("R2C",'Mapa final'!$R$77),"")</f>
        <v/>
      </c>
      <c r="S50" s="54" t="str">
        <f>IF(AND('Mapa final'!$AH$78="Baja",'Mapa final'!$AJ$78="Menor"),CONCATENATE("R2C",'Mapa final'!$R$78),"")</f>
        <v/>
      </c>
      <c r="T50" s="54" t="str">
        <f>IF(AND('Mapa final'!$AH$79="Baja",'Mapa final'!$AJ$79="Menor"),CONCATENATE("R2C",'Mapa final'!$R$79),"")</f>
        <v/>
      </c>
      <c r="U50" s="54" t="str">
        <f>IF(AND('Mapa final'!$AH$80="Baja",'Mapa final'!$AJ$80="Menor"),CONCATENATE("R2C",'Mapa final'!$R$80),"")</f>
        <v/>
      </c>
      <c r="V50" s="55" t="str">
        <f>IF(AND('Mapa final'!$AH$81="Baja",'Mapa final'!$AJ$81="Menor"),CONCATENATE("R2C",'Mapa final'!$R$81),"")</f>
        <v/>
      </c>
      <c r="W50" s="53" t="str">
        <f>IF(AND('Mapa final'!$AH$76="Baja",'Mapa final'!$AJ$76="Moderado"),CONCATENATE("R2C",'Mapa final'!$R$76),"")</f>
        <v/>
      </c>
      <c r="X50" s="54" t="str">
        <f>IF(AND('Mapa final'!$AH$77="Baja",'Mapa final'!$AJ$77="Moderado"),CONCATENATE("R2C",'Mapa final'!$R$77),"")</f>
        <v/>
      </c>
      <c r="Y50" s="54" t="str">
        <f>IF(AND('Mapa final'!$AH$78="Baja",'Mapa final'!$AJ$78="Moderado"),CONCATENATE("R2C",'Mapa final'!$R$78),"")</f>
        <v/>
      </c>
      <c r="Z50" s="54" t="str">
        <f>IF(AND('Mapa final'!$AH$79="Baja",'Mapa final'!$AJ$79="Moderado"),CONCATENATE("R2C",'Mapa final'!$R$79),"")</f>
        <v/>
      </c>
      <c r="AA50" s="54" t="str">
        <f>IF(AND('Mapa final'!$AH$80="Baja",'Mapa final'!$AJ$80="Moderado"),CONCATENATE("R2C",'Mapa final'!$R$80),"")</f>
        <v/>
      </c>
      <c r="AB50" s="55" t="str">
        <f>IF(AND('Mapa final'!$AH$81="Baja",'Mapa final'!$AJ$81="Moderado"),CONCATENATE("R2C",'Mapa final'!$R$81),"")</f>
        <v/>
      </c>
      <c r="AC50" s="38" t="str">
        <f>IF(AND('Mapa final'!$AH$76="Baja",'Mapa final'!$AJ$76="Mayor"),CONCATENATE("R2C",'Mapa final'!$R$76),"")</f>
        <v/>
      </c>
      <c r="AD50" s="39" t="str">
        <f>IF(AND('Mapa final'!$AH$77="Baja",'Mapa final'!$AJ$77="Mayor"),CONCATENATE("R2C",'Mapa final'!$R$77),"")</f>
        <v/>
      </c>
      <c r="AE50" s="39" t="str">
        <f>IF(AND('Mapa final'!$AH$78="Baja",'Mapa final'!$AJ$78="Mayor"),CONCATENATE("R2C",'Mapa final'!$R$78),"")</f>
        <v/>
      </c>
      <c r="AF50" s="39" t="str">
        <f>IF(AND('Mapa final'!$AH$79="Baja",'Mapa final'!$AJ$79="Mayor"),CONCATENATE("R2C",'Mapa final'!$R$79),"")</f>
        <v/>
      </c>
      <c r="AG50" s="39" t="str">
        <f>IF(AND('Mapa final'!$AH$80="Baja",'Mapa final'!$AJ$80="Mayor"),CONCATENATE("R2C",'Mapa final'!$R$80),"")</f>
        <v/>
      </c>
      <c r="AH50" s="40" t="str">
        <f>IF(AND('Mapa final'!$AH$81="Baja",'Mapa final'!$AJ$81="Mayor"),CONCATENATE("R2C",'Mapa final'!$R$81),"")</f>
        <v/>
      </c>
      <c r="AI50" s="41" t="str">
        <f>IF(AND('Mapa final'!$AH$76="Baja",'Mapa final'!$AJ$76="Catastrófico"),CONCATENATE("R2C",'Mapa final'!$R$76),"")</f>
        <v/>
      </c>
      <c r="AJ50" s="42" t="str">
        <f>IF(AND('Mapa final'!$AH$77="Baja",'Mapa final'!$AJ$77="Catastrófico"),CONCATENATE("R2C",'Mapa final'!$R$77),"")</f>
        <v/>
      </c>
      <c r="AK50" s="42" t="str">
        <f>IF(AND('Mapa final'!$AH$78="Baja",'Mapa final'!$AJ$78="Catastrófico"),CONCATENATE("R2C",'Mapa final'!$R$78),"")</f>
        <v/>
      </c>
      <c r="AL50" s="42" t="str">
        <f>IF(AND('Mapa final'!$AH$79="Baja",'Mapa final'!$AJ$79="Catastrófico"),CONCATENATE("R2C",'Mapa final'!$R$79),"")</f>
        <v/>
      </c>
      <c r="AM50" s="42" t="str">
        <f>IF(AND('Mapa final'!$AH$80="Baja",'Mapa final'!$AJ$80="Catastrófico"),CONCATENATE("R2C",'Mapa final'!$R$80),"")</f>
        <v/>
      </c>
      <c r="AN50" s="43" t="str">
        <f>IF(AND('Mapa final'!$AH$81="Baja",'Mapa final'!$AJ$81="Catastrófico"),CONCATENATE("R2C",'Mapa final'!$R$81),"")</f>
        <v/>
      </c>
      <c r="AO50" s="68"/>
      <c r="AP50" s="548"/>
      <c r="AQ50" s="549"/>
      <c r="AR50" s="549"/>
      <c r="AS50" s="549"/>
      <c r="AT50" s="549"/>
      <c r="AU50" s="550"/>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27"/>
      <c r="D51" s="427"/>
      <c r="E51" s="428"/>
      <c r="F51" s="520"/>
      <c r="G51" s="521"/>
      <c r="H51" s="521"/>
      <c r="I51" s="521"/>
      <c r="J51" s="521"/>
      <c r="K51" s="65" t="str">
        <f>IF(AND('Mapa final'!$AH$82="Baja",'Mapa final'!$AJ$82="Leve"),CONCATENATE("R2C",'Mapa final'!$R$82),"")</f>
        <v/>
      </c>
      <c r="L51" s="66" t="str">
        <f>IF(AND('Mapa final'!$AH$83="Baja",'Mapa final'!$AJ$83="Leve"),CONCATENATE("R2C",'Mapa final'!$R$83),"")</f>
        <v/>
      </c>
      <c r="M51" s="66" t="str">
        <f>IF(AND('Mapa final'!$AH$84="Baja",'Mapa final'!$AJ$84="Leve"),CONCATENATE("R2C",'Mapa final'!$R$84),"")</f>
        <v/>
      </c>
      <c r="N51" s="54" t="e">
        <f>IF(AND('Mapa final'!#REF!="Alta",'Mapa final'!#REF!="Leve"),CONCATENATE("R2C",'Mapa final'!#REF!),"")</f>
        <v>#REF!</v>
      </c>
      <c r="O51" s="66" t="str">
        <f>IF(AND('Mapa final'!$AH$87="Baja",'Mapa final'!$AJ$87="Leve"),CONCATENATE("R2C",'Mapa final'!$R$87),"")</f>
        <v/>
      </c>
      <c r="P51" s="67" t="str">
        <f>IF(AND('Mapa final'!$AH$88="Baja",'Mapa final'!$AJ$88="Leve"),CONCATENATE("R2C",'Mapa final'!$R$88),"")</f>
        <v/>
      </c>
      <c r="Q51" s="53" t="str">
        <f>IF(AND('Mapa final'!$AH$82="Baja",'Mapa final'!$AJ$82="Menor"),CONCATENATE("R2C",'Mapa final'!$R$82),"")</f>
        <v/>
      </c>
      <c r="R51" s="54" t="str">
        <f>IF(AND('Mapa final'!$AH$83="Baja",'Mapa final'!$AJ$83="Menor"),CONCATENATE("R2C",'Mapa final'!$R$83),"")</f>
        <v/>
      </c>
      <c r="S51" s="54" t="str">
        <f>IF(AND('Mapa final'!$AH$84="Baja",'Mapa final'!$AJ$84="Menor"),CONCATENATE("R2C",'Mapa final'!$R$84),"")</f>
        <v/>
      </c>
      <c r="T51" s="54" t="str">
        <f>IF(AND('Mapa final'!$AH$85="Baja",'Mapa final'!$AJ$85="Menor"),CONCATENATE("R2C",'Mapa final'!$R$85),"")</f>
        <v/>
      </c>
      <c r="U51" s="54" t="str">
        <f>IF(AND('Mapa final'!$AH$87="Baja",'Mapa final'!$AJ$87="Menor"),CONCATENATE("R2C",'Mapa final'!$R$87),"")</f>
        <v/>
      </c>
      <c r="V51" s="55" t="str">
        <f>IF(AND('Mapa final'!$AH$88="Baja",'Mapa final'!$AJ$88="Menor"),CONCATENATE("R2C",'Mapa final'!$R$88),"")</f>
        <v/>
      </c>
      <c r="W51" s="56" t="str">
        <f>IF(AND('Mapa final'!$AH$82="Baja",'Mapa final'!$AJ$82="Moderado"),CONCATENATE("R2C",'Mapa final'!$R$82),"")</f>
        <v/>
      </c>
      <c r="X51" s="57" t="str">
        <f>IF(AND('Mapa final'!$AH$83="Baja",'Mapa final'!$AJ$83="Moderado"),CONCATENATE("R2C",'Mapa final'!$R$83),"")</f>
        <v/>
      </c>
      <c r="Y51" s="57" t="str">
        <f>IF(AND('Mapa final'!$AH$84="Baja",'Mapa final'!$AJ$84="Moderado"),CONCATENATE("R2C",'Mapa final'!$R$84),"")</f>
        <v/>
      </c>
      <c r="Z51" s="57" t="str">
        <f>IF(AND('Mapa final'!$AH$85="Baja",'Mapa final'!$AJ$85="Moderado"),CONCATENATE("R2C",'Mapa final'!$R$85),"")</f>
        <v/>
      </c>
      <c r="AA51" s="57" t="str">
        <f>IF(AND('Mapa final'!$AH$87="Baja",'Mapa final'!$AJ$87="Moderado"),CONCATENATE("R2C",'Mapa final'!$R$87),"")</f>
        <v/>
      </c>
      <c r="AB51" s="58" t="str">
        <f>IF(AND('Mapa final'!$AH$88="Baja",'Mapa final'!$AJ$88="Moderado"),CONCATENATE("R2C",'Mapa final'!$R$88),"")</f>
        <v/>
      </c>
      <c r="AC51" s="44" t="str">
        <f>IF(AND('Mapa final'!$AH$82="Baja",'Mapa final'!$AJ$82="Mayor"),CONCATENATE("R2C",'Mapa final'!$R$82),"")</f>
        <v/>
      </c>
      <c r="AD51" s="45" t="str">
        <f>IF(AND('Mapa final'!$AH$83="Baja",'Mapa final'!$AJ$83="Mayor"),CONCATENATE("R2C",'Mapa final'!$R$83),"")</f>
        <v/>
      </c>
      <c r="AE51" s="45" t="str">
        <f>IF(AND('Mapa final'!$AH$84="Baja",'Mapa final'!$AJ$84="Mayor"),CONCATENATE("R2C",'Mapa final'!$R$84),"")</f>
        <v/>
      </c>
      <c r="AF51" s="45" t="str">
        <f>IF(AND('Mapa final'!$AH$85="Baja",'Mapa final'!$AJ$85="Mayor"),CONCATENATE("R2C",'Mapa final'!$R$85),"")</f>
        <v/>
      </c>
      <c r="AG51" s="45" t="str">
        <f>IF(AND('Mapa final'!$AH$87="Baja",'Mapa final'!$AJ$87="Mayor"),CONCATENATE("R2C",'Mapa final'!$R$87),"")</f>
        <v/>
      </c>
      <c r="AH51" s="46" t="str">
        <f>IF(AND('Mapa final'!$AH$88="Baja",'Mapa final'!$AJ$88="Mayor"),CONCATENATE("R2C",'Mapa final'!$R$88),"")</f>
        <v/>
      </c>
      <c r="AI51" s="47" t="str">
        <f>IF(AND('Mapa final'!$AH$82="Baja",'Mapa final'!$AJ$82="Catastrófico"),CONCATENATE("R2C",'Mapa final'!$R$82),"")</f>
        <v/>
      </c>
      <c r="AJ51" s="48" t="str">
        <f>IF(AND('Mapa final'!$AH$83="Baja",'Mapa final'!$AJ$83="Catastrófico"),CONCATENATE("R2C",'Mapa final'!$R$83),"")</f>
        <v/>
      </c>
      <c r="AK51" s="48" t="str">
        <f>IF(AND('Mapa final'!$AH$84="Baja",'Mapa final'!$AJ$84="Catastrófico"),CONCATENATE("R2C",'Mapa final'!$R$84),"")</f>
        <v/>
      </c>
      <c r="AL51" s="48" t="str">
        <f>IF(AND('Mapa final'!$AH$85="Baja",'Mapa final'!$AJ$85="Catastrófico"),CONCATENATE("R2C",'Mapa final'!$R$85),"")</f>
        <v/>
      </c>
      <c r="AM51" s="48" t="str">
        <f>IF(AND('Mapa final'!$AH$87="Baja",'Mapa final'!$AJ$87="Catastrófico"),CONCATENATE("R2C",'Mapa final'!$R$87),"")</f>
        <v/>
      </c>
      <c r="AN51" s="49" t="str">
        <f>IF(AND('Mapa final'!$AH$88="Baja",'Mapa final'!$AJ$88="Catastrófico"),CONCATENATE("R2C",'Mapa final'!$R$88),"")</f>
        <v/>
      </c>
      <c r="AO51" s="68"/>
      <c r="AP51" s="551"/>
      <c r="AQ51" s="552"/>
      <c r="AR51" s="552"/>
      <c r="AS51" s="552"/>
      <c r="AT51" s="552"/>
      <c r="AU51" s="553"/>
    </row>
    <row r="52" spans="2:81" ht="41.25" customHeight="1">
      <c r="B52" s="68"/>
      <c r="C52" s="427"/>
      <c r="D52" s="427"/>
      <c r="E52" s="428"/>
      <c r="F52" s="514" t="s">
        <v>260</v>
      </c>
      <c r="G52" s="515"/>
      <c r="H52" s="515"/>
      <c r="I52" s="515"/>
      <c r="J52" s="516"/>
      <c r="K52" s="59"/>
      <c r="L52" s="60" t="str">
        <f>IF(AND('Mapa final'!$AH$18="Muy Baja",'Mapa final'!$AJ$18="Leve"),CONCATENATE("R2C",'Mapa final'!$R$15),"")</f>
        <v/>
      </c>
      <c r="M52" s="60" t="str">
        <f>IF(AND('Mapa final'!$AH$32="Muy Baja",'Mapa final'!$AJ$32="Leve"),CONCATENATE("R2C",'Mapa final'!$R$32),"")</f>
        <v/>
      </c>
      <c r="N52" s="54" t="e">
        <f>IF(AND('Mapa final'!#REF!="Alta",'Mapa final'!#REF!="Leve"),CONCATENATE("R2C",'Mapa final'!#REF!),"")</f>
        <v>#REF!</v>
      </c>
      <c r="O52" s="60" t="e">
        <f>IF(AND('Mapa final'!#REF!="Muy Baja",'Mapa final'!#REF!="Leve"),CONCATENATE("R2C",'Mapa final'!#REF!),"")</f>
        <v>#REF!</v>
      </c>
      <c r="P52" s="61" t="e">
        <f>IF(AND('Mapa final'!#REF!="Muy Baja",'Mapa final'!#REF!="Leve"),CONCATENATE("R2C",'Mapa final'!#REF!),"")</f>
        <v>#REF!</v>
      </c>
      <c r="Q52" s="59"/>
      <c r="R52" s="60" t="str">
        <f>IF(AND('Mapa final'!$AH$18="Muy Baja",'Mapa final'!$AJ$18="Menore"),CONCATENATE("R2C",'Mapa final'!$R$15),"")</f>
        <v/>
      </c>
      <c r="S52" s="60" t="str">
        <f>IF(AND('Mapa final'!$AH$32="Muy Baja",'Mapa final'!$AJ$32="Menor"),CONCATENATE("R2C",'Mapa final'!$R$32),"")</f>
        <v/>
      </c>
      <c r="T52" s="60" t="e">
        <f>IF(AND('Mapa final'!#REF!="Muy Baja",'Mapa final'!#REF!="Menor"),CONCATENATE("R2C",'Mapa final'!#REF!),"")</f>
        <v>#REF!</v>
      </c>
      <c r="U52" s="60" t="e">
        <f>IF(AND('Mapa final'!#REF!="Muy Baja",'Mapa final'!#REF!="Menor"),CONCATENATE("R2C",'Mapa final'!#REF!),"")</f>
        <v>#REF!</v>
      </c>
      <c r="V52" s="61" t="e">
        <f>IF(AND('Mapa final'!#REF!="Muy Baja",'Mapa final'!#REF!="Menor"),CONCATENATE("R2C",'Mapa final'!#REF!),"")</f>
        <v>#REF!</v>
      </c>
      <c r="W52" s="50"/>
      <c r="X52" s="198" t="str">
        <f>IF(AND('Mapa final'!$AH$18="Muy Baja",'Mapa final'!$AJ$18="Moderado"),CONCATENATE("R2C",'Mapa final'!$D$15),"")</f>
        <v/>
      </c>
      <c r="Y52" s="51"/>
      <c r="Z52" s="51" t="e">
        <f>IF(AND('Mapa final'!#REF!="Muy Baja",'Mapa final'!#REF!="Moderado"),CONCATENATE("R2C",'Mapa final'!#REF!),"")</f>
        <v>#REF!</v>
      </c>
      <c r="AA52" s="51" t="e">
        <f>IF(AND('Mapa final'!#REF!="Muy Baja",'Mapa final'!#REF!="Moderado"),CONCATENATE("R2C",'Mapa final'!#REF!),"")</f>
        <v>#REF!</v>
      </c>
      <c r="AB52" s="52" t="e">
        <f>IF(AND('Mapa final'!#REF!="Muy Baja",'Mapa final'!#REF!="Moderado"),CONCATENATE("R2C",'Mapa final'!#REF!),"")</f>
        <v>#REF!</v>
      </c>
      <c r="AC52" s="32"/>
      <c r="AD52" s="33" t="str">
        <f>IF(AND('Mapa final'!$AH$18="Muy Baja",'Mapa final'!$AJ$18="Mayor"),CONCATENATE("R2C",'Mapa final'!$R$15),"")</f>
        <v/>
      </c>
      <c r="AE52" s="197" t="str">
        <f>IF(AND('Mapa final'!$AH$32="Muy Baja",'Mapa final'!$AJ$32="Mayor"),CONCATENATE("R2C",'Mapa final'!$D$32),"")</f>
        <v/>
      </c>
      <c r="AF52" s="33" t="e">
        <f>IF(AND('Mapa final'!#REF!="Muy Baja",'Mapa final'!#REF!="Mayor"),CONCATENATE("R2C",'Mapa final'!#REF!),"")</f>
        <v>#REF!</v>
      </c>
      <c r="AG52" s="33" t="e">
        <f>IF(AND('Mapa final'!#REF!="Muy Baja",'Mapa final'!#REF!="Mayor"),CONCATENATE("R2C",'Mapa final'!#REF!),"")</f>
        <v>#REF!</v>
      </c>
      <c r="AH52" s="34" t="e">
        <f>IF(AND('Mapa final'!#REF!="Muy Baja",'Mapa final'!#REF!="Mayor"),CONCATENATE("R2C",'Mapa final'!#REF!),"")</f>
        <v>#REF!</v>
      </c>
      <c r="AI52" s="35"/>
      <c r="AJ52" s="36" t="str">
        <f>IF(AND('Mapa final'!$AH$18="Muy Baja",'Mapa final'!$AJ$18="Catastrófico"),CONCATENATE("R2C",'Mapa final'!$D$15),"")</f>
        <v/>
      </c>
      <c r="AK52" s="36" t="str">
        <f>IF(AND('Mapa final'!$AH$32="Muy Baja",'Mapa final'!$AJ$32="Catastrófico"),CONCATENATE("R2C",'Mapa final'!$R$32),"")</f>
        <v/>
      </c>
      <c r="AL52" s="36" t="e">
        <f>IF(AND('Mapa final'!#REF!="Muy Baja",'Mapa final'!#REF!="Catastrófico"),CONCATENATE("R2C",'Mapa final'!#REF!),"")</f>
        <v>#REF!</v>
      </c>
      <c r="AM52" s="36" t="e">
        <f>IF(AND('Mapa final'!#REF!="Muy Baja",'Mapa final'!#REF!="Catastrófico"),CONCATENATE("R2C",'Mapa final'!#REF!),"")</f>
        <v>#REF!</v>
      </c>
      <c r="AN52" s="37" t="e">
        <f>IF(AND('Mapa final'!#REF!="Muy Baja",'Mapa final'!#REF!="Catastrófico"),CONCATENATE("R2C",'Mapa final'!#REF!),"")</f>
        <v>#REF!</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228"/>
      <c r="BM52" s="228"/>
      <c r="BN52" s="228"/>
      <c r="BO52" s="228"/>
      <c r="BP52" s="228"/>
      <c r="BQ52" s="228"/>
      <c r="BR52" s="68"/>
      <c r="BS52" s="68"/>
      <c r="BT52" s="68"/>
      <c r="BU52" s="68"/>
      <c r="BV52" s="68"/>
      <c r="BW52" s="68"/>
      <c r="BX52" s="68"/>
      <c r="BY52" s="68"/>
      <c r="BZ52" s="68"/>
      <c r="CA52" s="68"/>
      <c r="CB52" s="68"/>
      <c r="CC52" s="68"/>
    </row>
    <row r="53" spans="2:81" ht="82" customHeight="1">
      <c r="B53" s="68"/>
      <c r="C53" s="427"/>
      <c r="D53" s="427"/>
      <c r="E53" s="428"/>
      <c r="F53" s="532"/>
      <c r="G53" s="518"/>
      <c r="H53" s="518"/>
      <c r="I53" s="518"/>
      <c r="J53" s="519"/>
      <c r="K53" s="62" t="e">
        <f>IF(AND('Mapa final'!#REF!="Muy Baja",'Mapa final'!#REF!="Leve"),CONCATENATE("R2C",'Mapa final'!#REF!),"")</f>
        <v>#REF!</v>
      </c>
      <c r="L53" s="63" t="e">
        <f>IF(AND('Mapa final'!#REF!="Muy Baja",'Mapa final'!#REF!="Leve"),CONCATENATE("R2C",'Mapa final'!#REF!),"")</f>
        <v>#REF!</v>
      </c>
      <c r="M53" s="63" t="str">
        <f>IF(AND('Mapa final'!$AH$36="Muy Baja",'Mapa final'!$AJ$36="Leve"),CONCATENATE("R2C",'Mapa final'!$R$36),"")</f>
        <v/>
      </c>
      <c r="N53" s="54" t="e">
        <f>IF(AND('Mapa final'!#REF!="Alta",'Mapa final'!#REF!="Leve"),CONCATENATE("R2C",'Mapa final'!#REF!),"")</f>
        <v>#REF!</v>
      </c>
      <c r="O53" s="63" t="str">
        <f>IF(AND('Mapa final'!$AH$38="Muy Baja",'Mapa final'!$AJ$38="Leve"),CONCATENATE("R2C",'Mapa final'!$R$38),"")</f>
        <v/>
      </c>
      <c r="P53" s="64" t="str">
        <f>IF(AND('Mapa final'!$AH$39="Muy Baja",'Mapa final'!$AJ$39="Leve"),CONCATENATE("R2C",'Mapa final'!$R$39),"")</f>
        <v/>
      </c>
      <c r="Q53" s="62" t="e">
        <f>IF(AND('Mapa final'!#REF!="Muy Baja",'Mapa final'!#REF!="Menor"),CONCATENATE("R2C",'Mapa final'!#REF!),"")</f>
        <v>#REF!</v>
      </c>
      <c r="R53" s="63" t="e">
        <f>IF(AND('Mapa final'!#REF!="Muy Baja",'Mapa final'!#REF!="Menor"),CONCATENATE("R2C",'Mapa final'!#REF!),"")</f>
        <v>#REF!</v>
      </c>
      <c r="S53" s="63" t="str">
        <f>IF(AND('Mapa final'!$AH$36="Muy Baja",'Mapa final'!$AJ$36="Menor"),CONCATENATE("R2C",'Mapa final'!$R$36),"")</f>
        <v/>
      </c>
      <c r="T53" s="63" t="str">
        <f>IF(AND('Mapa final'!$AH$37="Muy Baja",'Mapa final'!$AJ$37="Menor"),CONCATENATE("R2C",'Mapa final'!$R$37),"")</f>
        <v/>
      </c>
      <c r="U53" s="63" t="str">
        <f>IF(AND('Mapa final'!$AH$38="Muy Baja",'Mapa final'!$AJ$38="Menor"),CONCATENATE("R2C",'Mapa final'!$R$38),"")</f>
        <v/>
      </c>
      <c r="V53" s="64" t="str">
        <f>IF(AND('Mapa final'!$AH$39="Muy Baja",'Mapa final'!$AJ$39="Menor"),CONCATENATE("R2C",'Mapa final'!$R$39),"")</f>
        <v/>
      </c>
      <c r="W53" s="53" t="e">
        <f>IF(AND('Mapa final'!#REF!="Muy Baja",'Mapa final'!#REF!="Moderado"),CONCATENATE("R2C",'Mapa final'!#REF!),"")</f>
        <v>#REF!</v>
      </c>
      <c r="X53" s="54" t="e">
        <f>IF(AND('Mapa final'!#REF!="Muy Baja",'Mapa final'!#REF!="Moderado"),CONCATENATE("R2C",'Mapa final'!#REF!),"")</f>
        <v>#REF!</v>
      </c>
      <c r="Y53" s="54" t="str">
        <f>IF(AND('Mapa final'!$AH$36="Muy Baja",'Mapa final'!$AJ$36="Moderado"),CONCATENATE("R2C",'Mapa final'!$R$36),"")</f>
        <v/>
      </c>
      <c r="Z53" s="54" t="str">
        <f>IF(AND('Mapa final'!$AH$37="Muy Baja",'Mapa final'!$AJ$37="Moderado"),CONCATENATE("R2C",'Mapa final'!$R$37),"")</f>
        <v/>
      </c>
      <c r="AA53" s="54" t="str">
        <f>IF(AND('Mapa final'!$AH$38="Muy Baja",'Mapa final'!$AJ$38="Moderado"),CONCATENATE("R2C",'Mapa final'!$R$38),"")</f>
        <v/>
      </c>
      <c r="AB53" s="55" t="str">
        <f>IF(AND('Mapa final'!$AH$39="Muy Baja",'Mapa final'!$AJ$39="Moderado"),CONCATENATE("R2C",'Mapa final'!$R$39),"")</f>
        <v/>
      </c>
      <c r="AC53" s="38" t="e">
        <f>IF(AND('Mapa final'!#REF!="Muy Baja",'Mapa final'!#REF!="Mayor"),CONCATENATE("R2C",'Mapa final'!#REF!),"")</f>
        <v>#REF!</v>
      </c>
      <c r="AD53" s="39" t="e">
        <f>IF(AND('Mapa final'!#REF!="Muy Baja",'Mapa final'!#REF!="Mayor"),CONCATENATE("R2C",'Mapa final'!#REF!),"")</f>
        <v>#REF!</v>
      </c>
      <c r="AE53" s="39" t="str">
        <f>IF(AND('Mapa final'!$AH$36="Muy Baja",'Mapa final'!$AJ$36="Mayor"),CONCATENATE("R2C",'Mapa final'!$R$36),"")</f>
        <v/>
      </c>
      <c r="AF53" s="39" t="str">
        <f>IF(AND('Mapa final'!$AH$37="Muy Baja",'Mapa final'!$AJ$37="Mayor"),CONCATENATE("R2C",'Mapa final'!$R$37),"")</f>
        <v/>
      </c>
      <c r="AG53" s="39" t="str">
        <f>IF(AND('Mapa final'!$AH$38="Muy Baja",'Mapa final'!$AJ$38="Mayor"),CONCATENATE("R2C",'Mapa final'!$R$38),"")</f>
        <v/>
      </c>
      <c r="AH53" s="40" t="str">
        <f>IF(AND('Mapa final'!$AH$39="Muy Baja",'Mapa final'!$AJ$39="Mayor"),CONCATENATE("R2C",'Mapa final'!$R$39),"")</f>
        <v/>
      </c>
      <c r="AI53" s="41" t="e">
        <f>IF(AND('Mapa final'!#REF!="Muy Baja",'Mapa final'!#REF!="Catastrófico"),CONCATENATE("R2C",'Mapa final'!#REF!),"")</f>
        <v>#REF!</v>
      </c>
      <c r="AJ53" s="42" t="e">
        <f>IF(AND('Mapa final'!#REF!="Muy Baja",'Mapa final'!#REF!="Catastrófico"),CONCATENATE("R2C",'Mapa final'!#REF!),"")</f>
        <v>#REF!</v>
      </c>
      <c r="AK53" s="42" t="str">
        <f>IF(AND('Mapa final'!$AH$36="Muy Baja",'Mapa final'!$AJ$36="Catastrófico"),CONCATENATE("R2C",'Mapa final'!$R$36),"")</f>
        <v/>
      </c>
      <c r="AL53" s="42" t="str">
        <f>IF(AND('Mapa final'!$AH$37="Muy Baja",'Mapa final'!$AJ$37="Catastrófico"),CONCATENATE("R2C",'Mapa final'!$R$37),"")</f>
        <v/>
      </c>
      <c r="AM53" s="42" t="str">
        <f>IF(AND('Mapa final'!$AH$38="Muy Baja",'Mapa final'!$AJ$38="Catastrófico"),CONCATENATE("R2C",'Mapa final'!$R$38),"")</f>
        <v/>
      </c>
      <c r="AN53" s="43" t="str">
        <f>IF(AND('Mapa final'!$AH$39="Muy Baja",'Mapa final'!$AJ$39="Catastrófico"),CONCATENATE("R2C",'Mapa final'!$R$39),"")</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229"/>
      <c r="BM53" s="229"/>
      <c r="BN53" s="229"/>
      <c r="BO53" s="229"/>
      <c r="BP53" s="229"/>
      <c r="BQ53" s="229"/>
      <c r="BR53" s="68"/>
      <c r="BS53" s="68"/>
      <c r="BT53" s="68"/>
      <c r="BU53" s="68"/>
      <c r="BV53" s="68"/>
      <c r="BW53" s="68"/>
      <c r="BX53" s="68"/>
      <c r="BY53" s="68"/>
      <c r="BZ53" s="68"/>
      <c r="CA53" s="68"/>
      <c r="CB53" s="68"/>
      <c r="CC53" s="68"/>
    </row>
    <row r="54" spans="2:81" ht="82" customHeight="1">
      <c r="B54" s="68"/>
      <c r="C54" s="427"/>
      <c r="D54" s="427"/>
      <c r="E54" s="428"/>
      <c r="F54" s="532"/>
      <c r="G54" s="518"/>
      <c r="H54" s="518"/>
      <c r="I54" s="518"/>
      <c r="J54" s="519"/>
      <c r="K54" s="62" t="str">
        <f>IF(AND('Mapa final'!$AH$40="Muy Baja",'Mapa final'!$AJ$40="Leve"),CONCATENATE("R2C",'Mapa final'!$R$40),"")</f>
        <v/>
      </c>
      <c r="L54" s="63" t="str">
        <f>IF(AND('Mapa final'!$AH$41="Muy Baja",'Mapa final'!$AJ$41="Leve"),CONCATENATE("R2C",'Mapa final'!$R$41),"")</f>
        <v/>
      </c>
      <c r="M54" s="63" t="str">
        <f>IF(AND('Mapa final'!$AH$42="Muy Baja",'Mapa final'!$AJ$42="Leve"),CONCATENATE("R2C",'Mapa final'!$R$42),"")</f>
        <v/>
      </c>
      <c r="N54" s="54" t="e">
        <f>IF(AND('Mapa final'!#REF!="Alta",'Mapa final'!#REF!="Leve"),CONCATENATE("R2C",'Mapa final'!#REF!),"")</f>
        <v>#REF!</v>
      </c>
      <c r="O54" s="63" t="str">
        <f>IF(AND('Mapa final'!$AH$44="Muy Baja",'Mapa final'!$AJ$44="Leve"),CONCATENATE("R2C",'Mapa final'!$R$44),"")</f>
        <v/>
      </c>
      <c r="P54" s="64" t="str">
        <f>IF(AND('Mapa final'!$AH$45="Muy Baja",'Mapa final'!$AJ$45="Leve"),CONCATENATE("R2C",'Mapa final'!$R$45),"")</f>
        <v/>
      </c>
      <c r="Q54" s="62" t="str">
        <f>IF(AND('Mapa final'!$AH$40="Muy Baja",'Mapa final'!$AJ$40="Menor"),CONCATENATE("R2C",'Mapa final'!$R$40),"")</f>
        <v/>
      </c>
      <c r="R54" s="63" t="str">
        <f>IF(AND('Mapa final'!$AH$41="Muy Baja",'Mapa final'!$AJ$41="Menor"),CONCATENATE("R2C",'Mapa final'!$R$41),"")</f>
        <v/>
      </c>
      <c r="S54" s="63" t="str">
        <f>IF(AND('Mapa final'!$AH$42="Muy Baja",'Mapa final'!$AJ$42="Menor"),CONCATENATE("R2C",'Mapa final'!$R$42),"")</f>
        <v/>
      </c>
      <c r="T54" s="63" t="str">
        <f>IF(AND('Mapa final'!$AH$43="Muy Baja",'Mapa final'!$AJ$43="Menor"),CONCATENATE("R2C",'Mapa final'!$R$43),"")</f>
        <v/>
      </c>
      <c r="U54" s="63" t="str">
        <f>IF(AND('Mapa final'!$AH$44="Muy Baja",'Mapa final'!$AJ$44="Menor"),CONCATENATE("R2C",'Mapa final'!$R$44),"")</f>
        <v/>
      </c>
      <c r="V54" s="64" t="str">
        <f>IF(AND('Mapa final'!$AH$45="Muy Baja",'Mapa final'!$AJ$45="Menor"),CONCATENATE("R2C",'Mapa final'!$R$45),"")</f>
        <v/>
      </c>
      <c r="W54" s="53" t="str">
        <f>IF(AND('Mapa final'!$AH$40="Muy Baja",'Mapa final'!$AJ$40="Moderado"),CONCATENATE("R2C",'Mapa final'!$R$40),"")</f>
        <v/>
      </c>
      <c r="X54" s="54" t="str">
        <f>IF(AND('Mapa final'!$AH$41="Muy Baja",'Mapa final'!$AJ$41="Moderado"),CONCATENATE("R2C",'Mapa final'!$R$41),"")</f>
        <v/>
      </c>
      <c r="Y54" s="54" t="str">
        <f>IF(AND('Mapa final'!$AH$42="Muy Baja",'Mapa final'!$AJ$42="Moderado"),CONCATENATE("R2C",'Mapa final'!$R$42),"")</f>
        <v/>
      </c>
      <c r="Z54" s="54" t="str">
        <f>IF(AND('Mapa final'!$AH$43="Muy Baja",'Mapa final'!$AJ$43="Moderado"),CONCATENATE("R2C",'Mapa final'!$R$43),"")</f>
        <v/>
      </c>
      <c r="AA54" s="54" t="str">
        <f>IF(AND('Mapa final'!$AH$44="Muy Baja",'Mapa final'!$AJ$44="Moderado"),CONCATENATE("R2C",'Mapa final'!$R$44),"")</f>
        <v/>
      </c>
      <c r="AB54" s="55" t="str">
        <f>IF(AND('Mapa final'!$AH$45="Muy Baja",'Mapa final'!$AJ$45="Moderado"),CONCATENATE("R2C",'Mapa final'!$R$45),"")</f>
        <v/>
      </c>
      <c r="AC54" s="38" t="str">
        <f>IF(AND('Mapa final'!$AH$40="Muy Baja",'Mapa final'!$AJ$40="Mayor"),CONCATENATE("R2C",'Mapa final'!$R$40),"")</f>
        <v/>
      </c>
      <c r="AD54" s="39" t="str">
        <f>IF(AND('Mapa final'!$AH$41="Muy Baja",'Mapa final'!$AJ$41="Mayor"),CONCATENATE("R2C",'Mapa final'!$R$41),"")</f>
        <v/>
      </c>
      <c r="AE54" s="39" t="str">
        <f>IF(AND('Mapa final'!$AH$42="Muy Baja",'Mapa final'!$AJ$42="Mayor"),CONCATENATE("R2C",'Mapa final'!$R$42),"")</f>
        <v/>
      </c>
      <c r="AF54" s="39" t="str">
        <f>IF(AND('Mapa final'!$AH$43="Muy Baja",'Mapa final'!$AJ$43="Mayor"),CONCATENATE("R2C",'Mapa final'!$R$43),"")</f>
        <v/>
      </c>
      <c r="AG54" s="39" t="str">
        <f>IF(AND('Mapa final'!$AH$44="Muy Baja",'Mapa final'!$AJ$44="Mayor"),CONCATENATE("R2C",'Mapa final'!$R$44),"")</f>
        <v/>
      </c>
      <c r="AH54" s="40" t="str">
        <f>IF(AND('Mapa final'!$AH$45="Muy Baja",'Mapa final'!$AJ$45="Mayor"),CONCATENATE("R2C",'Mapa final'!$R$45),"")</f>
        <v/>
      </c>
      <c r="AI54" s="41" t="str">
        <f>IF(AND('Mapa final'!$AH$40="Muy Baja",'Mapa final'!$AJ$40="Catastrófico"),CONCATENATE("R2C",'Mapa final'!$R$40),"")</f>
        <v/>
      </c>
      <c r="AJ54" s="42" t="str">
        <f>IF(AND('Mapa final'!$AH$41="Muy Baja",'Mapa final'!$AJ$41="Catastrófico"),CONCATENATE("R2C",'Mapa final'!$R$41),"")</f>
        <v/>
      </c>
      <c r="AK54" s="42" t="str">
        <f>IF(AND('Mapa final'!$AH$42="Muy Baja",'Mapa final'!$AJ$42="Catastrófico"),CONCATENATE("R2C",'Mapa final'!$R$42),"")</f>
        <v/>
      </c>
      <c r="AL54" s="42" t="str">
        <f>IF(AND('Mapa final'!$AH$43="Muy Baja",'Mapa final'!$AJ$43="Catastrófico"),CONCATENATE("R2C",'Mapa final'!$R$43),"")</f>
        <v/>
      </c>
      <c r="AM54" s="42" t="str">
        <f>IF(AND('Mapa final'!$AH$44="Muy Baja",'Mapa final'!$AJ$44="Catastrófico"),CONCATENATE("R2C",'Mapa final'!$R$44),"")</f>
        <v/>
      </c>
      <c r="AN54" s="43" t="str">
        <f>IF(AND('Mapa final'!$AH$45="Muy Baja",'Mapa final'!$AJ$45="Catastrófico"),CONCATENATE("R2C",'Mapa final'!$R$45),"")</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229"/>
      <c r="BM54" s="229"/>
      <c r="BN54" s="229"/>
      <c r="BO54" s="229"/>
      <c r="BP54" s="229"/>
      <c r="BQ54" s="229"/>
      <c r="BR54" s="68"/>
      <c r="BS54" s="68"/>
      <c r="BT54" s="68"/>
      <c r="BU54" s="68"/>
      <c r="BV54" s="68"/>
      <c r="BW54" s="68"/>
      <c r="BX54" s="68"/>
      <c r="BY54" s="68"/>
      <c r="BZ54" s="68"/>
      <c r="CA54" s="68"/>
      <c r="CB54" s="68"/>
      <c r="CC54" s="68"/>
    </row>
    <row r="55" spans="2:81" ht="82" customHeight="1">
      <c r="B55" s="68"/>
      <c r="C55" s="427"/>
      <c r="D55" s="427"/>
      <c r="E55" s="428"/>
      <c r="F55" s="517"/>
      <c r="G55" s="518"/>
      <c r="H55" s="518"/>
      <c r="I55" s="518"/>
      <c r="J55" s="519"/>
      <c r="K55" s="62" t="str">
        <f>IF(AND('Mapa final'!$AH$46="Muy Baja",'Mapa final'!$AJ$46="Leve"),CONCATENATE("R2C",'Mapa final'!$R$46),"")</f>
        <v/>
      </c>
      <c r="L55" s="63" t="str">
        <f>IF(AND('Mapa final'!$AH$47="Muy Baja",'Mapa final'!$AJ$47="Leve"),CONCATENATE("R2C",'Mapa final'!$R$47),"")</f>
        <v/>
      </c>
      <c r="M55" s="63" t="str">
        <f>IF(AND('Mapa final'!$AH$48="Muy Baja",'Mapa final'!$AJ$48="Leve"),CONCATENATE("R2C",'Mapa final'!$R$48),"")</f>
        <v/>
      </c>
      <c r="N55" s="54" t="e">
        <f>IF(AND('Mapa final'!#REF!="Alta",'Mapa final'!#REF!="Leve"),CONCATENATE("R2C",'Mapa final'!#REF!),"")</f>
        <v>#REF!</v>
      </c>
      <c r="O55" s="63" t="str">
        <f>IF(AND('Mapa final'!$AH$50="Muy Baja",'Mapa final'!$AJ$50="Leve"),CONCATENATE("R2C",'Mapa final'!$R$50),"")</f>
        <v/>
      </c>
      <c r="P55" s="64" t="str">
        <f>IF(AND('Mapa final'!$AH$51="Muy Baja",'Mapa final'!$AJ$51="Leve"),CONCATENATE("R2C",'Mapa final'!$R$51),"")</f>
        <v/>
      </c>
      <c r="Q55" s="62" t="str">
        <f>IF(AND('Mapa final'!$AH$46="Muy Baja",'Mapa final'!$AJ$46="Menor"),CONCATENATE("R2C",'Mapa final'!$R$46),"")</f>
        <v/>
      </c>
      <c r="R55" s="63" t="str">
        <f>IF(AND('Mapa final'!$AH$47="Muy Baja",'Mapa final'!$AJ$47="Menor"),CONCATENATE("R2C",'Mapa final'!$R$47),"")</f>
        <v/>
      </c>
      <c r="S55" s="63" t="str">
        <f>IF(AND('Mapa final'!$AH$48="Muy Baja",'Mapa final'!$AJ$48="Menor"),CONCATENATE("R2C",'Mapa final'!$R$48),"")</f>
        <v/>
      </c>
      <c r="T55" s="63" t="str">
        <f>IF(AND('Mapa final'!$AH$49="Muy Baja",'Mapa final'!$AJ$49="Menor"),CONCATENATE("R2C",'Mapa final'!$R$49),"")</f>
        <v/>
      </c>
      <c r="U55" s="63" t="str">
        <f>IF(AND('Mapa final'!$AH$50="Muy Baja",'Mapa final'!$AJ$50="LMenor"),CONCATENATE("R2C",'Mapa final'!$R$50),"")</f>
        <v/>
      </c>
      <c r="V55" s="64" t="str">
        <f>IF(AND('Mapa final'!$AH$51="Muy Baja",'Mapa final'!$AJ$51="Menor"),CONCATENATE("R2C",'Mapa final'!$R$51),"")</f>
        <v/>
      </c>
      <c r="W55" s="53" t="str">
        <f>IF(AND('Mapa final'!$AH$46="Muy Baja",'Mapa final'!$AJ$46="Moderado"),CONCATENATE("R2C",'Mapa final'!$R$46),"")</f>
        <v/>
      </c>
      <c r="X55" s="54" t="str">
        <f>IF(AND('Mapa final'!$AH$47="Muy Baja",'Mapa final'!$AJ$47="Moderado"),CONCATENATE("R2C",'Mapa final'!$R$47),"")</f>
        <v/>
      </c>
      <c r="Y55" s="54" t="str">
        <f>IF(AND('Mapa final'!$AH$48="Muy Baja",'Mapa final'!$AJ$48="Moderado"),CONCATENATE("R2C",'Mapa final'!$R$48),"")</f>
        <v/>
      </c>
      <c r="Z55" s="54" t="str">
        <f>IF(AND('Mapa final'!$AH$49="Muy Baja",'Mapa final'!$AJ$49="Moderado"),CONCATENATE("R2C",'Mapa final'!$R$49),"")</f>
        <v/>
      </c>
      <c r="AA55" s="54" t="str">
        <f>IF(AND('Mapa final'!$AH$50="Muy Baja",'Mapa final'!$AJ$50="Moderado"),CONCATENATE("R2C",'Mapa final'!$R$50),"")</f>
        <v/>
      </c>
      <c r="AB55" s="55" t="str">
        <f>IF(AND('Mapa final'!$AH$51="Muy Baja",'Mapa final'!$AJ$51="Moderado"),CONCATENATE("R2C",'Mapa final'!$R$51),"")</f>
        <v/>
      </c>
      <c r="AC55" s="38" t="str">
        <f>IF(AND('Mapa final'!$AH$46="Muy Baja",'Mapa final'!$AJ$46="Mayor"),CONCATENATE("R2C",'Mapa final'!$R$46),"")</f>
        <v/>
      </c>
      <c r="AD55" s="39" t="str">
        <f>IF(AND('Mapa final'!$AH$47="Muy Baja",'Mapa final'!$AJ$47="Mayor"),CONCATENATE("R2C",'Mapa final'!$R$47),"")</f>
        <v/>
      </c>
      <c r="AE55" s="39" t="str">
        <f>IF(AND('Mapa final'!$AH$48="Muy Baja",'Mapa final'!$AJ$48="Mayor"),CONCATENATE("R2C",'Mapa final'!$R$48),"")</f>
        <v/>
      </c>
      <c r="AF55" s="39" t="str">
        <f>IF(AND('Mapa final'!$AH$49="Muy Baja",'Mapa final'!$AJ$49="Mayor"),CONCATENATE("R2C",'Mapa final'!$R$49),"")</f>
        <v/>
      </c>
      <c r="AG55" s="39" t="str">
        <f>IF(AND('Mapa final'!$AH$50="Muy Baja",'Mapa final'!$AJ$50="Mayor"),CONCATENATE("R2C",'Mapa final'!$R$50),"")</f>
        <v/>
      </c>
      <c r="AH55" s="40" t="str">
        <f>IF(AND('Mapa final'!$AH$51="Muy Baja",'Mapa final'!$AJ$51="Mayor"),CONCATENATE("R2C",'Mapa final'!$R$51),"")</f>
        <v/>
      </c>
      <c r="AI55" s="41" t="str">
        <f>IF(AND('Mapa final'!$AH$46="Muy Baja",'Mapa final'!$AJ$46="Catastrófico"),CONCATENATE("R2C",'Mapa final'!$R$46),"")</f>
        <v/>
      </c>
      <c r="AJ55" s="42" t="str">
        <f>IF(AND('Mapa final'!$AH$47="Muy Baja",'Mapa final'!$AJ$47="Catastrófico"),CONCATENATE("R2C",'Mapa final'!$R$47),"")</f>
        <v/>
      </c>
      <c r="AK55" s="42" t="str">
        <f>IF(AND('Mapa final'!$AH$48="Muy Baja",'Mapa final'!$AJ$48="Catastrófico"),CONCATENATE("R2C",'Mapa final'!$R$48),"")</f>
        <v/>
      </c>
      <c r="AL55" s="42" t="str">
        <f>IF(AND('Mapa final'!$AH$49="Muy Baja",'Mapa final'!$AJ$49="Catastrófico"),CONCATENATE("R2C",'Mapa final'!$R$49),"")</f>
        <v/>
      </c>
      <c r="AM55" s="42" t="str">
        <f>IF(AND('Mapa final'!$AH$50="Muy Baja",'Mapa final'!$AJ$50="LCatastrófico"),CONCATENATE("R2C",'Mapa final'!$R$50),"")</f>
        <v/>
      </c>
      <c r="AN55" s="43" t="str">
        <f>IF(AND('Mapa final'!$AH$51="Muy Baja",'Mapa final'!$AJ$51="Catastrófico"),CONCATENATE("R2C",'Mapa final'!$R$51),"")</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229"/>
      <c r="BM55" s="229"/>
      <c r="BN55" s="229"/>
      <c r="BO55" s="229"/>
      <c r="BP55" s="229"/>
      <c r="BQ55" s="229"/>
      <c r="BR55" s="68"/>
      <c r="BS55" s="68"/>
      <c r="BT55" s="68"/>
      <c r="BU55" s="68"/>
      <c r="BV55" s="68"/>
      <c r="BW55" s="68"/>
      <c r="BX55" s="68"/>
      <c r="BY55" s="68"/>
      <c r="BZ55" s="68"/>
      <c r="CA55" s="68"/>
      <c r="CB55" s="68"/>
      <c r="CC55" s="68"/>
    </row>
    <row r="56" spans="2:81" ht="82" customHeight="1">
      <c r="B56" s="68"/>
      <c r="C56" s="427"/>
      <c r="D56" s="427"/>
      <c r="E56" s="428"/>
      <c r="F56" s="517"/>
      <c r="G56" s="518"/>
      <c r="H56" s="518"/>
      <c r="I56" s="518"/>
      <c r="J56" s="519"/>
      <c r="K56" s="62" t="str">
        <f>IF(AND('Mapa final'!$AH$52="Muy Baja",'Mapa final'!$AJ$52="Leve"),CONCATENATE("R2C",'Mapa final'!$R$52),"")</f>
        <v/>
      </c>
      <c r="L56" s="63" t="str">
        <f>IF(AND('Mapa final'!$AH$53="Muy Baja",'Mapa final'!$AJ$53="Leve"),CONCATENATE("R2C",'Mapa final'!$R$53),"")</f>
        <v/>
      </c>
      <c r="M56" s="63" t="str">
        <f>IF(AND('Mapa final'!$AH$54="Muy Baja",'Mapa final'!$AJ$54="Leve"),CONCATENATE("R2C",'Mapa final'!$R$54),"")</f>
        <v/>
      </c>
      <c r="N56" s="54" t="e">
        <f>IF(AND('Mapa final'!#REF!="Alta",'Mapa final'!#REF!="Leve"),CONCATENATE("R2C",'Mapa final'!#REF!),"")</f>
        <v>#REF!</v>
      </c>
      <c r="O56" s="63" t="str">
        <f>IF(AND('Mapa final'!$AH$56="Muy Baja",'Mapa final'!$AJ$56="Leve"),CONCATENATE("R2C",'Mapa final'!$R$56),"")</f>
        <v/>
      </c>
      <c r="P56" s="64" t="str">
        <f>IF(AND('Mapa final'!$AH$57="Muy Baja",'Mapa final'!$AJ$57="Leve"),CONCATENATE("R2C",'Mapa final'!$R$57),"")</f>
        <v/>
      </c>
      <c r="Q56" s="62" t="str">
        <f>IF(AND('Mapa final'!$AH$52="Muy Baja",'Mapa final'!$AJ$52="Menor"),CONCATENATE("R2C",'Mapa final'!$R$52),"")</f>
        <v/>
      </c>
      <c r="R56" s="63" t="str">
        <f>IF(AND('Mapa final'!$AH$53="Muy Baja",'Mapa final'!$AJ$53="Menor"),CONCATENATE("R2C",'Mapa final'!$R$53),"")</f>
        <v/>
      </c>
      <c r="S56" s="63" t="str">
        <f>IF(AND('Mapa final'!$AH$54="Muy Baja",'Mapa final'!$AJ$54="Menor"),CONCATENATE("R2C",'Mapa final'!$R$54),"")</f>
        <v/>
      </c>
      <c r="T56" s="63" t="str">
        <f>IF(AND('Mapa final'!$AH$55="Muy Baja",'Mapa final'!$AJ$55="Menor"),CONCATENATE("R2C",'Mapa final'!$R$55),"")</f>
        <v/>
      </c>
      <c r="U56" s="63" t="str">
        <f>IF(AND('Mapa final'!$AH$56="Muy Baja",'Mapa final'!$AJ$56="Menor"),CONCATENATE("R2C",'Mapa final'!$R$56),"")</f>
        <v/>
      </c>
      <c r="V56" s="64" t="str">
        <f>IF(AND('Mapa final'!$AH$57="Muy Baja",'Mapa final'!$AJ$57="Menor"),CONCATENATE("R2C",'Mapa final'!$R$57),"")</f>
        <v/>
      </c>
      <c r="W56" s="53" t="str">
        <f>IF(AND('Mapa final'!$AH$52="Muy Baja",'Mapa final'!$AJ$52="Moderado"),CONCATENATE("R2C",'Mapa final'!$R$52),"")</f>
        <v/>
      </c>
      <c r="X56" s="54" t="str">
        <f>IF(AND('Mapa final'!$AH$53="Muy Baja",'Mapa final'!$AJ$53="Moderado"),CONCATENATE("R2C",'Mapa final'!$R$53),"")</f>
        <v/>
      </c>
      <c r="Y56" s="54" t="str">
        <f>IF(AND('Mapa final'!$AH$54="Muy Baja",'Mapa final'!$AJ$54="Moderado"),CONCATENATE("R2C",'Mapa final'!$R$54),"")</f>
        <v/>
      </c>
      <c r="Z56" s="54" t="str">
        <f>IF(AND('Mapa final'!$AH$55="Muy Baja",'Mapa final'!$AJ$55="Moderado"),CONCATENATE("R2C",'Mapa final'!$R$55),"")</f>
        <v/>
      </c>
      <c r="AA56" s="54" t="str">
        <f>IF(AND('Mapa final'!$AH$56="Muy Baja",'Mapa final'!$AJ$56="Moderado"),CONCATENATE("R2C",'Mapa final'!$R$56),"")</f>
        <v/>
      </c>
      <c r="AB56" s="55" t="str">
        <f>IF(AND('Mapa final'!$AH$57="Muy Baja",'Mapa final'!$AJ$57="Moderado"),CONCATENATE("R2C",'Mapa final'!$R$57),"")</f>
        <v/>
      </c>
      <c r="AC56" s="38" t="str">
        <f>IF(AND('Mapa final'!$AH$52="Muy Baja",'Mapa final'!$AJ$52="Mayor"),CONCATENATE("R2C",'Mapa final'!$R$52),"")</f>
        <v/>
      </c>
      <c r="AD56" s="39" t="str">
        <f>IF(AND('Mapa final'!$AH$53="Muy Baja",'Mapa final'!$AJ$53="Mayor"),CONCATENATE("R2C",'Mapa final'!$R$53),"")</f>
        <v/>
      </c>
      <c r="AE56" s="39" t="str">
        <f>IF(AND('Mapa final'!$AH$54="Muy Baja",'Mapa final'!$AJ$54="Mayor"),CONCATENATE("R2C",'Mapa final'!$R$54),"")</f>
        <v/>
      </c>
      <c r="AF56" s="39" t="str">
        <f>IF(AND('Mapa final'!$AH$55="Muy Baja",'Mapa final'!$AJ$55="Mayor"),CONCATENATE("R2C",'Mapa final'!$R$55),"")</f>
        <v/>
      </c>
      <c r="AG56" s="39" t="str">
        <f>IF(AND('Mapa final'!$AH$56="Muy Baja",'Mapa final'!$AJ$56="Mayor"),CONCATENATE("R2C",'Mapa final'!$R$56),"")</f>
        <v/>
      </c>
      <c r="AH56" s="40" t="str">
        <f>IF(AND('Mapa final'!$AH$57="Muy Baja",'Mapa final'!$AJ$57="Mayor"),CONCATENATE("R2C",'Mapa final'!$R$57),"")</f>
        <v/>
      </c>
      <c r="AI56" s="41" t="str">
        <f>IF(AND('Mapa final'!$AH$52="Muy Baja",'Mapa final'!$AJ$52="Catastrófico"),CONCATENATE("R2C",'Mapa final'!$R$52),"")</f>
        <v/>
      </c>
      <c r="AJ56" s="42" t="str">
        <f>IF(AND('Mapa final'!$AH$53="Muy Baja",'Mapa final'!$AJ$53="Catastrófico"),CONCATENATE("R2C",'Mapa final'!$R$53),"")</f>
        <v/>
      </c>
      <c r="AK56" s="42" t="str">
        <f>IF(AND('Mapa final'!$AH$54="Muy Baja",'Mapa final'!$AJ$54="Catastrófico"),CONCATENATE("R2C",'Mapa final'!$R$54),"")</f>
        <v/>
      </c>
      <c r="AL56" s="42" t="str">
        <f>IF(AND('Mapa final'!$AH$55="Muy Baja",'Mapa final'!$AJ$55="Catastrófico"),CONCATENATE("R2C",'Mapa final'!$R$55),"")</f>
        <v/>
      </c>
      <c r="AM56" s="42" t="str">
        <f>IF(AND('Mapa final'!$AH$56="Muy Baja",'Mapa final'!$AJ$56="Catastrófico"),CONCATENATE("R2C",'Mapa final'!$R$56),"")</f>
        <v/>
      </c>
      <c r="AN56" s="43" t="str">
        <f>IF(AND('Mapa final'!$AH$57="Muy Baja",'Mapa final'!$AJ$57="Catastrófico"),CONCATENATE("R2C",'Mapa final'!$R$57),"")</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229"/>
      <c r="BM56" s="229"/>
      <c r="BN56" s="229"/>
      <c r="BO56" s="229"/>
      <c r="BP56" s="229"/>
      <c r="BQ56" s="229"/>
      <c r="BR56" s="68"/>
      <c r="BS56" s="68"/>
      <c r="BT56" s="68"/>
      <c r="BU56" s="68"/>
      <c r="BV56" s="68"/>
      <c r="BW56" s="68"/>
      <c r="BX56" s="68"/>
      <c r="BY56" s="68"/>
      <c r="BZ56" s="68"/>
      <c r="CA56" s="68"/>
      <c r="CB56" s="68"/>
      <c r="CC56" s="68"/>
    </row>
    <row r="57" spans="2:81" ht="82" customHeight="1">
      <c r="B57" s="68"/>
      <c r="C57" s="427"/>
      <c r="D57" s="427"/>
      <c r="E57" s="428"/>
      <c r="F57" s="517"/>
      <c r="G57" s="518"/>
      <c r="H57" s="518"/>
      <c r="I57" s="518"/>
      <c r="J57" s="519"/>
      <c r="K57" s="62" t="str">
        <f>IF(AND('Mapa final'!$AH$58="Muy Baja",'Mapa final'!$AJ$58="Leve"),CONCATENATE("R2C",'Mapa final'!$R$58),"")</f>
        <v/>
      </c>
      <c r="L57" s="63" t="str">
        <f>IF(AND('Mapa final'!$AH$59="Muy Baja",'Mapa final'!$AJ$59="Leve"),CONCATENATE("R2C",'Mapa final'!$R$59),"")</f>
        <v/>
      </c>
      <c r="M57" s="63" t="str">
        <f>IF(AND('Mapa final'!$AH$60="Muy Baja",'Mapa final'!$AJ$60="Leve"),CONCATENATE("R2C",'Mapa final'!$R$60),"")</f>
        <v/>
      </c>
      <c r="N57" s="54" t="e">
        <f>IF(AND('Mapa final'!#REF!="Alta",'Mapa final'!#REF!="Leve"),CONCATENATE("R2C",'Mapa final'!#REF!),"")</f>
        <v>#REF!</v>
      </c>
      <c r="O57" s="63" t="str">
        <f>IF(AND('Mapa final'!$AH$62="Muy Baja",'Mapa final'!$AJ$62="Leve"),CONCATENATE("R2C",'Mapa final'!$R$62),"")</f>
        <v/>
      </c>
      <c r="P57" s="64" t="str">
        <f>IF(AND('Mapa final'!$AH$73="Muy Baja",'Mapa final'!$AJ$63="Leve"),CONCATENATE("R2C",'Mapa final'!$R$63),"")</f>
        <v/>
      </c>
      <c r="Q57" s="62" t="str">
        <f>IF(AND('Mapa final'!$AH$58="Muy Baja",'Mapa final'!$AJ$58="Menor"),CONCATENATE("R2C",'Mapa final'!$R$58),"")</f>
        <v/>
      </c>
      <c r="R57" s="63" t="str">
        <f>IF(AND('Mapa final'!$AH$59="Muy Baja",'Mapa final'!$AJ$59="Menor"),CONCATENATE("R2C",'Mapa final'!$R$59),"")</f>
        <v/>
      </c>
      <c r="S57" s="63" t="str">
        <f>IF(AND('Mapa final'!$AH$60="Muy Baja",'Mapa final'!$AJ$60="Menor"),CONCATENATE("R2C",'Mapa final'!$R$60),"")</f>
        <v/>
      </c>
      <c r="T57" s="63" t="str">
        <f>IF(AND('Mapa final'!$AH$61="Muy Baja",'Mapa final'!$AJ$61="Menor"),CONCATENATE("R2C",'Mapa final'!$R$61),"")</f>
        <v/>
      </c>
      <c r="U57" s="63" t="str">
        <f>IF(AND('Mapa final'!$AH$62="Muy Baja",'Mapa final'!$AJ$62="Menor"),CONCATENATE("R2C",'Mapa final'!$R$62),"")</f>
        <v/>
      </c>
      <c r="V57" s="64" t="str">
        <f>IF(AND('Mapa final'!$AH$73="Muy Baja",'Mapa final'!$AJ$63="Menor"),CONCATENATE("R2C",'Mapa final'!$R$63),"")</f>
        <v/>
      </c>
      <c r="W57" s="53" t="str">
        <f>IF(AND('Mapa final'!$AH$58="Muy Baja",'Mapa final'!$AJ$58="Moderado"),CONCATENATE("R2C",'Mapa final'!$R$58),"")</f>
        <v/>
      </c>
      <c r="X57" s="54" t="str">
        <f>IF(AND('Mapa final'!$AH$59="Muy Baja",'Mapa final'!$AJ$59="Moderado"),CONCATENATE("R2C",'Mapa final'!$R$59),"")</f>
        <v/>
      </c>
      <c r="Y57" s="54" t="str">
        <f>IF(AND('Mapa final'!$AH$60="Muy Baja",'Mapa final'!$AJ$60="Moderado"),CONCATENATE("R2C",'Mapa final'!$R$60),"")</f>
        <v/>
      </c>
      <c r="Z57" s="54" t="str">
        <f>IF(AND('Mapa final'!$AH$61="Muy Baja",'Mapa final'!$AJ$61="Moderado"),CONCATENATE("R2C",'Mapa final'!$R$61),"")</f>
        <v/>
      </c>
      <c r="AA57" s="54" t="str">
        <f>IF(AND('Mapa final'!$AH$62="Muy Baja",'Mapa final'!$AJ$62="Moderado"),CONCATENATE("R2C",'Mapa final'!$R$62),"")</f>
        <v/>
      </c>
      <c r="AB57" s="55" t="str">
        <f>IF(AND('Mapa final'!$AH$73="Muy Baja",'Mapa final'!$AJ$63="Moderado"),CONCATENATE("R2C",'Mapa final'!$R$63),"")</f>
        <v/>
      </c>
      <c r="AC57" s="38" t="str">
        <f>IF(AND('Mapa final'!$AH$58="Muy Baja",'Mapa final'!$AJ$58="Mayor"),CONCATENATE("R2C",'Mapa final'!$R$58),"")</f>
        <v/>
      </c>
      <c r="AD57" s="39" t="str">
        <f>IF(AND('Mapa final'!$AH$59="Muy Baja",'Mapa final'!$AJ$59="Mayor"),CONCATENATE("R2C",'Mapa final'!$R$59),"")</f>
        <v/>
      </c>
      <c r="AE57" s="39" t="str">
        <f>IF(AND('Mapa final'!$AH$60="Muy Baja",'Mapa final'!$AJ$60="Mayor"),CONCATENATE("R2C",'Mapa final'!$R$60),"")</f>
        <v/>
      </c>
      <c r="AF57" s="39" t="str">
        <f>IF(AND('Mapa final'!$AH$61="Muy Baja",'Mapa final'!$AJ$61="Mayor"),CONCATENATE("R2C",'Mapa final'!$R$61),"")</f>
        <v/>
      </c>
      <c r="AG57" s="39" t="str">
        <f>IF(AND('Mapa final'!$AH$62="Muy Baja",'Mapa final'!$AJ$62="Mayor"),CONCATENATE("R2C",'Mapa final'!$R$62),"")</f>
        <v/>
      </c>
      <c r="AH57" s="40" t="str">
        <f>IF(AND('Mapa final'!$AH$73="Muy Baja",'Mapa final'!$AJ$63="Mayor"),CONCATENATE("R2C",'Mapa final'!$R$63),"")</f>
        <v/>
      </c>
      <c r="AI57" s="41" t="str">
        <f>IF(AND('Mapa final'!$AH$58="Muy Baja",'Mapa final'!$AJ$58="Catastrófico"),CONCATENATE("R2C",'Mapa final'!$R$58),"")</f>
        <v/>
      </c>
      <c r="AJ57" s="42" t="str">
        <f>IF(AND('Mapa final'!$AH$59="Muy Baja",'Mapa final'!$AJ$59="Catastrófico"),CONCATENATE("R2C",'Mapa final'!$R$59),"")</f>
        <v/>
      </c>
      <c r="AK57" s="42" t="str">
        <f>IF(AND('Mapa final'!$AH$60="Muy Baja",'Mapa final'!$AJ$60="Catastrófico"),CONCATENATE("R2C",'Mapa final'!$R$60),"")</f>
        <v/>
      </c>
      <c r="AL57" s="42" t="str">
        <f>IF(AND('Mapa final'!$AH$61="Muy Baja",'Mapa final'!$AJ$61="Catastrófico"),CONCATENATE("R2C",'Mapa final'!$R$61),"")</f>
        <v/>
      </c>
      <c r="AM57" s="42" t="str">
        <f>IF(AND('Mapa final'!$AH$62="Muy Baja",'Mapa final'!$AJ$62="Catastrófico"),CONCATENATE("R2C",'Mapa final'!$R$62),"")</f>
        <v/>
      </c>
      <c r="AN57" s="43" t="str">
        <f>IF(AND('Mapa final'!$AH$73="Muy Baja",'Mapa final'!$AJ$63="Catastrófico"),CONCATENATE("R2C",'Mapa final'!$R$63),"")</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229"/>
      <c r="BM57" s="229"/>
      <c r="BN57" s="229"/>
      <c r="BO57" s="229"/>
      <c r="BP57" s="229"/>
      <c r="BQ57" s="229"/>
      <c r="BR57" s="68"/>
      <c r="BS57" s="68"/>
      <c r="BT57" s="68"/>
      <c r="BU57" s="68"/>
      <c r="BV57" s="68"/>
      <c r="BW57" s="68"/>
      <c r="BX57" s="68"/>
      <c r="BY57" s="68"/>
      <c r="BZ57" s="68"/>
      <c r="CA57" s="68"/>
      <c r="CB57" s="68"/>
      <c r="CC57" s="68"/>
    </row>
    <row r="58" spans="2:81" ht="57" customHeight="1">
      <c r="B58" s="68"/>
      <c r="C58" s="427"/>
      <c r="D58" s="427"/>
      <c r="E58" s="428"/>
      <c r="F58" s="517"/>
      <c r="G58" s="518"/>
      <c r="H58" s="518"/>
      <c r="I58" s="518"/>
      <c r="J58" s="519"/>
      <c r="K58" s="62" t="str">
        <f>IF(AND('Mapa final'!$AH$64="Muy Baja",'Mapa final'!$AJ$64="Leve"),CONCATENATE("R2C",'Mapa final'!$R$64),"")</f>
        <v/>
      </c>
      <c r="L58" s="63" t="str">
        <f>IF(AND('Mapa final'!$AH$65="Muy Baja",'Mapa final'!$AJ$65="Leve"),CONCATENATE("R2C",'Mapa final'!$R$65),"")</f>
        <v/>
      </c>
      <c r="M58" s="63" t="str">
        <f>IF(AND('Mapa final'!$AH$66="Muy Baja",'Mapa final'!$AJ$66="Leve"),CONCATENATE("R2C",'Mapa final'!$R$66),"")</f>
        <v/>
      </c>
      <c r="N58" s="54" t="e">
        <f>IF(AND('Mapa final'!#REF!="Alta",'Mapa final'!#REF!="Leve"),CONCATENATE("R2C",'Mapa final'!#REF!),"")</f>
        <v>#REF!</v>
      </c>
      <c r="O58" s="63" t="str">
        <f>IF(AND('Mapa final'!$AH$68="Muy Baja",'Mapa final'!$AJ$68="Leve"),CONCATENATE("R2C",'Mapa final'!$R$68),"")</f>
        <v/>
      </c>
      <c r="P58" s="64" t="str">
        <f>IF(AND('Mapa final'!$AH$69="Muy Baja",'Mapa final'!$AJ$69="Leve"),CONCATENATE("R2C",'Mapa final'!$R$69),"")</f>
        <v/>
      </c>
      <c r="Q58" s="62" t="str">
        <f>IF(AND('Mapa final'!$AH$64="Muy Baja",'Mapa final'!$AJ$64="Menor"),CONCATENATE("R2C",'Mapa final'!$R$64),"")</f>
        <v/>
      </c>
      <c r="R58" s="63" t="str">
        <f>IF(AND('Mapa final'!$AH$65="Muy Baja",'Mapa final'!$AJ$65="Menor"),CONCATENATE("R2C",'Mapa final'!$R$65),"")</f>
        <v/>
      </c>
      <c r="S58" s="63" t="str">
        <f>IF(AND('Mapa final'!$AH$66="Muy Baja",'Mapa final'!$AJ$66="Menor"),CONCATENATE("R2C",'Mapa final'!$R$66),"")</f>
        <v/>
      </c>
      <c r="T58" s="63" t="str">
        <f>IF(AND('Mapa final'!$AH$67="Muy Baja",'Mapa final'!$AJ$67="Menor"),CONCATENATE("R2C",'Mapa final'!$R$67),"")</f>
        <v/>
      </c>
      <c r="U58" s="63" t="str">
        <f>IF(AND('Mapa final'!$AH$68="Muy Baja",'Mapa final'!$AJ$68="Menor"),CONCATENATE("R2C",'Mapa final'!$R$68),"")</f>
        <v/>
      </c>
      <c r="V58" s="64" t="str">
        <f>IF(AND('Mapa final'!$AH$69="Muy Baja",'Mapa final'!$AJ$69="Menor"),CONCATENATE("R2C",'Mapa final'!$R$69),"")</f>
        <v/>
      </c>
      <c r="W58" s="53" t="str">
        <f>IF(AND('Mapa final'!$AH$64="Muy Baja",'Mapa final'!$AJ$64="Moderado"),CONCATENATE("R2C",'Mapa final'!$R$64),"")</f>
        <v/>
      </c>
      <c r="X58" s="54" t="str">
        <f>IF(AND('Mapa final'!$AH$65="Muy Baja",'Mapa final'!$AJ$65="Moderado"),CONCATENATE("R2C",'Mapa final'!$R$65),"")</f>
        <v/>
      </c>
      <c r="Y58" s="54" t="str">
        <f>IF(AND('Mapa final'!$AH$66="Muy Baja",'Mapa final'!$AJ$66="Moderado"),CONCATENATE("R2C",'Mapa final'!$R$66),"")</f>
        <v/>
      </c>
      <c r="Z58" s="54" t="str">
        <f>IF(AND('Mapa final'!$AH$67="Muy Baja",'Mapa final'!$AJ$67="Moderado"),CONCATENATE("R2C",'Mapa final'!$R$67),"")</f>
        <v/>
      </c>
      <c r="AA58" s="54" t="str">
        <f>IF(AND('Mapa final'!$AH$68="Muy Baja",'Mapa final'!$AJ$68="Moderado"),CONCATENATE("R2C",'Mapa final'!$R$68),"")</f>
        <v/>
      </c>
      <c r="AB58" s="55" t="str">
        <f>IF(AND('Mapa final'!$AH$69="Muy Baja",'Mapa final'!$AJ$69="Moderado"),CONCATENATE("R2C",'Mapa final'!$R$69),"")</f>
        <v/>
      </c>
      <c r="AC58" s="38" t="str">
        <f>IF(AND('Mapa final'!$AH$64="Muy Baja",'Mapa final'!$AJ$64="Mayor"),CONCATENATE("R2C",'Mapa final'!$R$64),"")</f>
        <v/>
      </c>
      <c r="AD58" s="39" t="str">
        <f>IF(AND('Mapa final'!$AH$65="Muy Baja",'Mapa final'!$AJ$65="Mayor"),CONCATENATE("R2C",'Mapa final'!$R$65),"")</f>
        <v/>
      </c>
      <c r="AE58" s="39" t="str">
        <f>IF(AND('Mapa final'!$AH$66="Muy Baja",'Mapa final'!$AJ$66="Mayor"),CONCATENATE("R2C",'Mapa final'!$R$66),"")</f>
        <v/>
      </c>
      <c r="AF58" s="39" t="str">
        <f>IF(AND('Mapa final'!$AH$67="Muy Baja",'Mapa final'!$AJ$67="Mayor"),CONCATENATE("R2C",'Mapa final'!$R$67),"")</f>
        <v/>
      </c>
      <c r="AG58" s="39" t="str">
        <f>IF(AND('Mapa final'!$AH$68="Muy Baja",'Mapa final'!$AJ$68="Mayor"),CONCATENATE("R2C",'Mapa final'!$R$68),"")</f>
        <v/>
      </c>
      <c r="AH58" s="40" t="str">
        <f>IF(AND('Mapa final'!$AH$69="Muy Baja",'Mapa final'!$AJ$69="Mayor"),CONCATENATE("R2C",'Mapa final'!$R$69),"")</f>
        <v/>
      </c>
      <c r="AI58" s="41" t="str">
        <f>IF(AND('Mapa final'!$AH$64="Muy Baja",'Mapa final'!$AJ$64="Catastrófico"),CONCATENATE("R2C",'Mapa final'!$R$64),"")</f>
        <v/>
      </c>
      <c r="AJ58" s="42" t="str">
        <f>IF(AND('Mapa final'!$AH$65="Muy Baja",'Mapa final'!$AJ$65="Catastrófico"),CONCATENATE("R2C",'Mapa final'!$R$65),"")</f>
        <v/>
      </c>
      <c r="AK58" s="42" t="str">
        <f>IF(AND('Mapa final'!$AH$66="Muy Baja",'Mapa final'!$AJ$66="Catastrófico"),CONCATENATE("R2C",'Mapa final'!$R$66),"")</f>
        <v/>
      </c>
      <c r="AL58" s="42" t="str">
        <f>IF(AND('Mapa final'!$AH$67="Muy Baja",'Mapa final'!$AJ$67="Catastrófico"),CONCATENATE("R2C",'Mapa final'!$R$67),"")</f>
        <v/>
      </c>
      <c r="AM58" s="42" t="str">
        <f>IF(AND('Mapa final'!$AH$68="Muy Baja",'Mapa final'!$AJ$68="Catastrófico"),CONCATENATE("R2C",'Mapa final'!$R$68),"")</f>
        <v/>
      </c>
      <c r="AN58" s="43" t="str">
        <f>IF(AND('Mapa final'!$AH$69="Muy Baja",'Mapa final'!$AJ$69="Catastrófico"),CONCATENATE("R2C",'Mapa final'!$R$69),"")</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229"/>
      <c r="BM58" s="229"/>
      <c r="BN58" s="229"/>
      <c r="BO58" s="229"/>
      <c r="BP58" s="229"/>
      <c r="BQ58" s="229"/>
      <c r="BR58" s="68"/>
      <c r="BS58" s="68"/>
      <c r="BT58" s="68"/>
      <c r="BU58" s="68"/>
      <c r="BV58" s="68"/>
      <c r="BW58" s="68"/>
      <c r="BX58" s="68"/>
      <c r="BY58" s="68"/>
      <c r="BZ58" s="68"/>
      <c r="CA58" s="68"/>
      <c r="CB58" s="68"/>
      <c r="CC58" s="68"/>
    </row>
    <row r="59" spans="2:81" ht="15" customHeight="1">
      <c r="B59" s="68"/>
      <c r="C59" s="427"/>
      <c r="D59" s="427"/>
      <c r="E59" s="428"/>
      <c r="F59" s="517"/>
      <c r="G59" s="518"/>
      <c r="H59" s="518"/>
      <c r="I59" s="518"/>
      <c r="J59" s="519"/>
      <c r="K59" s="62" t="str">
        <f>IF(AND('Mapa final'!$AH$70="Muy Baja",'Mapa final'!$AJ$70="Leve"),CONCATENATE("R2C",'Mapa final'!$R$70),"")</f>
        <v/>
      </c>
      <c r="L59" s="63" t="str">
        <f>IF(AND('Mapa final'!$AH$71="Muy Baja",'Mapa final'!$AJ$71="Leve"),CONCATENATE("R2C",'Mapa final'!$R$71),"")</f>
        <v/>
      </c>
      <c r="M59" s="63" t="str">
        <f>IF(AND('Mapa final'!$AH$72="Muy Baja",'Mapa final'!$AJ$72="Leve"),CONCATENATE("R2C",'Mapa final'!$R$72),"")</f>
        <v/>
      </c>
      <c r="N59" s="54" t="e">
        <f>IF(AND('Mapa final'!#REF!="Alta",'Mapa final'!#REF!="Leve"),CONCATENATE("R2C",'Mapa final'!#REF!),"")</f>
        <v>#REF!</v>
      </c>
      <c r="O59" s="63" t="str">
        <f>IF(AND('Mapa final'!$AH$74="Muy Baja",'Mapa final'!$AJ$74="Leve"),CONCATENATE("R2C",'Mapa final'!$R$74),"")</f>
        <v/>
      </c>
      <c r="P59" s="64" t="str">
        <f>IF(AND('Mapa final'!$AH$75="Muy Baja",'Mapa final'!$AJ$75="Leve"),CONCATENATE("R2C",'Mapa final'!$R$75),"")</f>
        <v/>
      </c>
      <c r="Q59" s="62" t="str">
        <f>IF(AND('Mapa final'!$AH$70="Muy Baja",'Mapa final'!$AJ$70="Menor"),CONCATENATE("R2C",'Mapa final'!$R$70),"")</f>
        <v/>
      </c>
      <c r="R59" s="63" t="str">
        <f>IF(AND('Mapa final'!$AH$71="Muy Baja",'Mapa final'!$AJ$71="Menor"),CONCATENATE("R2C",'Mapa final'!$R$71),"")</f>
        <v/>
      </c>
      <c r="S59" s="63" t="str">
        <f>IF(AND('Mapa final'!$AH$72="Muy Baja",'Mapa final'!$AJ$72="Menor"),CONCATENATE("R2C",'Mapa final'!$R$72),"")</f>
        <v/>
      </c>
      <c r="T59" s="63" t="str">
        <f>IF(AND('Mapa final'!$AH$73="Muy Baja",'Mapa final'!$AJ$73="Menor"),CONCATENATE("R2C",'Mapa final'!$R$73),"")</f>
        <v/>
      </c>
      <c r="U59" s="63" t="str">
        <f>IF(AND('Mapa final'!$AH$74="Muy Baja",'Mapa final'!$AJ$74="Menor"),CONCATENATE("R2C",'Mapa final'!$R$74),"")</f>
        <v/>
      </c>
      <c r="V59" s="64" t="str">
        <f>IF(AND('Mapa final'!$AH$75="Muy Baja",'Mapa final'!$AJ$75="Menor"),CONCATENATE("R2C",'Mapa final'!$R$75),"")</f>
        <v/>
      </c>
      <c r="W59" s="53" t="str">
        <f>IF(AND('Mapa final'!$AH$70="Muy Baja",'Mapa final'!$AJ$70="Moderado"),CONCATENATE("R2C",'Mapa final'!$R$70),"")</f>
        <v/>
      </c>
      <c r="X59" s="54" t="str">
        <f>IF(AND('Mapa final'!$AH$71="Muy Baja",'Mapa final'!$AJ$71="Moderado"),CONCATENATE("R2C",'Mapa final'!$R$71),"")</f>
        <v/>
      </c>
      <c r="Y59" s="54" t="str">
        <f>IF(AND('Mapa final'!$AH$72="Muy Baja",'Mapa final'!$AJ$72="Moderado"),CONCATENATE("R2C",'Mapa final'!$R$72),"")</f>
        <v/>
      </c>
      <c r="Z59" s="54" t="str">
        <f>IF(AND('Mapa final'!$AH$73="Muy Baja",'Mapa final'!$AJ$73="Moderado"),CONCATENATE("R2C",'Mapa final'!$R$73),"")</f>
        <v/>
      </c>
      <c r="AA59" s="54" t="str">
        <f>IF(AND('Mapa final'!$AH$74="Muy Baja",'Mapa final'!$AJ$74="Moderado"),CONCATENATE("R2C",'Mapa final'!$R$74),"")</f>
        <v/>
      </c>
      <c r="AB59" s="55" t="str">
        <f>IF(AND('Mapa final'!$AH$75="Muy Baja",'Mapa final'!$AJ$75="Moderado"),CONCATENATE("R2C",'Mapa final'!$R$75),"")</f>
        <v/>
      </c>
      <c r="AC59" s="38" t="str">
        <f>IF(AND('Mapa final'!$AH$70="Muy Baja",'Mapa final'!$AJ$70="Mayor"),CONCATENATE("R2C",'Mapa final'!$R$70),"")</f>
        <v/>
      </c>
      <c r="AD59" s="39" t="str">
        <f>IF(AND('Mapa final'!$AH$71="Muy Baja",'Mapa final'!$AJ$71="Mayor"),CONCATENATE("R2C",'Mapa final'!$R$71),"")</f>
        <v/>
      </c>
      <c r="AE59" s="39" t="str">
        <f>IF(AND('Mapa final'!$AH$72="Muy Baja",'Mapa final'!$AJ$72="Mayor"),CONCATENATE("R2C",'Mapa final'!$R$72),"")</f>
        <v/>
      </c>
      <c r="AF59" s="39" t="str">
        <f>IF(AND('Mapa final'!$AH$73="Muy Baja",'Mapa final'!$AJ$73="Mayor"),CONCATENATE("R2C",'Mapa final'!$R$73),"")</f>
        <v/>
      </c>
      <c r="AG59" s="39" t="str">
        <f>IF(AND('Mapa final'!$AH$74="Muy Baja",'Mapa final'!$AJ$74="Mayor"),CONCATENATE("R2C",'Mapa final'!$R$74),"")</f>
        <v/>
      </c>
      <c r="AH59" s="40" t="str">
        <f>IF(AND('Mapa final'!$AH$75="Muy Baja",'Mapa final'!$AJ$75="Mayor"),CONCATENATE("R2C",'Mapa final'!$R$75),"")</f>
        <v/>
      </c>
      <c r="AI59" s="41" t="str">
        <f>IF(AND('Mapa final'!$AH$70="Muy Baja",'Mapa final'!$AJ$70="Catastrófico"),CONCATENATE("R2C",'Mapa final'!$R$70),"")</f>
        <v/>
      </c>
      <c r="AJ59" s="42" t="str">
        <f>IF(AND('Mapa final'!$AH$71="Muy Baja",'Mapa final'!$AJ$71="Catastrófico"),CONCATENATE("R2C",'Mapa final'!$R$71),"")</f>
        <v/>
      </c>
      <c r="AK59" s="42" t="str">
        <f>IF(AND('Mapa final'!$AH$72="Muy Baja",'Mapa final'!$AJ$72="Catastrófico"),CONCATENATE("R2C",'Mapa final'!$R$72),"")</f>
        <v/>
      </c>
      <c r="AL59" s="42" t="str">
        <f>IF(AND('Mapa final'!$AH$73="Muy Baja",'Mapa final'!$AJ$73="Catastrófico"),CONCATENATE("R2C",'Mapa final'!$R$73),"")</f>
        <v/>
      </c>
      <c r="AM59" s="42" t="str">
        <f>IF(AND('Mapa final'!$AH$74="Muy Baja",'Mapa final'!$AJ$74="Catastrófico"),CONCATENATE("R2C",'Mapa final'!$R$74),"")</f>
        <v/>
      </c>
      <c r="AN59" s="43" t="str">
        <f>IF(AND('Mapa final'!$AH$75="Muy Baja",'Mapa final'!$AJ$75="Catastrófico"),CONCATENATE("R2C",'Mapa final'!$R$75),"")</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27"/>
      <c r="D60" s="427"/>
      <c r="E60" s="428"/>
      <c r="F60" s="517"/>
      <c r="G60" s="518"/>
      <c r="H60" s="518"/>
      <c r="I60" s="518"/>
      <c r="J60" s="519"/>
      <c r="K60" s="62" t="str">
        <f>IF(AND('Mapa final'!$AH$76="Muy Baja",'Mapa final'!$AJ$76="Leve"),CONCATENATE("R2C",'Mapa final'!$R$76),"")</f>
        <v/>
      </c>
      <c r="L60" s="63" t="str">
        <f>IF(AND('Mapa final'!$AH$77="Muy Baja",'Mapa final'!$AJ$77="Leve"),CONCATENATE("R2C",'Mapa final'!$R$77),"")</f>
        <v/>
      </c>
      <c r="M60" s="63" t="str">
        <f>IF(AND('Mapa final'!$AH$78="Muy Baja",'Mapa final'!$AJ$78="Leve"),CONCATENATE("R2C",'Mapa final'!$R$78),"")</f>
        <v/>
      </c>
      <c r="N60" s="54" t="e">
        <f>IF(AND('Mapa final'!#REF!="Alta",'Mapa final'!#REF!="Leve"),CONCATENATE("R2C",'Mapa final'!#REF!),"")</f>
        <v>#REF!</v>
      </c>
      <c r="O60" s="63" t="str">
        <f>IF(AND('Mapa final'!$AH$80="Muy Baja",'Mapa final'!$AJ$80="Leve"),CONCATENATE("R2C",'Mapa final'!$R$80),"")</f>
        <v/>
      </c>
      <c r="P60" s="64" t="str">
        <f>IF(AND('Mapa final'!$AH$81="Muy Baja",'Mapa final'!$AJ$81="Leve"),CONCATENATE("R2C",'Mapa final'!$R$81),"")</f>
        <v/>
      </c>
      <c r="Q60" s="62" t="str">
        <f>IF(AND('Mapa final'!$AH$76="Muy Baja",'Mapa final'!$AJ$76="Menor"),CONCATENATE("R2C",'Mapa final'!$R$76),"")</f>
        <v/>
      </c>
      <c r="R60" s="63" t="str">
        <f>IF(AND('Mapa final'!$AH$77="Muy Baja",'Mapa final'!$AJ$77="Menor"),CONCATENATE("R2C",'Mapa final'!$R$77),"")</f>
        <v/>
      </c>
      <c r="S60" s="63" t="str">
        <f>IF(AND('Mapa final'!$AH$78="Muy Baja",'Mapa final'!$AJ$78="Menor"),CONCATENATE("R2C",'Mapa final'!$R$78),"")</f>
        <v/>
      </c>
      <c r="T60" s="63" t="str">
        <f>IF(AND('Mapa final'!$AH$79="Muy Baja",'Mapa final'!$AJ$79="Menor"),CONCATENATE("R2C",'Mapa final'!$R$79),"")</f>
        <v/>
      </c>
      <c r="U60" s="63" t="str">
        <f>IF(AND('Mapa final'!$AH$80="Muy Baja",'Mapa final'!$AJ$80="Menor"),CONCATENATE("R2C",'Mapa final'!$R$80),"")</f>
        <v/>
      </c>
      <c r="V60" s="64" t="str">
        <f>IF(AND('Mapa final'!$AH$81="Muy Baja",'Mapa final'!$AJ$81="Menor"),CONCATENATE("R2C",'Mapa final'!$R$81),"")</f>
        <v/>
      </c>
      <c r="W60" s="53" t="str">
        <f>IF(AND('Mapa final'!$AH$76="Muy Baja",'Mapa final'!$AJ$76="Moderado"),CONCATENATE("R2C",'Mapa final'!$R$76),"")</f>
        <v/>
      </c>
      <c r="X60" s="54" t="str">
        <f>IF(AND('Mapa final'!$AH$77="Muy Baja",'Mapa final'!$AJ$77="Moderado"),CONCATENATE("R2C",'Mapa final'!$R$77),"")</f>
        <v/>
      </c>
      <c r="Y60" s="54" t="str">
        <f>IF(AND('Mapa final'!$AH$78="Muy Baja",'Mapa final'!$AJ$78="Moderado"),CONCATENATE("R2C",'Mapa final'!$R$78),"")</f>
        <v/>
      </c>
      <c r="Z60" s="54" t="str">
        <f>IF(AND('Mapa final'!$AH$79="Muy Baja",'Mapa final'!$AJ$79="Moderado"),CONCATENATE("R2C",'Mapa final'!$R$79),"")</f>
        <v/>
      </c>
      <c r="AA60" s="54" t="str">
        <f>IF(AND('Mapa final'!$AH$80="Muy Baja",'Mapa final'!$AJ$80="Moderado"),CONCATENATE("R2C",'Mapa final'!$R$80),"")</f>
        <v/>
      </c>
      <c r="AB60" s="55" t="str">
        <f>IF(AND('Mapa final'!$AH$81="Muy Baja",'Mapa final'!$AJ$81="Moderado"),CONCATENATE("R2C",'Mapa final'!$R$81),"")</f>
        <v/>
      </c>
      <c r="AC60" s="38" t="str">
        <f>IF(AND('Mapa final'!$AH$76="Muy Baja",'Mapa final'!$AJ$76="Mayor"),CONCATENATE("R2C",'Mapa final'!$R$76),"")</f>
        <v/>
      </c>
      <c r="AD60" s="39" t="str">
        <f>IF(AND('Mapa final'!$AH$77="Muy Baja",'Mapa final'!$AJ$77="Mayor"),CONCATENATE("R2C",'Mapa final'!$R$77),"")</f>
        <v/>
      </c>
      <c r="AE60" s="39" t="str">
        <f>IF(AND('Mapa final'!$AH$78="Muy Baja",'Mapa final'!$AJ$78="Mayor"),CONCATENATE("R2C",'Mapa final'!$R$78),"")</f>
        <v/>
      </c>
      <c r="AF60" s="39" t="str">
        <f>IF(AND('Mapa final'!$AH$79="Muy Baja",'Mapa final'!$AJ$79="Mayor"),CONCATENATE("R2C",'Mapa final'!$R$79),"")</f>
        <v/>
      </c>
      <c r="AG60" s="39" t="str">
        <f>IF(AND('Mapa final'!$AH$80="Muy Baja",'Mapa final'!$AJ$80="Mayor"),CONCATENATE("R2C",'Mapa final'!$R$80),"")</f>
        <v/>
      </c>
      <c r="AH60" s="40" t="str">
        <f>IF(AND('Mapa final'!$AH$81="Muy Baja",'Mapa final'!$AJ$81="Mayor"),CONCATENATE("R2C",'Mapa final'!$R$81),"")</f>
        <v/>
      </c>
      <c r="AI60" s="41" t="str">
        <f>IF(AND('Mapa final'!$AH$76="Muy Baja",'Mapa final'!$AJ$76="Catastrófico"),CONCATENATE("R2C",'Mapa final'!$R$76),"")</f>
        <v/>
      </c>
      <c r="AJ60" s="42" t="str">
        <f>IF(AND('Mapa final'!$AH$77="Muy Baja",'Mapa final'!$AJ$77="Catastrófico"),CONCATENATE("R2C",'Mapa final'!$R$77),"")</f>
        <v/>
      </c>
      <c r="AK60" s="42" t="str">
        <f>IF(AND('Mapa final'!$AH$78="Muy Baja",'Mapa final'!$AJ$78="Catastrófico"),CONCATENATE("R2C",'Mapa final'!$R$78),"")</f>
        <v/>
      </c>
      <c r="AL60" s="42" t="str">
        <f>IF(AND('Mapa final'!$AH$79="Muy Baja",'Mapa final'!$AJ$79="Catastrófico"),CONCATENATE("R2C",'Mapa final'!$R$79),"")</f>
        <v/>
      </c>
      <c r="AM60" s="42" t="str">
        <f>IF(AND('Mapa final'!$AH$80="Muy Baja",'Mapa final'!$AJ$80="Catastrófico"),CONCATENATE("R2C",'Mapa final'!$R$80),"")</f>
        <v/>
      </c>
      <c r="AN60" s="43" t="str">
        <f>IF(AND('Mapa final'!$AH$81="Muy Baja",'Mapa final'!$AJ$81="Catastrófico"),CONCATENATE("R2C",'Mapa final'!$R$81),"")</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27"/>
      <c r="D61" s="427"/>
      <c r="E61" s="428"/>
      <c r="F61" s="520"/>
      <c r="G61" s="521"/>
      <c r="H61" s="521"/>
      <c r="I61" s="521"/>
      <c r="J61" s="522"/>
      <c r="K61" s="65" t="str">
        <f>IF(AND('Mapa final'!$AH$82="Muy Baja",'Mapa final'!$AJ$82="Leve"),CONCATENATE("R2C",'Mapa final'!$R$82),"")</f>
        <v/>
      </c>
      <c r="L61" s="66" t="str">
        <f>IF(AND('Mapa final'!$AH$83="Muy Baja",'Mapa final'!$AJ$83="Leve"),CONCATENATE("R2C",'Mapa final'!$R$83),"")</f>
        <v/>
      </c>
      <c r="M61" s="66" t="str">
        <f>IF(AND('Mapa final'!$AH$84="Muy Baja",'Mapa final'!$AJ$84="Leve"),CONCATENATE("R2C",'Mapa final'!$R$84),"")</f>
        <v/>
      </c>
      <c r="N61" s="54" t="e">
        <f>IF(AND('Mapa final'!#REF!="Alta",'Mapa final'!#REF!="Leve"),CONCATENATE("R2C",'Mapa final'!#REF!),"")</f>
        <v>#REF!</v>
      </c>
      <c r="O61" s="66" t="str">
        <f>IF(AND('Mapa final'!$AH$87="Muy Baja",'Mapa final'!$AJ$87="Leve"),CONCATENATE("R2C",'Mapa final'!$R$87),"")</f>
        <v/>
      </c>
      <c r="P61" s="67" t="str">
        <f>IF(AND('Mapa final'!$AH$88="Muy Baja",'Mapa final'!$AJ$88="Leve"),CONCATENATE("R2C",'Mapa final'!$R$88),"")</f>
        <v/>
      </c>
      <c r="Q61" s="65" t="str">
        <f>IF(AND('Mapa final'!$AH$82="Muy Baja",'Mapa final'!$AJ$82="Menor"),CONCATENATE("R2C",'Mapa final'!$R$82),"")</f>
        <v/>
      </c>
      <c r="R61" s="66" t="str">
        <f>IF(AND('Mapa final'!$AH$83="Muy Baja",'Mapa final'!$AJ$83="Menor"),CONCATENATE("R2C",'Mapa final'!$R$83),"")</f>
        <v/>
      </c>
      <c r="S61" s="66" t="str">
        <f>IF(AND('Mapa final'!$AH$84="Muy Baja",'Mapa final'!$AJ$84="Menor"),CONCATENATE("R2C",'Mapa final'!$R$84),"")</f>
        <v/>
      </c>
      <c r="T61" s="66" t="str">
        <f>IF(AND('Mapa final'!$AH$85="Muy Baja",'Mapa final'!$AJ$85="Menor"),CONCATENATE("R2C",'Mapa final'!$R$85),"")</f>
        <v/>
      </c>
      <c r="U61" s="66" t="str">
        <f>IF(AND('Mapa final'!$AH$87="Muy Baja",'Mapa final'!$AJ$87="Menor"),CONCATENATE("R2C",'Mapa final'!$R$87),"")</f>
        <v/>
      </c>
      <c r="V61" s="67" t="str">
        <f>IF(AND('Mapa final'!$AH$88="Muy Baja",'Mapa final'!$AJ$88="Menor"),CONCATENATE("R2C",'Mapa final'!$R$88),"")</f>
        <v/>
      </c>
      <c r="W61" s="56" t="str">
        <f>IF(AND('Mapa final'!$AH$82="Muy Baja",'Mapa final'!$AJ$82="Moderado"),CONCATENATE("R2C",'Mapa final'!$R$82),"")</f>
        <v/>
      </c>
      <c r="X61" s="57" t="str">
        <f>IF(AND('Mapa final'!$AH$83="Muy Baja",'Mapa final'!$AJ$83="Moderado"),CONCATENATE("R2C",'Mapa final'!$R$83),"")</f>
        <v/>
      </c>
      <c r="Y61" s="57" t="str">
        <f>IF(AND('Mapa final'!$AH$84="Muy Baja",'Mapa final'!$AJ$84="Moderado"),CONCATENATE("R2C",'Mapa final'!$R$84),"")</f>
        <v/>
      </c>
      <c r="Z61" s="57" t="str">
        <f>IF(AND('Mapa final'!$AH$85="Muy Baja",'Mapa final'!$AJ$85="Moderado"),CONCATENATE("R2C",'Mapa final'!$R$85),"")</f>
        <v/>
      </c>
      <c r="AA61" s="57" t="str">
        <f>IF(AND('Mapa final'!$AH$87="Muy Baja",'Mapa final'!$AJ$87="Moderado"),CONCATENATE("R2C",'Mapa final'!$R$87),"")</f>
        <v/>
      </c>
      <c r="AB61" s="58" t="str">
        <f>IF(AND('Mapa final'!$AH$88="Muy Baja",'Mapa final'!$AJ$88="Moderado"),CONCATENATE("R2C",'Mapa final'!$R$88),"")</f>
        <v/>
      </c>
      <c r="AC61" s="44" t="str">
        <f>IF(AND('Mapa final'!$AH$82="Muy Baja",'Mapa final'!$AJ$82="Mayor"),CONCATENATE("R2C",'Mapa final'!$R$82),"")</f>
        <v/>
      </c>
      <c r="AD61" s="45" t="str">
        <f>IF(AND('Mapa final'!$AH$83="Muy Baja",'Mapa final'!$AJ$83="Mayor"),CONCATENATE("R2C",'Mapa final'!$R$83),"")</f>
        <v/>
      </c>
      <c r="AE61" s="45" t="str">
        <f>IF(AND('Mapa final'!$AH$84="Muy Baja",'Mapa final'!$AJ$84="Mayor"),CONCATENATE("R2C",'Mapa final'!$R$84),"")</f>
        <v/>
      </c>
      <c r="AF61" s="45" t="str">
        <f>IF(AND('Mapa final'!$AH$85="Muy Baja",'Mapa final'!$AJ$85="Mayor"),CONCATENATE("R2C",'Mapa final'!$R$85),"")</f>
        <v/>
      </c>
      <c r="AG61" s="45" t="str">
        <f>IF(AND('Mapa final'!$AH$87="Muy Baja",'Mapa final'!$AJ$87="Mayor"),CONCATENATE("R2C",'Mapa final'!$R$87),"")</f>
        <v/>
      </c>
      <c r="AH61" s="46" t="str">
        <f>IF(AND('Mapa final'!$AH$88="Muy Baja",'Mapa final'!$AJ$88="Mayor"),CONCATENATE("R2C",'Mapa final'!$R$88),"")</f>
        <v/>
      </c>
      <c r="AI61" s="47" t="str">
        <f>IF(AND('Mapa final'!$AH$82="Muy Baja",'Mapa final'!$AJ$82="Catastrófico"),CONCATENATE("R2C",'Mapa final'!$R$82),"")</f>
        <v/>
      </c>
      <c r="AJ61" s="48" t="str">
        <f>IF(AND('Mapa final'!$AH$83="Muy Baja",'Mapa final'!$AJ$83="Catastrófico"),CONCATENATE("R2C",'Mapa final'!$R$83),"")</f>
        <v/>
      </c>
      <c r="AK61" s="48" t="str">
        <f>IF(AND('Mapa final'!$AH$84="Muy Baja",'Mapa final'!$AJ$84="Catastrófico"),CONCATENATE("R2C",'Mapa final'!$R$84),"")</f>
        <v/>
      </c>
      <c r="AL61" s="48" t="str">
        <f>IF(AND('Mapa final'!$AH$85="Muy Baja",'Mapa final'!$AJ$85="Catastrófico"),CONCATENATE("R2C",'Mapa final'!$R$85),"")</f>
        <v/>
      </c>
      <c r="AM61" s="48" t="str">
        <f>IF(AND('Mapa final'!$AH$87="Muy Baja",'Mapa final'!$AJ$87="Catastrófico"),CONCATENATE("R2C",'Mapa final'!$R$87),"")</f>
        <v/>
      </c>
      <c r="AN61" s="49" t="str">
        <f>IF(AND('Mapa final'!$AH$88="Muy Baja",'Mapa final'!$AJ$88="Catastrófico"),CONCATENATE("R2C",'Mapa final'!$R$88),"")</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514" t="s">
        <v>261</v>
      </c>
      <c r="L62" s="515"/>
      <c r="M62" s="515"/>
      <c r="N62" s="515"/>
      <c r="O62" s="515"/>
      <c r="P62" s="516"/>
      <c r="Q62" s="514" t="s">
        <v>262</v>
      </c>
      <c r="R62" s="515"/>
      <c r="S62" s="515"/>
      <c r="T62" s="515"/>
      <c r="U62" s="515"/>
      <c r="V62" s="516"/>
      <c r="W62" s="514" t="s">
        <v>263</v>
      </c>
      <c r="X62" s="515"/>
      <c r="Y62" s="515"/>
      <c r="Z62" s="515"/>
      <c r="AA62" s="515"/>
      <c r="AB62" s="516"/>
      <c r="AC62" s="514" t="s">
        <v>264</v>
      </c>
      <c r="AD62" s="564"/>
      <c r="AE62" s="515"/>
      <c r="AF62" s="515"/>
      <c r="AG62" s="515"/>
      <c r="AH62" s="516"/>
      <c r="AI62" s="514" t="s">
        <v>265</v>
      </c>
      <c r="AJ62" s="515"/>
      <c r="AK62" s="515"/>
      <c r="AL62" s="515"/>
      <c r="AM62" s="515"/>
      <c r="AN62" s="516"/>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517"/>
      <c r="L63" s="518"/>
      <c r="M63" s="518"/>
      <c r="N63" s="518"/>
      <c r="O63" s="518"/>
      <c r="P63" s="519"/>
      <c r="Q63" s="517"/>
      <c r="R63" s="518"/>
      <c r="S63" s="518"/>
      <c r="T63" s="518"/>
      <c r="U63" s="518"/>
      <c r="V63" s="519"/>
      <c r="W63" s="517"/>
      <c r="X63" s="518"/>
      <c r="Y63" s="518"/>
      <c r="Z63" s="518"/>
      <c r="AA63" s="518"/>
      <c r="AB63" s="519"/>
      <c r="AC63" s="517"/>
      <c r="AD63" s="518"/>
      <c r="AE63" s="518"/>
      <c r="AF63" s="518"/>
      <c r="AG63" s="518"/>
      <c r="AH63" s="519"/>
      <c r="AI63" s="517"/>
      <c r="AJ63" s="518"/>
      <c r="AK63" s="518"/>
      <c r="AL63" s="518"/>
      <c r="AM63" s="518"/>
      <c r="AN63" s="519"/>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517"/>
      <c r="L64" s="518"/>
      <c r="M64" s="518"/>
      <c r="N64" s="518"/>
      <c r="O64" s="518"/>
      <c r="P64" s="519"/>
      <c r="Q64" s="517"/>
      <c r="R64" s="518"/>
      <c r="S64" s="518"/>
      <c r="T64" s="518"/>
      <c r="U64" s="518"/>
      <c r="V64" s="519"/>
      <c r="W64" s="517"/>
      <c r="X64" s="518"/>
      <c r="Y64" s="518"/>
      <c r="Z64" s="518"/>
      <c r="AA64" s="518"/>
      <c r="AB64" s="519"/>
      <c r="AC64" s="517"/>
      <c r="AD64" s="518"/>
      <c r="AE64" s="518"/>
      <c r="AF64" s="518"/>
      <c r="AG64" s="518"/>
      <c r="AH64" s="519"/>
      <c r="AI64" s="517"/>
      <c r="AJ64" s="518"/>
      <c r="AK64" s="518"/>
      <c r="AL64" s="518"/>
      <c r="AM64" s="518"/>
      <c r="AN64" s="519"/>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517"/>
      <c r="L65" s="518"/>
      <c r="M65" s="518"/>
      <c r="N65" s="518"/>
      <c r="O65" s="518"/>
      <c r="P65" s="519"/>
      <c r="Q65" s="517"/>
      <c r="R65" s="518"/>
      <c r="S65" s="518"/>
      <c r="T65" s="518"/>
      <c r="U65" s="518"/>
      <c r="V65" s="519"/>
      <c r="W65" s="517"/>
      <c r="X65" s="518"/>
      <c r="Y65" s="518"/>
      <c r="Z65" s="518"/>
      <c r="AA65" s="518"/>
      <c r="AB65" s="519"/>
      <c r="AC65" s="517"/>
      <c r="AD65" s="518"/>
      <c r="AE65" s="518"/>
      <c r="AF65" s="518"/>
      <c r="AG65" s="518"/>
      <c r="AH65" s="519"/>
      <c r="AI65" s="517"/>
      <c r="AJ65" s="518"/>
      <c r="AK65" s="518"/>
      <c r="AL65" s="518"/>
      <c r="AM65" s="518"/>
      <c r="AN65" s="519"/>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517"/>
      <c r="L66" s="518"/>
      <c r="M66" s="518"/>
      <c r="N66" s="518"/>
      <c r="O66" s="518"/>
      <c r="P66" s="519"/>
      <c r="Q66" s="517"/>
      <c r="R66" s="518"/>
      <c r="S66" s="518"/>
      <c r="T66" s="518"/>
      <c r="U66" s="518"/>
      <c r="V66" s="519"/>
      <c r="W66" s="517"/>
      <c r="X66" s="518"/>
      <c r="Y66" s="518"/>
      <c r="Z66" s="518"/>
      <c r="AA66" s="518"/>
      <c r="AB66" s="519"/>
      <c r="AC66" s="517"/>
      <c r="AD66" s="518"/>
      <c r="AE66" s="518"/>
      <c r="AF66" s="518"/>
      <c r="AG66" s="518"/>
      <c r="AH66" s="519"/>
      <c r="AI66" s="517"/>
      <c r="AJ66" s="518"/>
      <c r="AK66" s="518"/>
      <c r="AL66" s="518"/>
      <c r="AM66" s="518"/>
      <c r="AN66" s="519"/>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6" thickBot="1">
      <c r="B67" s="68"/>
      <c r="C67" s="68"/>
      <c r="D67" s="68"/>
      <c r="E67" s="68"/>
      <c r="F67" s="68"/>
      <c r="G67" s="68"/>
      <c r="H67" s="68"/>
      <c r="I67" s="68"/>
      <c r="J67" s="68"/>
      <c r="K67" s="520"/>
      <c r="L67" s="521"/>
      <c r="M67" s="521"/>
      <c r="N67" s="521"/>
      <c r="O67" s="521"/>
      <c r="P67" s="522"/>
      <c r="Q67" s="520"/>
      <c r="R67" s="521"/>
      <c r="S67" s="521"/>
      <c r="T67" s="521"/>
      <c r="U67" s="521"/>
      <c r="V67" s="522"/>
      <c r="W67" s="520"/>
      <c r="X67" s="521"/>
      <c r="Y67" s="521"/>
      <c r="Z67" s="521"/>
      <c r="AA67" s="521"/>
      <c r="AB67" s="522"/>
      <c r="AC67" s="520"/>
      <c r="AD67" s="521"/>
      <c r="AE67" s="521"/>
      <c r="AF67" s="521"/>
      <c r="AG67" s="521"/>
      <c r="AH67" s="522"/>
      <c r="AI67" s="520"/>
      <c r="AJ67" s="521"/>
      <c r="AK67" s="521"/>
      <c r="AL67" s="521"/>
      <c r="AM67" s="521"/>
      <c r="AN67" s="522"/>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A8:B8"/>
    <mergeCell ref="K62:P67"/>
    <mergeCell ref="Q62:V67"/>
    <mergeCell ref="W62:AB67"/>
    <mergeCell ref="AC62:AH67"/>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C2:J5"/>
    <mergeCell ref="K2:AN5"/>
    <mergeCell ref="AO2:AU2"/>
    <mergeCell ref="AO3:AU3"/>
    <mergeCell ref="AO4:AU4"/>
    <mergeCell ref="AO5:AU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PORTADA </vt:lpstr>
      <vt:lpstr>Mapa final</vt:lpstr>
      <vt:lpstr>Datos</vt:lpstr>
      <vt:lpstr>Formulas</vt:lpstr>
      <vt:lpstr>CRITERIOS R CORRUPCION</vt:lpstr>
      <vt:lpstr>Apayo Visual </vt:lpstr>
      <vt:lpstr>eliminar</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MIPG ETITC</cp:lastModifiedBy>
  <cp:revision/>
  <dcterms:created xsi:type="dcterms:W3CDTF">2020-03-24T23:12:47Z</dcterms:created>
  <dcterms:modified xsi:type="dcterms:W3CDTF">2026-09-01T15:56:07Z</dcterms:modified>
  <cp:category/>
  <cp:contentStatus/>
</cp:coreProperties>
</file>