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AEC66026-AA14-47DB-A1FA-658D977AF731}"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 r:id="rId24"/>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1" r:id="rId25"/>
  </pivotCaches>
</workbook>
</file>

<file path=xl/calcChain.xml><?xml version="1.0" encoding="utf-8"?>
<calcChain xmlns="http://schemas.openxmlformats.org/spreadsheetml/2006/main">
  <c r="AI25" i="1" l="1"/>
  <c r="AI24" i="1"/>
  <c r="AJ24" i="1" s="1"/>
  <c r="AI22" i="1"/>
  <c r="AI21" i="1"/>
  <c r="AK21" i="1" s="1"/>
  <c r="AI20" i="1"/>
  <c r="AI19" i="1"/>
  <c r="AA17" i="1"/>
  <c r="AA18" i="1"/>
  <c r="AA19" i="1"/>
  <c r="AA20" i="1"/>
  <c r="AA21" i="1"/>
  <c r="AA22" i="1"/>
  <c r="AA23" i="1"/>
  <c r="AA24" i="1"/>
  <c r="AA25" i="1"/>
  <c r="AD17" i="1"/>
  <c r="AD18" i="1"/>
  <c r="AK24" i="1" l="1"/>
  <c r="AJ21" i="1"/>
  <c r="T15" i="1" l="1"/>
  <c r="L41" i="19" l="1"/>
  <c r="AK22" i="1" l="1"/>
  <c r="AI23" i="1" s="1"/>
  <c r="AK23" i="1" s="1"/>
  <c r="AJ22" i="1"/>
  <c r="AJ25" i="1"/>
  <c r="AK25" i="1"/>
  <c r="AA16" i="1"/>
  <c r="AD16" i="1"/>
  <c r="Q19" i="1"/>
  <c r="R19" i="1" s="1"/>
  <c r="AD19" i="1"/>
  <c r="AD20" i="1"/>
  <c r="Q22" i="1"/>
  <c r="R22" i="1" s="1"/>
  <c r="AD22" i="1"/>
  <c r="AD23" i="1"/>
  <c r="Q24" i="1"/>
  <c r="R24" i="1" s="1"/>
  <c r="AD24" i="1"/>
  <c r="Q25" i="1"/>
  <c r="AD25" i="1"/>
  <c r="AD15" i="1"/>
  <c r="AA15" i="1"/>
  <c r="Q15" i="1"/>
  <c r="AJ23" i="1" l="1"/>
  <c r="R25" i="1"/>
  <c r="R15" i="1"/>
  <c r="AI15" i="1" s="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7" i="18"/>
  <c r="P37" i="18"/>
  <c r="P35" i="18"/>
  <c r="N35" i="18"/>
  <c r="AN33" i="18"/>
  <c r="AL33" i="18"/>
  <c r="AJ33" i="18"/>
  <c r="AH33" i="18"/>
  <c r="AF33" i="18"/>
  <c r="AD33" i="18"/>
  <c r="AB33" i="18"/>
  <c r="Z33" i="18"/>
  <c r="X33" i="18"/>
  <c r="V33" i="18"/>
  <c r="T33" i="18"/>
  <c r="R33" i="18"/>
  <c r="P33" i="18"/>
  <c r="N33" i="18"/>
  <c r="L33" i="18"/>
  <c r="P31" i="18"/>
  <c r="V31" i="18"/>
  <c r="AB31" i="18"/>
  <c r="AH31" i="18"/>
  <c r="AN31" i="18"/>
  <c r="P29" i="18"/>
  <c r="N29"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K19" i="1" l="1"/>
  <c r="AJ19" i="1"/>
  <c r="AK15" i="1"/>
  <c r="AI16" i="1" s="1"/>
  <c r="AJ15" i="1"/>
  <c r="AN13" i="18"/>
  <c r="AN29" i="18"/>
  <c r="AN37" i="18"/>
  <c r="AN21" i="18"/>
  <c r="AN45" i="18"/>
  <c r="AJ20" i="1" l="1"/>
  <c r="AJ16" i="1"/>
  <c r="AK16" i="1"/>
  <c r="AI17" i="1" s="1"/>
  <c r="H10" i="27"/>
  <c r="G29" i="27" s="1"/>
  <c r="H9" i="27"/>
  <c r="H8" i="27"/>
  <c r="F29" i="27"/>
  <c r="E29" i="27"/>
  <c r="AK20" i="1" l="1"/>
  <c r="AK17" i="1"/>
  <c r="AI18" i="1" s="1"/>
  <c r="AJ17" i="1"/>
  <c r="Q30" i="1"/>
  <c r="AK18" i="1" l="1"/>
  <c r="AJ18" i="1"/>
  <c r="F221" i="13"/>
  <c r="F211" i="13"/>
  <c r="F212" i="13"/>
  <c r="F213" i="13"/>
  <c r="F214" i="13"/>
  <c r="F215" i="13"/>
  <c r="F216" i="13"/>
  <c r="F217" i="13"/>
  <c r="F218" i="13"/>
  <c r="F219" i="13"/>
  <c r="F220" i="13"/>
  <c r="F210" i="13"/>
  <c r="B221" i="13" a="1"/>
  <c r="B221" i="13" l="1"/>
  <c r="H210" i="13" l="1"/>
  <c r="B223" i="13" l="1"/>
  <c r="B222" i="13"/>
  <c r="U15" i="1" l="1"/>
  <c r="T24" i="1"/>
  <c r="U24" i="1" s="1"/>
  <c r="T25" i="1"/>
  <c r="U25" i="1" s="1"/>
  <c r="T22" i="1"/>
  <c r="U22" i="1" s="1"/>
  <c r="AF29" i="18" s="1"/>
  <c r="T19" i="1"/>
  <c r="U19" i="1" s="1"/>
  <c r="AB27" i="18" s="1"/>
  <c r="N39" i="18" l="1"/>
  <c r="N31" i="18"/>
  <c r="Z31" i="18"/>
  <c r="X31" i="18"/>
  <c r="V15" i="1"/>
  <c r="AM17" i="1" s="1"/>
  <c r="AL17" i="1" s="1"/>
  <c r="AN17" i="1" s="1"/>
  <c r="X27" i="18"/>
  <c r="AH45" i="18"/>
  <c r="AB37" i="18"/>
  <c r="AH21" i="18"/>
  <c r="V29" i="18"/>
  <c r="AH13" i="18"/>
  <c r="V13" i="18"/>
  <c r="V45" i="18"/>
  <c r="AB45" i="18"/>
  <c r="AH29" i="18"/>
  <c r="AB13" i="18"/>
  <c r="V37" i="18"/>
  <c r="V21" i="18"/>
  <c r="AB29" i="18"/>
  <c r="AB21" i="18"/>
  <c r="AH37" i="18"/>
  <c r="P27" i="18"/>
  <c r="V43" i="18"/>
  <c r="AH11" i="18"/>
  <c r="AB35" i="18"/>
  <c r="AH43" i="18"/>
  <c r="V35" i="18"/>
  <c r="V19" i="18"/>
  <c r="AB43" i="18"/>
  <c r="AN19" i="18"/>
  <c r="AN27" i="18"/>
  <c r="V27" i="18"/>
  <c r="AB19" i="18"/>
  <c r="V19" i="1"/>
  <c r="AM21" i="1" s="1"/>
  <c r="AL21" i="1" s="1"/>
  <c r="AN21" i="1" s="1"/>
  <c r="AH35" i="18"/>
  <c r="AH19" i="18"/>
  <c r="V11" i="18"/>
  <c r="AB11" i="18"/>
  <c r="AN35" i="18"/>
  <c r="AN43" i="18"/>
  <c r="W19" i="1"/>
  <c r="AH27" i="18"/>
  <c r="AN11" i="18"/>
  <c r="T37" i="18"/>
  <c r="V22" i="1"/>
  <c r="Z29" i="18"/>
  <c r="AF45" i="18"/>
  <c r="W22" i="1"/>
  <c r="AL29" i="18"/>
  <c r="AL21" i="18"/>
  <c r="Z13" i="18"/>
  <c r="T29" i="18"/>
  <c r="AL13" i="18"/>
  <c r="Z21" i="18"/>
  <c r="AL37" i="18"/>
  <c r="T21" i="18"/>
  <c r="AF37" i="18"/>
  <c r="T45" i="18"/>
  <c r="AF13" i="18"/>
  <c r="AF21" i="18"/>
  <c r="Z45" i="18"/>
  <c r="T13" i="18"/>
  <c r="Z37" i="18"/>
  <c r="AL45" i="18"/>
  <c r="AF31" i="18"/>
  <c r="AF23" i="18"/>
  <c r="W25" i="1"/>
  <c r="Z23" i="18"/>
  <c r="V25" i="1"/>
  <c r="AM25" i="1" s="1"/>
  <c r="AL25" i="1" s="1"/>
  <c r="AL47" i="18"/>
  <c r="AF47" i="18"/>
  <c r="T47" i="18"/>
  <c r="T31" i="18"/>
  <c r="AF39" i="18"/>
  <c r="Z47" i="18"/>
  <c r="AL15" i="18"/>
  <c r="AF15" i="18"/>
  <c r="AL39" i="18"/>
  <c r="AL23" i="18"/>
  <c r="T15" i="18"/>
  <c r="Z39" i="18"/>
  <c r="Z15" i="18"/>
  <c r="T23" i="18"/>
  <c r="AL31" i="18"/>
  <c r="T39" i="18"/>
  <c r="R31" i="18"/>
  <c r="AJ31" i="18"/>
  <c r="X39" i="18"/>
  <c r="AD47" i="18"/>
  <c r="L47" i="18"/>
  <c r="X15" i="18"/>
  <c r="R39" i="18"/>
  <c r="AD23" i="18"/>
  <c r="L15" i="18"/>
  <c r="X47" i="18"/>
  <c r="W24" i="1"/>
  <c r="L31" i="18"/>
  <c r="AJ39" i="18"/>
  <c r="AJ15" i="18"/>
  <c r="L39" i="18"/>
  <c r="R23" i="18"/>
  <c r="L23" i="18"/>
  <c r="AJ47" i="18"/>
  <c r="R15" i="18"/>
  <c r="AD39" i="18"/>
  <c r="AD15" i="18"/>
  <c r="AD31" i="18"/>
  <c r="R47" i="18"/>
  <c r="X23" i="18"/>
  <c r="AJ23" i="18"/>
  <c r="V24" i="1"/>
  <c r="AM24" i="1" s="1"/>
  <c r="AL24" i="1" s="1"/>
  <c r="AC43" i="19" s="1"/>
  <c r="X29" i="18"/>
  <c r="L13" i="18"/>
  <c r="X45" i="18"/>
  <c r="AD37" i="18"/>
  <c r="X13" i="18"/>
  <c r="R37" i="18"/>
  <c r="AJ45" i="18"/>
  <c r="L45" i="18"/>
  <c r="AD29" i="18"/>
  <c r="X21" i="18"/>
  <c r="AJ37" i="18"/>
  <c r="L37" i="18"/>
  <c r="L21" i="18"/>
  <c r="AJ21" i="18"/>
  <c r="AD21" i="18"/>
  <c r="X37" i="18"/>
  <c r="R13" i="18"/>
  <c r="AD45" i="18"/>
  <c r="AJ13" i="18"/>
  <c r="AD13" i="18"/>
  <c r="R45" i="18"/>
  <c r="R21" i="18"/>
  <c r="R29" i="18"/>
  <c r="L29" i="18"/>
  <c r="AJ29" i="18"/>
  <c r="AD27" i="18"/>
  <c r="R43" i="18"/>
  <c r="AJ35" i="18"/>
  <c r="L11" i="18"/>
  <c r="AJ27" i="18"/>
  <c r="L35" i="18"/>
  <c r="X35" i="18"/>
  <c r="R19" i="18"/>
  <c r="R27" i="18"/>
  <c r="R11" i="18"/>
  <c r="AJ43" i="18"/>
  <c r="L27" i="18"/>
  <c r="AD19" i="18"/>
  <c r="AD35" i="18"/>
  <c r="W15" i="1"/>
  <c r="X11" i="18"/>
  <c r="L19" i="18"/>
  <c r="AJ19" i="18"/>
  <c r="L43" i="18"/>
  <c r="AD11" i="18"/>
  <c r="AD43" i="18"/>
  <c r="R35" i="18"/>
  <c r="X19" i="18"/>
  <c r="AJ11" i="18"/>
  <c r="X43" i="18"/>
  <c r="AL11" i="18"/>
  <c r="AF35" i="18"/>
  <c r="Z11" i="18"/>
  <c r="T27" i="18"/>
  <c r="T43" i="18"/>
  <c r="AL35" i="18"/>
  <c r="AL27" i="18"/>
  <c r="AL19" i="18"/>
  <c r="AL43" i="18"/>
  <c r="Z35" i="18"/>
  <c r="AF19" i="18"/>
  <c r="T35" i="18"/>
  <c r="Z19" i="18"/>
  <c r="Z43" i="18"/>
  <c r="Z27" i="18"/>
  <c r="AF27" i="18"/>
  <c r="AF11" i="18"/>
  <c r="T19" i="18"/>
  <c r="T11" i="18"/>
  <c r="AF43" i="18"/>
  <c r="AM18" i="1" l="1"/>
  <c r="AL18" i="1" s="1"/>
  <c r="AN18" i="1" s="1"/>
  <c r="AN24" i="1"/>
  <c r="W43" i="19"/>
  <c r="AN25" i="1"/>
  <c r="L43" i="19"/>
  <c r="AM22" i="1"/>
  <c r="AL22" i="1" s="1"/>
  <c r="AM23" i="1"/>
  <c r="AL23" i="1" s="1"/>
  <c r="AM19" i="1"/>
  <c r="AL19" i="1" s="1"/>
  <c r="AM20" i="1"/>
  <c r="AL20" i="1" s="1"/>
  <c r="L13" i="19"/>
  <c r="AM15" i="1"/>
  <c r="AL15" i="1" s="1"/>
  <c r="AM16" i="1"/>
  <c r="AL16" i="1" s="1"/>
  <c r="Q33" i="19"/>
  <c r="K23" i="19"/>
  <c r="Q13" i="19"/>
  <c r="AC53" i="19"/>
  <c r="K13" i="19"/>
  <c r="K53" i="19"/>
  <c r="AI53" i="19"/>
  <c r="Q53" i="19"/>
  <c r="AI33" i="19"/>
  <c r="K33" i="19"/>
  <c r="W33" i="19"/>
  <c r="Q23" i="19"/>
  <c r="AI23" i="19"/>
  <c r="W23" i="19"/>
  <c r="AC13" i="19"/>
  <c r="AC23" i="19"/>
  <c r="W53" i="19"/>
  <c r="AI43" i="19"/>
  <c r="W13" i="19"/>
  <c r="Q43" i="19"/>
  <c r="AC33" i="19"/>
  <c r="AI13" i="19"/>
  <c r="K43" i="19"/>
  <c r="AD53" i="19"/>
  <c r="L23" i="19"/>
  <c r="AJ13" i="19"/>
  <c r="AD43" i="19"/>
  <c r="L33" i="19"/>
  <c r="R33" i="19"/>
  <c r="AJ23" i="19"/>
  <c r="Q42" i="19"/>
  <c r="AG42" i="19" l="1"/>
  <c r="AA42" i="19"/>
  <c r="Y42" i="19"/>
  <c r="AE52" i="19"/>
  <c r="S22" i="19"/>
  <c r="AE42" i="19"/>
  <c r="S52" i="19"/>
  <c r="M52" i="19"/>
  <c r="S32" i="19"/>
  <c r="AN19" i="1"/>
  <c r="AF42" i="19"/>
  <c r="AK32" i="19"/>
  <c r="M22" i="19"/>
  <c r="AK52" i="19"/>
  <c r="AK12" i="19"/>
  <c r="AK22" i="19"/>
  <c r="AE12" i="19"/>
  <c r="AE32" i="19"/>
  <c r="S12" i="19"/>
  <c r="L42" i="19"/>
  <c r="S42" i="19"/>
  <c r="M32" i="19"/>
  <c r="AE22" i="19"/>
  <c r="M12" i="19"/>
  <c r="AK42" i="19"/>
  <c r="AB22" i="19"/>
  <c r="AN20" i="1"/>
  <c r="Q12" i="19"/>
  <c r="W42" i="19"/>
  <c r="AL22" i="19"/>
  <c r="AL42" i="19"/>
  <c r="Z12" i="19"/>
  <c r="AL52" i="19"/>
  <c r="Z22" i="19"/>
  <c r="N52" i="19"/>
  <c r="N32" i="19"/>
  <c r="T22" i="19"/>
  <c r="T52" i="19"/>
  <c r="Z52" i="19"/>
  <c r="Z32" i="19"/>
  <c r="AF32" i="19"/>
  <c r="N12" i="19"/>
  <c r="N22" i="19"/>
  <c r="N42" i="19"/>
  <c r="AF52" i="19"/>
  <c r="M42" i="19"/>
  <c r="AF22" i="19"/>
  <c r="AL32" i="19"/>
  <c r="T32" i="19"/>
  <c r="AL12" i="19"/>
  <c r="AF12" i="19"/>
  <c r="T42" i="19"/>
  <c r="T12" i="19"/>
  <c r="AH52" i="19"/>
  <c r="V22" i="19"/>
  <c r="P22" i="19"/>
  <c r="AN22" i="19"/>
  <c r="P32" i="19"/>
  <c r="V42" i="19"/>
  <c r="AN22" i="1"/>
  <c r="AG32" i="19"/>
  <c r="AM52" i="19"/>
  <c r="AA32" i="19"/>
  <c r="AM42" i="19"/>
  <c r="AG52" i="19"/>
  <c r="U32" i="19"/>
  <c r="AA22" i="19"/>
  <c r="O12" i="19"/>
  <c r="AG22" i="19"/>
  <c r="AM32" i="19"/>
  <c r="U52" i="19"/>
  <c r="U12" i="19"/>
  <c r="AG12" i="19"/>
  <c r="AA52" i="19"/>
  <c r="U42" i="19"/>
  <c r="O32" i="19"/>
  <c r="O22" i="19"/>
  <c r="AA12" i="19"/>
  <c r="AM22" i="19"/>
  <c r="O52" i="19"/>
  <c r="O42" i="19"/>
  <c r="U22" i="19"/>
  <c r="AM12" i="19"/>
  <c r="Q32" i="19"/>
  <c r="K22" i="19"/>
  <c r="AI32" i="19"/>
  <c r="AI12" i="19"/>
  <c r="W22" i="19"/>
  <c r="K52" i="19"/>
  <c r="W32" i="19"/>
  <c r="AC42" i="19"/>
  <c r="Q22" i="19"/>
  <c r="K12" i="19"/>
  <c r="AI22" i="19"/>
  <c r="W12" i="19"/>
  <c r="K32" i="19"/>
  <c r="AC32" i="19"/>
  <c r="K42" i="19"/>
  <c r="AI52" i="19"/>
  <c r="AC22" i="19"/>
  <c r="AI42" i="19"/>
  <c r="AC52" i="19"/>
  <c r="W52" i="19"/>
  <c r="Q52" i="19"/>
  <c r="AC12" i="19"/>
  <c r="AN15" i="1"/>
  <c r="AJ53" i="19"/>
  <c r="AJ43" i="19"/>
  <c r="AD13" i="19"/>
  <c r="AB12" i="19"/>
  <c r="V52" i="19"/>
  <c r="AN23" i="1"/>
  <c r="X43" i="19"/>
  <c r="R43" i="19"/>
  <c r="R13" i="19"/>
  <c r="AN42" i="19"/>
  <c r="AH12" i="19"/>
  <c r="AB32" i="19"/>
  <c r="AJ33" i="19"/>
  <c r="R23" i="19"/>
  <c r="X33" i="19"/>
  <c r="AN52" i="19"/>
  <c r="AN12" i="19"/>
  <c r="AH22" i="19"/>
  <c r="P42" i="19"/>
  <c r="R53" i="19"/>
  <c r="AD33" i="19"/>
  <c r="X53" i="19"/>
  <c r="AB52" i="19"/>
  <c r="AH32" i="19"/>
  <c r="P52" i="19"/>
  <c r="AD23" i="19"/>
  <c r="X23" i="19"/>
  <c r="P12" i="19"/>
  <c r="V32" i="19"/>
  <c r="L53" i="19"/>
  <c r="X13" i="19"/>
  <c r="AN32" i="19"/>
  <c r="V12" i="19"/>
  <c r="AN16" i="1"/>
  <c r="L52" i="19"/>
  <c r="AD52" i="19"/>
  <c r="AD32" i="19"/>
  <c r="L22" i="19"/>
  <c r="L12" i="19"/>
  <c r="AD22" i="19"/>
  <c r="AJ52" i="19"/>
  <c r="AJ32" i="19"/>
  <c r="R22" i="19"/>
  <c r="L32" i="19"/>
  <c r="R42" i="19"/>
  <c r="R52" i="19"/>
  <c r="R32" i="19"/>
  <c r="AD12" i="19"/>
  <c r="X52" i="19"/>
  <c r="X32" i="19"/>
  <c r="AJ12" i="19"/>
  <c r="X22" i="19"/>
  <c r="AJ42" i="19"/>
  <c r="AJ22" i="19"/>
  <c r="X12" i="19"/>
  <c r="R12" i="19"/>
  <c r="AD4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<sst xmlns="http://schemas.openxmlformats.org/spreadsheetml/2006/main" count="799" uniqueCount="463">
  <si>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</si>
  <si>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</si>
  <si>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</si>
  <si>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</si>
  <si>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</si>
  <si>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</si>
  <si>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</si>
  <si>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</si>
  <si>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</si>
  <si>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</si>
  <si>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</si>
  <si>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</si>
  <si>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</si>
  <si>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</si>
  <si>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</si>
  <si>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</si>
  <si>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</si>
  <si>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</si>
  <si>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</si>
  <si>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</si>
  <si>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</si>
  <si>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</si>
  <si>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</si>
  <si>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</si>
  <si>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</si>
  <si>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</si>
  <si>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</si>
  <si>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</si>
  <si>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</si>
  <si>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</si>
  <si>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</si>
  <si>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</si>
  <si>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</si>
  <si>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</si>
  <si>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</si>
  <si>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</si>
  <si>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</si>
  <si>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</si>
  <si>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</si>
  <si>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</si>
  <si>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</si>
  <si>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</si>
  <si>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</si>
  <si>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</si>
  <si>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</si>
  <si>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</si>
  <si>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</si>
  <si>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</si>
  <si>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</si>
  <si>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</si>
  <si>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</si>
  <si>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</si>
  <si>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</si>
  <si>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</si>
  <si>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</si>
  <si>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</si>
  <si>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</si>
  <si>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</si>
  <si>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</si>
  <si>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</si>
  <si>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</si>
  <si>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</si>
  <si>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</si>
  <si>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</si>
  <si>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</si>
  <si>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</si>
  <si>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</si>
  <si>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</si>
  <si>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</si>
  <si>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</si>
  <si>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</si>
  <si>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</si>
  <si>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</si>
  <si>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</si>
  <si>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</si>
  <si>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</si>
  <si>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</si>
  <si>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</si>
  <si>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</si>
  <si>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</si>
  <si>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</si>
  <si>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</si>
  <si>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</si>
  <si>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</si>
  <si>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</si>
  <si>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</si>
  <si>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</si>
  <si>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</si>
  <si>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</si>
  <si>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</si>
  <si>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</si>
  <si>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</si>
  <si>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</si>
  <si>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</si>
  <si>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</si>
  <si>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</si>
  <si>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</si>
  <si>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</si>
  <si>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</si>
  <si>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</si>
  <si>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</si>
  <si>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</si>
  <si>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</si>
  <si>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</si>
  <si>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</si>
  <si>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</si>
  <si>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</si>
  <si>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</si>
  <si>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</si>
  <si>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</si>
  <si>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</si>
  <si>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</si>
  <si>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</si>
  <si>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</si>
  <si>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</si>
  <si>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</si>
  <si>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</si>
  <si>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</si>
  <si>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</si>
  <si>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</si>
  <si>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</si>
  <si>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</si>
  <si>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</si>
  <si>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</si>
  <si>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</si>
  <si>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</si>
  <si>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</si>
  <si>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</si>
  <si>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</si>
  <si>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</si>
  <si>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</si>
  <si>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</si>
  <si>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</si>
  <si>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</si>
  <si>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</si>
  <si>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</si>
  <si>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</si>
  <si>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</si>
  <si>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</si>
  <si>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</si>
  <si>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</si>
  <si>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</si>
  <si>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</si>
  <si>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</si>
  <si>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</si>
  <si>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</si>
  <si>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</si>
  <si>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</si>
  <si>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</si>
  <si>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</si>
  <si>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</si>
  <si>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</si>
  <si>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</si>
  <si>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</si>
  <si>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</si>
  <si>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</si>
  <si>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</si>
  <si>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</si>
  <si>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</si>
  <si>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</si>
  <si>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</si>
  <si>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</si>
  <si>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</si>
  <si>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</si>
  <si>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</si>
  <si>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</si>
  <si>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</si>
  <si>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</si>
  <si>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</si>
  <si>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</si>
  <si>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</si>
  <si>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</si>
  <si>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</si>
  <si>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</si>
  <si>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</si>
  <si>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</si>
  <si>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</si>
  <si>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</si>
  <si>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</si>
  <si>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</si>
  <si>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</si>
  <si>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</si>
  <si>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</si>
  <si>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</si>
  <si>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</si>
  <si>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</si>
  <si>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</si>
  <si>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</si>
  <si>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</si>
  <si>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</si>
  <si>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</si>
  <si>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</si>
  <si>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</si>
  <si>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</si>
  <si>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</si>
  <si>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</si>
  <si>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</si>
  <si>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</si>
  <si>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</si>
  <si>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</si>
  <si>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</si>
  <si>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</si>
  <si>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</si>
  <si>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</si>
  <si>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</si>
  <si>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</si>
  <si>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</si>
  <si>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</si>
  <si>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</si>
  <si>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</si>
  <si>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</si>
  <si>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</si>
  <si>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</si>
  <si>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</si>
  <si>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</si>
  <si>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</si>
  <si>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</si>
  <si>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</si>
  <si>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</si>
  <si>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</si>
  <si>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</si>
  <si>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</si>
  <si>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</si>
  <si>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</si>
  <si>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</si>
  <si>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</si>
  <si>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</si>
  <si>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</si>
  <si>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</si>
  <si>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</si>
  <si>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</si>
  <si>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</si>
  <si>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</si>
  <si>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</si>
  <si>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</si>
  <si>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</si>
  <si>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</si>
  <si>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</si>
  <si>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</si>
  <si>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</si>
  <si>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</si>
  <si>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</si>
  <si>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</si>
  <si>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</si>
  <si>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</si>
  <si>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</si>
  <si>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</si>
  <si>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</si>
  <si>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</si>
  <si>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</si>
  <si>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</si>
  <si>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</si>
  <si>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</si>
  <si>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</si>
  <si>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</si>
  <si>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</si>
  <si>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</si>
  <si>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</si>
  <si>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</si>
  <si>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</si>
  <si>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</si>
  <si>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</si>
  <si>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</si>
  <si>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</si>
  <si>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</si>
  <si>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</si>
  <si>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</si>
  <si>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</si>
  <si>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</si>
  <si>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</si>
  <si>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</si>
  <si>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</si>
  <si>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</si>
  <si>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</si>
  <si>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</si>
  <si>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</si>
  <si>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</si>
  <si>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</si>
  <si>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</si>
  <si>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</si>
  <si>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</si>
  <si>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</si>
  <si>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</si>
  <si>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</si>
  <si>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</si>
  <si>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</si>
  <si>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</si>
  <si>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</si>
  <si>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</si>
  <si>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</si>
  <si>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</si>
  <si>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</si>
  <si>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</si>
  <si>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</si>
  <si>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</si>
  <si>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</si>
  <si>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</si>
  <si>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</si>
  <si>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</si>
  <si>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</si>
  <si>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</si>
  <si>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</si>
  <si>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</si>
  <si>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</si>
  <si>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</si>
  <si>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</si>
  <si>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</si>
  <si>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</si>
  <si>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</si>
  <si>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</si>
  <si>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</si>
  <si>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</si>
  <si>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</si>
  <si>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</si>
  <si>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</si>
  <si>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</si>
  <si>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</si>
  <si>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</si>
  <si>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</si>
  <si>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</si>
  <si>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</si>
  <si>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</si>
  <si>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</si>
  <si>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</si>
  <si>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</si>
  <si>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</si>
  <si>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</si>
  <si>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</si>
  <si>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</si>
  <si>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</si>
  <si>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</si>
  <si>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</si>
  <si>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</si>
  <si>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</si>
  <si>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</si>
  <si>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</si>
  <si>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</si>
  <si>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</si>
  <si>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</si>
  <si>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</si>
  <si>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</si>
  <si>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</si>
  <si>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</si>
  <si>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</si>
  <si>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</si>
  <si>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</si>
  <si>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</si>
  <si>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</si>
  <si>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</si>
  <si>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</si>
  <si>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</si>
  <si>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</si>
  <si>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</si>
  <si>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</si>
  <si>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</si>
  <si>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</si>
  <si>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</si>
  <si>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</si>
  <si>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</si>
  <si>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</si>
  <si>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</si>
  <si>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</si>
  <si>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</si>
  <si>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</si>
  <si>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</si>
  <si>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</si>
  <si>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</si>
  <si>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</si>
  <si>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</si>
  <si>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</si>
  <si>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</si>
  <si>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</si>
  <si>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</si>
  <si>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</si>
  <si>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</si>
  <si>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</si>
  <si>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</si>
  <si>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</si>
  <si>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</si>
  <si>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</si>
  <si>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</si>
  <si>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</si>
  <si>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</si>
  <si>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</si>
  <si>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</si>
  <si>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</si>
  <si>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</si>
  <si>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</si>
  <si>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</si>
  <si>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</si>
  <si>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</si>
  <si>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</si>
  <si>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</si>
  <si>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</si>
  <si>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</si>
  <si>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</si>
  <si>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Líder de Proceso</t>
  </si>
  <si>
    <t>Se actualizó formato a versión No 8</t>
  </si>
  <si>
    <t>GESTIÓN DOCUMENTAL</t>
  </si>
  <si>
    <t>Desarrollar las actividades administrativas y técnicas con conocimiento con la planificación de los procesos archivísticos en relación con la organización administración, valoración y preservación de los documentos de archivo producidos y/o recibidos por la entidad en cumplimiento de sus funciones, con el fin de garantizar el acceso oportuno de la información así como brindar el servicio de la atención e información al ciudadano, a través del sistema de PQRSD, respondiendo de esta manera al cumplimiento de los fines institucionales</t>
  </si>
  <si>
    <t xml:space="preserve">Desde la planeación de la función archivística de la entidad hasta el diseño, implementación, evaluación y mejora de la producción, tramite, organización, administración, preservación, hasta la difusión y acceso a la información pública y a los documentos de archivo en la Escuela Tecnologica Instituto Técnico Central. </t>
  </si>
  <si>
    <t>Por pérdida de información, deterioro o inadecuada manipulación (No acceso a la información pública,
Pérdida de la memoria institucional
Deterioro de la documentación)</t>
  </si>
  <si>
    <t>Enfermedades laborales
Demandas
Sanciones</t>
  </si>
  <si>
    <t>Afectación en la gestión institucional.
Investigaciones disciplinarias.
Pérdida o cambio de información institucional</t>
  </si>
  <si>
    <t>Denuncias penales.
Incumplimiento de la ley 1712 de 2014.
Perdida de información relevante para la entidad.
Investigaciones disciplinarias.</t>
  </si>
  <si>
    <t xml:space="preserve">A11 Falta de comunicación  interna 
 oportuna cuando se generan actos administrativos que modifican la estructura de los procesos (cambios de área de un proceso a otro). </t>
  </si>
  <si>
    <t xml:space="preserve"> Debido a procedimientos inadecuados frente a la gestión de la memoria institucional (Incumplimiento del procedimiento de préstamos por parte de los funcionarios del proceso, Manipulación de archivos de conservación total por ausencia de archivos digitalizados).</t>
  </si>
  <si>
    <t xml:space="preserve">Posibilidad de afectación económica y reputaciones por pérdida de información, deterioro o inadecuada manipulación, debido a procedimientos inadecuados frente a la gestión de la memoria institucional. 
                                   </t>
  </si>
  <si>
    <t>Falta de fumigación en el archivo de la entidad.
Falta de EPP
Falta o inadecuada limpieza en el archivo central por parte del personal de servicios generales.</t>
  </si>
  <si>
    <t>Posibilidad de afectación económica y reputacional por daño en la salud de los funcionarios del proceso por presencia de acaros y/o otros agentes biológicos que pueden generar enfermedades laborales.</t>
  </si>
  <si>
    <t>Omitir el procedimiento definido para el préstamo o consulta de los documentos.
Posibilidad de acceso a los archivos de personal no autorizado</t>
  </si>
  <si>
    <t>Posibilidad de afectación económica y reputacional por recibir o solicitar cualquier dádiva o beneficio a nombre propio o de terceros al manipular/ incluir / extraer documentos a cualquier expediente en custodia del archivo central.</t>
  </si>
  <si>
    <t>Uso indebido de la información a personal no autorizado</t>
  </si>
  <si>
    <t>Posibilidad de afectación económica y reputacional por utilizar información en beneficio propio o de un tercero</t>
  </si>
  <si>
    <t>No se tiene implementado lineamientos internos por proceso donde se establezca que comunicar, cuando comunicar, aquien comunicar, como comunicar y el impacto de la comunicación.</t>
  </si>
  <si>
    <t>Posibilidad de afectación reputacional o economica debido a la falta de comunicación oportuna de los actos administrativos que generan cambios en los procesos (cambio de áreas u oficina) o cambio en la estructura de los procesos internos.</t>
  </si>
  <si>
    <r>
      <t xml:space="preserve">El lider del proceso debe cumplir el procedimiento de préstamo de documentos. 
</t>
    </r>
    <r>
      <rPr>
        <b/>
        <sz val="11"/>
        <color theme="1"/>
        <rFont val="Arial Narrow"/>
        <family val="2"/>
      </rPr>
      <t xml:space="preserve">DESVIACIÓN DEL CONTROL:
</t>
    </r>
    <r>
      <rPr>
        <sz val="11"/>
        <color theme="1"/>
        <rFont val="Arial Narrow"/>
        <family val="2"/>
      </rPr>
      <t>Registrar en planilla provisional y luego legalizar</t>
    </r>
  </si>
  <si>
    <t xml:space="preserve">Cumplir el procedimiento https://etitc.edu.co/archives/calidad/GDO-PC-04.pdf </t>
  </si>
  <si>
    <r>
      <t xml:space="preserve">El lider del proceso debe cumplir el procedimiento de PQSRD. 
</t>
    </r>
    <r>
      <rPr>
        <b/>
        <sz val="11"/>
        <color theme="1"/>
        <rFont val="Arial Narrow"/>
        <family val="2"/>
      </rPr>
      <t>DESVIACIÓN DEL CONTROL:</t>
    </r>
    <r>
      <rPr>
        <sz val="11"/>
        <color theme="1"/>
        <rFont val="Arial Narrow"/>
        <family val="2"/>
      </rPr>
      <t xml:space="preserve">
Registrar en planilla provisional y luego legalizar</t>
    </r>
  </si>
  <si>
    <t>Registrar en planillas y/o en el SIAC https://etitc.edu.co/archives/calidad/GDO-PC-01.pdf</t>
  </si>
  <si>
    <r>
      <t xml:space="preserve">El lider del proceso debe realizar gestiones para la adquisición, instalación y ajuste de archivadores rodantes.
</t>
    </r>
    <r>
      <rPr>
        <b/>
        <sz val="11"/>
        <color theme="1"/>
        <rFont val="Arial Narrow"/>
        <family val="2"/>
      </rPr>
      <t>DESVIACIÓN DEL CONTROL</t>
    </r>
    <r>
      <rPr>
        <sz val="11"/>
        <color theme="1"/>
        <rFont val="Arial Narrow"/>
        <family val="2"/>
      </rPr>
      <t xml:space="preserve">: 
El área encargada de realizar previos ajustes de infraestructura no alcanzó a ajustar el depósito de archivo para las respectivas adquisiciones.  Se solicitará en la proxima vigencia. </t>
    </r>
  </si>
  <si>
    <t xml:space="preserve">Realizar y entregar estudios previos con los respectivos soportes. Documentación del control Acuerdo 049 de 2001 -Archivo General de la Nación. </t>
  </si>
  <si>
    <r>
      <t xml:space="preserve">Mantener la información generada del proceso en el Onedrive
</t>
    </r>
    <r>
      <rPr>
        <b/>
        <sz val="11"/>
        <color theme="1"/>
        <rFont val="Arial Narrow"/>
        <family val="2"/>
      </rPr>
      <t xml:space="preserve">DESVIACIÓN DEL CONTROL:
</t>
    </r>
    <r>
      <rPr>
        <sz val="11"/>
        <color theme="1"/>
        <rFont val="Arial Narrow"/>
        <family val="2"/>
      </rPr>
      <t xml:space="preserve">Guardar en carpetas en el PC mientras se reestablece el servicio.  </t>
    </r>
  </si>
  <si>
    <t>Almacenar la información en el OnedDrive. Documentación del control https://etitc.edu.co/archives/calidad/GIC-PC-05.pdf</t>
  </si>
  <si>
    <r>
      <t xml:space="preserve">El lider del proceso debe solicitar al área de Gestión Ambiental la fumigación y desarrollo del programa de control de plagas del archivo central. 
</t>
    </r>
    <r>
      <rPr>
        <b/>
        <sz val="11"/>
        <rFont val="Arial Narrow"/>
        <family val="2"/>
      </rPr>
      <t>DESVIACIÓN DEL CONTROL:</t>
    </r>
    <r>
      <rPr>
        <b/>
        <sz val="11"/>
        <color theme="1"/>
        <rFont val="Arial Narrow"/>
        <family val="2"/>
      </rPr>
      <t xml:space="preserve">
</t>
    </r>
  </si>
  <si>
    <t>Solicitud a gestión ambiental del cronograma. Documentación del control https://etitc.edu.co/archives/siconservacion2020.pdf</t>
  </si>
  <si>
    <r>
      <t xml:space="preserve">El lider del proceso debe solicitar al área de SST elementos de protección personal. 
</t>
    </r>
    <r>
      <rPr>
        <b/>
        <sz val="11"/>
        <color theme="1"/>
        <rFont val="Arial Narrow"/>
        <family val="2"/>
      </rPr>
      <t xml:space="preserve">DESVIACIÓN DEL CONTROL:
</t>
    </r>
    <r>
      <rPr>
        <sz val="11"/>
        <color theme="1"/>
        <rFont val="Arial Narrow"/>
        <family val="2"/>
      </rPr>
      <t>Solicitar a otra área el préstamo o solicitar por caja menor la compra</t>
    </r>
  </si>
  <si>
    <t>Solicitud de EPP. Documentación del control https://etitc.edu.co/archives/calidad/SST-PC-10.pdf</t>
  </si>
  <si>
    <r>
      <t xml:space="preserve">El lider del proceso debe verificar que se cumpla el protocolo para limpieza y desinfección en los archivos con el apoyo de SST.
</t>
    </r>
    <r>
      <rPr>
        <b/>
        <sz val="11"/>
        <color theme="1"/>
        <rFont val="Arial Narrow"/>
        <family val="2"/>
      </rPr>
      <t xml:space="preserve">DESVIACIÓN DEL CONTROL:
</t>
    </r>
    <r>
      <rPr>
        <sz val="11"/>
        <color theme="1"/>
        <rFont val="Arial Narrow"/>
        <family val="2"/>
      </rPr>
      <t>Solicitar al área de servicios generales una jornada especial de limpeza</t>
    </r>
  </si>
  <si>
    <t>Confirmación del cumplimiento del protocolo de limpieza por parte del personal de aseo. Documentación del control https://etitc.edu.co/archives/calidad/GDO-PT-01.pdf</t>
  </si>
  <si>
    <r>
      <t xml:space="preserve">El lider del proceso debe cumplir el procedimiento para el préstamo o la consulta de documentos, diligenciando los respectivos formatos 
</t>
    </r>
    <r>
      <rPr>
        <b/>
        <sz val="11"/>
        <color theme="1"/>
        <rFont val="Arial Narrow"/>
        <family val="2"/>
      </rPr>
      <t xml:space="preserve">DESVIACIÓN DEL CONTROL:
</t>
    </r>
    <r>
      <rPr>
        <sz val="11"/>
        <color theme="1"/>
        <rFont val="Arial Narrow"/>
        <family val="2"/>
      </rPr>
      <t>Registrar en planilla provisional y luego legalizar</t>
    </r>
  </si>
  <si>
    <t>Diligenciar el formato de control de préstamos.  Documentación del control GDO-FO-08 Formato Control Consultas y/o Prestamos de Expedientes</t>
  </si>
  <si>
    <r>
      <t xml:space="preserve">El lider del proceso debe restringir la entrada sólo de personal autorizado.
Si por necesidad o por solicitud debe ingresar algún externo del proceso al archivo, este debe dilgenciar la planilla de control de visita.
 </t>
    </r>
    <r>
      <rPr>
        <b/>
        <sz val="11"/>
        <color theme="1"/>
        <rFont val="Arial Narrow"/>
        <family val="2"/>
      </rPr>
      <t>DESVIACIÓN DEL CONTROL:</t>
    </r>
    <r>
      <rPr>
        <sz val="11"/>
        <color theme="1"/>
        <rFont val="Arial Narrow"/>
        <family val="2"/>
      </rPr>
      <t xml:space="preserve">
Permitir el ingreso y luego legalizar la firma de la planilla de apoyo</t>
    </r>
  </si>
  <si>
    <r>
      <t xml:space="preserve">Diligenciar la planilla de control de visita al archivo central diligenciada. Documentación del control </t>
    </r>
    <r>
      <rPr>
        <sz val="11"/>
        <rFont val="Arial Narrow"/>
        <family val="2"/>
      </rPr>
      <t xml:space="preserve">GDO-FO-14 </t>
    </r>
    <r>
      <rPr>
        <sz val="11"/>
        <color theme="4"/>
        <rFont val="Arial Narrow"/>
        <family val="2"/>
      </rPr>
      <t xml:space="preserve">
</t>
    </r>
  </si>
  <si>
    <r>
      <t xml:space="preserve">El lider del proceso debe sensibilización al equipo de trabajo de responsabilidades y cumplimiento de política de seguridad de la información  
</t>
    </r>
    <r>
      <rPr>
        <b/>
        <sz val="11"/>
        <color theme="1"/>
        <rFont val="Arial Narrow"/>
        <family val="2"/>
      </rPr>
      <t>DESVIACIÓN DEL CONTROL:</t>
    </r>
    <r>
      <rPr>
        <sz val="11"/>
        <color theme="1"/>
        <rFont val="Arial Narrow"/>
        <family val="2"/>
      </rPr>
      <t xml:space="preserve">
Reprogramar la acción de forma inmediata. </t>
    </r>
  </si>
  <si>
    <t xml:space="preserve">Correo u oficio a los colaboradores del área de Atención al Ciudadano y Gestión Documental donde se notifique la responsabilidad de la información que tiene a su cargo.
Documentado en la carpeta de correspondencia de la vigencia. </t>
  </si>
  <si>
    <r>
      <t xml:space="preserve">El lider del proceso debe realizar revisión permanente acerca de la información de los actos administrativos, que afecten cambios en los grupos internos de trabajo.
</t>
    </r>
    <r>
      <rPr>
        <b/>
        <sz val="11"/>
        <color theme="1"/>
        <rFont val="Arial Narrow"/>
        <family val="2"/>
      </rPr>
      <t>DESVIACIÓN DEL CONTROL:</t>
    </r>
    <r>
      <rPr>
        <sz val="11"/>
        <color theme="1"/>
        <rFont val="Arial Narrow"/>
        <family val="2"/>
      </rPr>
      <t xml:space="preserve">
Consultar la página los actos administrtivos publicados que afecten cambios en los grupos internos de trabajo. </t>
    </r>
  </si>
  <si>
    <t>Informe de consulta en el portal web de los actos administrativos publicados que afecten cambios en los grupos internos de trabajo.</t>
  </si>
  <si>
    <t>GDO-PC-01.</t>
  </si>
  <si>
    <t>GDO-PC-04</t>
  </si>
  <si>
    <t>GIC-PC-05</t>
  </si>
  <si>
    <t xml:space="preserve">Por identificar </t>
  </si>
  <si>
    <t>SST-PC-10</t>
  </si>
  <si>
    <t>GDO-PT-01.</t>
  </si>
  <si>
    <t xml:space="preserve">GDO-FO-14 </t>
  </si>
  <si>
    <t>Realizar los controles de prèstamo.</t>
  </si>
  <si>
    <t>Profesional Gestión Documental y Atención al Ciudadano</t>
  </si>
  <si>
    <t>Planillas diligenciadas y firmadas de la entrega de correspondencia con relación a las radicadas en SIAC</t>
  </si>
  <si>
    <t>Entrega de los estudios previos y solicitud de inclusión el  Plan de acción de 2024</t>
  </si>
  <si>
    <t>Solicitar reporte al area de tecnologia para tener un control diario semanal de la actualizacion del OneDrive.</t>
  </si>
  <si>
    <t>Todos los integrantes del proceso</t>
  </si>
  <si>
    <t>Verificar el cronograma para la debida fumugación del archivo central, realizando seguimiento de este mismo para su debido cumplimiento.</t>
  </si>
  <si>
    <t>Cumplir con la entrega de los EPP en el tiempo establecido.</t>
  </si>
  <si>
    <t>Cada 8 ó 15 días se debe realizar limpieza al archivo, de acuerdo al protocolo definido y se registra en planilla de control.</t>
  </si>
  <si>
    <t>Se debe diligenciar el formato  de control de consultas y prestamos, con el fin de tener un reporte de las personas que lo solicitan.</t>
  </si>
  <si>
    <t xml:space="preserve">Profesional de Gestión Documental y Atención al Ciudadano
</t>
  </si>
  <si>
    <t>Realizar el control de ingreso de las visitas al archivo central, mediante las planillas estipuladas.</t>
  </si>
  <si>
    <t>Cumplir con el acuerdo de cofiabilidad establecido por la entidad.</t>
  </si>
  <si>
    <t xml:space="preserve">Profesional de Gestión Documental y Atención al Ciudadano </t>
  </si>
  <si>
    <t xml:space="preserve">Cumplir con la notificación por correo elctrónico o consulta de los actos adminstrativos que afecten los grupos internos de trabajo. </t>
  </si>
  <si>
    <t>Rectoría, Secretaría General y Profesional de Gestión Documental.</t>
  </si>
  <si>
    <r>
      <rPr>
        <b/>
        <sz val="14"/>
        <rFont val="Arial"/>
        <family val="2"/>
      </rPr>
      <t>LIDER DEL PROCESO:</t>
    </r>
    <r>
      <rPr>
        <sz val="14"/>
        <rFont val="Arial"/>
        <family val="2"/>
      </rPr>
      <t xml:space="preserve">  Alicia Janeth Peña Sánchez</t>
    </r>
  </si>
  <si>
    <t>Alicia Janeth Peña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</si>
</sst>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2"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1"/>
      <color theme="4"/>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41">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7" fillId="16" borderId="21" xfId="0" applyFont="1" applyFill="1" applyBorder="1" applyAlignment="1">
      <alignment horizontal="center" vertical="center" wrapText="1"/>
    </xf>
    <xf numFmtId="0" fontId="66" fillId="0" borderId="21" xfId="0" applyFont="1" applyBorder="1" applyAlignment="1">
      <alignment vertical="center" wrapText="1"/>
    </xf>
    <xf numFmtId="0" fontId="66" fillId="0" borderId="21" xfId="0" applyFont="1" applyBorder="1" applyAlignment="1" applyProtection="1">
      <alignment vertical="center" wrapText="1"/>
      <protection locked="0"/>
    </xf>
    <xf numFmtId="9" fontId="99" fillId="0" borderId="21" xfId="1" applyFont="1" applyBorder="1" applyAlignment="1">
      <alignment horizontal="center" vertical="center" wrapText="1"/>
    </xf>
    <xf numFmtId="164" fontId="66" fillId="0" borderId="21" xfId="1" applyNumberFormat="1" applyFont="1" applyBorder="1" applyAlignment="1">
      <alignment horizontal="center" vertical="top" wrapText="1"/>
    </xf>
    <xf numFmtId="0" fontId="99" fillId="0" borderId="21" xfId="0" applyFont="1" applyBorder="1" applyAlignment="1" applyProtection="1">
      <alignment horizontal="center" vertical="center" wrapText="1"/>
      <protection locked="0"/>
    </xf>
    <xf numFmtId="0" fontId="66" fillId="0" borderId="110" xfId="0" applyFont="1" applyBorder="1" applyAlignment="1" applyProtection="1">
      <alignment horizontal="center" vertical="center" wrapText="1"/>
      <protection locked="0"/>
    </xf>
    <xf numFmtId="9" fontId="66" fillId="0" borderId="11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14" fontId="66" fillId="0" borderId="110" xfId="0" applyNumberFormat="1" applyFont="1" applyBorder="1" applyAlignment="1" applyProtection="1">
      <alignment horizontal="center" vertical="center" wrapText="1"/>
      <protection locked="0"/>
    </xf>
    <xf numFmtId="14" fontId="66" fillId="0" borderId="110" xfId="0" applyNumberFormat="1" applyFont="1" applyBorder="1" applyAlignment="1" applyProtection="1">
      <alignment vertical="center" wrapText="1"/>
      <protection locked="0"/>
    </xf>
    <xf numFmtId="0" fontId="66" fillId="0" borderId="110" xfId="0" applyFont="1" applyBorder="1" applyAlignment="1" applyProtection="1">
      <alignment horizontal="center" vertical="center" wrapText="1"/>
      <protection hidden="1"/>
    </xf>
    <xf numFmtId="0" fontId="66" fillId="0" borderId="110" xfId="0" applyFont="1" applyBorder="1" applyAlignment="1" applyProtection="1">
      <alignment horizontal="center" vertical="center" textRotation="90" wrapText="1"/>
      <protection locked="0"/>
    </xf>
    <xf numFmtId="164" fontId="66" fillId="0" borderId="110" xfId="1" applyNumberFormat="1" applyFont="1" applyBorder="1" applyAlignment="1">
      <alignment horizontal="center" vertical="top" wrapText="1"/>
    </xf>
    <xf numFmtId="0" fontId="77" fillId="0" borderId="110"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vertical="center" wrapText="1"/>
      <protection locked="0"/>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6" fillId="0" borderId="68" xfId="0" applyFont="1" applyBorder="1" applyAlignment="1">
      <alignment horizontal="left" vertical="center" wrapText="1"/>
    </xf>
    <xf numFmtId="0" fontId="96" fillId="0" borderId="67" xfId="0" applyFont="1" applyBorder="1" applyAlignment="1">
      <alignment horizontal="left" vertical="center" wrapText="1"/>
    </xf>
    <xf numFmtId="0" fontId="96" fillId="0" borderId="69" xfId="0" applyFont="1" applyBorder="1" applyAlignment="1">
      <alignment horizontal="left" vertical="center" wrapText="1"/>
    </xf>
    <xf numFmtId="0" fontId="95" fillId="0" borderId="21" xfId="0" applyFont="1" applyBorder="1" applyAlignment="1">
      <alignment horizontal="left"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21"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8" fillId="19" borderId="68" xfId="0" applyFont="1" applyFill="1" applyBorder="1" applyAlignment="1">
      <alignment horizontal="center" vertical="center" wrapText="1"/>
    </xf>
    <xf numFmtId="0" fontId="98"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18" fillId="5" borderId="0" xfId="0" applyFont="1" applyFill="1" applyAlignment="1" applyProtection="1">
      <alignment horizontal="center" wrapText="1" readingOrder="1"/>
      <protection hidden="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66" fillId="0" borderId="110" xfId="0" applyFont="1" applyBorder="1" applyAlignment="1">
      <alignment horizontal="center" vertical="center" wrapText="1"/>
    </xf>
    <xf numFmtId="0" fontId="66" fillId="0" borderId="22" xfId="0" applyFont="1" applyBorder="1" applyAlignment="1">
      <alignment horizontal="center" vertical="center" wrapText="1"/>
    </xf>
    <xf numFmtId="0" fontId="66" fillId="0" borderId="111" xfId="0" applyFont="1" applyBorder="1" applyAlignment="1">
      <alignment horizontal="center" vertical="center" wrapText="1"/>
    </xf>
    <xf numFmtId="0" fontId="66" fillId="0" borderId="21" xfId="0" applyFont="1" applyBorder="1" applyAlignment="1">
      <alignment horizontal="center" vertical="center" wrapText="1"/>
    </xf>
    <xf numFmtId="0" fontId="99"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66" fillId="0" borderId="110" xfId="0" applyFont="1" applyBorder="1" applyAlignment="1" applyProtection="1">
      <alignment horizontal="center" vertical="center" wrapText="1"/>
      <protection locked="0"/>
    </xf>
    <xf numFmtId="0" fontId="66" fillId="0" borderId="111" xfId="0" applyFont="1" applyBorder="1" applyAlignment="1" applyProtection="1">
      <alignment horizontal="center" vertical="center" wrapText="1"/>
      <protection locked="0"/>
    </xf>
    <xf numFmtId="0" fontId="66" fillId="0" borderId="22" xfId="0"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locked="0"/>
    </xf>
    <xf numFmtId="0" fontId="99" fillId="0" borderId="21" xfId="0" applyFont="1" applyBorder="1" applyAlignment="1" applyProtection="1">
      <alignment horizontal="center" vertical="center"/>
      <protection locked="0"/>
    </xf>
    <xf numFmtId="0" fontId="99" fillId="0" borderId="21" xfId="0" applyFont="1" applyBorder="1" applyAlignment="1" applyProtection="1">
      <alignment horizontal="center" vertical="center"/>
      <protection locked="0"/>
    </xf>
    <xf numFmtId="0" fontId="77" fillId="0" borderId="110" xfId="0" applyFont="1" applyBorder="1" applyAlignment="1" applyProtection="1">
      <alignment horizontal="center" vertical="center" wrapText="1"/>
      <protection hidden="1"/>
    </xf>
    <xf numFmtId="0" fontId="77" fillId="0" borderId="111" xfId="0" applyFont="1" applyBorder="1" applyAlignment="1" applyProtection="1">
      <alignment horizontal="center" vertical="center" wrapText="1"/>
      <protection hidden="1"/>
    </xf>
    <xf numFmtId="0" fontId="77" fillId="0" borderId="22" xfId="0" applyFont="1" applyBorder="1" applyAlignment="1" applyProtection="1">
      <alignment horizontal="center" vertical="center" wrapText="1"/>
      <protection hidden="1"/>
    </xf>
    <xf numFmtId="9" fontId="66" fillId="0" borderId="110" xfId="0" applyNumberFormat="1" applyFont="1" applyBorder="1" applyAlignment="1" applyProtection="1">
      <alignment horizontal="center" vertical="center" wrapText="1"/>
      <protection hidden="1"/>
    </xf>
    <xf numFmtId="9" fontId="66" fillId="0" borderId="111" xfId="0" applyNumberFormat="1" applyFont="1" applyBorder="1" applyAlignment="1" applyProtection="1">
      <alignment horizontal="center" vertical="center" wrapText="1"/>
      <protection hidden="1"/>
    </xf>
    <xf numFmtId="9" fontId="66" fillId="0" borderId="22" xfId="0" applyNumberFormat="1" applyFont="1" applyBorder="1" applyAlignment="1" applyProtection="1">
      <alignment horizontal="center" vertical="center" wrapText="1"/>
      <protection hidden="1"/>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110" xfId="0" applyNumberFormat="1" applyFont="1" applyBorder="1" applyAlignment="1" applyProtection="1">
      <alignment horizontal="center" vertical="center" wrapText="1"/>
      <protection locked="0"/>
    </xf>
    <xf numFmtId="9" fontId="66" fillId="0" borderId="111" xfId="0" applyNumberFormat="1" applyFont="1" applyBorder="1" applyAlignment="1" applyProtection="1">
      <alignment horizontal="center" vertical="center" wrapText="1"/>
      <protection locked="0"/>
    </xf>
    <xf numFmtId="9" fontId="66" fillId="0" borderId="22" xfId="0" applyNumberFormat="1" applyFont="1" applyBorder="1" applyAlignment="1" applyProtection="1">
      <alignment horizontal="center" vertical="center" wrapText="1"/>
      <protection locked="0"/>
    </xf>
    <xf numFmtId="0" fontId="3" fillId="0" borderId="110" xfId="0" applyFont="1" applyBorder="1" applyAlignment="1" applyProtection="1">
      <alignment horizontal="center" vertical="center" wrapText="1"/>
      <protection hidden="1"/>
    </xf>
    <xf numFmtId="0" fontId="3" fillId="0" borderId="111"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99" fillId="0" borderId="21" xfId="0" applyFont="1" applyBorder="1" applyAlignment="1">
      <alignment horizontal="center" vertical="center"/>
    </xf>
    <xf numFmtId="0" fontId="99" fillId="0" borderId="21" xfId="0" applyFont="1" applyBorder="1" applyAlignment="1" applyProtection="1">
      <alignment horizontal="center" vertical="top" wrapText="1"/>
      <protection locked="0"/>
    </xf>
    <xf numFmtId="9" fontId="66" fillId="0" borderId="21" xfId="0" applyNumberFormat="1"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hidden="1"/>
    </xf>
    <xf numFmtId="0" fontId="99" fillId="0" borderId="21" xfId="0" applyFont="1" applyBorder="1" applyAlignment="1" applyProtection="1">
      <alignment horizont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3">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5</xdr:col>
      <xdr:colOff>898524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12699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ay\Downloads\GSI-CA-FO-09%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nay\Downloads\mapaderiesgodocumental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2" dataDxfId="31">
  <autoFilter ref="B209:C219" xr:uid="{00000000-0009-0000-0100-000001000000}"/>
  <tableColumns count="2">
    <tableColumn id="1" xr3:uid="{00000000-0010-0000-0000-000001000000}" name="Criterios" dataDxfId="30"/>
    <tableColumn id="2" xr3:uid="{00000000-0010-0000-0000-000002000000}" name="Subcriterios" dataDxfId="2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40" t="s">
        <v>267</v>
      </c>
      <c r="C2" s="241"/>
      <c r="D2" s="231" t="s">
        <v>205</v>
      </c>
      <c r="E2" s="232"/>
      <c r="F2" s="232"/>
      <c r="G2" s="232"/>
      <c r="H2" s="232"/>
      <c r="I2" s="232"/>
      <c r="J2" s="232"/>
      <c r="K2" s="232"/>
      <c r="L2" s="233"/>
      <c r="M2" s="246" t="s">
        <v>390</v>
      </c>
      <c r="N2" s="247"/>
    </row>
    <row r="3" spans="2:14" ht="29.25" customHeight="1" x14ac:dyDescent="0.25">
      <c r="B3" s="242"/>
      <c r="C3" s="243"/>
      <c r="D3" s="234"/>
      <c r="E3" s="235"/>
      <c r="F3" s="235"/>
      <c r="G3" s="235"/>
      <c r="H3" s="235"/>
      <c r="I3" s="235"/>
      <c r="J3" s="235"/>
      <c r="K3" s="235"/>
      <c r="L3" s="236"/>
      <c r="M3" s="248" t="s">
        <v>264</v>
      </c>
      <c r="N3" s="249"/>
    </row>
    <row r="4" spans="2:14" ht="29.25" customHeight="1" x14ac:dyDescent="0.25">
      <c r="B4" s="242"/>
      <c r="C4" s="243"/>
      <c r="D4" s="234"/>
      <c r="E4" s="235"/>
      <c r="F4" s="235"/>
      <c r="G4" s="235"/>
      <c r="H4" s="235"/>
      <c r="I4" s="235"/>
      <c r="J4" s="235"/>
      <c r="K4" s="235"/>
      <c r="L4" s="236"/>
      <c r="M4" s="248" t="s">
        <v>389</v>
      </c>
      <c r="N4" s="249"/>
    </row>
    <row r="5" spans="2:14" ht="29.25" customHeight="1" thickBot="1" x14ac:dyDescent="0.3">
      <c r="B5" s="244"/>
      <c r="C5" s="245"/>
      <c r="D5" s="237"/>
      <c r="E5" s="238"/>
      <c r="F5" s="238"/>
      <c r="G5" s="238"/>
      <c r="H5" s="238"/>
      <c r="I5" s="238"/>
      <c r="J5" s="238"/>
      <c r="K5" s="238"/>
      <c r="L5" s="239"/>
      <c r="M5" s="250" t="s">
        <v>245</v>
      </c>
      <c r="N5" s="251"/>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30" t="s">
        <v>309</v>
      </c>
      <c r="E31" s="230"/>
      <c r="N31" s="138"/>
    </row>
    <row r="32" spans="2:14" x14ac:dyDescent="0.25">
      <c r="B32" s="137"/>
      <c r="D32" s="230"/>
      <c r="E32" s="230"/>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29" t="s">
        <v>162</v>
      </c>
      <c r="C2" s="530"/>
      <c r="D2" s="530"/>
      <c r="E2" s="530"/>
      <c r="F2" s="530"/>
      <c r="G2" s="530"/>
      <c r="H2" s="531"/>
      <c r="J2" s="151" t="s">
        <v>274</v>
      </c>
    </row>
    <row r="3" spans="2:10" ht="20.25" x14ac:dyDescent="0.25">
      <c r="B3" s="70"/>
      <c r="C3" s="71"/>
      <c r="D3" s="71"/>
      <c r="E3" s="71"/>
      <c r="F3" s="71"/>
      <c r="G3" s="71"/>
      <c r="H3" s="72"/>
      <c r="J3" s="151"/>
    </row>
    <row r="4" spans="2:10" ht="63" customHeight="1" x14ac:dyDescent="0.25">
      <c r="B4" s="532" t="s">
        <v>305</v>
      </c>
      <c r="C4" s="533"/>
      <c r="D4" s="533"/>
      <c r="E4" s="533"/>
      <c r="F4" s="533"/>
      <c r="G4" s="533"/>
      <c r="H4" s="534"/>
    </row>
    <row r="5" spans="2:10" ht="63" customHeight="1" x14ac:dyDescent="0.25">
      <c r="B5" s="535"/>
      <c r="C5" s="536"/>
      <c r="D5" s="536"/>
      <c r="E5" s="536"/>
      <c r="F5" s="536"/>
      <c r="G5" s="536"/>
      <c r="H5" s="537"/>
    </row>
    <row r="6" spans="2:10" ht="16.5" x14ac:dyDescent="0.25">
      <c r="B6" s="538" t="s">
        <v>160</v>
      </c>
      <c r="C6" s="539"/>
      <c r="D6" s="539"/>
      <c r="E6" s="539"/>
      <c r="F6" s="539"/>
      <c r="G6" s="539"/>
      <c r="H6" s="540"/>
    </row>
    <row r="7" spans="2:10" ht="95.25" customHeight="1" x14ac:dyDescent="0.25">
      <c r="B7" s="548" t="s">
        <v>165</v>
      </c>
      <c r="C7" s="549"/>
      <c r="D7" s="549"/>
      <c r="E7" s="549"/>
      <c r="F7" s="549"/>
      <c r="G7" s="549"/>
      <c r="H7" s="550"/>
    </row>
    <row r="8" spans="2:10" ht="16.5" x14ac:dyDescent="0.25">
      <c r="B8" s="106"/>
      <c r="C8" s="107"/>
      <c r="D8" s="107"/>
      <c r="E8" s="107"/>
      <c r="F8" s="107"/>
      <c r="G8" s="107"/>
      <c r="H8" s="108"/>
    </row>
    <row r="9" spans="2:10" ht="16.5" customHeight="1" x14ac:dyDescent="0.25">
      <c r="B9" s="541" t="s">
        <v>293</v>
      </c>
      <c r="C9" s="542"/>
      <c r="D9" s="542"/>
      <c r="E9" s="542"/>
      <c r="F9" s="542"/>
      <c r="G9" s="542"/>
      <c r="H9" s="543"/>
    </row>
    <row r="10" spans="2:10" ht="44.25" customHeight="1" x14ac:dyDescent="0.25">
      <c r="B10" s="541"/>
      <c r="C10" s="542"/>
      <c r="D10" s="542"/>
      <c r="E10" s="542"/>
      <c r="F10" s="542"/>
      <c r="G10" s="542"/>
      <c r="H10" s="543"/>
    </row>
    <row r="11" spans="2:10" ht="15.75" thickBot="1" x14ac:dyDescent="0.3">
      <c r="B11" s="95"/>
      <c r="C11" s="98"/>
      <c r="D11" s="103"/>
      <c r="E11" s="104"/>
      <c r="F11" s="104"/>
      <c r="G11" s="105"/>
      <c r="H11" s="99"/>
    </row>
    <row r="12" spans="2:10" ht="15.75" thickTop="1" x14ac:dyDescent="0.25">
      <c r="B12" s="95"/>
      <c r="C12" s="544" t="s">
        <v>161</v>
      </c>
      <c r="D12" s="545"/>
      <c r="E12" s="546" t="s">
        <v>198</v>
      </c>
      <c r="F12" s="547"/>
      <c r="G12" s="98"/>
      <c r="H12" s="99"/>
    </row>
    <row r="13" spans="2:10" ht="35.25" customHeight="1" x14ac:dyDescent="0.25">
      <c r="B13" s="95"/>
      <c r="C13" s="516" t="s">
        <v>192</v>
      </c>
      <c r="D13" s="517"/>
      <c r="E13" s="518" t="s">
        <v>197</v>
      </c>
      <c r="F13" s="519"/>
      <c r="G13" s="98"/>
      <c r="H13" s="99"/>
    </row>
    <row r="14" spans="2:10" ht="17.25" customHeight="1" x14ac:dyDescent="0.25">
      <c r="B14" s="95"/>
      <c r="C14" s="516" t="s">
        <v>193</v>
      </c>
      <c r="D14" s="517"/>
      <c r="E14" s="518" t="s">
        <v>195</v>
      </c>
      <c r="F14" s="519"/>
      <c r="G14" s="98"/>
      <c r="H14" s="99"/>
    </row>
    <row r="15" spans="2:10" ht="19.5" customHeight="1" x14ac:dyDescent="0.25">
      <c r="B15" s="95"/>
      <c r="C15" s="516" t="s">
        <v>194</v>
      </c>
      <c r="D15" s="517"/>
      <c r="E15" s="518" t="s">
        <v>196</v>
      </c>
      <c r="F15" s="519"/>
      <c r="G15" s="98"/>
      <c r="H15" s="99"/>
    </row>
    <row r="16" spans="2:10" ht="69.75" customHeight="1" x14ac:dyDescent="0.25">
      <c r="B16" s="95"/>
      <c r="C16" s="516" t="s">
        <v>163</v>
      </c>
      <c r="D16" s="517"/>
      <c r="E16" s="518" t="s">
        <v>164</v>
      </c>
      <c r="F16" s="519"/>
      <c r="G16" s="98"/>
      <c r="H16" s="99"/>
    </row>
    <row r="17" spans="2:8" ht="34.5" customHeight="1" x14ac:dyDescent="0.25">
      <c r="B17" s="95"/>
      <c r="C17" s="520" t="s">
        <v>2</v>
      </c>
      <c r="D17" s="521"/>
      <c r="E17" s="512" t="s">
        <v>199</v>
      </c>
      <c r="F17" s="513"/>
      <c r="G17" s="98"/>
      <c r="H17" s="99"/>
    </row>
    <row r="18" spans="2:8" ht="27.75" customHeight="1" x14ac:dyDescent="0.25">
      <c r="B18" s="95"/>
      <c r="C18" s="520" t="s">
        <v>3</v>
      </c>
      <c r="D18" s="521"/>
      <c r="E18" s="512" t="s">
        <v>200</v>
      </c>
      <c r="F18" s="513"/>
      <c r="G18" s="98"/>
      <c r="H18" s="99"/>
    </row>
    <row r="19" spans="2:8" ht="28.5" customHeight="1" x14ac:dyDescent="0.25">
      <c r="B19" s="95"/>
      <c r="C19" s="520" t="s">
        <v>41</v>
      </c>
      <c r="D19" s="521"/>
      <c r="E19" s="512" t="s">
        <v>201</v>
      </c>
      <c r="F19" s="513"/>
      <c r="G19" s="98"/>
      <c r="H19" s="99"/>
    </row>
    <row r="20" spans="2:8" ht="72.75" customHeight="1" x14ac:dyDescent="0.25">
      <c r="B20" s="95"/>
      <c r="C20" s="520" t="s">
        <v>1</v>
      </c>
      <c r="D20" s="521"/>
      <c r="E20" s="512" t="s">
        <v>202</v>
      </c>
      <c r="F20" s="513"/>
      <c r="G20" s="98"/>
      <c r="H20" s="99"/>
    </row>
    <row r="21" spans="2:8" ht="64.5" customHeight="1" x14ac:dyDescent="0.25">
      <c r="B21" s="95"/>
      <c r="C21" s="520" t="s">
        <v>49</v>
      </c>
      <c r="D21" s="521"/>
      <c r="E21" s="512" t="s">
        <v>167</v>
      </c>
      <c r="F21" s="513"/>
      <c r="G21" s="98"/>
      <c r="H21" s="99"/>
    </row>
    <row r="22" spans="2:8" ht="71.25" customHeight="1" x14ac:dyDescent="0.25">
      <c r="B22" s="95"/>
      <c r="C22" s="520" t="s">
        <v>166</v>
      </c>
      <c r="D22" s="521"/>
      <c r="E22" s="512" t="s">
        <v>168</v>
      </c>
      <c r="F22" s="513"/>
      <c r="G22" s="98"/>
      <c r="H22" s="99"/>
    </row>
    <row r="23" spans="2:8" ht="55.5" customHeight="1" x14ac:dyDescent="0.25">
      <c r="B23" s="95"/>
      <c r="C23" s="514" t="s">
        <v>169</v>
      </c>
      <c r="D23" s="515"/>
      <c r="E23" s="512" t="s">
        <v>170</v>
      </c>
      <c r="F23" s="513"/>
      <c r="G23" s="98"/>
      <c r="H23" s="99"/>
    </row>
    <row r="24" spans="2:8" ht="42" customHeight="1" x14ac:dyDescent="0.25">
      <c r="B24" s="95"/>
      <c r="C24" s="514" t="s">
        <v>47</v>
      </c>
      <c r="D24" s="515"/>
      <c r="E24" s="512" t="s">
        <v>171</v>
      </c>
      <c r="F24" s="513"/>
      <c r="G24" s="98"/>
      <c r="H24" s="99"/>
    </row>
    <row r="25" spans="2:8" ht="59.25" customHeight="1" x14ac:dyDescent="0.25">
      <c r="B25" s="95"/>
      <c r="C25" s="514" t="s">
        <v>159</v>
      </c>
      <c r="D25" s="515"/>
      <c r="E25" s="512" t="s">
        <v>172</v>
      </c>
      <c r="F25" s="513"/>
      <c r="G25" s="98"/>
      <c r="H25" s="99"/>
    </row>
    <row r="26" spans="2:8" ht="23.25" customHeight="1" x14ac:dyDescent="0.25">
      <c r="B26" s="95"/>
      <c r="C26" s="514" t="s">
        <v>12</v>
      </c>
      <c r="D26" s="515"/>
      <c r="E26" s="512" t="s">
        <v>173</v>
      </c>
      <c r="F26" s="513"/>
      <c r="G26" s="98"/>
      <c r="H26" s="99"/>
    </row>
    <row r="27" spans="2:8" ht="30.75" customHeight="1" x14ac:dyDescent="0.25">
      <c r="B27" s="95"/>
      <c r="C27" s="514" t="s">
        <v>177</v>
      </c>
      <c r="D27" s="515"/>
      <c r="E27" s="512" t="s">
        <v>174</v>
      </c>
      <c r="F27" s="513"/>
      <c r="G27" s="98"/>
      <c r="H27" s="99"/>
    </row>
    <row r="28" spans="2:8" ht="35.25" customHeight="1" x14ac:dyDescent="0.25">
      <c r="B28" s="95"/>
      <c r="C28" s="514" t="s">
        <v>178</v>
      </c>
      <c r="D28" s="515"/>
      <c r="E28" s="512" t="s">
        <v>175</v>
      </c>
      <c r="F28" s="513"/>
      <c r="G28" s="98"/>
      <c r="H28" s="99"/>
    </row>
    <row r="29" spans="2:8" ht="33" customHeight="1" x14ac:dyDescent="0.25">
      <c r="B29" s="95"/>
      <c r="C29" s="514" t="s">
        <v>178</v>
      </c>
      <c r="D29" s="515"/>
      <c r="E29" s="512" t="s">
        <v>175</v>
      </c>
      <c r="F29" s="513"/>
      <c r="G29" s="98"/>
      <c r="H29" s="99"/>
    </row>
    <row r="30" spans="2:8" ht="30" customHeight="1" x14ac:dyDescent="0.25">
      <c r="B30" s="95"/>
      <c r="C30" s="514" t="s">
        <v>179</v>
      </c>
      <c r="D30" s="515"/>
      <c r="E30" s="512" t="s">
        <v>176</v>
      </c>
      <c r="F30" s="513"/>
      <c r="G30" s="98"/>
      <c r="H30" s="99"/>
    </row>
    <row r="31" spans="2:8" ht="35.25" customHeight="1" x14ac:dyDescent="0.25">
      <c r="B31" s="95"/>
      <c r="C31" s="514" t="s">
        <v>180</v>
      </c>
      <c r="D31" s="515"/>
      <c r="E31" s="512" t="s">
        <v>181</v>
      </c>
      <c r="F31" s="513"/>
      <c r="G31" s="98"/>
      <c r="H31" s="99"/>
    </row>
    <row r="32" spans="2:8" ht="31.5" customHeight="1" x14ac:dyDescent="0.25">
      <c r="B32" s="95"/>
      <c r="C32" s="514" t="s">
        <v>182</v>
      </c>
      <c r="D32" s="515"/>
      <c r="E32" s="512" t="s">
        <v>183</v>
      </c>
      <c r="F32" s="513"/>
      <c r="G32" s="98"/>
      <c r="H32" s="99"/>
    </row>
    <row r="33" spans="2:8" ht="35.25" customHeight="1" x14ac:dyDescent="0.25">
      <c r="B33" s="95"/>
      <c r="C33" s="514" t="s">
        <v>184</v>
      </c>
      <c r="D33" s="515"/>
      <c r="E33" s="512" t="s">
        <v>185</v>
      </c>
      <c r="F33" s="513"/>
      <c r="G33" s="98"/>
      <c r="H33" s="99"/>
    </row>
    <row r="34" spans="2:8" ht="59.25" customHeight="1" x14ac:dyDescent="0.25">
      <c r="B34" s="95"/>
      <c r="C34" s="514" t="s">
        <v>186</v>
      </c>
      <c r="D34" s="515"/>
      <c r="E34" s="512" t="s">
        <v>187</v>
      </c>
      <c r="F34" s="513"/>
      <c r="G34" s="98"/>
      <c r="H34" s="99"/>
    </row>
    <row r="35" spans="2:8" ht="29.25" customHeight="1" x14ac:dyDescent="0.25">
      <c r="B35" s="95"/>
      <c r="C35" s="514" t="s">
        <v>29</v>
      </c>
      <c r="D35" s="515"/>
      <c r="E35" s="512" t="s">
        <v>188</v>
      </c>
      <c r="F35" s="513"/>
      <c r="G35" s="98"/>
      <c r="H35" s="99"/>
    </row>
    <row r="36" spans="2:8" ht="82.5" customHeight="1" x14ac:dyDescent="0.25">
      <c r="B36" s="95"/>
      <c r="C36" s="514" t="s">
        <v>190</v>
      </c>
      <c r="D36" s="515"/>
      <c r="E36" s="512" t="s">
        <v>189</v>
      </c>
      <c r="F36" s="513"/>
      <c r="G36" s="98"/>
      <c r="H36" s="99"/>
    </row>
    <row r="37" spans="2:8" ht="46.5" customHeight="1" x14ac:dyDescent="0.25">
      <c r="B37" s="95"/>
      <c r="C37" s="514" t="s">
        <v>38</v>
      </c>
      <c r="D37" s="515"/>
      <c r="E37" s="512" t="s">
        <v>191</v>
      </c>
      <c r="F37" s="513"/>
      <c r="G37" s="98"/>
      <c r="H37" s="99"/>
    </row>
    <row r="38" spans="2:8" ht="6.75" customHeight="1" thickBot="1" x14ac:dyDescent="0.3">
      <c r="B38" s="95"/>
      <c r="C38" s="525"/>
      <c r="D38" s="526"/>
      <c r="E38" s="527"/>
      <c r="F38" s="528"/>
      <c r="G38" s="98"/>
      <c r="H38" s="99"/>
    </row>
    <row r="39" spans="2:8" ht="15.75" thickTop="1" x14ac:dyDescent="0.25">
      <c r="B39" s="95"/>
      <c r="C39" s="96"/>
      <c r="D39" s="96"/>
      <c r="E39" s="97"/>
      <c r="F39" s="97"/>
      <c r="G39" s="98"/>
      <c r="H39" s="99"/>
    </row>
    <row r="40" spans="2:8" ht="21" customHeight="1" x14ac:dyDescent="0.25">
      <c r="B40" s="522" t="s">
        <v>294</v>
      </c>
      <c r="C40" s="523"/>
      <c r="D40" s="523"/>
      <c r="E40" s="523"/>
      <c r="F40" s="523"/>
      <c r="G40" s="523"/>
      <c r="H40" s="524"/>
    </row>
    <row r="41" spans="2:8" ht="20.25" customHeight="1" x14ac:dyDescent="0.25">
      <c r="B41" s="522" t="s">
        <v>295</v>
      </c>
      <c r="C41" s="523"/>
      <c r="D41" s="523"/>
      <c r="E41" s="523"/>
      <c r="F41" s="523"/>
      <c r="G41" s="523"/>
      <c r="H41" s="524"/>
    </row>
    <row r="42" spans="2:8" ht="20.25" customHeight="1" x14ac:dyDescent="0.25">
      <c r="B42" s="522" t="s">
        <v>296</v>
      </c>
      <c r="C42" s="523"/>
      <c r="D42" s="523"/>
      <c r="E42" s="523"/>
      <c r="F42" s="523"/>
      <c r="G42" s="523"/>
      <c r="H42" s="524"/>
    </row>
    <row r="43" spans="2:8" ht="20.25" customHeight="1" x14ac:dyDescent="0.25">
      <c r="B43" s="522" t="s">
        <v>297</v>
      </c>
      <c r="C43" s="523"/>
      <c r="D43" s="523"/>
      <c r="E43" s="523"/>
      <c r="F43" s="523"/>
      <c r="G43" s="523"/>
      <c r="H43" s="524"/>
    </row>
    <row r="44" spans="2:8" ht="15" customHeight="1" x14ac:dyDescent="0.25">
      <c r="B44" s="522" t="s">
        <v>298</v>
      </c>
      <c r="C44" s="523"/>
      <c r="D44" s="523"/>
      <c r="E44" s="523"/>
      <c r="F44" s="523"/>
      <c r="G44" s="523"/>
      <c r="H44" s="524"/>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88" t="s">
        <v>251</v>
      </c>
      <c r="C2" s="589" t="s">
        <v>205</v>
      </c>
      <c r="D2" s="590"/>
      <c r="E2" s="590"/>
      <c r="F2" s="590"/>
      <c r="G2" s="590"/>
      <c r="H2" s="590"/>
      <c r="I2" s="590"/>
      <c r="J2" s="274" t="s">
        <v>250</v>
      </c>
      <c r="K2" s="247"/>
    </row>
    <row r="3" spans="2:11" ht="15" customHeight="1" x14ac:dyDescent="0.25">
      <c r="B3" s="505"/>
      <c r="C3" s="591"/>
      <c r="D3" s="592"/>
      <c r="E3" s="592"/>
      <c r="F3" s="592"/>
      <c r="G3" s="592"/>
      <c r="H3" s="592"/>
      <c r="I3" s="592"/>
      <c r="J3" s="275" t="s">
        <v>264</v>
      </c>
      <c r="K3" s="249"/>
    </row>
    <row r="4" spans="2:11" ht="15" customHeight="1" x14ac:dyDescent="0.25">
      <c r="B4" s="505"/>
      <c r="C4" s="591"/>
      <c r="D4" s="592"/>
      <c r="E4" s="592"/>
      <c r="F4" s="592"/>
      <c r="G4" s="592"/>
      <c r="H4" s="592"/>
      <c r="I4" s="592"/>
      <c r="J4" s="275" t="s">
        <v>263</v>
      </c>
      <c r="K4" s="249" t="s">
        <v>263</v>
      </c>
    </row>
    <row r="5" spans="2:11" ht="15" customHeight="1" thickBot="1" x14ac:dyDescent="0.3">
      <c r="B5" s="506"/>
      <c r="C5" s="593"/>
      <c r="D5" s="594"/>
      <c r="E5" s="594"/>
      <c r="F5" s="594"/>
      <c r="G5" s="594"/>
      <c r="H5" s="594"/>
      <c r="I5" s="594"/>
      <c r="J5" s="276" t="s">
        <v>245</v>
      </c>
      <c r="K5" s="251" t="s">
        <v>245</v>
      </c>
    </row>
    <row r="6" spans="2:11" ht="15.75" thickBot="1" x14ac:dyDescent="0.3"/>
    <row r="7" spans="2:11" customFormat="1" ht="15.75" thickBot="1" x14ac:dyDescent="0.3">
      <c r="B7" s="582" t="s">
        <v>246</v>
      </c>
      <c r="C7" s="583"/>
      <c r="D7" s="584" t="s">
        <v>252</v>
      </c>
      <c r="E7" s="585"/>
      <c r="F7" s="584" t="s">
        <v>253</v>
      </c>
      <c r="G7" s="586"/>
      <c r="H7" s="586"/>
      <c r="I7" s="586"/>
      <c r="J7" s="586"/>
      <c r="K7" s="587"/>
    </row>
    <row r="8" spans="2:11" customFormat="1" ht="18" customHeight="1" thickBot="1" x14ac:dyDescent="0.3">
      <c r="B8" s="553"/>
      <c r="C8" s="554"/>
      <c r="D8" s="555">
        <v>1</v>
      </c>
      <c r="E8" s="556"/>
      <c r="F8" s="551"/>
      <c r="G8" s="551"/>
      <c r="H8" s="551"/>
      <c r="I8" s="551"/>
      <c r="J8" s="551"/>
      <c r="K8" s="552"/>
    </row>
    <row r="9" spans="2:11" customFormat="1" ht="18" customHeight="1" thickBot="1" x14ac:dyDescent="0.3">
      <c r="B9" s="553"/>
      <c r="C9" s="554"/>
      <c r="D9" s="555">
        <v>2</v>
      </c>
      <c r="E9" s="556"/>
      <c r="F9" s="551"/>
      <c r="G9" s="551"/>
      <c r="H9" s="551"/>
      <c r="I9" s="551"/>
      <c r="J9" s="551"/>
      <c r="K9" s="552"/>
    </row>
    <row r="10" spans="2:11" customFormat="1" ht="18" customHeight="1" thickBot="1" x14ac:dyDescent="0.3">
      <c r="B10" s="553"/>
      <c r="C10" s="554"/>
      <c r="D10" s="555">
        <v>3</v>
      </c>
      <c r="E10" s="556"/>
      <c r="F10" s="551"/>
      <c r="G10" s="551"/>
      <c r="H10" s="551"/>
      <c r="I10" s="551"/>
      <c r="J10" s="551"/>
      <c r="K10" s="552"/>
    </row>
    <row r="11" spans="2:11" customFormat="1" ht="18" customHeight="1" thickBot="1" x14ac:dyDescent="0.3">
      <c r="B11" s="553"/>
      <c r="C11" s="554"/>
      <c r="D11" s="555">
        <v>4</v>
      </c>
      <c r="E11" s="556"/>
      <c r="F11" s="551"/>
      <c r="G11" s="551"/>
      <c r="H11" s="551"/>
      <c r="I11" s="551"/>
      <c r="J11" s="551"/>
      <c r="K11" s="552"/>
    </row>
    <row r="12" spans="2:11" customFormat="1" ht="18" customHeight="1" thickBot="1" x14ac:dyDescent="0.3">
      <c r="B12" s="553"/>
      <c r="C12" s="554"/>
      <c r="D12" s="555">
        <v>5</v>
      </c>
      <c r="E12" s="556"/>
      <c r="F12" s="551"/>
      <c r="G12" s="551"/>
      <c r="H12" s="551"/>
      <c r="I12" s="551"/>
      <c r="J12" s="551"/>
      <c r="K12" s="552"/>
    </row>
    <row r="13" spans="2:11" customFormat="1" ht="18" customHeight="1" thickBot="1" x14ac:dyDescent="0.3">
      <c r="B13" s="553"/>
      <c r="C13" s="554"/>
      <c r="D13" s="555">
        <v>6</v>
      </c>
      <c r="E13" s="556"/>
      <c r="F13" s="551"/>
      <c r="G13" s="551"/>
      <c r="H13" s="551"/>
      <c r="I13" s="551"/>
      <c r="J13" s="551"/>
      <c r="K13" s="552"/>
    </row>
    <row r="14" spans="2:11" customFormat="1" ht="18" customHeight="1" thickBot="1" x14ac:dyDescent="0.3">
      <c r="B14" s="553"/>
      <c r="C14" s="554"/>
      <c r="D14" s="555">
        <v>7</v>
      </c>
      <c r="E14" s="556"/>
      <c r="F14" s="551"/>
      <c r="G14" s="551"/>
      <c r="H14" s="551"/>
      <c r="I14" s="551"/>
      <c r="J14" s="551"/>
      <c r="K14" s="552"/>
    </row>
    <row r="15" spans="2:11" customFormat="1" ht="18" customHeight="1" thickBot="1" x14ac:dyDescent="0.3">
      <c r="B15" s="553">
        <v>45352</v>
      </c>
      <c r="C15" s="554"/>
      <c r="D15" s="555">
        <v>8</v>
      </c>
      <c r="E15" s="556"/>
      <c r="F15" s="551" t="s">
        <v>265</v>
      </c>
      <c r="G15" s="551"/>
      <c r="H15" s="551"/>
      <c r="I15" s="551"/>
      <c r="J15" s="551"/>
      <c r="K15" s="552"/>
    </row>
    <row r="16" spans="2:11" customFormat="1" ht="15.75" customHeight="1" thickBot="1" x14ac:dyDescent="0.3">
      <c r="B16" s="569"/>
      <c r="C16" s="569"/>
      <c r="D16" s="569"/>
      <c r="E16" s="569"/>
      <c r="F16" s="569"/>
      <c r="G16" s="569"/>
      <c r="H16" s="569"/>
      <c r="I16" s="569"/>
      <c r="J16" s="569"/>
      <c r="K16" s="569"/>
    </row>
    <row r="17" spans="2:12" customFormat="1" ht="15.75" customHeight="1" thickBot="1" x14ac:dyDescent="0.3">
      <c r="B17" s="570" t="s">
        <v>254</v>
      </c>
      <c r="C17" s="571"/>
      <c r="D17" s="571"/>
      <c r="E17" s="572"/>
      <c r="F17" s="573" t="s">
        <v>255</v>
      </c>
      <c r="G17" s="574"/>
      <c r="H17" s="575"/>
      <c r="I17" s="576" t="s">
        <v>256</v>
      </c>
      <c r="J17" s="577"/>
      <c r="K17" s="572"/>
    </row>
    <row r="18" spans="2:12" customFormat="1" ht="27" customHeight="1" x14ac:dyDescent="0.25">
      <c r="B18" s="578"/>
      <c r="C18" s="579"/>
      <c r="D18" s="579"/>
      <c r="E18" s="579"/>
      <c r="F18" s="579"/>
      <c r="G18" s="579"/>
      <c r="H18" s="579"/>
      <c r="I18" s="580"/>
      <c r="J18" s="580"/>
      <c r="K18" s="581"/>
    </row>
    <row r="19" spans="2:12" customFormat="1" ht="15" customHeight="1" x14ac:dyDescent="0.25">
      <c r="B19" s="558" t="s">
        <v>257</v>
      </c>
      <c r="C19" s="559"/>
      <c r="D19" s="559"/>
      <c r="E19" s="559"/>
      <c r="F19" s="560" t="s">
        <v>258</v>
      </c>
      <c r="G19" s="560"/>
      <c r="H19" s="561"/>
      <c r="I19" s="560" t="s">
        <v>258</v>
      </c>
      <c r="J19" s="560"/>
      <c r="K19" s="561"/>
    </row>
    <row r="20" spans="2:12" customFormat="1" ht="22.5" customHeight="1" thickBot="1" x14ac:dyDescent="0.3">
      <c r="B20" s="562" t="s">
        <v>259</v>
      </c>
      <c r="C20" s="563"/>
      <c r="D20" s="563"/>
      <c r="E20" s="563"/>
      <c r="F20" s="563" t="s">
        <v>260</v>
      </c>
      <c r="G20" s="563"/>
      <c r="H20" s="564"/>
      <c r="I20" s="563" t="s">
        <v>260</v>
      </c>
      <c r="J20" s="563"/>
      <c r="K20" s="564"/>
    </row>
    <row r="21" spans="2:12" customFormat="1" ht="9" customHeight="1" thickBot="1" x14ac:dyDescent="0.3">
      <c r="B21" s="565"/>
      <c r="C21" s="565"/>
      <c r="D21" s="565"/>
      <c r="E21" s="565"/>
      <c r="F21" s="565"/>
      <c r="G21" s="565"/>
      <c r="H21" s="565"/>
      <c r="I21" s="565"/>
      <c r="J21" s="565"/>
      <c r="K21" s="565"/>
    </row>
    <row r="22" spans="2:12" customFormat="1" ht="15.75" thickBot="1" x14ac:dyDescent="0.3">
      <c r="B22" s="566" t="s">
        <v>207</v>
      </c>
      <c r="C22" s="567"/>
      <c r="D22" s="568"/>
      <c r="E22" s="131" t="s">
        <v>208</v>
      </c>
      <c r="F22" s="566" t="s">
        <v>209</v>
      </c>
      <c r="G22" s="568"/>
      <c r="H22" s="132" t="s">
        <v>210</v>
      </c>
      <c r="I22" s="566" t="s">
        <v>211</v>
      </c>
      <c r="J22" s="568"/>
      <c r="K22" s="133">
        <v>1</v>
      </c>
    </row>
    <row r="23" spans="2:12" ht="8.25" customHeight="1" x14ac:dyDescent="0.25"/>
    <row r="24" spans="2:12" x14ac:dyDescent="0.25">
      <c r="B24" s="557" t="s">
        <v>261</v>
      </c>
      <c r="C24" s="557"/>
      <c r="D24" s="557"/>
      <c r="E24" s="557"/>
      <c r="F24" s="557"/>
      <c r="G24" s="557"/>
      <c r="H24" s="557"/>
      <c r="I24" s="557"/>
      <c r="J24" s="557"/>
      <c r="K24" s="557"/>
      <c r="L24" s="557"/>
    </row>
    <row r="25" spans="2:12" x14ac:dyDescent="0.25">
      <c r="B25" s="557" t="s">
        <v>262</v>
      </c>
      <c r="C25" s="557"/>
      <c r="D25" s="557"/>
      <c r="E25" s="557"/>
      <c r="F25" s="557"/>
      <c r="G25" s="557"/>
      <c r="H25" s="557"/>
      <c r="I25" s="557"/>
      <c r="J25" s="557"/>
      <c r="K25" s="557"/>
      <c r="L25" s="557"/>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595" t="s">
        <v>54</v>
      </c>
      <c r="C1" s="595"/>
      <c r="D1" s="595"/>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596" t="s">
        <v>62</v>
      </c>
      <c r="C1" s="596"/>
      <c r="D1" s="596"/>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597" t="s">
        <v>77</v>
      </c>
      <c r="C1" s="598"/>
      <c r="D1" s="598"/>
      <c r="E1" s="598"/>
      <c r="F1" s="599"/>
    </row>
    <row r="2" spans="2:6" ht="16.5" thickBot="1" x14ac:dyDescent="0.3">
      <c r="B2" s="75"/>
      <c r="C2" s="75"/>
      <c r="D2" s="75"/>
      <c r="E2" s="75"/>
      <c r="F2" s="75"/>
    </row>
    <row r="3" spans="2:6" ht="16.5" thickBot="1" x14ac:dyDescent="0.25">
      <c r="B3" s="601" t="s">
        <v>63</v>
      </c>
      <c r="C3" s="602"/>
      <c r="D3" s="602"/>
      <c r="E3" s="87" t="s">
        <v>64</v>
      </c>
      <c r="F3" s="88" t="s">
        <v>65</v>
      </c>
    </row>
    <row r="4" spans="2:6" ht="31.5" x14ac:dyDescent="0.2">
      <c r="B4" s="603" t="s">
        <v>66</v>
      </c>
      <c r="C4" s="605" t="s">
        <v>13</v>
      </c>
      <c r="D4" s="76" t="s">
        <v>14</v>
      </c>
      <c r="E4" s="77" t="s">
        <v>67</v>
      </c>
      <c r="F4" s="78">
        <v>0.25</v>
      </c>
    </row>
    <row r="5" spans="2:6" ht="47.25" x14ac:dyDescent="0.2">
      <c r="B5" s="604"/>
      <c r="C5" s="606"/>
      <c r="D5" s="79" t="s">
        <v>15</v>
      </c>
      <c r="E5" s="80" t="s">
        <v>68</v>
      </c>
      <c r="F5" s="81">
        <v>0.15</v>
      </c>
    </row>
    <row r="6" spans="2:6" ht="47.25" x14ac:dyDescent="0.2">
      <c r="B6" s="604"/>
      <c r="C6" s="606"/>
      <c r="D6" s="79" t="s">
        <v>16</v>
      </c>
      <c r="E6" s="80" t="s">
        <v>69</v>
      </c>
      <c r="F6" s="81">
        <v>0.1</v>
      </c>
    </row>
    <row r="7" spans="2:6" ht="63" x14ac:dyDescent="0.2">
      <c r="B7" s="604"/>
      <c r="C7" s="606" t="s">
        <v>17</v>
      </c>
      <c r="D7" s="79" t="s">
        <v>10</v>
      </c>
      <c r="E7" s="80" t="s">
        <v>70</v>
      </c>
      <c r="F7" s="81">
        <v>0.25</v>
      </c>
    </row>
    <row r="8" spans="2:6" ht="31.5" x14ac:dyDescent="0.2">
      <c r="B8" s="604"/>
      <c r="C8" s="606"/>
      <c r="D8" s="79" t="s">
        <v>9</v>
      </c>
      <c r="E8" s="80" t="s">
        <v>71</v>
      </c>
      <c r="F8" s="81">
        <v>0.15</v>
      </c>
    </row>
    <row r="9" spans="2:6" ht="47.25" x14ac:dyDescent="0.2">
      <c r="B9" s="604" t="s">
        <v>158</v>
      </c>
      <c r="C9" s="606" t="s">
        <v>18</v>
      </c>
      <c r="D9" s="79" t="s">
        <v>19</v>
      </c>
      <c r="E9" s="80" t="s">
        <v>72</v>
      </c>
      <c r="F9" s="82" t="s">
        <v>73</v>
      </c>
    </row>
    <row r="10" spans="2:6" ht="63" x14ac:dyDescent="0.2">
      <c r="B10" s="604"/>
      <c r="C10" s="606"/>
      <c r="D10" s="79" t="s">
        <v>20</v>
      </c>
      <c r="E10" s="80" t="s">
        <v>74</v>
      </c>
      <c r="F10" s="82" t="s">
        <v>73</v>
      </c>
    </row>
    <row r="11" spans="2:6" ht="47.25" x14ac:dyDescent="0.2">
      <c r="B11" s="604"/>
      <c r="C11" s="606" t="s">
        <v>21</v>
      </c>
      <c r="D11" s="79" t="s">
        <v>22</v>
      </c>
      <c r="E11" s="80" t="s">
        <v>75</v>
      </c>
      <c r="F11" s="82" t="s">
        <v>73</v>
      </c>
    </row>
    <row r="12" spans="2:6" ht="47.25" x14ac:dyDescent="0.2">
      <c r="B12" s="604"/>
      <c r="C12" s="606"/>
      <c r="D12" s="79" t="s">
        <v>23</v>
      </c>
      <c r="E12" s="80" t="s">
        <v>76</v>
      </c>
      <c r="F12" s="82" t="s">
        <v>73</v>
      </c>
    </row>
    <row r="13" spans="2:6" ht="31.5" x14ac:dyDescent="0.2">
      <c r="B13" s="604"/>
      <c r="C13" s="606" t="s">
        <v>24</v>
      </c>
      <c r="D13" s="79" t="s">
        <v>118</v>
      </c>
      <c r="E13" s="80" t="s">
        <v>121</v>
      </c>
      <c r="F13" s="82" t="s">
        <v>73</v>
      </c>
    </row>
    <row r="14" spans="2:6" ht="32.25" thickBot="1" x14ac:dyDescent="0.25">
      <c r="B14" s="607"/>
      <c r="C14" s="608"/>
      <c r="D14" s="83" t="s">
        <v>119</v>
      </c>
      <c r="E14" s="84" t="s">
        <v>120</v>
      </c>
      <c r="F14" s="85" t="s">
        <v>73</v>
      </c>
    </row>
    <row r="15" spans="2:6" ht="49.5" customHeight="1" x14ac:dyDescent="0.2">
      <c r="B15" s="600" t="s">
        <v>155</v>
      </c>
      <c r="C15" s="600"/>
      <c r="D15" s="600"/>
      <c r="E15" s="600"/>
      <c r="F15" s="600"/>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66" t="s">
        <v>244</v>
      </c>
      <c r="C2" s="267"/>
      <c r="D2" s="254" t="s">
        <v>300</v>
      </c>
      <c r="E2" s="274" t="s">
        <v>377</v>
      </c>
      <c r="F2" s="247"/>
    </row>
    <row r="3" spans="1:8" ht="19.5" customHeight="1" x14ac:dyDescent="0.25">
      <c r="B3" s="242"/>
      <c r="C3" s="268"/>
      <c r="D3" s="255"/>
      <c r="E3" s="275" t="s">
        <v>264</v>
      </c>
      <c r="F3" s="249"/>
    </row>
    <row r="4" spans="1:8" ht="19.5" customHeight="1" x14ac:dyDescent="0.25">
      <c r="B4" s="242"/>
      <c r="C4" s="268"/>
      <c r="D4" s="255"/>
      <c r="E4" s="275" t="s">
        <v>389</v>
      </c>
      <c r="F4" s="249"/>
    </row>
    <row r="5" spans="1:8" ht="19.5" customHeight="1" thickBot="1" x14ac:dyDescent="0.3">
      <c r="A5" t="s">
        <v>266</v>
      </c>
      <c r="B5" s="244"/>
      <c r="C5" s="269"/>
      <c r="D5" s="256"/>
      <c r="E5" s="276" t="s">
        <v>245</v>
      </c>
      <c r="F5" s="251"/>
    </row>
    <row r="6" spans="1:8" ht="15.75" thickBot="1" x14ac:dyDescent="0.3"/>
    <row r="7" spans="1:8" x14ac:dyDescent="0.25">
      <c r="B7" s="257" t="s">
        <v>299</v>
      </c>
      <c r="C7" s="260" t="s">
        <v>268</v>
      </c>
      <c r="D7" s="261"/>
      <c r="E7" s="270" t="s">
        <v>270</v>
      </c>
      <c r="F7" s="271"/>
    </row>
    <row r="8" spans="1:8" ht="15.75" thickBot="1" x14ac:dyDescent="0.3">
      <c r="B8" s="258"/>
      <c r="C8" s="262"/>
      <c r="D8" s="263"/>
      <c r="E8" s="272"/>
      <c r="F8" s="273"/>
      <c r="H8" s="156">
        <f>+COUNTA($E$10:$E$28)</f>
        <v>0</v>
      </c>
    </row>
    <row r="9" spans="1:8" ht="15.75" thickBot="1" x14ac:dyDescent="0.3">
      <c r="B9" s="259"/>
      <c r="C9" s="264" t="s">
        <v>269</v>
      </c>
      <c r="D9" s="265"/>
      <c r="E9" s="153" t="s">
        <v>271</v>
      </c>
      <c r="F9" s="153" t="s">
        <v>272</v>
      </c>
      <c r="H9" s="156">
        <f>+COUNTA($F$10:$F$28)</f>
        <v>0</v>
      </c>
    </row>
    <row r="10" spans="1:8" ht="15.75" thickBot="1" x14ac:dyDescent="0.3">
      <c r="B10" s="152">
        <v>1</v>
      </c>
      <c r="C10" s="252" t="s">
        <v>273</v>
      </c>
      <c r="D10" s="253"/>
      <c r="E10" s="148"/>
      <c r="F10" s="149"/>
      <c r="H10" s="156">
        <f>+COUNTA($E$10:$E$28)-COUNTA(F10:F28)</f>
        <v>0</v>
      </c>
    </row>
    <row r="11" spans="1:8" ht="15.75" thickBot="1" x14ac:dyDescent="0.3">
      <c r="B11" s="152">
        <v>2</v>
      </c>
      <c r="C11" s="252" t="s">
        <v>275</v>
      </c>
      <c r="D11" s="253" t="s">
        <v>275</v>
      </c>
      <c r="E11" s="148"/>
      <c r="F11" s="149"/>
      <c r="H11" s="157"/>
    </row>
    <row r="12" spans="1:8" ht="15.75" thickBot="1" x14ac:dyDescent="0.3">
      <c r="B12" s="152">
        <v>3</v>
      </c>
      <c r="C12" s="252" t="s">
        <v>276</v>
      </c>
      <c r="D12" s="253" t="s">
        <v>276</v>
      </c>
      <c r="E12" s="148"/>
      <c r="F12" s="149"/>
    </row>
    <row r="13" spans="1:8" ht="15.75" thickBot="1" x14ac:dyDescent="0.3">
      <c r="B13" s="152">
        <v>4</v>
      </c>
      <c r="C13" s="252" t="s">
        <v>388</v>
      </c>
      <c r="D13" s="253" t="s">
        <v>277</v>
      </c>
      <c r="E13" s="148"/>
      <c r="F13" s="149"/>
    </row>
    <row r="14" spans="1:8" ht="15.75" thickBot="1" x14ac:dyDescent="0.3">
      <c r="B14" s="152">
        <v>5</v>
      </c>
      <c r="C14" s="252" t="s">
        <v>278</v>
      </c>
      <c r="D14" s="253" t="s">
        <v>278</v>
      </c>
      <c r="E14" s="148"/>
      <c r="F14" s="149"/>
    </row>
    <row r="15" spans="1:8" ht="15.75" thickBot="1" x14ac:dyDescent="0.3">
      <c r="B15" s="152">
        <v>6</v>
      </c>
      <c r="C15" s="252" t="s">
        <v>279</v>
      </c>
      <c r="D15" s="253" t="s">
        <v>279</v>
      </c>
      <c r="E15" s="148"/>
      <c r="F15" s="149"/>
    </row>
    <row r="16" spans="1:8" ht="15.75" thickBot="1" x14ac:dyDescent="0.3">
      <c r="B16" s="152">
        <v>7</v>
      </c>
      <c r="C16" s="252" t="s">
        <v>280</v>
      </c>
      <c r="D16" s="253" t="s">
        <v>280</v>
      </c>
      <c r="E16" s="148"/>
      <c r="F16" s="149"/>
    </row>
    <row r="17" spans="2:7" ht="28.5" customHeight="1" thickBot="1" x14ac:dyDescent="0.3">
      <c r="B17" s="152">
        <v>8</v>
      </c>
      <c r="C17" s="252" t="s">
        <v>281</v>
      </c>
      <c r="D17" s="253" t="s">
        <v>281</v>
      </c>
      <c r="E17" s="148"/>
      <c r="F17" s="149"/>
    </row>
    <row r="18" spans="2:7" ht="18.75" customHeight="1" thickBot="1" x14ac:dyDescent="0.3">
      <c r="B18" s="152">
        <v>9</v>
      </c>
      <c r="C18" s="252" t="s">
        <v>282</v>
      </c>
      <c r="D18" s="253" t="s">
        <v>282</v>
      </c>
      <c r="E18" s="148"/>
      <c r="F18" s="149"/>
    </row>
    <row r="19" spans="2:7" ht="15.75" thickBot="1" x14ac:dyDescent="0.3">
      <c r="B19" s="152">
        <v>10</v>
      </c>
      <c r="C19" s="252" t="s">
        <v>283</v>
      </c>
      <c r="D19" s="253" t="s">
        <v>283</v>
      </c>
      <c r="E19" s="148"/>
      <c r="F19" s="149"/>
    </row>
    <row r="20" spans="2:7" ht="15.75" thickBot="1" x14ac:dyDescent="0.3">
      <c r="B20" s="152">
        <v>11</v>
      </c>
      <c r="C20" s="252" t="s">
        <v>284</v>
      </c>
      <c r="D20" s="253" t="s">
        <v>284</v>
      </c>
      <c r="E20" s="148"/>
      <c r="F20" s="149"/>
    </row>
    <row r="21" spans="2:7" ht="15.75" thickBot="1" x14ac:dyDescent="0.3">
      <c r="B21" s="152">
        <v>12</v>
      </c>
      <c r="C21" s="252" t="s">
        <v>285</v>
      </c>
      <c r="D21" s="253" t="s">
        <v>285</v>
      </c>
      <c r="E21" s="148"/>
      <c r="F21" s="149"/>
    </row>
    <row r="22" spans="2:7" ht="15.75" thickBot="1" x14ac:dyDescent="0.3">
      <c r="B22" s="152">
        <v>13</v>
      </c>
      <c r="C22" s="252" t="s">
        <v>286</v>
      </c>
      <c r="D22" s="253" t="s">
        <v>286</v>
      </c>
      <c r="E22" s="148"/>
      <c r="F22" s="149"/>
    </row>
    <row r="23" spans="2:7" ht="15.75" thickBot="1" x14ac:dyDescent="0.3">
      <c r="B23" s="152">
        <v>14</v>
      </c>
      <c r="C23" s="252" t="s">
        <v>287</v>
      </c>
      <c r="D23" s="253" t="s">
        <v>287</v>
      </c>
      <c r="E23" s="148"/>
      <c r="F23" s="149"/>
    </row>
    <row r="24" spans="2:7" ht="15.75" thickBot="1" x14ac:dyDescent="0.3">
      <c r="B24" s="152">
        <v>15</v>
      </c>
      <c r="C24" s="252" t="s">
        <v>288</v>
      </c>
      <c r="D24" s="253" t="s">
        <v>288</v>
      </c>
      <c r="E24" s="148"/>
      <c r="F24" s="149"/>
    </row>
    <row r="25" spans="2:7" ht="15.75" thickBot="1" x14ac:dyDescent="0.3">
      <c r="B25" s="152">
        <v>16</v>
      </c>
      <c r="C25" s="252" t="s">
        <v>289</v>
      </c>
      <c r="D25" s="253" t="s">
        <v>289</v>
      </c>
      <c r="E25" s="148"/>
      <c r="F25" s="149"/>
    </row>
    <row r="26" spans="2:7" ht="15.75" thickBot="1" x14ac:dyDescent="0.3">
      <c r="B26" s="152">
        <v>17</v>
      </c>
      <c r="C26" s="252" t="s">
        <v>290</v>
      </c>
      <c r="D26" s="253" t="s">
        <v>290</v>
      </c>
      <c r="E26" s="148"/>
      <c r="F26" s="149"/>
    </row>
    <row r="27" spans="2:7" ht="15.75" thickBot="1" x14ac:dyDescent="0.3">
      <c r="B27" s="152">
        <v>18</v>
      </c>
      <c r="C27" s="252" t="s">
        <v>291</v>
      </c>
      <c r="D27" s="253" t="s">
        <v>291</v>
      </c>
      <c r="E27" s="148"/>
      <c r="F27" s="149"/>
    </row>
    <row r="28" spans="2:7" ht="15.75" thickBot="1" x14ac:dyDescent="0.3">
      <c r="B28" s="152">
        <v>19</v>
      </c>
      <c r="C28" s="252" t="s">
        <v>292</v>
      </c>
      <c r="D28" s="253"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28" priority="1" stopIfTrue="1" operator="equal">
      <formula>"Catastrófico"</formula>
    </cfRule>
    <cfRule type="cellIs" dxfId="27" priority="2" stopIfTrue="1" operator="equal">
      <formula>"Moderado"</formula>
    </cfRule>
    <cfRule type="cellIs" dxfId="26"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32"/>
  <sheetViews>
    <sheetView showGridLines="0" zoomScale="60" zoomScaleNormal="60" workbookViewId="0">
      <pane ySplit="10" topLeftCell="A15" activePane="bottomLeft" state="frozen"/>
      <selection pane="bottomLeft" activeCell="B15" sqref="B15"/>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6" width="18.140625" style="182" customWidth="1"/>
    <col min="7" max="8" width="12" style="182" customWidth="1"/>
    <col min="9" max="9" width="45.85546875" style="182" customWidth="1"/>
    <col min="10" max="10" width="4.5703125" style="182" hidden="1" customWidth="1"/>
    <col min="11" max="11" width="50.5703125" style="182" customWidth="1"/>
    <col min="12" max="12" width="51.7109375" style="181" customWidth="1"/>
    <col min="13" max="15" width="19" style="183" customWidth="1"/>
    <col min="16" max="16" width="17.7109375" style="181" customWidth="1"/>
    <col min="17" max="17" width="16.42578125" style="181" customWidth="1"/>
    <col min="18" max="18" width="6.28515625" style="181" bestFit="1" customWidth="1"/>
    <col min="19" max="19" width="27.28515625" style="181" bestFit="1" customWidth="1"/>
    <col min="20" max="20" width="27.28515625" style="181" customWidth="1"/>
    <col min="21" max="21" width="17.42578125" style="181" customWidth="1"/>
    <col min="22" max="22" width="6.28515625" style="181" bestFit="1" customWidth="1"/>
    <col min="23" max="23" width="16" style="181" customWidth="1"/>
    <col min="24" max="24" width="5.7109375" style="181" customWidth="1"/>
    <col min="25" max="25" width="76.85546875" style="181" customWidth="1"/>
    <col min="26" max="26" width="72.7109375" style="181" customWidth="1"/>
    <col min="27" max="27" width="15.140625" style="181" bestFit="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3" width="6.85546875" style="181" customWidth="1"/>
    <col min="34" max="34" width="12.5703125"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33.85546875" style="181" customWidth="1"/>
    <col min="43" max="43" width="18.710937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292" t="s">
        <v>301</v>
      </c>
      <c r="E2" s="293"/>
      <c r="F2" s="293"/>
      <c r="G2" s="293"/>
      <c r="H2" s="293"/>
      <c r="I2" s="298" t="s">
        <v>205</v>
      </c>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306" t="s">
        <v>377</v>
      </c>
      <c r="BB2" s="307"/>
    </row>
    <row r="3" spans="1:80" ht="27.75" customHeight="1" x14ac:dyDescent="0.2">
      <c r="D3" s="294"/>
      <c r="E3" s="295"/>
      <c r="F3" s="295"/>
      <c r="G3" s="295"/>
      <c r="H3" s="295"/>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308" t="s">
        <v>242</v>
      </c>
      <c r="BB3" s="308"/>
    </row>
    <row r="4" spans="1:80" ht="27.75" customHeight="1" x14ac:dyDescent="0.2">
      <c r="D4" s="294"/>
      <c r="E4" s="295"/>
      <c r="F4" s="295"/>
      <c r="G4" s="295"/>
      <c r="H4" s="295"/>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308" t="s">
        <v>389</v>
      </c>
      <c r="BB4" s="308"/>
    </row>
    <row r="5" spans="1:80" ht="27.75" customHeight="1" thickBot="1" x14ac:dyDescent="0.25">
      <c r="D5" s="296"/>
      <c r="E5" s="297"/>
      <c r="F5" s="297"/>
      <c r="G5" s="297"/>
      <c r="H5" s="297"/>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308" t="s">
        <v>206</v>
      </c>
      <c r="BB5" s="308"/>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286" t="s">
        <v>42</v>
      </c>
      <c r="E7" s="287"/>
      <c r="F7" s="287"/>
      <c r="G7" s="288"/>
      <c r="H7" s="299" t="s">
        <v>398</v>
      </c>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c r="BA7" s="300"/>
      <c r="BB7" s="301"/>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50.25" customHeight="1" x14ac:dyDescent="0.2">
      <c r="D8" s="286" t="s">
        <v>129</v>
      </c>
      <c r="E8" s="287"/>
      <c r="F8" s="287"/>
      <c r="G8" s="288"/>
      <c r="H8" s="299" t="s">
        <v>399</v>
      </c>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0"/>
      <c r="AW8" s="300"/>
      <c r="AX8" s="300"/>
      <c r="AY8" s="300"/>
      <c r="AZ8" s="300"/>
      <c r="BA8" s="300"/>
      <c r="BB8" s="301"/>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286" t="s">
        <v>43</v>
      </c>
      <c r="E9" s="287"/>
      <c r="F9" s="287"/>
      <c r="G9" s="288"/>
      <c r="H9" s="299" t="s">
        <v>400</v>
      </c>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1"/>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323" t="s">
        <v>266</v>
      </c>
      <c r="B11" s="323"/>
      <c r="C11" s="324"/>
      <c r="D11" s="326" t="s">
        <v>304</v>
      </c>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8" t="s">
        <v>302</v>
      </c>
      <c r="AW11" s="329"/>
      <c r="AX11" s="329"/>
      <c r="AY11" s="330"/>
      <c r="AZ11" s="331" t="s">
        <v>303</v>
      </c>
      <c r="BA11" s="332"/>
      <c r="BB11" s="333"/>
    </row>
    <row r="12" spans="1:80" ht="15.75" x14ac:dyDescent="0.2">
      <c r="D12" s="291" t="s">
        <v>137</v>
      </c>
      <c r="E12" s="291"/>
      <c r="F12" s="291"/>
      <c r="G12" s="291"/>
      <c r="H12" s="291"/>
      <c r="I12" s="277"/>
      <c r="J12" s="277"/>
      <c r="K12" s="277"/>
      <c r="L12" s="277"/>
      <c r="M12" s="277"/>
      <c r="N12" s="277"/>
      <c r="O12" s="277"/>
      <c r="P12" s="277"/>
      <c r="Q12" s="277" t="s">
        <v>138</v>
      </c>
      <c r="R12" s="277"/>
      <c r="S12" s="277"/>
      <c r="T12" s="277"/>
      <c r="U12" s="277"/>
      <c r="V12" s="277"/>
      <c r="W12" s="277"/>
      <c r="X12" s="277" t="s">
        <v>139</v>
      </c>
      <c r="Y12" s="277"/>
      <c r="Z12" s="277"/>
      <c r="AA12" s="277"/>
      <c r="AB12" s="277"/>
      <c r="AC12" s="277"/>
      <c r="AD12" s="277"/>
      <c r="AE12" s="277"/>
      <c r="AF12" s="277"/>
      <c r="AG12" s="277"/>
      <c r="AH12" s="320" t="s">
        <v>18</v>
      </c>
      <c r="AI12" s="277" t="s">
        <v>140</v>
      </c>
      <c r="AJ12" s="277"/>
      <c r="AK12" s="277"/>
      <c r="AL12" s="277"/>
      <c r="AM12" s="277"/>
      <c r="AN12" s="277"/>
      <c r="AO12" s="277"/>
      <c r="AP12" s="311" t="s">
        <v>34</v>
      </c>
      <c r="AQ12" s="312"/>
      <c r="AR12" s="312"/>
      <c r="AS12" s="312"/>
      <c r="AT12" s="312"/>
      <c r="AU12" s="312"/>
      <c r="AV12" s="312"/>
      <c r="AW12" s="312"/>
      <c r="AX12" s="312"/>
      <c r="AY12" s="312"/>
      <c r="AZ12" s="312"/>
      <c r="BA12" s="312"/>
      <c r="BB12" s="312"/>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325" t="s">
        <v>0</v>
      </c>
      <c r="E13" s="279" t="s">
        <v>311</v>
      </c>
      <c r="F13" s="192"/>
      <c r="G13" s="192"/>
      <c r="H13" s="291" t="s">
        <v>224</v>
      </c>
      <c r="I13" s="279" t="s">
        <v>307</v>
      </c>
      <c r="J13" s="193"/>
      <c r="K13" s="279" t="s">
        <v>308</v>
      </c>
      <c r="L13" s="291" t="s">
        <v>1</v>
      </c>
      <c r="M13" s="302" t="s">
        <v>49</v>
      </c>
      <c r="N13" s="318" t="s">
        <v>392</v>
      </c>
      <c r="O13" s="319"/>
      <c r="P13" s="279" t="s">
        <v>133</v>
      </c>
      <c r="Q13" s="279" t="s">
        <v>33</v>
      </c>
      <c r="R13" s="291" t="s">
        <v>5</v>
      </c>
      <c r="S13" s="279" t="s">
        <v>86</v>
      </c>
      <c r="T13" s="279" t="s">
        <v>91</v>
      </c>
      <c r="U13" s="279" t="s">
        <v>44</v>
      </c>
      <c r="V13" s="291" t="s">
        <v>5</v>
      </c>
      <c r="W13" s="279" t="s">
        <v>47</v>
      </c>
      <c r="X13" s="278" t="s">
        <v>11</v>
      </c>
      <c r="Y13" s="279" t="s">
        <v>159</v>
      </c>
      <c r="Z13" s="279" t="s">
        <v>204</v>
      </c>
      <c r="AA13" s="279" t="s">
        <v>12</v>
      </c>
      <c r="AB13" s="279" t="s">
        <v>8</v>
      </c>
      <c r="AC13" s="279"/>
      <c r="AD13" s="279"/>
      <c r="AE13" s="279"/>
      <c r="AF13" s="279"/>
      <c r="AG13" s="279"/>
      <c r="AH13" s="321"/>
      <c r="AI13" s="278" t="s">
        <v>136</v>
      </c>
      <c r="AJ13" s="278" t="s">
        <v>45</v>
      </c>
      <c r="AK13" s="278" t="s">
        <v>5</v>
      </c>
      <c r="AL13" s="278" t="s">
        <v>46</v>
      </c>
      <c r="AM13" s="278" t="s">
        <v>5</v>
      </c>
      <c r="AN13" s="278" t="s">
        <v>48</v>
      </c>
      <c r="AO13" s="278" t="s">
        <v>29</v>
      </c>
      <c r="AP13" s="279" t="s">
        <v>34</v>
      </c>
      <c r="AQ13" s="279" t="s">
        <v>35</v>
      </c>
      <c r="AR13" s="279" t="s">
        <v>36</v>
      </c>
      <c r="AS13" s="279" t="s">
        <v>37</v>
      </c>
      <c r="AT13" s="279" t="s">
        <v>212</v>
      </c>
      <c r="AU13" s="279" t="s">
        <v>38</v>
      </c>
      <c r="AV13" s="314" t="s">
        <v>37</v>
      </c>
      <c r="AW13" s="304" t="s">
        <v>213</v>
      </c>
      <c r="AX13" s="304" t="s">
        <v>38</v>
      </c>
      <c r="AY13" s="309" t="s">
        <v>243</v>
      </c>
      <c r="AZ13" s="313" t="s">
        <v>37</v>
      </c>
      <c r="BA13" s="313" t="s">
        <v>214</v>
      </c>
      <c r="BB13" s="313"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25"/>
      <c r="E14" s="279"/>
      <c r="F14" s="192" t="s">
        <v>2</v>
      </c>
      <c r="G14" s="193" t="s">
        <v>317</v>
      </c>
      <c r="H14" s="291"/>
      <c r="I14" s="279"/>
      <c r="J14" s="193" t="s">
        <v>367</v>
      </c>
      <c r="K14" s="279"/>
      <c r="L14" s="291"/>
      <c r="M14" s="303"/>
      <c r="N14" s="214" t="s">
        <v>240</v>
      </c>
      <c r="O14" s="214" t="s">
        <v>241</v>
      </c>
      <c r="P14" s="279"/>
      <c r="Q14" s="279"/>
      <c r="R14" s="291"/>
      <c r="S14" s="279"/>
      <c r="T14" s="279"/>
      <c r="U14" s="291"/>
      <c r="V14" s="291"/>
      <c r="W14" s="279"/>
      <c r="X14" s="278"/>
      <c r="Y14" s="279"/>
      <c r="Z14" s="279"/>
      <c r="AA14" s="279"/>
      <c r="AB14" s="195" t="s">
        <v>13</v>
      </c>
      <c r="AC14" s="195" t="s">
        <v>17</v>
      </c>
      <c r="AD14" s="195" t="s">
        <v>28</v>
      </c>
      <c r="AE14" s="195" t="s">
        <v>18</v>
      </c>
      <c r="AF14" s="195" t="s">
        <v>21</v>
      </c>
      <c r="AG14" s="195" t="s">
        <v>24</v>
      </c>
      <c r="AH14" s="322"/>
      <c r="AI14" s="278"/>
      <c r="AJ14" s="278"/>
      <c r="AK14" s="278"/>
      <c r="AL14" s="278"/>
      <c r="AM14" s="278"/>
      <c r="AN14" s="278"/>
      <c r="AO14" s="278"/>
      <c r="AP14" s="279"/>
      <c r="AQ14" s="279"/>
      <c r="AR14" s="279"/>
      <c r="AS14" s="279"/>
      <c r="AT14" s="279"/>
      <c r="AU14" s="279"/>
      <c r="AV14" s="315"/>
      <c r="AW14" s="305"/>
      <c r="AX14" s="305"/>
      <c r="AY14" s="310"/>
      <c r="AZ14" s="313"/>
      <c r="BA14" s="313"/>
      <c r="BB14" s="313"/>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103.5" customHeight="1" x14ac:dyDescent="0.25">
      <c r="D15" s="609">
        <v>1</v>
      </c>
      <c r="E15" s="609" t="s">
        <v>219</v>
      </c>
      <c r="F15" s="609" t="s">
        <v>132</v>
      </c>
      <c r="G15" s="609" t="s">
        <v>313</v>
      </c>
      <c r="H15" s="609" t="s">
        <v>226</v>
      </c>
      <c r="I15" s="613" t="s">
        <v>401</v>
      </c>
      <c r="J15" s="220"/>
      <c r="K15" s="613" t="s">
        <v>406</v>
      </c>
      <c r="L15" s="614" t="s">
        <v>407</v>
      </c>
      <c r="M15" s="616" t="s">
        <v>122</v>
      </c>
      <c r="N15" s="616" t="s">
        <v>233</v>
      </c>
      <c r="O15" s="616" t="s">
        <v>237</v>
      </c>
      <c r="P15" s="620">
        <v>43</v>
      </c>
      <c r="Q15" s="622" t="str">
        <f>IF(P15&lt;=0,"",IF(P15&lt;=2,"Muy Baja",IF(P15&lt;=24,"Baja",IF(P15&lt;=500,"Media",IF(P15&lt;=5000,"Alta","Muy Alta")))))</f>
        <v>Media</v>
      </c>
      <c r="R15" s="625">
        <f>IF(Q15="","",IF(Q15="Muy Baja",0.2,IF(Q15="Baja",0.4,IF(Q15="Media",0.6,IF(Q15="Alta",0.8,IF(Q15="Muy Alta",1,))))))</f>
        <v>0.6</v>
      </c>
      <c r="S15" s="630" t="s">
        <v>151</v>
      </c>
      <c r="T15" s="625" t="str">
        <f ca="1">IF(NOT(ISERROR(MATCH(S15,'[2]Tabla Impacto'!$B$221:$B$223,0))),'[2]Tabla Impacto'!$F$223&amp;"Por favor no seleccionar los criterios de impacto(Afectación Económica o presupuestal y Pérdida Reputacional)",S15)</f>
        <v xml:space="preserve">     El riesgo afecta la imagen de la entidad con algunos usuarios de relevancia frente al logro de los objetivos</v>
      </c>
      <c r="U15" s="633" t="str">
        <f ca="1">IF(OR(T15='[3]Tabla Impacto'!$C$11,T15='[3]Tabla Impacto'!$D$11),"Leve",IF(OR(T15='[3]Tabla Impacto'!$C$12,T15='[3]Tabla Impacto'!$D$12),"Menor",IF(OR(T15='[3]Tabla Impacto'!$C$13,T15='[3]Tabla Impacto'!$D$13),"Moderado",IF(OR(T15='[3]Tabla Impacto'!$C$14,T15='[3]Tabla Impacto'!$D$14),"Mayor",IF(OR(T15='[3]Tabla Impacto'!$C$15,T15='[3]Tabla Impacto'!$D$15),"Catastrófico","")))))</f>
        <v>Moderado</v>
      </c>
      <c r="V15" s="625">
        <f ca="1">IF(U15="","",IF(U15="Leve",0.2,IF(U15="Menor",0.4,IF(U15="Moderado",0.6,IF(U15="Mayor",0.8,IF(U15="Catastrófico",1,))))))</f>
        <v>0.6</v>
      </c>
      <c r="W15" s="622"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Moderado</v>
      </c>
      <c r="X15" s="636">
        <v>1</v>
      </c>
      <c r="Y15" s="219" t="s">
        <v>416</v>
      </c>
      <c r="Z15" s="219" t="s">
        <v>417</v>
      </c>
      <c r="AA15" s="225" t="str">
        <f>IF(OR(AB15="Preventivo",AB15="Detectivo"),"Probabilidad",IF(AB15="Correctivo","Impacto",""))</f>
        <v>Probabilidad</v>
      </c>
      <c r="AB15" s="226" t="s">
        <v>14</v>
      </c>
      <c r="AC15" s="226" t="s">
        <v>9</v>
      </c>
      <c r="AD15" s="221" t="str">
        <f>IF(AND(AB15="Preventivo",AC15="Automático"),"50%",IF(AND(AB15="Preventivo",AC15="Manual"),"40%",IF(AND(AB15="Detectivo",AC15="Automático"),"40%",IF(AND(AB15="Detectivo",AC15="Manual"),"30%",IF(AND(AB15="Correctivo",AC15="Automático"),"35%",IF(AND(AB15="Correctivo",AC15="Manual"),"25%",""))))))</f>
        <v>40%</v>
      </c>
      <c r="AE15" s="226" t="s">
        <v>20</v>
      </c>
      <c r="AF15" s="226" t="s">
        <v>23</v>
      </c>
      <c r="AG15" s="226" t="s">
        <v>118</v>
      </c>
      <c r="AH15" s="220" t="s">
        <v>439</v>
      </c>
      <c r="AI15" s="227">
        <f>IFERROR(IF(AA15="Probabilidad",(R15-(+R15*AD15)),IF(AA15="Impacto",R15,"")),"")</f>
        <v>0.36</v>
      </c>
      <c r="AJ15" s="228" t="str">
        <f>IFERROR(IF(AI15="","",IF(AI15&lt;=0.2,"Muy Baja",IF(AI15&lt;=0.4,"Baja",IF(AI15&lt;=0.6,"Media",IF(AI15&lt;=0.8,"Alta","Muy Alta"))))),"")</f>
        <v>Baja</v>
      </c>
      <c r="AK15" s="221">
        <f t="shared" ref="AK15" si="0">+AI15</f>
        <v>0.36</v>
      </c>
      <c r="AL15" s="228" t="str">
        <f ca="1">IFERROR(IF(AM15="","",IF(AM15&lt;=0.2,"Leve",IF(AM15&lt;=0.4,"Menor",IF(AM15&lt;=0.6,"Moderado",IF(AM15&lt;=0.8,"Mayor","Catastrófico"))))),"")</f>
        <v>Moderado</v>
      </c>
      <c r="AM15" s="221">
        <f ca="1">IFERROR(IF(AA15="Impacto",(V15-(+V15*AD15)),IF(AA15="Probabilidad",V15,"")),"")</f>
        <v>0.6</v>
      </c>
      <c r="AN15" s="228"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Moderado</v>
      </c>
      <c r="AO15" s="226" t="s">
        <v>134</v>
      </c>
      <c r="AP15" s="637" t="s">
        <v>445</v>
      </c>
      <c r="AQ15" s="637" t="s">
        <v>446</v>
      </c>
      <c r="AR15" s="224">
        <v>45687</v>
      </c>
      <c r="AS15" s="223"/>
      <c r="AT15" s="220"/>
      <c r="AU15" s="220"/>
      <c r="AV15" s="223"/>
      <c r="AW15" s="220"/>
      <c r="AX15" s="220"/>
      <c r="AY15" s="220"/>
      <c r="AZ15" s="223"/>
      <c r="BA15" s="220"/>
      <c r="BB15" s="220"/>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s="198" customFormat="1" ht="103.5" customHeight="1" x14ac:dyDescent="0.25">
      <c r="D16" s="611"/>
      <c r="E16" s="611"/>
      <c r="F16" s="611"/>
      <c r="G16" s="611"/>
      <c r="H16" s="611"/>
      <c r="I16" s="613"/>
      <c r="J16" s="200"/>
      <c r="K16" s="613"/>
      <c r="L16" s="614"/>
      <c r="M16" s="617"/>
      <c r="N16" s="617"/>
      <c r="O16" s="617"/>
      <c r="P16" s="620"/>
      <c r="Q16" s="623"/>
      <c r="R16" s="626"/>
      <c r="S16" s="631"/>
      <c r="T16" s="626"/>
      <c r="U16" s="634"/>
      <c r="V16" s="626"/>
      <c r="W16" s="623"/>
      <c r="X16" s="636">
        <v>2</v>
      </c>
      <c r="Y16" s="219" t="s">
        <v>418</v>
      </c>
      <c r="Z16" s="219" t="s">
        <v>419</v>
      </c>
      <c r="AA16" s="204" t="str">
        <f t="shared" ref="AA16:AA25" si="2">IF(OR(AB16="Preventivo",AB16="Detectivo"),"Probabilidad",IF(AB16="Correctivo","Impacto",""))</f>
        <v>Probabilidad</v>
      </c>
      <c r="AB16" s="226" t="s">
        <v>14</v>
      </c>
      <c r="AC16" s="226" t="s">
        <v>9</v>
      </c>
      <c r="AD16" s="202" t="str">
        <f t="shared" ref="AD16:AD25" si="3">IF(AND(AB16="Preventivo",AC16="Automático"),"50%",IF(AND(AB16="Preventivo",AC16="Manual"),"40%",IF(AND(AB16="Detectivo",AC16="Automático"),"40%",IF(AND(AB16="Detectivo",AC16="Manual"),"30%",IF(AND(AB16="Correctivo",AC16="Automático"),"35%",IF(AND(AB16="Correctivo",AC16="Manual"),"25%",""))))))</f>
        <v>40%</v>
      </c>
      <c r="AE16" s="226" t="s">
        <v>20</v>
      </c>
      <c r="AF16" s="205" t="s">
        <v>22</v>
      </c>
      <c r="AG16" s="226" t="s">
        <v>118</v>
      </c>
      <c r="AH16" s="200" t="s">
        <v>438</v>
      </c>
      <c r="AI16" s="217">
        <f>IFERROR(IF(AND(AA15="Probabilidad",AA16="Probabilidad"),(AK15-(+AK15*AD16)),IF(AA16="Probabilidad",(S15-(+S15*AA16)),IF(AA16="Impacto",AK15,""))),"")</f>
        <v>0.216</v>
      </c>
      <c r="AJ16" s="206" t="str">
        <f t="shared" ref="AJ16:AJ25" si="4">IFERROR(IF(AI16="","",IF(AI16&lt;=0.2,"Muy Baja",IF(AI16&lt;=0.4,"Baja",IF(AI16&lt;=0.6,"Media",IF(AI16&lt;=0.8,"Alta","Muy Alta"))))),"")</f>
        <v>Baja</v>
      </c>
      <c r="AK16" s="202">
        <f t="shared" ref="AK16:AK25" si="5">+AI16</f>
        <v>0.216</v>
      </c>
      <c r="AL16" s="206" t="str">
        <f t="shared" ref="AL16:AL25" ca="1" si="6">IFERROR(IF(AM16="","",IF(AM16&lt;=0.2,"Leve",IF(AM16&lt;=0.4,"Menor",IF(AM16&lt;=0.6,"Moderado",IF(AM16&lt;=0.8,"Mayor","Catastrófico"))))),"")</f>
        <v>Moderado</v>
      </c>
      <c r="AM16" s="202">
        <f ca="1">IFERROR(IF(AA16="Impacto",(V15-(+V15*AD16)),IF(AA16="Probabilidad",V15,"")),"")</f>
        <v>0.6</v>
      </c>
      <c r="AN16" s="206" t="str">
        <f t="shared" ref="AN16:AN25" ca="1" si="7">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Moderado</v>
      </c>
      <c r="AO16" s="226" t="s">
        <v>134</v>
      </c>
      <c r="AP16" s="637" t="s">
        <v>447</v>
      </c>
      <c r="AQ16" s="637" t="s">
        <v>446</v>
      </c>
      <c r="AR16" s="224">
        <v>45687</v>
      </c>
      <c r="AS16" s="207"/>
      <c r="AT16" s="200"/>
      <c r="AU16" s="200"/>
      <c r="AV16" s="207"/>
      <c r="AW16" s="200"/>
      <c r="AX16" s="200"/>
      <c r="AY16" s="200"/>
      <c r="AZ16" s="207"/>
      <c r="BA16" s="200"/>
      <c r="BB16" s="200"/>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4:80" s="198" customFormat="1" ht="103.5" customHeight="1" x14ac:dyDescent="0.25">
      <c r="D17" s="611"/>
      <c r="E17" s="611"/>
      <c r="F17" s="611"/>
      <c r="G17" s="611"/>
      <c r="H17" s="611"/>
      <c r="I17" s="613"/>
      <c r="J17" s="200"/>
      <c r="K17" s="613"/>
      <c r="L17" s="614"/>
      <c r="M17" s="617"/>
      <c r="N17" s="617"/>
      <c r="O17" s="617"/>
      <c r="P17" s="620"/>
      <c r="Q17" s="623"/>
      <c r="R17" s="626"/>
      <c r="S17" s="631"/>
      <c r="T17" s="626"/>
      <c r="U17" s="634"/>
      <c r="V17" s="626"/>
      <c r="W17" s="623"/>
      <c r="X17" s="636">
        <v>3</v>
      </c>
      <c r="Y17" s="219" t="s">
        <v>420</v>
      </c>
      <c r="Z17" s="219" t="s">
        <v>421</v>
      </c>
      <c r="AA17" s="204" t="str">
        <f t="shared" si="2"/>
        <v>Probabilidad</v>
      </c>
      <c r="AB17" s="226" t="s">
        <v>14</v>
      </c>
      <c r="AC17" s="226" t="s">
        <v>9</v>
      </c>
      <c r="AD17" s="202" t="str">
        <f t="shared" si="3"/>
        <v>40%</v>
      </c>
      <c r="AE17" s="205" t="s">
        <v>19</v>
      </c>
      <c r="AF17" s="205" t="s">
        <v>22</v>
      </c>
      <c r="AG17" s="205" t="s">
        <v>119</v>
      </c>
      <c r="AH17" s="200" t="s">
        <v>441</v>
      </c>
      <c r="AI17" s="217">
        <f t="shared" ref="AI17:AI18" si="8">IFERROR(IF(AND(AA16="Probabilidad",AA17="Probabilidad"),(AK16-(+AK16*AD17)),IF(AA17="Probabilidad",(S16-(+S16*AA17)),IF(AA17="Impacto",AK16,""))),"")</f>
        <v>0.12959999999999999</v>
      </c>
      <c r="AJ17" s="206" t="str">
        <f t="shared" si="4"/>
        <v>Muy Baja</v>
      </c>
      <c r="AK17" s="202">
        <f t="shared" si="5"/>
        <v>0.12959999999999999</v>
      </c>
      <c r="AL17" s="206" t="str">
        <f t="shared" ca="1" si="6"/>
        <v>Moderado</v>
      </c>
      <c r="AM17" s="202">
        <f ca="1">IFERROR(IF(AA17="Impacto",(V15-(+V15*AD17)),IF(AA17="Probabilidad",V15,"")),"")</f>
        <v>0.6</v>
      </c>
      <c r="AN17" s="206" t="str">
        <f t="shared" ca="1" si="7"/>
        <v>Moderado</v>
      </c>
      <c r="AO17" s="226" t="s">
        <v>134</v>
      </c>
      <c r="AP17" s="637" t="s">
        <v>448</v>
      </c>
      <c r="AQ17" s="637" t="s">
        <v>446</v>
      </c>
      <c r="AR17" s="224">
        <v>45687</v>
      </c>
      <c r="AS17" s="207"/>
      <c r="AT17" s="200"/>
      <c r="AU17" s="200"/>
      <c r="AV17" s="207"/>
      <c r="AW17" s="200"/>
      <c r="AX17" s="200"/>
      <c r="AY17" s="200"/>
      <c r="AZ17" s="207"/>
      <c r="BA17" s="200"/>
      <c r="BB17" s="200"/>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4:80" s="198" customFormat="1" ht="103.5" customHeight="1" x14ac:dyDescent="0.25">
      <c r="D18" s="610"/>
      <c r="E18" s="610"/>
      <c r="F18" s="610"/>
      <c r="G18" s="610"/>
      <c r="H18" s="610"/>
      <c r="I18" s="613"/>
      <c r="J18" s="200"/>
      <c r="K18" s="613"/>
      <c r="L18" s="614"/>
      <c r="M18" s="618"/>
      <c r="N18" s="618"/>
      <c r="O18" s="618"/>
      <c r="P18" s="620"/>
      <c r="Q18" s="624"/>
      <c r="R18" s="627"/>
      <c r="S18" s="632"/>
      <c r="T18" s="627"/>
      <c r="U18" s="635"/>
      <c r="V18" s="627"/>
      <c r="W18" s="624"/>
      <c r="X18" s="636">
        <v>4</v>
      </c>
      <c r="Y18" s="219" t="s">
        <v>422</v>
      </c>
      <c r="Z18" s="219" t="s">
        <v>423</v>
      </c>
      <c r="AA18" s="204" t="str">
        <f t="shared" si="2"/>
        <v>Probabilidad</v>
      </c>
      <c r="AB18" s="226" t="s">
        <v>14</v>
      </c>
      <c r="AC18" s="226" t="s">
        <v>9</v>
      </c>
      <c r="AD18" s="202" t="str">
        <f t="shared" si="3"/>
        <v>40%</v>
      </c>
      <c r="AE18" s="205" t="s">
        <v>19</v>
      </c>
      <c r="AF18" s="205" t="s">
        <v>22</v>
      </c>
      <c r="AG18" s="205" t="s">
        <v>118</v>
      </c>
      <c r="AH18" s="200" t="s">
        <v>440</v>
      </c>
      <c r="AI18" s="217">
        <f t="shared" si="8"/>
        <v>7.7759999999999996E-2</v>
      </c>
      <c r="AJ18" s="206" t="str">
        <f t="shared" si="4"/>
        <v>Muy Baja</v>
      </c>
      <c r="AK18" s="202">
        <f t="shared" si="5"/>
        <v>7.7759999999999996E-2</v>
      </c>
      <c r="AL18" s="206" t="str">
        <f t="shared" ca="1" si="6"/>
        <v>Moderado</v>
      </c>
      <c r="AM18" s="202">
        <f ca="1">IFERROR(IF(AA18="Impacto",(V15-(+V15*AD18)),IF(AA18="Probabilidad",V15,"")),"")</f>
        <v>0.6</v>
      </c>
      <c r="AN18" s="206" t="str">
        <f t="shared" ca="1" si="7"/>
        <v>Moderado</v>
      </c>
      <c r="AO18" s="226" t="s">
        <v>134</v>
      </c>
      <c r="AP18" s="637" t="s">
        <v>449</v>
      </c>
      <c r="AQ18" s="637" t="s">
        <v>450</v>
      </c>
      <c r="AR18" s="224">
        <v>45687</v>
      </c>
      <c r="AS18" s="207"/>
      <c r="AT18" s="200"/>
      <c r="AU18" s="200"/>
      <c r="AV18" s="207"/>
      <c r="AW18" s="200"/>
      <c r="AX18" s="200"/>
      <c r="AY18" s="200"/>
      <c r="AZ18" s="207"/>
      <c r="BA18" s="200"/>
      <c r="BB18" s="200"/>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4:80" s="198" customFormat="1" ht="103.5" customHeight="1" x14ac:dyDescent="0.25">
      <c r="D19" s="612">
        <v>2</v>
      </c>
      <c r="E19" s="612" t="s">
        <v>379</v>
      </c>
      <c r="F19" s="612" t="s">
        <v>132</v>
      </c>
      <c r="G19" s="612" t="s">
        <v>313</v>
      </c>
      <c r="H19" s="612" t="s">
        <v>228</v>
      </c>
      <c r="I19" s="613" t="s">
        <v>402</v>
      </c>
      <c r="J19" s="200"/>
      <c r="K19" s="613" t="s">
        <v>408</v>
      </c>
      <c r="L19" s="614" t="s">
        <v>409</v>
      </c>
      <c r="M19" s="619" t="s">
        <v>122</v>
      </c>
      <c r="N19" s="619" t="s">
        <v>233</v>
      </c>
      <c r="O19" s="619" t="s">
        <v>235</v>
      </c>
      <c r="P19" s="620">
        <v>90</v>
      </c>
      <c r="Q19" s="628" t="str">
        <f t="shared" ref="Q19:Q25" si="9">IF(P19&lt;=0,"",IF(P19&lt;=2,"Muy Baja",IF(P19&lt;=24,"Baja",IF(P19&lt;=500,"Media",IF(P19&lt;=5000,"Alta","Muy Alta")))))</f>
        <v>Media</v>
      </c>
      <c r="R19" s="629">
        <f t="shared" ref="R19:R25" si="10">IF(Q19="","",IF(Q19="Muy Baja",0.2,IF(Q19="Baja",0.4,IF(Q19="Media",0.6,IF(Q19="Alta",0.8,IF(Q19="Muy Alta",1,))))))</f>
        <v>0.6</v>
      </c>
      <c r="S19" s="638" t="s">
        <v>151</v>
      </c>
      <c r="T19" s="629" t="str">
        <f ca="1">IF(NOT(ISERROR(MATCH(S19,'[2]Tabla Impacto'!$B$221:$B$223,0))),'[2]Tabla Impacto'!$F$223&amp;"Por favor no seleccionar los criterios de impacto(Afectación Económica o presupuestal y Pérdida Reputacional)",S19)</f>
        <v xml:space="preserve">     El riesgo afecta la imagen de la entidad con algunos usuarios de relevancia frente al logro de los objetivos</v>
      </c>
      <c r="U19" s="639" t="str">
        <f ca="1">IF(OR(T19='[3]Tabla Impacto'!$C$11,T19='[3]Tabla Impacto'!$D$11),"Leve",IF(OR(T19='[3]Tabla Impacto'!$C$12,T19='[3]Tabla Impacto'!$D$12),"Menor",IF(OR(T19='[3]Tabla Impacto'!$C$13,T19='[3]Tabla Impacto'!$D$13),"Moderado",IF(OR(T19='[3]Tabla Impacto'!$C$14,T19='[3]Tabla Impacto'!$D$14),"Mayor",IF(OR(T19='[3]Tabla Impacto'!$C$15,T19='[3]Tabla Impacto'!$D$15),"Catastrófico","")))))</f>
        <v>Moderado</v>
      </c>
      <c r="V19" s="629">
        <f ca="1">IF(U19="","",IF(U19="Leve",0.2,IF(U19="Menor",0.4,IF(U19="Moderado",0.6,IF(U19="Mayor",0.8,IF(U19="Catastrófico",1,))))))</f>
        <v>0.6</v>
      </c>
      <c r="W19" s="628" t="str">
        <f ca="1">IF(OR(AND(Q19="Muy Baja",U19="Leve"),AND(Q19="Muy Baja",U19="Menor"),AND(Q19="Baja",U19="Leve")),"Bajo",IF(OR(AND(Q19="Muy baja",U19="Moderado"),AND(Q19="Baja",U19="Menor"),AND(Q19="Baja",U19="Moderado"),AND(Q19="Media",U19="Leve"),AND(Q19="Media",U19="Menor"),AND(Q19="Media",U19="Moderado"),AND(Q19="Alta",U19="Leve"),AND(Q19="Alta",U19="Menor")),"Moderado",IF(OR(AND(Q19="Muy Baja",U19="Mayor"),AND(Q19="Baja",U19="Mayor"),AND(Q19="Media",U19="Mayor"),AND(Q19="Alta",U19="Moderado"),AND(Q19="Alta",U19="Mayor"),AND(Q19="Muy Alta",U19="Leve"),AND(Q19="Muy Alta",U19="Menor"),AND(Q19="Muy Alta",U19="Moderado"),AND(Q19="Muy Alta",U19="Mayor")),"Alto",IF(OR(AND(Q19="Muy Baja",U19="Catastrófico"),AND(Q19="Baja",U19="Catastrófico"),AND(Q19="Media",U19="Catastrófico"),AND(Q19="Alta",U19="Catastrófico"),AND(Q19="Muy Alta",U19="Catastrófico")),"Extremo",""))))</f>
        <v>Moderado</v>
      </c>
      <c r="X19" s="636">
        <v>1</v>
      </c>
      <c r="Y19" s="219" t="s">
        <v>424</v>
      </c>
      <c r="Z19" s="219" t="s">
        <v>425</v>
      </c>
      <c r="AA19" s="204" t="str">
        <f t="shared" si="2"/>
        <v>Probabilidad</v>
      </c>
      <c r="AB19" s="205" t="s">
        <v>14</v>
      </c>
      <c r="AC19" s="205" t="s">
        <v>9</v>
      </c>
      <c r="AD19" s="202" t="str">
        <f t="shared" si="3"/>
        <v>40%</v>
      </c>
      <c r="AE19" s="205" t="s">
        <v>19</v>
      </c>
      <c r="AF19" s="205" t="s">
        <v>22</v>
      </c>
      <c r="AG19" s="205" t="s">
        <v>118</v>
      </c>
      <c r="AH19" s="200" t="s">
        <v>441</v>
      </c>
      <c r="AI19" s="218">
        <f>IFERROR(IF(AA19="Probabilidad",(R19-(+R19*AD19)),IF(AA19="Impacto",R19,"")),"")</f>
        <v>0.36</v>
      </c>
      <c r="AJ19" s="206" t="str">
        <f t="shared" si="4"/>
        <v>Baja</v>
      </c>
      <c r="AK19" s="202">
        <f t="shared" si="5"/>
        <v>0.36</v>
      </c>
      <c r="AL19" s="206" t="str">
        <f t="shared" ref="AL19" ca="1" si="11">IFERROR(IF(AM19="","",IF(AM19&lt;=0.2,"Leve",IF(AM19&lt;=0.4,"Menor",IF(AM19&lt;=0.6,"Moderado",IF(AM19&lt;=0.8,"Mayor","Catastrófico"))))),"")</f>
        <v>Moderado</v>
      </c>
      <c r="AM19" s="202">
        <f t="shared" ref="AM19" ca="1" si="12">IFERROR(IF(AA19="Impacto",(V19-(+V19*AD19)),IF(AA19="Probabilidad",V19,"")),"")</f>
        <v>0.6</v>
      </c>
      <c r="AN19" s="206" t="str">
        <f t="shared" ref="AN19:AN25" ca="1" si="13">IFERROR(IF(OR(AND(AJ19="Muy Baja",AL19="Leve"),AND(AJ19="Muy Baja",AL19="Menor"),AND(AJ19="Baja",AL19="Leve")),"Bajo",IF(OR(AND(AJ19="Muy baja",AL19="Moderado"),AND(AJ19="Baja",AL19="Menor"),AND(AJ19="Baja",AL19="Moderado"),AND(AJ19="Media",AL19="Leve"),AND(AJ19="Media",AL19="Menor"),AND(AJ19="Media",AL19="Moderado"),AND(AJ19="Alta",AL19="Leve"),AND(AJ19="Alta",AL19="Menor")),"Moderado",IF(OR(AND(AJ19="Muy Baja",AL19="Mayor"),AND(AJ19="Baja",AL19="Mayor"),AND(AJ19="Media",AL19="Mayor"),AND(AJ19="Alta",AL19="Moderado"),AND(AJ19="Alta",AL19="Mayor"),AND(AJ19="Muy Alta",AL19="Leve"),AND(AJ19="Muy Alta",AL19="Menor"),AND(AJ19="Muy Alta",AL19="Moderado"),AND(AJ19="Muy Alta",AL19="Mayor")),"Alto",IF(OR(AND(AJ19="Muy Baja",AL19="Catastrófico"),AND(AJ19="Baja",AL19="Catastrófico"),AND(AJ19="Media",AL19="Catastrófico"),AND(AJ19="Alta",AL19="Catastrófico"),AND(AJ19="Muy Alta",AL19="Catastrófico")),"Extremo","")))),"")</f>
        <v>Moderado</v>
      </c>
      <c r="AO19" s="205" t="s">
        <v>134</v>
      </c>
      <c r="AP19" s="637" t="s">
        <v>451</v>
      </c>
      <c r="AQ19" s="637" t="s">
        <v>446</v>
      </c>
      <c r="AR19" s="229">
        <v>45687</v>
      </c>
      <c r="AS19" s="207"/>
      <c r="AT19" s="200"/>
      <c r="AU19" s="200"/>
      <c r="AV19" s="207"/>
      <c r="AW19" s="200"/>
      <c r="AX19" s="200"/>
      <c r="AY19" s="200"/>
      <c r="AZ19" s="207"/>
      <c r="BA19" s="200"/>
      <c r="BB19" s="200"/>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4:80" s="198" customFormat="1" ht="103.5" customHeight="1" x14ac:dyDescent="0.25">
      <c r="D20" s="612"/>
      <c r="E20" s="612"/>
      <c r="F20" s="612"/>
      <c r="G20" s="612"/>
      <c r="H20" s="612"/>
      <c r="I20" s="613"/>
      <c r="J20" s="200"/>
      <c r="K20" s="613"/>
      <c r="L20" s="614"/>
      <c r="M20" s="619"/>
      <c r="N20" s="619"/>
      <c r="O20" s="619"/>
      <c r="P20" s="620"/>
      <c r="Q20" s="628"/>
      <c r="R20" s="629"/>
      <c r="S20" s="638"/>
      <c r="T20" s="629"/>
      <c r="U20" s="639"/>
      <c r="V20" s="629"/>
      <c r="W20" s="628"/>
      <c r="X20" s="636">
        <v>2</v>
      </c>
      <c r="Y20" s="219" t="s">
        <v>426</v>
      </c>
      <c r="Z20" s="219" t="s">
        <v>427</v>
      </c>
      <c r="AA20" s="204" t="str">
        <f t="shared" si="2"/>
        <v>Probabilidad</v>
      </c>
      <c r="AB20" s="205" t="s">
        <v>14</v>
      </c>
      <c r="AC20" s="205" t="s">
        <v>9</v>
      </c>
      <c r="AD20" s="202" t="str">
        <f t="shared" si="3"/>
        <v>40%</v>
      </c>
      <c r="AE20" s="205" t="s">
        <v>19</v>
      </c>
      <c r="AF20" s="205" t="s">
        <v>22</v>
      </c>
      <c r="AG20" s="205" t="s">
        <v>118</v>
      </c>
      <c r="AH20" s="200" t="s">
        <v>442</v>
      </c>
      <c r="AI20" s="217">
        <f>IFERROR(IF(AND(AA19="Probabilidad",AA20="Probabilidad"),(AK19-(+AK19*AD20)),IF(AA20="Probabilidad",(S19-(+S19*AA20)),IF(AA20="Impacto",AK19,""))),"")</f>
        <v>0.216</v>
      </c>
      <c r="AJ20" s="206" t="str">
        <f t="shared" si="4"/>
        <v>Baja</v>
      </c>
      <c r="AK20" s="202">
        <f t="shared" si="5"/>
        <v>0.216</v>
      </c>
      <c r="AL20" s="206" t="str">
        <f t="shared" ca="1" si="6"/>
        <v>Moderado</v>
      </c>
      <c r="AM20" s="202">
        <f ca="1">IFERROR(IF(AA20="Impacto",(V19-(+V19*AD20)),IF(AA20="Probabilidad",V19,"")),"")</f>
        <v>0.6</v>
      </c>
      <c r="AN20" s="206" t="str">
        <f t="shared" ca="1" si="13"/>
        <v>Moderado</v>
      </c>
      <c r="AO20" s="205" t="s">
        <v>134</v>
      </c>
      <c r="AP20" s="637" t="s">
        <v>452</v>
      </c>
      <c r="AQ20" s="637" t="s">
        <v>446</v>
      </c>
      <c r="AR20" s="229">
        <v>45687</v>
      </c>
      <c r="AS20" s="207"/>
      <c r="AT20" s="200"/>
      <c r="AU20" s="200"/>
      <c r="AV20" s="207"/>
      <c r="AW20" s="200"/>
      <c r="AX20" s="200"/>
      <c r="AY20" s="200"/>
      <c r="AZ20" s="207"/>
      <c r="BA20" s="200"/>
      <c r="BB20" s="200"/>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4:80" s="198" customFormat="1" ht="103.5" customHeight="1" x14ac:dyDescent="0.25">
      <c r="D21" s="612"/>
      <c r="E21" s="612"/>
      <c r="F21" s="612"/>
      <c r="G21" s="612"/>
      <c r="H21" s="612"/>
      <c r="I21" s="613"/>
      <c r="J21" s="200"/>
      <c r="K21" s="613"/>
      <c r="L21" s="614"/>
      <c r="M21" s="619"/>
      <c r="N21" s="619"/>
      <c r="O21" s="619"/>
      <c r="P21" s="620"/>
      <c r="Q21" s="628"/>
      <c r="R21" s="629"/>
      <c r="S21" s="638"/>
      <c r="T21" s="629"/>
      <c r="U21" s="639"/>
      <c r="V21" s="629"/>
      <c r="W21" s="628"/>
      <c r="X21" s="636">
        <v>3</v>
      </c>
      <c r="Y21" s="219" t="s">
        <v>428</v>
      </c>
      <c r="Z21" s="219" t="s">
        <v>429</v>
      </c>
      <c r="AA21" s="204" t="str">
        <f t="shared" si="2"/>
        <v>Probabilidad</v>
      </c>
      <c r="AB21" s="205" t="s">
        <v>14</v>
      </c>
      <c r="AC21" s="205" t="s">
        <v>9</v>
      </c>
      <c r="AD21" s="202"/>
      <c r="AE21" s="205" t="s">
        <v>19</v>
      </c>
      <c r="AF21" s="205" t="s">
        <v>22</v>
      </c>
      <c r="AG21" s="205" t="s">
        <v>118</v>
      </c>
      <c r="AH21" s="200" t="s">
        <v>443</v>
      </c>
      <c r="AI21" s="217">
        <f>IFERROR(IF(AND(AA20="Probabilidad",AA21="Probabilidad"),(AK20-(+AK20*AD21)),IF(AA21="Probabilidad",(S20-(+S20*AA21)),IF(AA21="Impacto",AK20,""))),"")</f>
        <v>0.216</v>
      </c>
      <c r="AJ21" s="206" t="str">
        <f t="shared" ref="AJ21:AJ25" si="14">IFERROR(IF(AI21="","",IF(AI21&lt;=0.2,"Muy Baja",IF(AI21&lt;=0.4,"Baja",IF(AI21&lt;=0.6,"Media",IF(AI21&lt;=0.8,"Alta","Muy Alta"))))),"")</f>
        <v>Baja</v>
      </c>
      <c r="AK21" s="202">
        <f>+AI21</f>
        <v>0.216</v>
      </c>
      <c r="AL21" s="206" t="str">
        <f ca="1">IFERROR(IF(AM21="","",IF(AM21&lt;=0.2,"Leve",IF(AM21&lt;=0.4,"Menor",IF(AM21&lt;=0.6,"Moderado",IF(AM21&lt;=0.8,"Mayor","Catastrófico"))))),"")</f>
        <v>Moderado</v>
      </c>
      <c r="AM21" s="202">
        <f ca="1">IFERROR(IF(AA21="Impacto",(V19-(+V19*AD21)),IF(AA21="Probabilidad",V19,"")),"")</f>
        <v>0.6</v>
      </c>
      <c r="AN21" s="206" t="str">
        <f t="shared" ca="1" si="13"/>
        <v>Moderado</v>
      </c>
      <c r="AO21" s="205" t="s">
        <v>134</v>
      </c>
      <c r="AP21" s="637" t="s">
        <v>453</v>
      </c>
      <c r="AQ21" s="637" t="s">
        <v>446</v>
      </c>
      <c r="AR21" s="229">
        <v>45687</v>
      </c>
      <c r="AS21" s="207"/>
      <c r="AT21" s="200"/>
      <c r="AU21" s="200"/>
      <c r="AV21" s="207"/>
      <c r="AW21" s="200"/>
      <c r="AX21" s="200"/>
      <c r="AY21" s="200"/>
      <c r="AZ21" s="207"/>
      <c r="BA21" s="200"/>
      <c r="BB21" s="200"/>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4:80" s="198" customFormat="1" ht="103.5" customHeight="1" x14ac:dyDescent="0.25">
      <c r="D22" s="612">
        <v>3</v>
      </c>
      <c r="E22" s="612" t="s">
        <v>216</v>
      </c>
      <c r="F22" s="612" t="s">
        <v>132</v>
      </c>
      <c r="G22" s="612" t="s">
        <v>313</v>
      </c>
      <c r="H22" s="612" t="s">
        <v>228</v>
      </c>
      <c r="I22" s="613" t="s">
        <v>403</v>
      </c>
      <c r="J22" s="200"/>
      <c r="K22" s="613" t="s">
        <v>410</v>
      </c>
      <c r="L22" s="614" t="s">
        <v>411</v>
      </c>
      <c r="M22" s="619" t="s">
        <v>124</v>
      </c>
      <c r="N22" s="619" t="s">
        <v>234</v>
      </c>
      <c r="O22" s="619" t="s">
        <v>238</v>
      </c>
      <c r="P22" s="620">
        <v>50</v>
      </c>
      <c r="Q22" s="628" t="str">
        <f t="shared" si="9"/>
        <v>Media</v>
      </c>
      <c r="R22" s="629">
        <f t="shared" si="10"/>
        <v>0.6</v>
      </c>
      <c r="S22" s="638" t="s">
        <v>147</v>
      </c>
      <c r="T22" s="629" t="str">
        <f ca="1">IF(NOT(ISERROR(MATCH(S22,'[2]Tabla Impacto'!$B$221:$B$223,0))),'[2]Tabla Impacto'!$F$223&amp;"Por favor no seleccionar los criterios de impacto(Afectación Económica o presupuestal y Pérdida Reputacional)",S22)</f>
        <v xml:space="preserve">     Entre 100 y 500 SMLMV </v>
      </c>
      <c r="U22" s="639" t="str">
        <f ca="1">IF(OR(T22='[3]Tabla Impacto'!$C$11,T22='[3]Tabla Impacto'!$D$11),"Leve",IF(OR(T22='[3]Tabla Impacto'!$C$12,T22='[3]Tabla Impacto'!$D$12),"Menor",IF(OR(T22='[3]Tabla Impacto'!$C$13,T22='[3]Tabla Impacto'!$D$13),"Moderado",IF(OR(T22='[3]Tabla Impacto'!$C$14,T22='[3]Tabla Impacto'!$D$14),"Mayor",IF(OR(T22='[3]Tabla Impacto'!$C$15,T22='[3]Tabla Impacto'!$D$15),"Catastrófico","")))))</f>
        <v>Mayor</v>
      </c>
      <c r="V22" s="629">
        <f t="shared" ref="V20:V25" ca="1" si="15">IF(U22="","",IF(U22="Leve",0.2,IF(U22="Menor",0.4,IF(U22="Moderado",0.6,IF(U22="Mayor",0.8,IF(U22="Catastrófico",1,))))))</f>
        <v>0.8</v>
      </c>
      <c r="W22" s="628" t="str">
        <f t="shared" ref="W20:W25" ca="1" si="16">IF(OR(AND(Q22="Muy Baja",U22="Leve"),AND(Q22="Muy Baja",U22="Menor"),AND(Q22="Baja",U22="Leve")),"Bajo",IF(OR(AND(Q22="Muy baja",U22="Moderado"),AND(Q22="Baja",U22="Menor"),AND(Q22="Baja",U22="Moderado"),AND(Q22="Media",U22="Leve"),AND(Q22="Media",U22="Menor"),AND(Q22="Media",U22="Moderado"),AND(Q22="Alta",U22="Leve"),AND(Q22="Alta",U22="Menor")),"Moderado",IF(OR(AND(Q22="Muy Baja",U22="Mayor"),AND(Q22="Baja",U22="Mayor"),AND(Q22="Media",U22="Mayor"),AND(Q22="Alta",U22="Moderado"),AND(Q22="Alta",U22="Mayor"),AND(Q22="Muy Alta",U22="Leve"),AND(Q22="Muy Alta",U22="Menor"),AND(Q22="Muy Alta",U22="Moderado"),AND(Q22="Muy Alta",U22="Mayor")),"Alto",IF(OR(AND(Q22="Muy Baja",U22="Catastrófico"),AND(Q22="Baja",U22="Catastrófico"),AND(Q22="Media",U22="Catastrófico"),AND(Q22="Alta",U22="Catastrófico"),AND(Q22="Muy Alta",U22="Catastrófico")),"Extremo",""))))</f>
        <v>Alto</v>
      </c>
      <c r="X22" s="636">
        <v>1</v>
      </c>
      <c r="Y22" s="219" t="s">
        <v>430</v>
      </c>
      <c r="Z22" s="637" t="s">
        <v>431</v>
      </c>
      <c r="AA22" s="204" t="str">
        <f t="shared" si="2"/>
        <v>Probabilidad</v>
      </c>
      <c r="AB22" s="205" t="s">
        <v>14</v>
      </c>
      <c r="AC22" s="205" t="s">
        <v>9</v>
      </c>
      <c r="AD22" s="202" t="str">
        <f t="shared" si="3"/>
        <v>40%</v>
      </c>
      <c r="AE22" s="205" t="s">
        <v>19</v>
      </c>
      <c r="AF22" s="205" t="s">
        <v>22</v>
      </c>
      <c r="AG22" s="205" t="s">
        <v>119</v>
      </c>
      <c r="AH22" s="200" t="s">
        <v>444</v>
      </c>
      <c r="AI22" s="218">
        <f>IFERROR(IF(AA22="Probabilidad",(R22-(+R22*AD22)),IF(AA22="Impacto",R22,"")),"")</f>
        <v>0.36</v>
      </c>
      <c r="AJ22" s="206" t="str">
        <f t="shared" si="14"/>
        <v>Baja</v>
      </c>
      <c r="AK22" s="202">
        <f t="shared" ref="AK22:AK25" si="17">+AI22</f>
        <v>0.36</v>
      </c>
      <c r="AL22" s="206" t="str">
        <f t="shared" ca="1" si="6"/>
        <v>Mayor</v>
      </c>
      <c r="AM22" s="202">
        <f t="shared" ref="AM22:AM25" ca="1" si="18">IFERROR(IF(AA22="Impacto",(V22-(+V22*AD22)),IF(AA22="Probabilidad",V22,"")),"")</f>
        <v>0.8</v>
      </c>
      <c r="AN22" s="206" t="str">
        <f t="shared" ca="1" si="13"/>
        <v>Alto</v>
      </c>
      <c r="AO22" s="205" t="s">
        <v>134</v>
      </c>
      <c r="AP22" s="637" t="s">
        <v>454</v>
      </c>
      <c r="AQ22" s="637" t="s">
        <v>455</v>
      </c>
      <c r="AR22" s="229">
        <v>45687</v>
      </c>
      <c r="AS22" s="207"/>
      <c r="AT22" s="200"/>
      <c r="AU22" s="200"/>
      <c r="AV22" s="207"/>
      <c r="AW22" s="200"/>
      <c r="AX22" s="200"/>
      <c r="AY22" s="200"/>
      <c r="AZ22" s="207"/>
      <c r="BA22" s="200"/>
      <c r="BB22" s="200"/>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row>
    <row r="23" spans="4:80" s="198" customFormat="1" ht="103.5" customHeight="1" x14ac:dyDescent="0.25">
      <c r="D23" s="612"/>
      <c r="E23" s="612"/>
      <c r="F23" s="612"/>
      <c r="G23" s="612"/>
      <c r="H23" s="612"/>
      <c r="I23" s="613"/>
      <c r="J23" s="200"/>
      <c r="K23" s="613"/>
      <c r="L23" s="614"/>
      <c r="M23" s="619"/>
      <c r="N23" s="619"/>
      <c r="O23" s="619"/>
      <c r="P23" s="620"/>
      <c r="Q23" s="628"/>
      <c r="R23" s="629"/>
      <c r="S23" s="638"/>
      <c r="T23" s="629"/>
      <c r="U23" s="639"/>
      <c r="V23" s="629"/>
      <c r="W23" s="628"/>
      <c r="X23" s="636">
        <v>2</v>
      </c>
      <c r="Y23" s="219" t="s">
        <v>432</v>
      </c>
      <c r="Z23" s="219" t="s">
        <v>433</v>
      </c>
      <c r="AA23" s="204" t="str">
        <f t="shared" si="2"/>
        <v>Probabilidad</v>
      </c>
      <c r="AB23" s="205" t="s">
        <v>14</v>
      </c>
      <c r="AC23" s="205" t="s">
        <v>9</v>
      </c>
      <c r="AD23" s="202" t="str">
        <f t="shared" si="3"/>
        <v>40%</v>
      </c>
      <c r="AE23" s="205" t="s">
        <v>19</v>
      </c>
      <c r="AF23" s="205" t="s">
        <v>22</v>
      </c>
      <c r="AG23" s="205" t="s">
        <v>119</v>
      </c>
      <c r="AH23" s="200" t="s">
        <v>441</v>
      </c>
      <c r="AI23" s="217">
        <f>IFERROR(IF(AND(AA22="Probabilidad",AA23="Probabilidad"),(AK22-(+AK22*AD23)),IF(AA23="Probabilidad",(S22-(+S22*AA23)),IF(AA23="Impacto",AK22,""))),"")</f>
        <v>0.216</v>
      </c>
      <c r="AJ23" s="206" t="str">
        <f t="shared" si="14"/>
        <v>Baja</v>
      </c>
      <c r="AK23" s="202">
        <f t="shared" si="17"/>
        <v>0.216</v>
      </c>
      <c r="AL23" s="206" t="str">
        <f t="shared" ca="1" si="6"/>
        <v>Mayor</v>
      </c>
      <c r="AM23" s="202">
        <f ca="1">IFERROR(IF(AA23="Impacto",(V22-(+V22*AD23)),IF(AA23="Probabilidad",V22,"")),"")</f>
        <v>0.8</v>
      </c>
      <c r="AN23" s="206" t="str">
        <f t="shared" ca="1" si="13"/>
        <v>Alto</v>
      </c>
      <c r="AO23" s="205" t="s">
        <v>134</v>
      </c>
      <c r="AP23" s="637" t="s">
        <v>456</v>
      </c>
      <c r="AQ23" s="637" t="s">
        <v>455</v>
      </c>
      <c r="AR23" s="229">
        <v>45687</v>
      </c>
      <c r="AS23" s="207"/>
      <c r="AT23" s="200"/>
      <c r="AU23" s="200"/>
      <c r="AV23" s="207"/>
      <c r="AW23" s="200"/>
      <c r="AX23" s="200"/>
      <c r="AY23" s="200"/>
      <c r="AZ23" s="207"/>
      <c r="BA23" s="200"/>
      <c r="BB23" s="200"/>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208"/>
    </row>
    <row r="24" spans="4:80" s="198" customFormat="1" ht="127.5" customHeight="1" x14ac:dyDescent="0.3">
      <c r="D24" s="199">
        <v>4</v>
      </c>
      <c r="E24" s="215" t="s">
        <v>216</v>
      </c>
      <c r="F24" s="215" t="s">
        <v>132</v>
      </c>
      <c r="G24" s="215" t="s">
        <v>313</v>
      </c>
      <c r="H24" s="199" t="s">
        <v>228</v>
      </c>
      <c r="I24" s="640" t="s">
        <v>404</v>
      </c>
      <c r="J24" s="200"/>
      <c r="K24" s="219" t="s">
        <v>412</v>
      </c>
      <c r="L24" s="615" t="s">
        <v>413</v>
      </c>
      <c r="M24" s="216" t="s">
        <v>124</v>
      </c>
      <c r="N24" s="200" t="s">
        <v>234</v>
      </c>
      <c r="O24" s="200" t="s">
        <v>238</v>
      </c>
      <c r="P24" s="621">
        <v>40</v>
      </c>
      <c r="Q24" s="201" t="str">
        <f t="shared" si="9"/>
        <v>Media</v>
      </c>
      <c r="R24" s="202">
        <f t="shared" si="10"/>
        <v>0.6</v>
      </c>
      <c r="S24" s="203" t="s">
        <v>145</v>
      </c>
      <c r="T24" s="202" t="str">
        <f ca="1">IF(NOT(ISERROR(MATCH(S24,'[2]Tabla Impacto'!$B$221:$B$223,0))),'[2]Tabla Impacto'!$F$223&amp;"Por favor no seleccionar los criterios de impacto(Afectación Económica o presupuestal y Pérdida Reputacional)",S24)</f>
        <v xml:space="preserve">     Entre 50 y 100 SMLMV </v>
      </c>
      <c r="U24" s="222" t="str">
        <f ca="1">IF(OR(T24='[3]Tabla Impacto'!$C$11,T24='[3]Tabla Impacto'!$D$11),"Leve",IF(OR(T24='[3]Tabla Impacto'!$C$12,T24='[3]Tabla Impacto'!$D$12),"Menor",IF(OR(T24='[3]Tabla Impacto'!$C$13,T24='[3]Tabla Impacto'!$D$13),"Moderado",IF(OR(T24='[3]Tabla Impacto'!$C$14,T24='[3]Tabla Impacto'!$D$14),"Mayor",IF(OR(T24='[3]Tabla Impacto'!$C$15,T24='[3]Tabla Impacto'!$D$15),"Catastrófico","")))))</f>
        <v>Moderado</v>
      </c>
      <c r="V24" s="202">
        <f t="shared" ca="1" si="15"/>
        <v>0.6</v>
      </c>
      <c r="W24" s="201" t="str">
        <f t="shared" ca="1" si="16"/>
        <v>Moderado</v>
      </c>
      <c r="X24" s="636">
        <v>1</v>
      </c>
      <c r="Y24" s="219" t="s">
        <v>434</v>
      </c>
      <c r="Z24" s="637" t="s">
        <v>435</v>
      </c>
      <c r="AA24" s="204" t="str">
        <f t="shared" si="2"/>
        <v>Probabilidad</v>
      </c>
      <c r="AB24" s="205" t="s">
        <v>14</v>
      </c>
      <c r="AC24" s="205" t="s">
        <v>9</v>
      </c>
      <c r="AD24" s="202" t="str">
        <f t="shared" si="3"/>
        <v>40%</v>
      </c>
      <c r="AE24" s="205" t="s">
        <v>19</v>
      </c>
      <c r="AF24" s="205" t="s">
        <v>22</v>
      </c>
      <c r="AG24" s="205" t="s">
        <v>119</v>
      </c>
      <c r="AH24" s="200" t="s">
        <v>441</v>
      </c>
      <c r="AI24" s="218">
        <f t="shared" ref="AI24:AI25" si="19">IFERROR(IF(AA24="Probabilidad",(R24-(+R24*AD24)),IF(AA24="Impacto",R24,"")),"")</f>
        <v>0.36</v>
      </c>
      <c r="AJ24" s="206" t="str">
        <f t="shared" si="14"/>
        <v>Baja</v>
      </c>
      <c r="AK24" s="202">
        <f t="shared" si="17"/>
        <v>0.36</v>
      </c>
      <c r="AL24" s="206" t="str">
        <f t="shared" ref="AL24:AL25" ca="1" si="20">IFERROR(IF(AM24="","",IF(AM24&lt;=0.2,"Leve",IF(AM24&lt;=0.4,"Menor",IF(AM24&lt;=0.6,"Moderado",IF(AM24&lt;=0.8,"Mayor","Catastrófico"))))),"")</f>
        <v>Moderado</v>
      </c>
      <c r="AM24" s="202">
        <f t="shared" ref="AM24:AM25" ca="1" si="21">IFERROR(IF(AA24="Impacto",(V24-(+V24*AD24)),IF(AA24="Probabilidad",V24,"")),"")</f>
        <v>0.6</v>
      </c>
      <c r="AN24" s="206" t="str">
        <f t="shared" ref="AN24:AN25" ca="1" si="22">IFERROR(IF(OR(AND(AJ24="Muy Baja",AL24="Leve"),AND(AJ24="Muy Baja",AL24="Menor"),AND(AJ24="Baja",AL24="Leve")),"Bajo",IF(OR(AND(AJ24="Muy baja",AL24="Moderado"),AND(AJ24="Baja",AL24="Menor"),AND(AJ24="Baja",AL24="Moderado"),AND(AJ24="Media",AL24="Leve"),AND(AJ24="Media",AL24="Menor"),AND(AJ24="Media",AL24="Moderado"),AND(AJ24="Alta",AL24="Leve"),AND(AJ24="Alta",AL24="Menor")),"Moderado",IF(OR(AND(AJ24="Muy Baja",AL24="Mayor"),AND(AJ24="Baja",AL24="Mayor"),AND(AJ24="Media",AL24="Mayor"),AND(AJ24="Alta",AL24="Moderado"),AND(AJ24="Alta",AL24="Mayor"),AND(AJ24="Muy Alta",AL24="Leve"),AND(AJ24="Muy Alta",AL24="Menor"),AND(AJ24="Muy Alta",AL24="Moderado"),AND(AJ24="Muy Alta",AL24="Mayor")),"Alto",IF(OR(AND(AJ24="Muy Baja",AL24="Catastrófico"),AND(AJ24="Baja",AL24="Catastrófico"),AND(AJ24="Media",AL24="Catastrófico"),AND(AJ24="Alta",AL24="Catastrófico"),AND(AJ24="Muy Alta",AL24="Catastrófico")),"Extremo","")))),"")</f>
        <v>Moderado</v>
      </c>
      <c r="AO24" s="205" t="s">
        <v>134</v>
      </c>
      <c r="AP24" s="637" t="s">
        <v>457</v>
      </c>
      <c r="AQ24" s="637" t="s">
        <v>458</v>
      </c>
      <c r="AR24" s="229">
        <v>45687</v>
      </c>
      <c r="AS24" s="207"/>
      <c r="AT24" s="200"/>
      <c r="AU24" s="200"/>
      <c r="AV24" s="207"/>
      <c r="AW24" s="200"/>
      <c r="AX24" s="200"/>
      <c r="AY24" s="200"/>
      <c r="AZ24" s="207"/>
      <c r="BA24" s="200"/>
      <c r="BB24" s="200"/>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208"/>
    </row>
    <row r="25" spans="4:80" s="198" customFormat="1" ht="103.5" customHeight="1" x14ac:dyDescent="0.25">
      <c r="D25" s="199">
        <v>5</v>
      </c>
      <c r="E25" s="215" t="s">
        <v>217</v>
      </c>
      <c r="F25" s="215" t="s">
        <v>130</v>
      </c>
      <c r="G25" s="215" t="s">
        <v>313</v>
      </c>
      <c r="H25" s="199" t="s">
        <v>225</v>
      </c>
      <c r="I25" s="219" t="s">
        <v>405</v>
      </c>
      <c r="J25" s="200"/>
      <c r="K25" s="219" t="s">
        <v>414</v>
      </c>
      <c r="L25" s="615" t="s">
        <v>415</v>
      </c>
      <c r="M25" s="216" t="s">
        <v>122</v>
      </c>
      <c r="N25" s="200" t="s">
        <v>234</v>
      </c>
      <c r="O25" s="200" t="s">
        <v>236</v>
      </c>
      <c r="P25" s="621">
        <v>50</v>
      </c>
      <c r="Q25" s="201" t="str">
        <f t="shared" si="9"/>
        <v>Media</v>
      </c>
      <c r="R25" s="202">
        <f t="shared" si="10"/>
        <v>0.6</v>
      </c>
      <c r="S25" s="203" t="s">
        <v>142</v>
      </c>
      <c r="T25" s="202" t="str">
        <f ca="1">IF(NOT(ISERROR(MATCH(S25,'[2]Tabla Impacto'!$B$221:$B$223,0))),'[2]Tabla Impacto'!$F$223&amp;"Por favor no seleccionar los criterios de impacto(Afectación Económica o presupuestal y Pérdida Reputacional)",S25)</f>
        <v xml:space="preserve">     Afectación menor a 10 SMLMV .</v>
      </c>
      <c r="U25" s="222" t="str">
        <f ca="1">IF(OR(T25='[3]Tabla Impacto'!$C$11,T25='[3]Tabla Impacto'!$D$11),"Leve",IF(OR(T25='[3]Tabla Impacto'!$C$12,T25='[3]Tabla Impacto'!$D$12),"Menor",IF(OR(T25='[3]Tabla Impacto'!$C$13,T25='[3]Tabla Impacto'!$D$13),"Moderado",IF(OR(T25='[3]Tabla Impacto'!$C$14,T25='[3]Tabla Impacto'!$D$14),"Mayor",IF(OR(T25='[3]Tabla Impacto'!$C$15,T25='[3]Tabla Impacto'!$D$15),"Catastrófico","")))))</f>
        <v>Leve</v>
      </c>
      <c r="V25" s="202">
        <f t="shared" ca="1" si="15"/>
        <v>0.2</v>
      </c>
      <c r="W25" s="201" t="str">
        <f t="shared" ca="1" si="16"/>
        <v>Moderado</v>
      </c>
      <c r="X25" s="636">
        <v>1</v>
      </c>
      <c r="Y25" s="219" t="s">
        <v>436</v>
      </c>
      <c r="Z25" s="637" t="s">
        <v>437</v>
      </c>
      <c r="AA25" s="204" t="str">
        <f t="shared" si="2"/>
        <v>Probabilidad</v>
      </c>
      <c r="AB25" s="205" t="s">
        <v>14</v>
      </c>
      <c r="AC25" s="205" t="s">
        <v>9</v>
      </c>
      <c r="AD25" s="202" t="str">
        <f t="shared" si="3"/>
        <v>40%</v>
      </c>
      <c r="AE25" s="205" t="s">
        <v>19</v>
      </c>
      <c r="AF25" s="205" t="s">
        <v>22</v>
      </c>
      <c r="AG25" s="205" t="s">
        <v>118</v>
      </c>
      <c r="AH25" s="200" t="s">
        <v>441</v>
      </c>
      <c r="AI25" s="218">
        <f t="shared" si="19"/>
        <v>0.36</v>
      </c>
      <c r="AJ25" s="206" t="str">
        <f t="shared" si="14"/>
        <v>Baja</v>
      </c>
      <c r="AK25" s="202">
        <f t="shared" si="17"/>
        <v>0.36</v>
      </c>
      <c r="AL25" s="206" t="str">
        <f t="shared" ca="1" si="20"/>
        <v>Leve</v>
      </c>
      <c r="AM25" s="202">
        <f t="shared" ca="1" si="21"/>
        <v>0.2</v>
      </c>
      <c r="AN25" s="206" t="str">
        <f t="shared" ca="1" si="22"/>
        <v>Bajo</v>
      </c>
      <c r="AO25" s="205" t="s">
        <v>134</v>
      </c>
      <c r="AP25" s="637" t="s">
        <v>459</v>
      </c>
      <c r="AQ25" s="637" t="s">
        <v>460</v>
      </c>
      <c r="AR25" s="229">
        <v>45687</v>
      </c>
      <c r="AS25" s="207"/>
      <c r="AT25" s="200"/>
      <c r="AU25" s="200"/>
      <c r="AV25" s="207"/>
      <c r="AW25" s="200"/>
      <c r="AX25" s="200"/>
      <c r="AY25" s="200"/>
      <c r="AZ25" s="207"/>
      <c r="BA25" s="200"/>
      <c r="BB25" s="200"/>
      <c r="BC25" s="208"/>
      <c r="BD25" s="208"/>
      <c r="BE25" s="208"/>
      <c r="BF25" s="208"/>
      <c r="BG25" s="208"/>
      <c r="BH25" s="208"/>
      <c r="BI25" s="208"/>
      <c r="BJ25" s="208"/>
      <c r="BK25" s="208"/>
      <c r="BL25" s="208"/>
      <c r="BM25" s="208"/>
      <c r="BN25" s="208"/>
      <c r="BO25" s="208"/>
      <c r="BP25" s="208"/>
      <c r="BQ25" s="208"/>
      <c r="BR25" s="208"/>
      <c r="BS25" s="208"/>
      <c r="BT25" s="208"/>
      <c r="BU25" s="208"/>
      <c r="BV25" s="208"/>
      <c r="BW25" s="208"/>
      <c r="BX25" s="208"/>
      <c r="BY25" s="208"/>
      <c r="BZ25" s="208"/>
      <c r="CA25" s="208"/>
      <c r="CB25" s="208"/>
    </row>
    <row r="26" spans="4:80" ht="49.5" customHeight="1" x14ac:dyDescent="0.2">
      <c r="D26" s="209"/>
      <c r="E26" s="210"/>
      <c r="F26" s="210"/>
      <c r="G26" s="210"/>
      <c r="H26" s="210"/>
      <c r="I26" s="289" t="s">
        <v>393</v>
      </c>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c r="AR26" s="289"/>
      <c r="AS26" s="289"/>
      <c r="AT26" s="289"/>
      <c r="AU26" s="290"/>
    </row>
    <row r="28" spans="4:80" ht="15.75" x14ac:dyDescent="0.2">
      <c r="D28" s="109"/>
      <c r="E28" s="110"/>
      <c r="F28" s="110"/>
      <c r="G28" s="110"/>
      <c r="H28" s="110"/>
      <c r="I28" s="110"/>
      <c r="J28" s="110"/>
      <c r="K28" s="110"/>
      <c r="L28" s="110"/>
      <c r="M28" s="181"/>
      <c r="N28" s="181"/>
      <c r="O28" s="181"/>
      <c r="Q28" s="111"/>
      <c r="R28" s="110"/>
      <c r="S28" s="110"/>
      <c r="T28" s="110"/>
      <c r="U28" s="110"/>
      <c r="V28" s="110"/>
      <c r="W28" s="110"/>
      <c r="X28" s="110"/>
      <c r="Y28" s="110"/>
      <c r="Z28" s="110"/>
      <c r="AA28" s="112"/>
      <c r="AB28" s="112"/>
      <c r="AC28" s="110"/>
      <c r="AD28" s="110"/>
      <c r="AE28" s="110"/>
      <c r="AF28" s="110"/>
      <c r="AG28" s="110"/>
      <c r="AH28" s="110"/>
      <c r="AI28" s="110"/>
      <c r="AJ28" s="110"/>
      <c r="AK28" s="110"/>
      <c r="AL28" s="110"/>
      <c r="AM28" s="110"/>
      <c r="AN28" s="110"/>
      <c r="AO28" s="113"/>
      <c r="AP28" s="113"/>
      <c r="AQ28" s="110"/>
      <c r="AR28" s="110"/>
      <c r="AS28" s="110"/>
      <c r="AT28" s="110"/>
      <c r="AU28" s="110"/>
      <c r="AV28" s="110"/>
      <c r="AW28" s="110"/>
    </row>
    <row r="29" spans="4:80" ht="18" x14ac:dyDescent="0.2">
      <c r="D29" s="285" t="s">
        <v>461</v>
      </c>
      <c r="E29" s="285"/>
      <c r="F29" s="285"/>
      <c r="G29" s="285"/>
      <c r="H29" s="285"/>
      <c r="I29" s="285"/>
      <c r="J29" s="285"/>
      <c r="K29" s="285"/>
      <c r="L29" s="285"/>
      <c r="M29" s="181"/>
      <c r="N29" s="181"/>
      <c r="O29" s="181"/>
      <c r="P29" s="282" t="s">
        <v>391</v>
      </c>
      <c r="Q29" s="283"/>
      <c r="R29" s="283"/>
      <c r="S29" s="284"/>
      <c r="T29" s="110"/>
      <c r="U29" s="110"/>
      <c r="V29" s="110"/>
      <c r="W29" s="110"/>
      <c r="X29" s="110"/>
      <c r="Y29" s="110"/>
      <c r="Z29" s="113"/>
      <c r="AA29" s="112"/>
      <c r="AB29" s="112"/>
      <c r="AC29" s="110"/>
      <c r="AD29" s="112"/>
      <c r="AE29" s="112"/>
      <c r="AF29" s="110"/>
      <c r="AG29" s="110"/>
      <c r="AH29" s="110"/>
      <c r="AI29" s="110"/>
      <c r="AJ29" s="110"/>
      <c r="AK29" s="110"/>
      <c r="AL29" s="110"/>
      <c r="AM29" s="110"/>
      <c r="AN29" s="110"/>
      <c r="AO29" s="110"/>
      <c r="AP29" s="110"/>
      <c r="AQ29" s="110"/>
      <c r="AR29" s="110"/>
      <c r="AS29" s="110"/>
      <c r="AT29" s="110"/>
      <c r="AU29" s="110"/>
      <c r="AV29" s="110"/>
      <c r="AW29" s="110"/>
    </row>
    <row r="30" spans="4:80" ht="15" thickBot="1" x14ac:dyDescent="0.25">
      <c r="D30" s="181"/>
      <c r="E30" s="181"/>
      <c r="F30" s="181"/>
      <c r="G30" s="181"/>
      <c r="H30" s="181"/>
      <c r="I30" s="181"/>
      <c r="J30" s="181"/>
      <c r="K30" s="181"/>
      <c r="M30" s="181"/>
      <c r="N30" s="181"/>
      <c r="O30" s="181"/>
      <c r="Q30" s="183" t="str">
        <f>+IFERROR(VLOOKUP(M30,$M$185:$Q$189,3,FALSE)*VLOOKUP(P30,$P$185:$Q$189,3,FALSE),"")</f>
        <v/>
      </c>
      <c r="AA30" s="183"/>
      <c r="AB30" s="211"/>
      <c r="AD30" s="211"/>
      <c r="AE30" s="211"/>
      <c r="AF30" s="212"/>
      <c r="AG30" s="212"/>
      <c r="AH30" s="212"/>
      <c r="AI30" s="212"/>
      <c r="AJ30" s="212"/>
      <c r="AK30" s="114"/>
      <c r="AL30" s="114"/>
      <c r="AM30" s="212"/>
      <c r="AN30" s="213"/>
      <c r="AR30" s="212"/>
      <c r="AT30" s="212"/>
      <c r="AV30" s="212"/>
    </row>
    <row r="31" spans="4:80" ht="17.45" customHeight="1" thickTop="1" thickBot="1" x14ac:dyDescent="0.25">
      <c r="D31" s="280" t="s">
        <v>207</v>
      </c>
      <c r="E31" s="280"/>
      <c r="F31" s="280"/>
      <c r="G31" s="280"/>
      <c r="H31" s="280"/>
      <c r="I31" s="280"/>
      <c r="J31" s="280"/>
      <c r="K31" s="280"/>
      <c r="L31" s="180" t="s">
        <v>208</v>
      </c>
      <c r="M31" s="280" t="s">
        <v>209</v>
      </c>
      <c r="N31" s="280"/>
      <c r="O31" s="280"/>
      <c r="P31" s="280"/>
      <c r="Q31" s="280"/>
      <c r="R31" s="280"/>
      <c r="S31" s="280"/>
      <c r="T31" s="118"/>
      <c r="U31" s="281" t="s">
        <v>210</v>
      </c>
      <c r="V31" s="281"/>
      <c r="W31" s="281"/>
      <c r="X31" s="280" t="s">
        <v>211</v>
      </c>
      <c r="Y31" s="280"/>
      <c r="Z31" s="280"/>
      <c r="AA31" s="280"/>
      <c r="AB31" s="281">
        <v>1</v>
      </c>
      <c r="AC31" s="281"/>
      <c r="AD31" s="281"/>
      <c r="AE31" s="281"/>
      <c r="AF31" s="117"/>
      <c r="AG31" s="117"/>
      <c r="AH31" s="117"/>
      <c r="AI31" s="117"/>
      <c r="AJ31" s="117"/>
      <c r="AK31" s="117"/>
      <c r="AL31" s="117"/>
      <c r="AM31" s="117"/>
      <c r="AN31" s="117"/>
      <c r="AO31" s="117"/>
      <c r="AP31" s="117"/>
      <c r="AQ31" s="117"/>
      <c r="AR31" s="117"/>
      <c r="AS31" s="117"/>
      <c r="AT31" s="117"/>
      <c r="AU31" s="117"/>
      <c r="AV31" s="117"/>
      <c r="AW31" s="115"/>
    </row>
    <row r="32" spans="4:80" ht="36.75" customHeight="1" thickTop="1" x14ac:dyDescent="0.25">
      <c r="D32" s="316" t="s">
        <v>394</v>
      </c>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row>
  </sheetData>
  <dataConsolidate/>
  <mergeCells count="129">
    <mergeCell ref="S22:S23"/>
    <mergeCell ref="T22:T23"/>
    <mergeCell ref="U22:U23"/>
    <mergeCell ref="V22:V23"/>
    <mergeCell ref="W22:W23"/>
    <mergeCell ref="S19:S21"/>
    <mergeCell ref="T19:T21"/>
    <mergeCell ref="U19:U21"/>
    <mergeCell ref="V19:V21"/>
    <mergeCell ref="W19:W21"/>
    <mergeCell ref="S15:S18"/>
    <mergeCell ref="T15:T18"/>
    <mergeCell ref="U15:U18"/>
    <mergeCell ref="V15:V18"/>
    <mergeCell ref="W15:W18"/>
    <mergeCell ref="P15:P18"/>
    <mergeCell ref="P19:P21"/>
    <mergeCell ref="P22:P23"/>
    <mergeCell ref="Q15:Q18"/>
    <mergeCell ref="R15:R18"/>
    <mergeCell ref="Q19:Q21"/>
    <mergeCell ref="R19:R21"/>
    <mergeCell ref="Q22:Q23"/>
    <mergeCell ref="R22:R23"/>
    <mergeCell ref="M15:M18"/>
    <mergeCell ref="M19:M21"/>
    <mergeCell ref="M22:M23"/>
    <mergeCell ref="N15:N18"/>
    <mergeCell ref="O15:O18"/>
    <mergeCell ref="N19:N21"/>
    <mergeCell ref="O19:O21"/>
    <mergeCell ref="N22:N23"/>
    <mergeCell ref="O22:O23"/>
    <mergeCell ref="K15:K18"/>
    <mergeCell ref="L15:L18"/>
    <mergeCell ref="K19:K21"/>
    <mergeCell ref="L19:L21"/>
    <mergeCell ref="K22:K23"/>
    <mergeCell ref="L22:L23"/>
    <mergeCell ref="H15:H18"/>
    <mergeCell ref="D19:D21"/>
    <mergeCell ref="D22:D23"/>
    <mergeCell ref="I15:I18"/>
    <mergeCell ref="I19:I21"/>
    <mergeCell ref="I22:I23"/>
    <mergeCell ref="E19:E21"/>
    <mergeCell ref="F19:F21"/>
    <mergeCell ref="G19:G21"/>
    <mergeCell ref="H19:H21"/>
    <mergeCell ref="E22:E23"/>
    <mergeCell ref="F22:F23"/>
    <mergeCell ref="G22:G23"/>
    <mergeCell ref="H22:H23"/>
    <mergeCell ref="D15:D18"/>
    <mergeCell ref="E15:E18"/>
    <mergeCell ref="F15:F18"/>
    <mergeCell ref="G15:G18"/>
    <mergeCell ref="D32:AE32"/>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BA2:BB2"/>
    <mergeCell ref="BA3:BB3"/>
    <mergeCell ref="BA4:BB4"/>
    <mergeCell ref="BA5:BB5"/>
    <mergeCell ref="AY13:AY14"/>
    <mergeCell ref="AP12:BB12"/>
    <mergeCell ref="BA13:BA14"/>
    <mergeCell ref="BB13:BB14"/>
    <mergeCell ref="AV13:AV14"/>
    <mergeCell ref="AW13:AW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I26:AU26"/>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X31:AA31"/>
    <mergeCell ref="AB31:AE31"/>
    <mergeCell ref="D31:K31"/>
    <mergeCell ref="P29:S29"/>
    <mergeCell ref="M31:S31"/>
    <mergeCell ref="U31:W31"/>
    <mergeCell ref="D29:L29"/>
    <mergeCell ref="X12:AG12"/>
    <mergeCell ref="X13:X14"/>
    <mergeCell ref="Y13:Y14"/>
    <mergeCell ref="AP13:AP14"/>
    <mergeCell ref="AI12:AO12"/>
    <mergeCell ref="AB13:AG13"/>
  </mergeCells>
  <conditionalFormatting sqref="Q15 Q19 Q22 Q24:Q25 AJ15:AJ25">
    <cfRule type="cellIs" dxfId="25" priority="57" operator="equal">
      <formula>"Muy Alta"</formula>
    </cfRule>
    <cfRule type="cellIs" dxfId="24" priority="58" operator="equal">
      <formula>"Alta"</formula>
    </cfRule>
    <cfRule type="cellIs" dxfId="23" priority="59" operator="equal">
      <formula>"Media"</formula>
    </cfRule>
    <cfRule type="cellIs" dxfId="22" priority="60" operator="equal">
      <formula>"Baja"</formula>
    </cfRule>
    <cfRule type="cellIs" dxfId="21" priority="61" operator="equal">
      <formula>"Muy Baja"</formula>
    </cfRule>
  </conditionalFormatting>
  <conditionalFormatting sqref="T15 T19 T22 T24:T25">
    <cfRule type="containsText" dxfId="20" priority="33" operator="containsText" text="❌">
      <formula>NOT(ISERROR(SEARCH("❌",T15)))</formula>
    </cfRule>
  </conditionalFormatting>
  <conditionalFormatting sqref="W15 W19 W22 W24:W25 AN15:AN25">
    <cfRule type="cellIs" dxfId="19" priority="48" operator="equal">
      <formula>"Extremo"</formula>
    </cfRule>
    <cfRule type="cellIs" dxfId="18" priority="49" operator="equal">
      <formula>"Alto"</formula>
    </cfRule>
    <cfRule type="cellIs" dxfId="17" priority="50" operator="equal">
      <formula>"Moderado"</formula>
    </cfRule>
    <cfRule type="cellIs" dxfId="16" priority="51" operator="equal">
      <formula>"Bajo"</formula>
    </cfRule>
  </conditionalFormatting>
  <conditionalFormatting sqref="AK28:AK30">
    <cfRule type="cellIs" dxfId="15" priority="21" stopIfTrue="1" operator="equal">
      <formula>#REF!</formula>
    </cfRule>
    <cfRule type="cellIs" dxfId="14" priority="22" operator="equal">
      <formula>#REF!</formula>
    </cfRule>
    <cfRule type="cellIs" dxfId="13" priority="23" operator="equal">
      <formula>#REF!</formula>
    </cfRule>
  </conditionalFormatting>
  <conditionalFormatting sqref="AL15:AL25">
    <cfRule type="cellIs" dxfId="12" priority="38" operator="equal">
      <formula>"Catastrófico"</formula>
    </cfRule>
    <cfRule type="cellIs" dxfId="11" priority="39" operator="equal">
      <formula>"Mayor"</formula>
    </cfRule>
    <cfRule type="cellIs" dxfId="10" priority="40" operator="equal">
      <formula>"Moderado"</formula>
    </cfRule>
    <cfRule type="cellIs" dxfId="9" priority="41" operator="equal">
      <formula>"Menor"</formula>
    </cfRule>
    <cfRule type="cellIs" dxfId="8" priority="42" operator="equal">
      <formula>"Leve"</formula>
    </cfRule>
  </conditionalFormatting>
  <conditionalFormatting sqref="AL28:AL30">
    <cfRule type="cellIs" dxfId="7" priority="24" stopIfTrue="1" operator="equal">
      <formula>#REF!</formula>
    </cfRule>
    <cfRule type="cellIs" dxfId="6" priority="25" stopIfTrue="1" operator="equal">
      <formula>#REF!</formula>
    </cfRule>
    <cfRule type="cellIs" dxfId="5" priority="26" stopIfTrue="1" operator="equal">
      <formula>#REF!</formula>
    </cfRule>
  </conditionalFormatting>
  <conditionalFormatting sqref="U15 U19 U22 U24:U25">
    <cfRule type="cellIs" dxfId="4" priority="1" operator="equal">
      <formula>"Catastrófico"</formula>
    </cfRule>
    <cfRule type="cellIs" dxfId="3" priority="2" operator="equal">
      <formula>"Mayor"</formula>
    </cfRule>
    <cfRule type="cellIs" dxfId="2" priority="3" operator="equal">
      <formula>"Moderado"</formula>
    </cfRule>
    <cfRule type="cellIs" dxfId="1" priority="4" operator="equal">
      <formula>"Menor"</formula>
    </cfRule>
    <cfRule type="cellIs" dxfId="0" priority="5" operator="equal">
      <formula>"Leve"</formula>
    </cfRule>
  </conditionalFormatting>
  <dataValidations count="6">
    <dataValidation type="list" allowBlank="1" showInputMessage="1" showErrorMessage="1" sqref="L28" xr:uid="{61DF7E04-DE5E-4FE1-A38F-8A138AA87D58}">
      <formula1>$L$185:$L$194</formula1>
    </dataValidation>
    <dataValidation type="list" allowBlank="1" showInputMessage="1" showErrorMessage="1" sqref="L30 AK30:AL30" xr:uid="{66A41BD7-B090-4403-937D-0435537D31DA}">
      <formula1>#REF!</formula1>
    </dataValidation>
    <dataValidation type="list" allowBlank="1" showInputMessage="1" showErrorMessage="1" sqref="AA30" xr:uid="{3BD557FD-BAB0-4660-A45C-D7AACD9880D7}">
      <formula1>$S$185:$S$186</formula1>
    </dataValidation>
    <dataValidation type="list" allowBlank="1" showInputMessage="1" showErrorMessage="1" sqref="P30" xr:uid="{6EC8CB42-9310-43CD-8FAB-388F6EFE7B5E}">
      <formula1>$P$185:$P$189</formula1>
    </dataValidation>
    <dataValidation type="list" allowBlank="1" showInputMessage="1" showErrorMessage="1" sqref="M30:O30" xr:uid="{681E5490-2B09-494D-9B90-359A2E8F22F3}">
      <formula1>$M$185:$M$189</formula1>
    </dataValidation>
    <dataValidation type="list" allowBlank="1" showInputMessage="1" showErrorMessage="1" sqref="AV30 AT30 AR30 AB30 AD30:AJ30" xr:uid="{208EF431-1729-4D5C-B151-F6757CBBD462}">
      <formula1>$AR$185:$AR$192</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1">
        <x14:dataValidation type="list" allowBlank="1" showInputMessage="1" showErrorMessage="1" xr:uid="{5E056D49-2A01-4844-9657-EAFD8E3B5A80}">
          <x14:formula1>
            <xm:f>'Opciones Tratamiento'!$B$13:$B$19</xm:f>
          </x14:formula1>
          <xm:sqref>M15 M19 M22 M24:M25</xm:sqref>
        </x14:dataValidation>
        <x14:dataValidation type="list" allowBlank="1" showInputMessage="1" showErrorMessage="1" xr:uid="{EF0C0067-1765-4F11-A967-1A801D325D81}">
          <x14:formula1>
            <xm:f>'Tabla Impacto'!$F$210:$F$221</xm:f>
          </x14:formula1>
          <xm:sqref>S15 S19 S22 S24:S25</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AR15:AR25</xm:sqref>
        </x14:dataValidation>
        <x14:dataValidation type="list" allowBlank="1" showInputMessage="1" showErrorMessage="1" xr:uid="{9E41A0A5-9033-48F4-A523-E78EEE31291B}">
          <x14:formula1>
            <xm:f>Listas!$B$2:$B$7</xm:f>
          </x14:formula1>
          <xm:sqref>H15 H19 H22 H24:H25</xm:sqref>
        </x14:dataValidation>
        <x14:dataValidation type="list" allowBlank="1" showInputMessage="1" showErrorMessage="1" xr:uid="{E1211B7A-6A4E-4A48-9C6D-50DFE53A34CF}">
          <x14:formula1>
            <xm:f>Listas!$C$2:$C$6</xm:f>
          </x14:formula1>
          <xm:sqref>N15 N19 N22 N24:N25</xm:sqref>
        </x14:dataValidation>
        <x14:dataValidation type="list" allowBlank="1" showInputMessage="1" showErrorMessage="1" xr:uid="{B88BA28A-2600-4BF8-8D1C-1591DFA3694A}">
          <x14:formula1>
            <xm:f>Listas!$D$2:$D$5</xm:f>
          </x14:formula1>
          <xm:sqref>O15 O19 O22 O24:O25</xm:sqref>
        </x14:dataValidation>
        <x14:dataValidation type="list" allowBlank="1" showInputMessage="1" showErrorMessage="1" xr:uid="{C1C18457-6497-4468-A0EC-5756D2A505AB}">
          <x14:formula1>
            <xm:f>Hoja2!$B$3:$B$18</xm:f>
          </x14:formula1>
          <xm:sqref>E15 E19 E22 E24:E25</xm:sqref>
        </x14:dataValidation>
        <x14:dataValidation type="list" allowBlank="1" showInputMessage="1" showErrorMessage="1" xr:uid="{30B1B799-4F7E-4DF0-8163-3420DCED9D9B}">
          <x14:formula1>
            <xm:f>Hoja2!$D$3:$D$21</xm:f>
          </x14:formula1>
          <xm:sqref>F15 F19 F22 F24:F25</xm:sqref>
        </x14:dataValidation>
        <x14:dataValidation type="list" allowBlank="1" showInputMessage="1" showErrorMessage="1" xr:uid="{4543C4BE-F1CB-4CCC-8B32-CEE48E0F43C3}">
          <x14:formula1>
            <xm:f>Hoja2!$E$3:$E$23</xm:f>
          </x14:formula1>
          <xm:sqref>G15 G19 G22 G24:G25</xm:sqref>
        </x14:dataValidation>
        <x14:dataValidation type="list" allowBlank="1" showInputMessage="1" showErrorMessage="1" xr:uid="{FFA9F3EB-8AAC-4371-8BA9-EA5BFF31F870}">
          <x14:formula1>
            <xm:f>'Opciones Tratamiento'!$B$9:$B$10</xm:f>
          </x14:formula1>
          <xm:sqref>AU15:AU25 BB15:BB25 AX15:AY25</xm:sqref>
        </x14:dataValidation>
        <x14:dataValidation type="list" allowBlank="1" showInputMessage="1" showErrorMessage="1" xr:uid="{2F8B922F-A596-4F43-8DB5-EB88E0211184}">
          <x14:formula1>
            <xm:f>'Tabla Valoración controles'!$D$4:$D$6</xm:f>
          </x14:formula1>
          <xm:sqref>AB15:AB25</xm:sqref>
        </x14:dataValidation>
        <x14:dataValidation type="list" allowBlank="1" showInputMessage="1" showErrorMessage="1" xr:uid="{DC38EDB2-F7BD-4E7B-9DDA-3C58EAD78CC5}">
          <x14:formula1>
            <xm:f>'Tabla Valoración controles'!$D$7:$D$8</xm:f>
          </x14:formula1>
          <xm:sqref>AC15:AC25</xm:sqref>
        </x14:dataValidation>
        <x14:dataValidation type="list" allowBlank="1" showInputMessage="1" showErrorMessage="1" xr:uid="{D75AC793-23AB-4ECB-AA93-972ACC7C18B9}">
          <x14:formula1>
            <xm:f>'Tabla Valoración controles'!$D$9:$D$10</xm:f>
          </x14:formula1>
          <xm:sqref>AE15:AE25</xm:sqref>
        </x14:dataValidation>
        <x14:dataValidation type="list" allowBlank="1" showInputMessage="1" showErrorMessage="1" xr:uid="{7CEE6D34-E894-4B07-9738-58E7887FE090}">
          <x14:formula1>
            <xm:f>'Tabla Valoración controles'!$D$11:$D$12</xm:f>
          </x14:formula1>
          <xm:sqref>AF15:AF25</xm:sqref>
        </x14:dataValidation>
        <x14:dataValidation type="list" allowBlank="1" showInputMessage="1" showErrorMessage="1" xr:uid="{B39FB738-8E70-4C89-BE00-31B6F6BC10CA}">
          <x14:formula1>
            <xm:f>'Tabla Valoración controles'!$D$13:$D$14</xm:f>
          </x14:formula1>
          <xm:sqref>AG15:AG25</xm:sqref>
        </x14:dataValidation>
        <x14:dataValidation type="list" allowBlank="1" showInputMessage="1" showErrorMessage="1" xr:uid="{BCC5CE02-71F3-4D30-B2B6-0BC8D084AB56}">
          <x14:formula1>
            <xm:f>'Opciones Tratamiento'!$B$2:$B$5</xm:f>
          </x14:formula1>
          <xm:sqref>AO15:AO25</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AS15:AS25 AV15:AV25</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AT15:AT25 AZ15:AZ25 AW15:AW25</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BA15:BA25</xm:sqref>
        </x14:dataValidation>
        <x14:dataValidation type="custom" allowBlank="1" showInputMessage="1" showErrorMessage="1" error="Recuerde que las acciones se generan bajo la medida de mitigar el riesgo" xr:uid="{E8320FA3-A9FC-4F06-87F9-B8E8015CA829}">
          <x14:formula1>
            <xm:f>IF(OR(AO15='[mapaderiesgodocumental24.xlsx]Opciones Tratamiento'!#REF!,AO15='[mapaderiesgodocumental24.xlsx]Opciones Tratamiento'!#REF!,AO15='[mapaderiesgodocumental24.xlsx]Opciones Tratamiento'!#REF!),ISBLANK(AO15),ISTEXT(AO15))</xm:f>
          </x14:formula1>
          <xm:sqref>AQ15:AQ25</xm:sqref>
        </x14:dataValidation>
        <x14:dataValidation type="custom" allowBlank="1" showInputMessage="1" showErrorMessage="1" error="Recuerde que las acciones se generan bajo la medida de mitigar el riesgo" xr:uid="{0B06E068-CA1C-44B5-A61A-1D4B184DDA3E}">
          <x14:formula1>
            <xm:f>IF(OR(AO15='[mapaderiesgodocumental24.xlsx]Opciones Tratamiento'!#REF!,AO15='[mapaderiesgodocumental24.xlsx]Opciones Tratamiento'!#REF!,AO15='[mapaderiesgodocumental24.xlsx]Opciones Tratamiento'!#REF!),ISBLANK(AO15),ISTEXT(AO15))</xm:f>
          </x14:formula1>
          <xm:sqref>AP15:AP25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8" sqref="D8"/>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34" t="s">
        <v>137</v>
      </c>
      <c r="C1" s="334"/>
      <c r="D1" s="334"/>
      <c r="E1" s="334"/>
      <c r="F1" s="334"/>
      <c r="G1" s="334"/>
      <c r="H1" s="334"/>
      <c r="I1" s="334"/>
      <c r="J1" s="334"/>
      <c r="L1" s="334" t="s">
        <v>139</v>
      </c>
      <c r="M1" s="334"/>
      <c r="N1" s="334"/>
      <c r="O1" s="334"/>
      <c r="P1" s="334"/>
      <c r="Q1" s="334"/>
      <c r="R1" s="334"/>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35" t="s">
        <v>318</v>
      </c>
      <c r="D2" s="336"/>
    </row>
    <row r="3" spans="3:4" x14ac:dyDescent="0.25">
      <c r="C3" s="337"/>
      <c r="D3" s="338"/>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51" t="s">
        <v>251</v>
      </c>
      <c r="E2" s="352"/>
      <c r="F2" s="352"/>
      <c r="G2" s="352"/>
      <c r="H2" s="352"/>
      <c r="I2" s="352"/>
      <c r="J2" s="352"/>
      <c r="K2" s="353"/>
      <c r="L2" s="342" t="s">
        <v>205</v>
      </c>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4"/>
      <c r="AP2" s="274" t="s">
        <v>250</v>
      </c>
      <c r="AQ2" s="339"/>
      <c r="AR2" s="339"/>
      <c r="AS2" s="339"/>
      <c r="AT2" s="339"/>
      <c r="AU2" s="339"/>
      <c r="AV2" s="247"/>
    </row>
    <row r="3" spans="1:101" x14ac:dyDescent="0.25">
      <c r="D3" s="354"/>
      <c r="E3" s="355"/>
      <c r="F3" s="355"/>
      <c r="G3" s="355"/>
      <c r="H3" s="355"/>
      <c r="I3" s="355"/>
      <c r="J3" s="355"/>
      <c r="K3" s="356"/>
      <c r="L3" s="345"/>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7"/>
      <c r="AP3" s="275" t="s">
        <v>264</v>
      </c>
      <c r="AQ3" s="340"/>
      <c r="AR3" s="340"/>
      <c r="AS3" s="340"/>
      <c r="AT3" s="340"/>
      <c r="AU3" s="340"/>
      <c r="AV3" s="249"/>
    </row>
    <row r="4" spans="1:101" x14ac:dyDescent="0.25">
      <c r="D4" s="354"/>
      <c r="E4" s="355"/>
      <c r="F4" s="355"/>
      <c r="G4" s="355"/>
      <c r="H4" s="355"/>
      <c r="I4" s="355"/>
      <c r="J4" s="355"/>
      <c r="K4" s="356"/>
      <c r="L4" s="345"/>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7"/>
      <c r="AP4" s="275" t="s">
        <v>389</v>
      </c>
      <c r="AQ4" s="340" t="s">
        <v>263</v>
      </c>
      <c r="AR4" s="340"/>
      <c r="AS4" s="340"/>
      <c r="AT4" s="340"/>
      <c r="AU4" s="340"/>
      <c r="AV4" s="249"/>
    </row>
    <row r="5" spans="1:101" ht="15.75" thickBot="1" x14ac:dyDescent="0.3">
      <c r="D5" s="357"/>
      <c r="E5" s="358"/>
      <c r="F5" s="358"/>
      <c r="G5" s="358"/>
      <c r="H5" s="358"/>
      <c r="I5" s="358"/>
      <c r="J5" s="358"/>
      <c r="K5" s="359"/>
      <c r="L5" s="348"/>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50"/>
      <c r="AP5" s="276" t="s">
        <v>245</v>
      </c>
      <c r="AQ5" s="341" t="s">
        <v>245</v>
      </c>
      <c r="AR5" s="341"/>
      <c r="AS5" s="341"/>
      <c r="AT5" s="341"/>
      <c r="AU5" s="341"/>
      <c r="AV5" s="251"/>
    </row>
    <row r="7" spans="1:101" ht="18" customHeight="1" x14ac:dyDescent="0.25">
      <c r="C7" s="69"/>
      <c r="D7" s="450" t="s">
        <v>157</v>
      </c>
      <c r="E7" s="450"/>
      <c r="F7" s="450"/>
      <c r="G7" s="450"/>
      <c r="H7" s="450"/>
      <c r="I7" s="450"/>
      <c r="J7" s="450"/>
      <c r="K7" s="450"/>
      <c r="L7" s="405" t="s">
        <v>2</v>
      </c>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23" t="s">
        <v>266</v>
      </c>
      <c r="B8" s="323"/>
      <c r="C8" s="324"/>
      <c r="D8" s="450"/>
      <c r="E8" s="450"/>
      <c r="F8" s="450"/>
      <c r="G8" s="450"/>
      <c r="H8" s="450"/>
      <c r="I8" s="450"/>
      <c r="J8" s="450"/>
      <c r="K8" s="450"/>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50"/>
      <c r="E9" s="450"/>
      <c r="F9" s="450"/>
      <c r="G9" s="450"/>
      <c r="H9" s="450"/>
      <c r="I9" s="450"/>
      <c r="J9" s="450"/>
      <c r="K9" s="450"/>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60" t="s">
        <v>4</v>
      </c>
      <c r="E11" s="360"/>
      <c r="F11" s="361"/>
      <c r="G11" s="398" t="s">
        <v>115</v>
      </c>
      <c r="H11" s="399"/>
      <c r="I11" s="399"/>
      <c r="J11" s="399"/>
      <c r="K11" s="399"/>
      <c r="L11" s="407" t="str">
        <f ca="1">IF(AND('Mapa final'!$Q$15="Muy Alta",'Mapa final'!$U$15="Leve"),CONCATENATE("R",'Mapa final'!$A$15),"")</f>
        <v/>
      </c>
      <c r="M11" s="408"/>
      <c r="N11" s="408" t="str">
        <f>IF(AND('Mapa final'!$L$16="Muy Alta",'Mapa final'!$P$16="Leve"),CONCATENATE("R",'Mapa final'!$A$16),"")</f>
        <v/>
      </c>
      <c r="O11" s="408"/>
      <c r="P11" s="408" t="str">
        <f>IF(AND('Mapa final'!$L$19="Muy Alta",'Mapa final'!$P$19="Leve"),CONCATENATE("R",'Mapa final'!$A$19),"")</f>
        <v/>
      </c>
      <c r="Q11" s="421"/>
      <c r="R11" s="407" t="str">
        <f ca="1">IF(AND('Mapa final'!$Q$15="Muy Alta",'Mapa final'!$U$15="Menor"),CONCATENATE("R",'Mapa final'!$A$15),"")</f>
        <v/>
      </c>
      <c r="S11" s="408"/>
      <c r="T11" s="408" t="str">
        <f>IF(AND('Mapa final'!$Q$16="Muy Alta",'Mapa final'!$U$16="Menor"),CONCATENATE("R",'Mapa final'!$A$16),"")</f>
        <v/>
      </c>
      <c r="U11" s="408"/>
      <c r="V11" s="408" t="str">
        <f ca="1">IF(AND('Mapa final'!$Q$19="Muy Alta",'Mapa final'!$U$19="Menor"),CONCATENATE("R",'Mapa final'!$A$19),"")</f>
        <v/>
      </c>
      <c r="W11" s="408"/>
      <c r="X11" s="407" t="str">
        <f ca="1">IF(AND('Mapa final'!$Q$15="Muy Alta",'Mapa final'!$U$15="Moderado"),CONCATENATE("R",'Mapa final'!$A$15),"")</f>
        <v/>
      </c>
      <c r="Y11" s="408"/>
      <c r="Z11" s="408" t="str">
        <f>IF(AND('Mapa final'!Q$16="Muy Alta",'Mapa final'!$U$16="Moderado"),CONCATENATE("R",'Mapa final'!$A$16),"")</f>
        <v/>
      </c>
      <c r="AA11" s="408"/>
      <c r="AB11" s="408" t="str">
        <f ca="1">IF(AND('Mapa final'!$Q$19="Muy Alta",'Mapa final'!$U$19="Moderado"),CONCATENATE("R",'Mapa final'!$A$19),"")</f>
        <v/>
      </c>
      <c r="AC11" s="408"/>
      <c r="AD11" s="407" t="str">
        <f ca="1">IF(AND('Mapa final'!$Q$15="Muy Alta",'Mapa final'!$U$15="Mayor"),CONCATENATE("R",'Mapa final'!$A$15),"")</f>
        <v/>
      </c>
      <c r="AE11" s="408"/>
      <c r="AF11" s="408" t="str">
        <f>IF(AND('Mapa final'!$Q$16="Muy Alta",'Mapa final'!$U$16="Mayor"),CONCATENATE("R",'Mapa final'!$A$16),"")</f>
        <v/>
      </c>
      <c r="AG11" s="408"/>
      <c r="AH11" s="408" t="str">
        <f ca="1">IF(AND('Mapa final'!$Q$19="Muy Alta",'Mapa final'!$U$19="Mayor"),CONCATENATE("R",'Mapa final'!$A$19),"")</f>
        <v/>
      </c>
      <c r="AI11" s="408"/>
      <c r="AJ11" s="426" t="str">
        <f ca="1">IF(AND('Mapa final'!$Q$15="Muy Alta",'Mapa final'!$U$15="Catastrófico"),CONCATENATE("R",'Mapa final'!$A$15),"")</f>
        <v/>
      </c>
      <c r="AK11" s="427"/>
      <c r="AL11" s="427" t="str">
        <f>IF(AND('Mapa final'!$Q$16="Muy Alta",'Mapa final'!$U$16="Catastrófico"),CONCATENATE("R",'Mapa final'!$A$16),"")</f>
        <v/>
      </c>
      <c r="AM11" s="427"/>
      <c r="AN11" s="427" t="str">
        <f ca="1">IF(AND('Mapa final'!$Q$19="Muy Alta",'Mapa final'!$U$19="Catastrófico"),CONCATENATE("R",'Mapa final'!$A$19),"")</f>
        <v/>
      </c>
      <c r="AO11" s="428"/>
      <c r="AQ11" s="362" t="s">
        <v>78</v>
      </c>
      <c r="AR11" s="363"/>
      <c r="AS11" s="363"/>
      <c r="AT11" s="363"/>
      <c r="AU11" s="363"/>
      <c r="AV11" s="364"/>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60"/>
      <c r="E12" s="360"/>
      <c r="F12" s="361"/>
      <c r="G12" s="400"/>
      <c r="H12" s="401"/>
      <c r="I12" s="401"/>
      <c r="J12" s="401"/>
      <c r="K12" s="402"/>
      <c r="L12" s="409"/>
      <c r="M12" s="406"/>
      <c r="N12" s="406"/>
      <c r="O12" s="406"/>
      <c r="P12" s="406"/>
      <c r="Q12" s="414"/>
      <c r="R12" s="409"/>
      <c r="S12" s="406"/>
      <c r="T12" s="406"/>
      <c r="U12" s="406"/>
      <c r="V12" s="406"/>
      <c r="W12" s="406"/>
      <c r="X12" s="409"/>
      <c r="Y12" s="406"/>
      <c r="Z12" s="406"/>
      <c r="AA12" s="406"/>
      <c r="AB12" s="406"/>
      <c r="AC12" s="406"/>
      <c r="AD12" s="409"/>
      <c r="AE12" s="406"/>
      <c r="AF12" s="406"/>
      <c r="AG12" s="406"/>
      <c r="AH12" s="406"/>
      <c r="AI12" s="406"/>
      <c r="AJ12" s="423"/>
      <c r="AK12" s="424"/>
      <c r="AL12" s="424"/>
      <c r="AM12" s="424"/>
      <c r="AN12" s="424"/>
      <c r="AO12" s="425"/>
      <c r="AP12" s="69"/>
      <c r="AQ12" s="365"/>
      <c r="AR12" s="366"/>
      <c r="AS12" s="366"/>
      <c r="AT12" s="366"/>
      <c r="AU12" s="366"/>
      <c r="AV12" s="367"/>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60"/>
      <c r="E13" s="360"/>
      <c r="F13" s="361"/>
      <c r="G13" s="400"/>
      <c r="H13" s="401"/>
      <c r="I13" s="401"/>
      <c r="J13" s="401"/>
      <c r="K13" s="402"/>
      <c r="L13" s="409" t="str">
        <f>IF(AND('Mapa final'!$Q$20="Muy Alta",'Mapa final'!$U$20="Leve"),CONCATENATE("R",'Mapa final'!$A$20),"")</f>
        <v/>
      </c>
      <c r="M13" s="406"/>
      <c r="N13" s="406" t="str">
        <f>IF(AND('Mapa final'!$L$22="Muy Alta",'Mapa final'!$P$22="Leve"),CONCATENATE("R",'Mapa final'!$A$22),"")</f>
        <v/>
      </c>
      <c r="O13" s="406"/>
      <c r="P13" s="406" t="str">
        <f>IF(AND('Mapa final'!$L$23="Muy Alta",'Mapa final'!$P$23="Leve"),CONCATENATE("R",'Mapa final'!$A$23),"")</f>
        <v/>
      </c>
      <c r="Q13" s="414"/>
      <c r="R13" s="409" t="str">
        <f>IF(AND('Mapa final'!$Q$20="Muy Alta",'Mapa final'!$U$20="Menor"),CONCATENATE("R",'Mapa final'!$A$20),"")</f>
        <v/>
      </c>
      <c r="S13" s="406"/>
      <c r="T13" s="406" t="str">
        <f ca="1">IF(AND('Mapa final'!$Q$22="Muy Alta",'Mapa final'!$U$22="Menor"),CONCATENATE("R",'Mapa final'!$A$22),"")</f>
        <v/>
      </c>
      <c r="U13" s="406"/>
      <c r="V13" s="406" t="str">
        <f>IF(AND('Mapa final'!$Q$23="Muy Alta",'Mapa final'!$U$23="Menor"),CONCATENATE("R",'Mapa final'!$A$23),"")</f>
        <v/>
      </c>
      <c r="W13" s="406"/>
      <c r="X13" s="409" t="str">
        <f>IF(AND('Mapa final'!$Q$20="Muy Alta",'Mapa final'!$U$20="Moderado"),CONCATENATE("R",'Mapa final'!$A$20),"")</f>
        <v/>
      </c>
      <c r="Y13" s="406"/>
      <c r="Z13" s="406" t="str">
        <f ca="1">IF(AND('Mapa final'!$Q$22="Muy Alta",'Mapa final'!$U$22="Moderado"),CONCATENATE("R",'Mapa final'!$A$22),"")</f>
        <v/>
      </c>
      <c r="AA13" s="406"/>
      <c r="AB13" s="406" t="str">
        <f>IF(AND('Mapa final'!$Q$23="Muy Alta",'Mapa final'!$U$23="Moderado"),CONCATENATE("R",'Mapa final'!$A$23),"")</f>
        <v/>
      </c>
      <c r="AC13" s="406"/>
      <c r="AD13" s="409" t="str">
        <f>IF(AND('Mapa final'!$Q$20="Muy Alta",'Mapa final'!$U$20="Mayor"),CONCATENATE("R",'Mapa final'!$A$20),"")</f>
        <v/>
      </c>
      <c r="AE13" s="406"/>
      <c r="AF13" s="406" t="str">
        <f ca="1">IF(AND('Mapa final'!$Q$22="Muy Alta",'Mapa final'!$U$22="Mayor"),CONCATENATE("R",'Mapa final'!$A$22),"")</f>
        <v/>
      </c>
      <c r="AG13" s="406"/>
      <c r="AH13" s="406" t="str">
        <f>IF(AND('Mapa final'!$Q$23="Muy Alta",'Mapa final'!$U$23="Mayor"),CONCATENATE("R",'Mapa final'!$A$23),"")</f>
        <v/>
      </c>
      <c r="AI13" s="406"/>
      <c r="AJ13" s="423" t="str">
        <f>IF(AND('Mapa final'!$Q$20="Muy Alta",'Mapa final'!$U$20="Catastrófico"),CONCATENATE("R",'Mapa final'!$A$20),"")</f>
        <v/>
      </c>
      <c r="AK13" s="424"/>
      <c r="AL13" s="424" t="str">
        <f ca="1">IF(AND('Mapa final'!$Q$22="Muy Alta",'Mapa final'!$U$22="Catastrófico"),CONCATENATE("R",'Mapa final'!$A$22),"")</f>
        <v/>
      </c>
      <c r="AM13" s="424"/>
      <c r="AN13" s="424" t="str">
        <f>IF(AND('Mapa final'!$Q$23="Muy Alta",'Mapa final'!$L$23="Catastrófico"),CONCATENATE("R",'Mapa final'!$A$23),"")</f>
        <v/>
      </c>
      <c r="AO13" s="425"/>
      <c r="AP13" s="69"/>
      <c r="AQ13" s="365"/>
      <c r="AR13" s="366"/>
      <c r="AS13" s="366"/>
      <c r="AT13" s="366"/>
      <c r="AU13" s="366"/>
      <c r="AV13" s="367"/>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60"/>
      <c r="E14" s="360"/>
      <c r="F14" s="361"/>
      <c r="G14" s="400"/>
      <c r="H14" s="401"/>
      <c r="I14" s="401"/>
      <c r="J14" s="401"/>
      <c r="K14" s="402"/>
      <c r="L14" s="409"/>
      <c r="M14" s="406"/>
      <c r="N14" s="406"/>
      <c r="O14" s="406"/>
      <c r="P14" s="406"/>
      <c r="Q14" s="414"/>
      <c r="R14" s="409"/>
      <c r="S14" s="406"/>
      <c r="T14" s="406"/>
      <c r="U14" s="406"/>
      <c r="V14" s="406"/>
      <c r="W14" s="406"/>
      <c r="X14" s="409"/>
      <c r="Y14" s="406"/>
      <c r="Z14" s="406"/>
      <c r="AA14" s="406"/>
      <c r="AB14" s="406"/>
      <c r="AC14" s="406"/>
      <c r="AD14" s="409"/>
      <c r="AE14" s="406"/>
      <c r="AF14" s="406"/>
      <c r="AG14" s="406"/>
      <c r="AH14" s="406"/>
      <c r="AI14" s="406"/>
      <c r="AJ14" s="423"/>
      <c r="AK14" s="424"/>
      <c r="AL14" s="424"/>
      <c r="AM14" s="424"/>
      <c r="AN14" s="424"/>
      <c r="AO14" s="425"/>
      <c r="AP14" s="69"/>
      <c r="AQ14" s="365"/>
      <c r="AR14" s="366"/>
      <c r="AS14" s="366"/>
      <c r="AT14" s="366"/>
      <c r="AU14" s="366"/>
      <c r="AV14" s="367"/>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60"/>
      <c r="E15" s="360"/>
      <c r="F15" s="361"/>
      <c r="G15" s="400"/>
      <c r="H15" s="401"/>
      <c r="I15" s="401"/>
      <c r="J15" s="401"/>
      <c r="K15" s="402"/>
      <c r="L15" s="409" t="str">
        <f ca="1">IF(AND('Mapa final'!$Q$24="Muy Alta",'Mapa final'!$U$24="Leve"),CONCATENATE("R",'Mapa final'!$A$24),"")</f>
        <v/>
      </c>
      <c r="M15" s="406"/>
      <c r="N15" s="406" t="str">
        <f>IF(AND('Mapa final'!$L$25="Muy Alta",'Mapa final'!$P$25="Leve"),CONCATENATE("R",'Mapa final'!$A$25),"")</f>
        <v/>
      </c>
      <c r="O15" s="406"/>
      <c r="P15" s="406" t="str">
        <f>IF(AND('Mapa final'!$L$26="Muy Alta",'Mapa final'!$P$26="Leve"),CONCATENATE("R",'Mapa final'!$A$26),"")</f>
        <v/>
      </c>
      <c r="Q15" s="414"/>
      <c r="R15" s="409" t="str">
        <f ca="1">IF(AND('Mapa final'!$Q$24="Muy Alta",'Mapa final'!$U$24="Menor"),CONCATENATE("R",'Mapa final'!$A$24),"")</f>
        <v/>
      </c>
      <c r="S15" s="406"/>
      <c r="T15" s="406" t="str">
        <f ca="1">IF(AND('Mapa final'!$LR$25="Muy Alta",'Mapa final'!$U$25="Menor"),CONCATENATE("R",'Mapa final'!$A$25),"")</f>
        <v/>
      </c>
      <c r="U15" s="406"/>
      <c r="V15" s="406" t="str">
        <f>IF(AND('Mapa final'!$Q$26="Muy Alta",'Mapa final'!$U$26="Menor"),CONCATENATE("R",'Mapa final'!$A$26),"")</f>
        <v/>
      </c>
      <c r="W15" s="406"/>
      <c r="X15" s="409" t="str">
        <f ca="1">IF(AND('Mapa final'!$Q$24="Muy Alta",'Mapa final'!$U$24="Moderado"),CONCATENATE("R",'Mapa final'!$A$24),"")</f>
        <v/>
      </c>
      <c r="Y15" s="406"/>
      <c r="Z15" s="406" t="str">
        <f ca="1">IF(AND('Mapa final'!$Q$25="Muy Alta",'Mapa final'!$U$25="Moderado"),CONCATENATE("R",'Mapa final'!$A$25),"")</f>
        <v/>
      </c>
      <c r="AA15" s="406"/>
      <c r="AB15" s="406" t="str">
        <f>IF(AND('Mapa final'!$Q$26="Muy Alta",'Mapa final'!$U$26="Moderado"),CONCATENATE("R",'Mapa final'!$A$26),"")</f>
        <v/>
      </c>
      <c r="AC15" s="406"/>
      <c r="AD15" s="409" t="str">
        <f ca="1">IF(AND('Mapa final'!$Q$24="Muy Alta",'Mapa final'!$U$24="Mayor"),CONCATENATE("R",'Mapa final'!$A$24),"")</f>
        <v/>
      </c>
      <c r="AE15" s="406"/>
      <c r="AF15" s="406" t="str">
        <f ca="1">IF(AND('Mapa final'!$Q$25="Muy Alta",'Mapa final'!$U$25="Mayor"),CONCATENATE("R",'Mapa final'!$A$25),"")</f>
        <v/>
      </c>
      <c r="AG15" s="406"/>
      <c r="AH15" s="406" t="str">
        <f>IF(AND('Mapa final'!$Q$26="Muy Alta",'Mapa final'!$U$26="Mayor"),CONCATENATE("R",'Mapa final'!$A$26),"")</f>
        <v/>
      </c>
      <c r="AI15" s="406"/>
      <c r="AJ15" s="423" t="str">
        <f ca="1">IF(AND('Mapa final'!$Q$24="Muy Alta",'Mapa final'!$U$24="Catastrófico"),CONCATENATE("R",'Mapa final'!$A$24),"")</f>
        <v/>
      </c>
      <c r="AK15" s="424"/>
      <c r="AL15" s="424" t="str">
        <f ca="1">IF(AND('Mapa final'!$Q$25="Muy Alta",'Mapa final'!$U$25="Catastrófico"),CONCATENATE("R",'Mapa final'!$A$25),"")</f>
        <v/>
      </c>
      <c r="AM15" s="424"/>
      <c r="AN15" s="424" t="str">
        <f>IF(AND('Mapa final'!$Q$26="Muy Alta",'Mapa final'!$U$26="Catastrófico"),CONCATENATE("R",'Mapa final'!$A$26),"")</f>
        <v/>
      </c>
      <c r="AO15" s="425"/>
      <c r="AP15" s="69"/>
      <c r="AQ15" s="365"/>
      <c r="AR15" s="366"/>
      <c r="AS15" s="366"/>
      <c r="AT15" s="366"/>
      <c r="AU15" s="366"/>
      <c r="AV15" s="367"/>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60"/>
      <c r="E16" s="360"/>
      <c r="F16" s="361"/>
      <c r="G16" s="400"/>
      <c r="H16" s="401"/>
      <c r="I16" s="401"/>
      <c r="J16" s="401"/>
      <c r="K16" s="402"/>
      <c r="L16" s="409"/>
      <c r="M16" s="406"/>
      <c r="N16" s="406"/>
      <c r="O16" s="406"/>
      <c r="P16" s="406"/>
      <c r="Q16" s="414"/>
      <c r="R16" s="409"/>
      <c r="S16" s="406"/>
      <c r="T16" s="406"/>
      <c r="U16" s="406"/>
      <c r="V16" s="406"/>
      <c r="W16" s="406"/>
      <c r="X16" s="409"/>
      <c r="Y16" s="406"/>
      <c r="Z16" s="406"/>
      <c r="AA16" s="406"/>
      <c r="AB16" s="406"/>
      <c r="AC16" s="406"/>
      <c r="AD16" s="409"/>
      <c r="AE16" s="406"/>
      <c r="AF16" s="406"/>
      <c r="AG16" s="406"/>
      <c r="AH16" s="406"/>
      <c r="AI16" s="406"/>
      <c r="AJ16" s="423"/>
      <c r="AK16" s="424"/>
      <c r="AL16" s="424"/>
      <c r="AM16" s="424"/>
      <c r="AN16" s="424"/>
      <c r="AO16" s="425"/>
      <c r="AP16" s="69"/>
      <c r="AQ16" s="365"/>
      <c r="AR16" s="366"/>
      <c r="AS16" s="366"/>
      <c r="AT16" s="366"/>
      <c r="AU16" s="366"/>
      <c r="AV16" s="367"/>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60"/>
      <c r="E17" s="360"/>
      <c r="F17" s="361"/>
      <c r="G17" s="400"/>
      <c r="H17" s="401"/>
      <c r="I17" s="401"/>
      <c r="J17" s="401"/>
      <c r="K17" s="402"/>
      <c r="L17" s="409" t="str">
        <f>IF(AND('Mapa final'!$Q$27="Muy Alta",'Mapa final'!$U$27="Leve"),CONCATENATE("R",'Mapa final'!$A$27),"")</f>
        <v/>
      </c>
      <c r="M17" s="406"/>
      <c r="N17" s="406" t="str">
        <f>IF(AND('Mapa final'!$L$28="Muy Alta",'Mapa final'!$P$28="Leve"),CONCATENATE("R",'Mapa final'!$A$28),"")</f>
        <v/>
      </c>
      <c r="O17" s="406"/>
      <c r="P17" s="406" t="str">
        <f>IF(AND('Mapa final'!$L$29="Muy Alta",'Mapa final'!$P$29="Leve"),CONCATENATE("R",'Mapa final'!$A$29),"")</f>
        <v/>
      </c>
      <c r="Q17" s="414"/>
      <c r="R17" s="409" t="str">
        <f>IF(AND('Mapa final'!$Q$27="Muy Alta",'Mapa final'!$U$27="Menor"),CONCATENATE("R",'Mapa final'!$A$27),"")</f>
        <v/>
      </c>
      <c r="S17" s="406"/>
      <c r="T17" s="406" t="str">
        <f>IF(AND('Mapa final'!$Q$28="Muy Alta",'Mapa final'!$U$28="Menor"),CONCATENATE("R",'Mapa final'!$A$28),"")</f>
        <v/>
      </c>
      <c r="U17" s="406"/>
      <c r="V17" s="406" t="str">
        <f>IF(AND('Mapa final'!$Q$29="Muy Alta",'Mapa final'!$U$29="Menor"),CONCATENATE("R",'Mapa final'!$A$29),"")</f>
        <v/>
      </c>
      <c r="W17" s="406"/>
      <c r="X17" s="409" t="str">
        <f>IF(AND('Mapa final'!$Q$27="Muy Alta",'Mapa final'!$U$27="Moderado"),CONCATENATE("R",'Mapa final'!$A$27),"")</f>
        <v/>
      </c>
      <c r="Y17" s="406"/>
      <c r="Z17" s="406" t="str">
        <f>IF(AND('Mapa final'!$Q$28="Muy Alta",'Mapa final'!$U$28="Moderado"),CONCATENATE("R",'Mapa final'!$A$28),"")</f>
        <v/>
      </c>
      <c r="AA17" s="406"/>
      <c r="AB17" s="406" t="str">
        <f>IF(AND('Mapa final'!$Q$29="Muy Alta",'Mapa final'!$U$29="Moderado"),CONCATENATE("R",'Mapa final'!$A$29),"")</f>
        <v/>
      </c>
      <c r="AC17" s="406"/>
      <c r="AD17" s="409" t="str">
        <f>IF(AND('Mapa final'!$Q$27="Muy Alta",'Mapa final'!$U$27="Mayor"),CONCATENATE("R",'Mapa final'!$A$27),"")</f>
        <v/>
      </c>
      <c r="AE17" s="406"/>
      <c r="AF17" s="406" t="str">
        <f>IF(AND('Mapa final'!$Q$28="Muy Alta",'Mapa final'!$U$28="Mayor"),CONCATENATE("R",'Mapa final'!$A$28),"")</f>
        <v/>
      </c>
      <c r="AG17" s="406"/>
      <c r="AH17" s="406" t="str">
        <f>IF(AND('Mapa final'!$Q$29="Muy Alta",'Mapa final'!$U$29="Mayor"),CONCATENATE("R",'Mapa final'!$A$29),"")</f>
        <v/>
      </c>
      <c r="AI17" s="406"/>
      <c r="AJ17" s="423" t="str">
        <f>IF(AND('Mapa final'!$Q$27="Muy Alta",'Mapa final'!$U$27="Catastrófico"),CONCATENATE("R",'Mapa final'!$A$27),"")</f>
        <v/>
      </c>
      <c r="AK17" s="424"/>
      <c r="AL17" s="424" t="str">
        <f>IF(AND('Mapa final'!$Q$28="Muy Alta",'Mapa final'!$U$28="Catastrófico"),CONCATENATE("R",'Mapa final'!$A$28),"")</f>
        <v/>
      </c>
      <c r="AM17" s="424"/>
      <c r="AN17" s="424" t="str">
        <f>IF(AND('Mapa final'!$Q$29="Muy Alta",'Mapa final'!$U$29="Catastrófico"),CONCATENATE("R",'Mapa final'!$A$29),"")</f>
        <v/>
      </c>
      <c r="AO17" s="425"/>
      <c r="AP17" s="69"/>
      <c r="AQ17" s="365"/>
      <c r="AR17" s="366"/>
      <c r="AS17" s="366"/>
      <c r="AT17" s="366"/>
      <c r="AU17" s="366"/>
      <c r="AV17" s="367"/>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60"/>
      <c r="E18" s="360"/>
      <c r="F18" s="361"/>
      <c r="G18" s="403"/>
      <c r="H18" s="404"/>
      <c r="I18" s="404"/>
      <c r="J18" s="404"/>
      <c r="K18" s="404"/>
      <c r="L18" s="420"/>
      <c r="M18" s="415"/>
      <c r="N18" s="415"/>
      <c r="O18" s="415"/>
      <c r="P18" s="415"/>
      <c r="Q18" s="416"/>
      <c r="R18" s="420"/>
      <c r="S18" s="415"/>
      <c r="T18" s="415"/>
      <c r="U18" s="415"/>
      <c r="V18" s="415"/>
      <c r="W18" s="415"/>
      <c r="X18" s="409"/>
      <c r="Y18" s="406"/>
      <c r="Z18" s="406"/>
      <c r="AA18" s="406"/>
      <c r="AB18" s="406"/>
      <c r="AC18" s="406"/>
      <c r="AD18" s="409"/>
      <c r="AE18" s="406"/>
      <c r="AF18" s="406"/>
      <c r="AG18" s="406"/>
      <c r="AH18" s="406"/>
      <c r="AI18" s="406"/>
      <c r="AJ18" s="423"/>
      <c r="AK18" s="424"/>
      <c r="AL18" s="424"/>
      <c r="AM18" s="424"/>
      <c r="AN18" s="424"/>
      <c r="AO18" s="425"/>
      <c r="AP18" s="69"/>
      <c r="AQ18" s="368"/>
      <c r="AR18" s="369"/>
      <c r="AS18" s="369"/>
      <c r="AT18" s="369"/>
      <c r="AU18" s="369"/>
      <c r="AV18" s="370"/>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60"/>
      <c r="E19" s="360"/>
      <c r="F19" s="361"/>
      <c r="G19" s="398" t="s">
        <v>114</v>
      </c>
      <c r="H19" s="399"/>
      <c r="I19" s="399"/>
      <c r="J19" s="399"/>
      <c r="K19" s="399"/>
      <c r="L19" s="437" t="str">
        <f ca="1">IF(AND('Mapa final'!$Q$15="Alta",'Mapa final'!$U$15="Leve"),CONCATENATE("R",'Mapa final'!$A$15),"")</f>
        <v/>
      </c>
      <c r="M19" s="438"/>
      <c r="N19" s="438" t="str">
        <f>IF(AND('Mapa final'!$L$16="Alta",'Mapa final'!$P$16="Leve"),CONCATENATE("R",'Mapa final'!$A$16),"")</f>
        <v/>
      </c>
      <c r="O19" s="438"/>
      <c r="P19" s="438" t="str">
        <f>IF(AND('Mapa final'!$L$19="Alta",'Mapa final'!$P$19="Leve"),CONCATENATE("R",'Mapa final'!$A$19),"")</f>
        <v/>
      </c>
      <c r="Q19" s="439"/>
      <c r="R19" s="437" t="str">
        <f ca="1">IF(AND('Mapa final'!$Q$15="Alta",'Mapa final'!$U$15="Menor"),CONCATENATE("R",'Mapa final'!$A$15),"")</f>
        <v/>
      </c>
      <c r="S19" s="438"/>
      <c r="T19" s="418" t="str">
        <f>IF(AND('Mapa final'!$Q$16="Alta",'Mapa final'!$U$16="Menor"),CONCATENATE("R",'Mapa final'!$A$16),"")</f>
        <v/>
      </c>
      <c r="U19" s="418"/>
      <c r="V19" s="418" t="str">
        <f ca="1">IF(AND('Mapa final'!$Q$19="Alta",'Mapa final'!$U$19="Menor"),CONCATENATE("R",'Mapa final'!$A$19),"")</f>
        <v/>
      </c>
      <c r="W19" s="418"/>
      <c r="X19" s="407" t="str">
        <f ca="1">IF(AND('Mapa final'!$Q$15="Alta",'Mapa final'!$U$15="Moderado"),CONCATENATE("R",'Mapa final'!$A$15),"")</f>
        <v/>
      </c>
      <c r="Y19" s="408"/>
      <c r="Z19" s="408" t="str">
        <f>IF(AND('Mapa final'!Q$16="Alta",'Mapa final'!$U$16="Moderado"),CONCATENATE("R",'Mapa final'!$A$16),"")</f>
        <v/>
      </c>
      <c r="AA19" s="408"/>
      <c r="AB19" s="408" t="str">
        <f ca="1">IF(AND('Mapa final'!$Q$19="Alta",'Mapa final'!$U$19="Moderado"),CONCATENATE("R",'Mapa final'!$A$19),"")</f>
        <v/>
      </c>
      <c r="AC19" s="408"/>
      <c r="AD19" s="407" t="str">
        <f ca="1">IF(AND('Mapa final'!$Q$15="Alta",'Mapa final'!$U$15="Mayor"),CONCATENATE("R",'Mapa final'!$A$15),"")</f>
        <v/>
      </c>
      <c r="AE19" s="408"/>
      <c r="AF19" s="408" t="str">
        <f>IF(AND('Mapa final'!$Q$16="Alta",'Mapa final'!$U$16="Mayor"),CONCATENATE("R",'Mapa final'!$A$16),"")</f>
        <v/>
      </c>
      <c r="AG19" s="408"/>
      <c r="AH19" s="408" t="str">
        <f ca="1">IF(AND('Mapa final'!$Q$19="Alta",'Mapa final'!$U$19="Mayor"),CONCATENATE("R",'Mapa final'!$A$19),"")</f>
        <v/>
      </c>
      <c r="AI19" s="408"/>
      <c r="AJ19" s="426" t="str">
        <f ca="1">IF(AND('Mapa final'!$Q$15="Alta",'Mapa final'!$U$15="Catastrófico"),CONCATENATE("R",'Mapa final'!$A$15),"")</f>
        <v/>
      </c>
      <c r="AK19" s="427"/>
      <c r="AL19" s="427" t="str">
        <f>IF(AND('Mapa final'!$Q$16="Alta",'Mapa final'!$U$16="Catastrófico"),CONCATENATE("R",'Mapa final'!$A$16),"")</f>
        <v/>
      </c>
      <c r="AM19" s="427"/>
      <c r="AN19" s="427" t="str">
        <f ca="1">IF(AND('Mapa final'!$Q$19="Alta",'Mapa final'!$U$19="Catastrófico"),CONCATENATE("R",'Mapa final'!$A$19),"")</f>
        <v/>
      </c>
      <c r="AO19" s="428"/>
      <c r="AP19" s="69"/>
      <c r="AQ19" s="371" t="s">
        <v>79</v>
      </c>
      <c r="AR19" s="372"/>
      <c r="AS19" s="372"/>
      <c r="AT19" s="372"/>
      <c r="AU19" s="372"/>
      <c r="AV19" s="373"/>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60"/>
      <c r="E20" s="360"/>
      <c r="F20" s="361"/>
      <c r="G20" s="400"/>
      <c r="H20" s="401"/>
      <c r="I20" s="401"/>
      <c r="J20" s="401"/>
      <c r="K20" s="401"/>
      <c r="L20" s="417"/>
      <c r="M20" s="418"/>
      <c r="N20" s="418"/>
      <c r="O20" s="418"/>
      <c r="P20" s="418"/>
      <c r="Q20" s="433"/>
      <c r="R20" s="417"/>
      <c r="S20" s="418"/>
      <c r="T20" s="440"/>
      <c r="U20" s="440"/>
      <c r="V20" s="440"/>
      <c r="W20" s="440"/>
      <c r="X20" s="409"/>
      <c r="Y20" s="406"/>
      <c r="Z20" s="406"/>
      <c r="AA20" s="406"/>
      <c r="AB20" s="406"/>
      <c r="AC20" s="406"/>
      <c r="AD20" s="409"/>
      <c r="AE20" s="406"/>
      <c r="AF20" s="406"/>
      <c r="AG20" s="406"/>
      <c r="AH20" s="406"/>
      <c r="AI20" s="406"/>
      <c r="AJ20" s="423"/>
      <c r="AK20" s="424"/>
      <c r="AL20" s="424"/>
      <c r="AM20" s="424"/>
      <c r="AN20" s="424"/>
      <c r="AO20" s="425"/>
      <c r="AP20" s="69"/>
      <c r="AQ20" s="374"/>
      <c r="AR20" s="375"/>
      <c r="AS20" s="375"/>
      <c r="AT20" s="375"/>
      <c r="AU20" s="375"/>
      <c r="AV20" s="376"/>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60"/>
      <c r="E21" s="360"/>
      <c r="F21" s="361"/>
      <c r="G21" s="400"/>
      <c r="H21" s="401"/>
      <c r="I21" s="401"/>
      <c r="J21" s="401"/>
      <c r="K21" s="401"/>
      <c r="L21" s="417" t="str">
        <f>IF(AND('Mapa final'!$Q$20="Alta",'Mapa final'!$U$20="Leve"),CONCATENATE("R",'Mapa final'!$A$20),"")</f>
        <v/>
      </c>
      <c r="M21" s="418"/>
      <c r="N21" s="418" t="str">
        <f>IF(AND('Mapa final'!$L$22="Alta",'Mapa final'!$P$22="Leve"),CONCATENATE("R",'Mapa final'!$A$22),"")</f>
        <v/>
      </c>
      <c r="O21" s="418"/>
      <c r="P21" s="418" t="str">
        <f>IF(AND('Mapa final'!$L$23="Alta",'Mapa final'!$P$23="Leve"),CONCATENATE("R",'Mapa final'!$A$23),"")</f>
        <v/>
      </c>
      <c r="Q21" s="433"/>
      <c r="R21" s="417" t="str">
        <f>IF(AND('Mapa final'!$Q$20="Alta",'Mapa final'!$U$20="Menor"),CONCATENATE("R",'Mapa final'!$A$20),"")</f>
        <v/>
      </c>
      <c r="S21" s="418"/>
      <c r="T21" s="418" t="str">
        <f ca="1">IF(AND('Mapa final'!$Q$22="Alta",'Mapa final'!$U$22="Menor"),CONCATENATE("R",'Mapa final'!$A$22),"")</f>
        <v/>
      </c>
      <c r="U21" s="418"/>
      <c r="V21" s="418" t="str">
        <f>IF(AND('Mapa final'!$Q$23="Alta",'Mapa final'!$U$23="Menor"),CONCATENATE("R",'Mapa final'!$A$23),"")</f>
        <v/>
      </c>
      <c r="W21" s="418"/>
      <c r="X21" s="409" t="str">
        <f>IF(AND('Mapa final'!$Q$20="Alta",'Mapa final'!$U$20="Moderado"),CONCATENATE("R",'Mapa final'!$A$20),"")</f>
        <v/>
      </c>
      <c r="Y21" s="406"/>
      <c r="Z21" s="406" t="str">
        <f ca="1">IF(AND('Mapa final'!$Q$22="Alta",'Mapa final'!$U$22="Moderado"),CONCATENATE("R",'Mapa final'!$A$22),"")</f>
        <v/>
      </c>
      <c r="AA21" s="406"/>
      <c r="AB21" s="406" t="str">
        <f>IF(AND('Mapa final'!$Q$23="Alta",'Mapa final'!$U$23="Moderado"),CONCATENATE("R",'Mapa final'!$A$23),"")</f>
        <v/>
      </c>
      <c r="AC21" s="406"/>
      <c r="AD21" s="409" t="str">
        <f>IF(AND('Mapa final'!$Q$20="Alta",'Mapa final'!$U$20="Mayor"),CONCATENATE("R",'Mapa final'!$A$20),"")</f>
        <v/>
      </c>
      <c r="AE21" s="406"/>
      <c r="AF21" s="406" t="str">
        <f ca="1">IF(AND('Mapa final'!$Q$22="Alta",'Mapa final'!$U$22="Mayor"),CONCATENATE("R",'Mapa final'!$A$22),"")</f>
        <v/>
      </c>
      <c r="AG21" s="406"/>
      <c r="AH21" s="406" t="str">
        <f>IF(AND('Mapa final'!$Q$23="Alta",'Mapa final'!$U$23="Mayor"),CONCATENATE("R",'Mapa final'!$A$23),"")</f>
        <v/>
      </c>
      <c r="AI21" s="406"/>
      <c r="AJ21" s="423" t="str">
        <f>IF(AND('Mapa final'!$Q$20="Alta",'Mapa final'!$U$20="Catastrófico"),CONCATENATE("R",'Mapa final'!$A$20),"")</f>
        <v/>
      </c>
      <c r="AK21" s="424"/>
      <c r="AL21" s="424" t="str">
        <f ca="1">IF(AND('Mapa final'!$Q$22="Alta",'Mapa final'!$U$22="Catastrófico"),CONCATENATE("R",'Mapa final'!$A$22),"")</f>
        <v/>
      </c>
      <c r="AM21" s="424"/>
      <c r="AN21" s="424" t="str">
        <f>IF(AND('Mapa final'!$Q$23="Alta",'Mapa final'!$L$23="Catastrófico"),CONCATENATE("R",'Mapa final'!$A$23),"")</f>
        <v/>
      </c>
      <c r="AO21" s="425"/>
      <c r="AP21" s="69"/>
      <c r="AQ21" s="374"/>
      <c r="AR21" s="375"/>
      <c r="AS21" s="375"/>
      <c r="AT21" s="375"/>
      <c r="AU21" s="375"/>
      <c r="AV21" s="376"/>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60"/>
      <c r="E22" s="360"/>
      <c r="F22" s="361"/>
      <c r="G22" s="400"/>
      <c r="H22" s="401"/>
      <c r="I22" s="401"/>
      <c r="J22" s="401"/>
      <c r="K22" s="401"/>
      <c r="L22" s="417"/>
      <c r="M22" s="418"/>
      <c r="N22" s="418"/>
      <c r="O22" s="418"/>
      <c r="P22" s="418"/>
      <c r="Q22" s="433"/>
      <c r="R22" s="417"/>
      <c r="S22" s="418"/>
      <c r="T22" s="440"/>
      <c r="U22" s="440"/>
      <c r="V22" s="440"/>
      <c r="W22" s="440"/>
      <c r="X22" s="409"/>
      <c r="Y22" s="406"/>
      <c r="Z22" s="406"/>
      <c r="AA22" s="406"/>
      <c r="AB22" s="406"/>
      <c r="AC22" s="406"/>
      <c r="AD22" s="409"/>
      <c r="AE22" s="406"/>
      <c r="AF22" s="406"/>
      <c r="AG22" s="406"/>
      <c r="AH22" s="406"/>
      <c r="AI22" s="406"/>
      <c r="AJ22" s="423"/>
      <c r="AK22" s="424"/>
      <c r="AL22" s="424"/>
      <c r="AM22" s="424"/>
      <c r="AN22" s="424"/>
      <c r="AO22" s="425"/>
      <c r="AP22" s="69"/>
      <c r="AQ22" s="374"/>
      <c r="AR22" s="375"/>
      <c r="AS22" s="375"/>
      <c r="AT22" s="375"/>
      <c r="AU22" s="375"/>
      <c r="AV22" s="376"/>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60"/>
      <c r="E23" s="360"/>
      <c r="F23" s="361"/>
      <c r="G23" s="400"/>
      <c r="H23" s="401"/>
      <c r="I23" s="401"/>
      <c r="J23" s="401"/>
      <c r="K23" s="401"/>
      <c r="L23" s="417" t="str">
        <f ca="1">IF(AND('Mapa final'!$Q$24="Alta",'Mapa final'!$U$24="Leve"),CONCATENATE("R",'Mapa final'!$A$24),"")</f>
        <v/>
      </c>
      <c r="M23" s="418"/>
      <c r="N23" s="418" t="str">
        <f>IF(AND('Mapa final'!$L$25="Alta",'Mapa final'!$P$25="Leve"),CONCATENATE("R",'Mapa final'!$A$25),"")</f>
        <v/>
      </c>
      <c r="O23" s="418"/>
      <c r="P23" s="418" t="str">
        <f>IF(AND('Mapa final'!$L$26="Alta",'Mapa final'!$P$26="Leve"),CONCATENATE("R",'Mapa final'!$A$26),"")</f>
        <v/>
      </c>
      <c r="Q23" s="433"/>
      <c r="R23" s="417" t="str">
        <f ca="1">IF(AND('Mapa final'!$Q$24="Alta",'Mapa final'!$U$24="Menor"),CONCATENATE("R",'Mapa final'!$A$24),"")</f>
        <v/>
      </c>
      <c r="S23" s="418"/>
      <c r="T23" s="418" t="str">
        <f ca="1">IF(AND('Mapa final'!$LR$25="Alta",'Mapa final'!$U$25="Menor"),CONCATENATE("R",'Mapa final'!$A$25),"")</f>
        <v/>
      </c>
      <c r="U23" s="418"/>
      <c r="V23" s="418" t="str">
        <f>IF(AND('Mapa final'!$Q$26="Alta",'Mapa final'!$U$26="Menor"),CONCATENATE("R",'Mapa final'!$A$26),"")</f>
        <v/>
      </c>
      <c r="W23" s="418"/>
      <c r="X23" s="409" t="str">
        <f ca="1">IF(AND('Mapa final'!$Q$24="Alta",'Mapa final'!$U$24="Moderado"),CONCATENATE("R",'Mapa final'!$A$24),"")</f>
        <v/>
      </c>
      <c r="Y23" s="406"/>
      <c r="Z23" s="406" t="str">
        <f ca="1">IF(AND('Mapa final'!$Q$25="Alta",'Mapa final'!$U$25="Moderado"),CONCATENATE("R",'Mapa final'!$A$25),"")</f>
        <v/>
      </c>
      <c r="AA23" s="406"/>
      <c r="AB23" s="406" t="str">
        <f>IF(AND('Mapa final'!$Q$26="Alta",'Mapa final'!$U$26="Moderado"),CONCATENATE("R",'Mapa final'!$A$26),"")</f>
        <v/>
      </c>
      <c r="AC23" s="406"/>
      <c r="AD23" s="409" t="str">
        <f ca="1">IF(AND('Mapa final'!$Q$24="Alta",'Mapa final'!$U$24="Mayor"),CONCATENATE("R",'Mapa final'!$A$24),"")</f>
        <v/>
      </c>
      <c r="AE23" s="406"/>
      <c r="AF23" s="406" t="str">
        <f ca="1">IF(AND('Mapa final'!$Q$25="Alta",'Mapa final'!$U$25="Mayor"),CONCATENATE("R",'Mapa final'!$A$25),"")</f>
        <v/>
      </c>
      <c r="AG23" s="406"/>
      <c r="AH23" s="406" t="str">
        <f>IF(AND('Mapa final'!$Q$26="Alta",'Mapa final'!$U$26="Mayor"),CONCATENATE("R",'Mapa final'!$A$26),"")</f>
        <v/>
      </c>
      <c r="AI23" s="406"/>
      <c r="AJ23" s="423" t="str">
        <f ca="1">IF(AND('Mapa final'!$Q$24="Alta",'Mapa final'!$U$24="Catastrófico"),CONCATENATE("R",'Mapa final'!$A$24),"")</f>
        <v/>
      </c>
      <c r="AK23" s="424"/>
      <c r="AL23" s="424" t="str">
        <f ca="1">IF(AND('Mapa final'!$Q$25="Alta",'Mapa final'!$U$25="Catastrófico"),CONCATENATE("R",'Mapa final'!$A$25),"")</f>
        <v/>
      </c>
      <c r="AM23" s="424"/>
      <c r="AN23" s="424" t="str">
        <f>IF(AND('Mapa final'!$Q$26="Alta",'Mapa final'!$U$26="Catastrófico"),CONCATENATE("R",'Mapa final'!$A$26),"")</f>
        <v/>
      </c>
      <c r="AO23" s="425"/>
      <c r="AP23" s="69"/>
      <c r="AQ23" s="374"/>
      <c r="AR23" s="375"/>
      <c r="AS23" s="375"/>
      <c r="AT23" s="375"/>
      <c r="AU23" s="375"/>
      <c r="AV23" s="376"/>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60"/>
      <c r="E24" s="360"/>
      <c r="F24" s="361"/>
      <c r="G24" s="400"/>
      <c r="H24" s="401"/>
      <c r="I24" s="401"/>
      <c r="J24" s="401"/>
      <c r="K24" s="401"/>
      <c r="L24" s="417"/>
      <c r="M24" s="418"/>
      <c r="N24" s="418"/>
      <c r="O24" s="418"/>
      <c r="P24" s="418"/>
      <c r="Q24" s="433"/>
      <c r="R24" s="417"/>
      <c r="S24" s="418"/>
      <c r="T24" s="440"/>
      <c r="U24" s="440"/>
      <c r="V24" s="440"/>
      <c r="W24" s="440"/>
      <c r="X24" s="409"/>
      <c r="Y24" s="406"/>
      <c r="Z24" s="406"/>
      <c r="AA24" s="406"/>
      <c r="AB24" s="406"/>
      <c r="AC24" s="406"/>
      <c r="AD24" s="409"/>
      <c r="AE24" s="406"/>
      <c r="AF24" s="406"/>
      <c r="AG24" s="406"/>
      <c r="AH24" s="406"/>
      <c r="AI24" s="406"/>
      <c r="AJ24" s="423"/>
      <c r="AK24" s="424"/>
      <c r="AL24" s="424"/>
      <c r="AM24" s="424"/>
      <c r="AN24" s="424"/>
      <c r="AO24" s="425"/>
      <c r="AP24" s="69"/>
      <c r="AQ24" s="374"/>
      <c r="AR24" s="375"/>
      <c r="AS24" s="375"/>
      <c r="AT24" s="375"/>
      <c r="AU24" s="375"/>
      <c r="AV24" s="376"/>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60"/>
      <c r="E25" s="360"/>
      <c r="F25" s="361"/>
      <c r="G25" s="400"/>
      <c r="H25" s="401"/>
      <c r="I25" s="401"/>
      <c r="J25" s="401"/>
      <c r="K25" s="401"/>
      <c r="L25" s="417" t="str">
        <f>IF(AND('Mapa final'!$Q$27="Alta",'Mapa final'!$U$27="Leve"),CONCATENATE("R",'Mapa final'!$A$27),"")</f>
        <v/>
      </c>
      <c r="M25" s="418"/>
      <c r="N25" s="418" t="str">
        <f>IF(AND('Mapa final'!$L$28="Alta",'Mapa final'!$P$28="Leve"),CONCATENATE("R",'Mapa final'!$A$28),"")</f>
        <v/>
      </c>
      <c r="O25" s="418"/>
      <c r="P25" s="418" t="str">
        <f>IF(AND('Mapa final'!$L$29="Alta",'Mapa final'!$P$29="Leve"),CONCATENATE("R",'Mapa final'!$A$29),"")</f>
        <v/>
      </c>
      <c r="Q25" s="433"/>
      <c r="R25" s="417" t="str">
        <f>IF(AND('Mapa final'!$Q$27="Alta",'Mapa final'!$U$27="Menor"),CONCATENATE("R",'Mapa final'!$A$27),"")</f>
        <v/>
      </c>
      <c r="S25" s="418"/>
      <c r="T25" s="418" t="str">
        <f>IF(AND('Mapa final'!$Q$28="Alta",'Mapa final'!$U$28="Menor"),CONCATENATE("R",'Mapa final'!$A$28),"")</f>
        <v/>
      </c>
      <c r="U25" s="418"/>
      <c r="V25" s="418" t="str">
        <f>IF(AND('Mapa final'!$Q$29="Alta",'Mapa final'!$U$29="Menor"),CONCATENATE("R",'Mapa final'!$A$29),"")</f>
        <v/>
      </c>
      <c r="W25" s="418"/>
      <c r="X25" s="409" t="str">
        <f>IF(AND('Mapa final'!$Q$27="Alta",'Mapa final'!$U$27="Moderado"),CONCATENATE("R",'Mapa final'!$A$27),"")</f>
        <v/>
      </c>
      <c r="Y25" s="406"/>
      <c r="Z25" s="406" t="str">
        <f>IF(AND('Mapa final'!$Q$28="Alta",'Mapa final'!$U$28="Moderado"),CONCATENATE("R",'Mapa final'!$A$28),"")</f>
        <v/>
      </c>
      <c r="AA25" s="406"/>
      <c r="AB25" s="406" t="str">
        <f>IF(AND('Mapa final'!$Q$29="Alta",'Mapa final'!$U$29="Moderado"),CONCATENATE("R",'Mapa final'!$A$29),"")</f>
        <v/>
      </c>
      <c r="AC25" s="406"/>
      <c r="AD25" s="409" t="str">
        <f>IF(AND('Mapa final'!$Q$27="Alta",'Mapa final'!$U$27="Mayor"),CONCATENATE("R",'Mapa final'!$A$27),"")</f>
        <v/>
      </c>
      <c r="AE25" s="406"/>
      <c r="AF25" s="406" t="str">
        <f>IF(AND('Mapa final'!$Q$28="Alta",'Mapa final'!$U$28="Mayor"),CONCATENATE("R",'Mapa final'!$A$28),"")</f>
        <v/>
      </c>
      <c r="AG25" s="406"/>
      <c r="AH25" s="406" t="str">
        <f>IF(AND('Mapa final'!$Q$29="Alta",'Mapa final'!$U$29="Mayor"),CONCATENATE("R",'Mapa final'!$A$29),"")</f>
        <v/>
      </c>
      <c r="AI25" s="406"/>
      <c r="AJ25" s="423" t="str">
        <f>IF(AND('Mapa final'!$Q$27="Alta",'Mapa final'!$U$27="Catastrófico"),CONCATENATE("R",'Mapa final'!$A$27),"")</f>
        <v/>
      </c>
      <c r="AK25" s="424"/>
      <c r="AL25" s="424" t="str">
        <f>IF(AND('Mapa final'!$Q$28="Alta",'Mapa final'!$U$28="Catastrófico"),CONCATENATE("R",'Mapa final'!$A$28),"")</f>
        <v/>
      </c>
      <c r="AM25" s="424"/>
      <c r="AN25" s="424" t="str">
        <f>IF(AND('Mapa final'!$Q$29="Alta",'Mapa final'!$U$29="Catastrófico"),CONCATENATE("R",'Mapa final'!$A$29),"")</f>
        <v/>
      </c>
      <c r="AO25" s="425"/>
      <c r="AP25" s="69"/>
      <c r="AQ25" s="374"/>
      <c r="AR25" s="375"/>
      <c r="AS25" s="375"/>
      <c r="AT25" s="375"/>
      <c r="AU25" s="375"/>
      <c r="AV25" s="376"/>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60"/>
      <c r="E26" s="360"/>
      <c r="F26" s="361"/>
      <c r="G26" s="403"/>
      <c r="H26" s="404"/>
      <c r="I26" s="404"/>
      <c r="J26" s="404"/>
      <c r="K26" s="404"/>
      <c r="L26" s="434"/>
      <c r="M26" s="435"/>
      <c r="N26" s="435"/>
      <c r="O26" s="435"/>
      <c r="P26" s="435"/>
      <c r="Q26" s="436"/>
      <c r="R26" s="434"/>
      <c r="S26" s="435"/>
      <c r="T26" s="440"/>
      <c r="U26" s="440"/>
      <c r="V26" s="440"/>
      <c r="W26" s="440"/>
      <c r="X26" s="409"/>
      <c r="Y26" s="406"/>
      <c r="Z26" s="406"/>
      <c r="AA26" s="406"/>
      <c r="AB26" s="406"/>
      <c r="AC26" s="406"/>
      <c r="AD26" s="409"/>
      <c r="AE26" s="406"/>
      <c r="AF26" s="406"/>
      <c r="AG26" s="406"/>
      <c r="AH26" s="406"/>
      <c r="AI26" s="406"/>
      <c r="AJ26" s="423"/>
      <c r="AK26" s="424"/>
      <c r="AL26" s="424"/>
      <c r="AM26" s="424"/>
      <c r="AN26" s="424"/>
      <c r="AO26" s="425"/>
      <c r="AP26" s="69"/>
      <c r="AQ26" s="377"/>
      <c r="AR26" s="378"/>
      <c r="AS26" s="378"/>
      <c r="AT26" s="378"/>
      <c r="AU26" s="378"/>
      <c r="AV26" s="37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60"/>
      <c r="E27" s="360"/>
      <c r="F27" s="361"/>
      <c r="G27" s="398" t="s">
        <v>116</v>
      </c>
      <c r="H27" s="399"/>
      <c r="I27" s="399"/>
      <c r="J27" s="399"/>
      <c r="K27" s="399"/>
      <c r="L27" s="437" t="str">
        <f ca="1">IF(AND('Mapa final'!$Q$15="Media",'Mapa final'!$U$15="Leve"),CONCATENATE("R",'Mapa final'!$A$15),"")</f>
        <v/>
      </c>
      <c r="M27" s="438"/>
      <c r="N27" s="438" t="str">
        <f>IF(AND('Mapa final'!$L$16="Media",'Mapa final'!$P$16="Leve"),CONCATENATE("R",'Mapa final'!$A$16),"")</f>
        <v/>
      </c>
      <c r="O27" s="438"/>
      <c r="P27" s="438" t="str">
        <f ca="1">IF(AND('Mapa final'!$Q$19="Media",'Mapa final'!$U$19="leve"),CONCATENATE("R",'Mapa final'!$D$19),"")</f>
        <v/>
      </c>
      <c r="Q27" s="439"/>
      <c r="R27" s="437" t="str">
        <f ca="1">IF(AND('Mapa final'!$Q$15="Media",'Mapa final'!$U$15="Menor"),CONCATENATE("R",'Mapa final'!$A$15),"")</f>
        <v/>
      </c>
      <c r="S27" s="438"/>
      <c r="T27" s="438" t="str">
        <f>IF(AND('Mapa final'!$Q$16="Media",'Mapa final'!$U$16="Menor"),CONCATENATE("R",'Mapa final'!$A$16),"")</f>
        <v/>
      </c>
      <c r="U27" s="438"/>
      <c r="V27" s="438" t="str">
        <f ca="1">IF(AND('Mapa final'!$Q$19="Media",'Mapa final'!$U$19="Menor"),CONCATENATE("R",'Mapa final'!$A$19),"")</f>
        <v/>
      </c>
      <c r="W27" s="438"/>
      <c r="X27" s="437" t="str">
        <f ca="1">IF(AND('Mapa final'!$Q$15="Media",'Mapa final'!$U$15="Moderado"),CONCATENATE("R",'Mapa final'!$D$15),"")</f>
        <v>R1</v>
      </c>
      <c r="Y27" s="438"/>
      <c r="Z27" s="438" t="str">
        <f>IF(AND('Mapa final'!Q$16="Media",'Mapa final'!$U$16="Moderado"),CONCATENATE("R",'Mapa final'!$A$16),"")</f>
        <v/>
      </c>
      <c r="AA27" s="438"/>
      <c r="AB27" s="438" t="str">
        <f ca="1">IF(AND('Mapa final'!$Q$19="Media",'Mapa final'!$U$19="Moderado"),CONCATENATE("R",'Mapa final'!$D$19),"")</f>
        <v>R2</v>
      </c>
      <c r="AC27" s="438"/>
      <c r="AD27" s="407" t="str">
        <f ca="1">IF(AND('Mapa final'!$Q$15="Media",'Mapa final'!$U$15="Mayor"),CONCATENATE("R",'Mapa final'!$D$15),"")</f>
        <v/>
      </c>
      <c r="AE27" s="408"/>
      <c r="AF27" s="408" t="str">
        <f>IF(AND('Mapa final'!$Q$16="Media",'Mapa final'!$U$16="Mayor"),CONCATENATE("R",'Mapa final'!$A$16),"")</f>
        <v/>
      </c>
      <c r="AG27" s="408"/>
      <c r="AH27" s="408" t="str">
        <f ca="1">IF(AND('Mapa final'!$Q$19="Media",'Mapa final'!$U$19="Mayor"),CONCATENATE("R",'Mapa final'!$A$19),"")</f>
        <v/>
      </c>
      <c r="AI27" s="408"/>
      <c r="AJ27" s="426" t="str">
        <f ca="1">IF(AND('Mapa final'!$Q$15="Media",'Mapa final'!$U$15="Catastrófico"),CONCATENATE("R",'Mapa final'!$A$15),"")</f>
        <v/>
      </c>
      <c r="AK27" s="427"/>
      <c r="AL27" s="427" t="str">
        <f>IF(AND('Mapa final'!$Q$16="Media",'Mapa final'!$U$16="Catastrófico"),CONCATENATE("R",'Mapa final'!$A$16),"")</f>
        <v/>
      </c>
      <c r="AM27" s="427"/>
      <c r="AN27" s="427" t="str">
        <f ca="1">IF(AND('Mapa final'!$Q$19="Media",'Mapa final'!$U$19="Catastrófico"),CONCATENATE("R",'Mapa final'!$A$19),"")</f>
        <v/>
      </c>
      <c r="AO27" s="428"/>
      <c r="AP27" s="69"/>
      <c r="AQ27" s="380" t="s">
        <v>80</v>
      </c>
      <c r="AR27" s="381"/>
      <c r="AS27" s="381"/>
      <c r="AT27" s="381"/>
      <c r="AU27" s="381"/>
      <c r="AV27" s="382"/>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60"/>
      <c r="E28" s="360"/>
      <c r="F28" s="361"/>
      <c r="G28" s="400"/>
      <c r="H28" s="401"/>
      <c r="I28" s="401"/>
      <c r="J28" s="401"/>
      <c r="K28" s="402"/>
      <c r="L28" s="417"/>
      <c r="M28" s="418"/>
      <c r="N28" s="418"/>
      <c r="O28" s="418"/>
      <c r="P28" s="418"/>
      <c r="Q28" s="433"/>
      <c r="R28" s="417"/>
      <c r="S28" s="418"/>
      <c r="T28" s="418"/>
      <c r="U28" s="418"/>
      <c r="V28" s="418"/>
      <c r="W28" s="418"/>
      <c r="X28" s="417"/>
      <c r="Y28" s="418"/>
      <c r="Z28" s="418"/>
      <c r="AA28" s="418"/>
      <c r="AB28" s="418"/>
      <c r="AC28" s="418"/>
      <c r="AD28" s="409"/>
      <c r="AE28" s="406"/>
      <c r="AF28" s="406"/>
      <c r="AG28" s="406"/>
      <c r="AH28" s="406"/>
      <c r="AI28" s="406"/>
      <c r="AJ28" s="423"/>
      <c r="AK28" s="424"/>
      <c r="AL28" s="424"/>
      <c r="AM28" s="424"/>
      <c r="AN28" s="424"/>
      <c r="AO28" s="425"/>
      <c r="AP28" s="69"/>
      <c r="AQ28" s="383"/>
      <c r="AR28" s="384"/>
      <c r="AS28" s="384"/>
      <c r="AT28" s="384"/>
      <c r="AU28" s="384"/>
      <c r="AV28" s="385"/>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60"/>
      <c r="E29" s="360"/>
      <c r="F29" s="361"/>
      <c r="G29" s="400"/>
      <c r="H29" s="401"/>
      <c r="I29" s="401"/>
      <c r="J29" s="401"/>
      <c r="K29" s="402"/>
      <c r="L29" s="417" t="str">
        <f>IF(AND('Mapa final'!$Q$20="Media",'Mapa final'!$U$20="Leve"),CONCATENATE("R",'Mapa final'!$A$20),"")</f>
        <v/>
      </c>
      <c r="M29" s="418"/>
      <c r="N29" s="418" t="str">
        <f>IF(AND('Mapa final'!$L$22="Media",'Mapa final'!$P$22="Leve"),CONCATENATE("R",'Mapa final'!$A$22),"")</f>
        <v/>
      </c>
      <c r="O29" s="418"/>
      <c r="P29" s="418" t="str">
        <f>IF(AND('Mapa final'!$L$23="Media",'Mapa final'!$P$23="Leve"),CONCATENATE("R",'Mapa final'!$A$23),"")</f>
        <v/>
      </c>
      <c r="Q29" s="433"/>
      <c r="R29" s="417" t="str">
        <f>IF(AND('Mapa final'!$Q$20="Media",'Mapa final'!$U$20="Menor"),CONCATENATE("R",'Mapa final'!$A$20),"")</f>
        <v/>
      </c>
      <c r="S29" s="418"/>
      <c r="T29" s="418" t="str">
        <f ca="1">IF(AND('Mapa final'!$Q$22="Media",'Mapa final'!$U$22="Menor"),CONCATENATE("R",'Mapa final'!$A$22),"")</f>
        <v/>
      </c>
      <c r="U29" s="418"/>
      <c r="V29" s="418" t="str">
        <f>IF(AND('Mapa final'!$Q$23="Media",'Mapa final'!$U$23="Menor"),CONCATENATE("R",'Mapa final'!$A$23),"")</f>
        <v/>
      </c>
      <c r="W29" s="418"/>
      <c r="X29" s="417" t="str">
        <f>IF(AND('Mapa final'!$Q$20="Media",'Mapa final'!$U$20="Moderado"),CONCATENATE("R",'Mapa final'!$A$20),"")</f>
        <v/>
      </c>
      <c r="Y29" s="418"/>
      <c r="Z29" s="418" t="str">
        <f ca="1">IF(AND('Mapa final'!$Q$22="Media",'Mapa final'!$U$22="Moderado"),CONCATENATE("R",'Mapa final'!$A$22),"")</f>
        <v/>
      </c>
      <c r="AA29" s="418"/>
      <c r="AB29" s="418" t="str">
        <f>IF(AND('Mapa final'!$Q$23="Media",'Mapa final'!$U$23="Moderado"),CONCATENATE("R",'Mapa final'!$A$23),"")</f>
        <v/>
      </c>
      <c r="AC29" s="418"/>
      <c r="AD29" s="409" t="str">
        <f>IF(AND('Mapa final'!$Q$20="Media",'Mapa final'!$U$20="Mayor"),CONCATENATE("R",'Mapa final'!$A$20),"")</f>
        <v/>
      </c>
      <c r="AE29" s="406"/>
      <c r="AF29" s="406" t="str">
        <f ca="1">IF(AND('Mapa final'!$Q$22="Media",'Mapa final'!$U$22="Mayor"),CONCATENATE("R",'Mapa final'!$D$22),"")</f>
        <v>R3</v>
      </c>
      <c r="AG29" s="406"/>
      <c r="AH29" s="406" t="str">
        <f>IF(AND('Mapa final'!$Q$23="Media",'Mapa final'!$U$23="Mayor"),CONCATENATE("R",'Mapa final'!$A$23),"")</f>
        <v/>
      </c>
      <c r="AI29" s="406"/>
      <c r="AJ29" s="423" t="str">
        <f>IF(AND('Mapa final'!$Q$20="Media",'Mapa final'!$U$20="Catastrófico"),CONCATENATE("R",'Mapa final'!$A$20),"")</f>
        <v/>
      </c>
      <c r="AK29" s="424"/>
      <c r="AL29" s="424" t="str">
        <f ca="1">IF(AND('Mapa final'!$Q$22="Media",'Mapa final'!$U$22="Catastrófico"),CONCATENATE("R",'Mapa final'!$A$22),"")</f>
        <v/>
      </c>
      <c r="AM29" s="424"/>
      <c r="AN29" s="424" t="str">
        <f>IF(AND('Mapa final'!$Q$23="Media",'Mapa final'!$L$23="Catastrófico"),CONCATENATE("R",'Mapa final'!$A$23),"")</f>
        <v/>
      </c>
      <c r="AO29" s="425"/>
      <c r="AP29" s="69"/>
      <c r="AQ29" s="383"/>
      <c r="AR29" s="384"/>
      <c r="AS29" s="384"/>
      <c r="AT29" s="384"/>
      <c r="AU29" s="384"/>
      <c r="AV29" s="385"/>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60"/>
      <c r="E30" s="360"/>
      <c r="F30" s="361"/>
      <c r="G30" s="400"/>
      <c r="H30" s="401"/>
      <c r="I30" s="401"/>
      <c r="J30" s="401"/>
      <c r="K30" s="402"/>
      <c r="L30" s="417"/>
      <c r="M30" s="418"/>
      <c r="N30" s="418"/>
      <c r="O30" s="418"/>
      <c r="P30" s="418"/>
      <c r="Q30" s="433"/>
      <c r="R30" s="417"/>
      <c r="S30" s="418"/>
      <c r="T30" s="418"/>
      <c r="U30" s="418"/>
      <c r="V30" s="418"/>
      <c r="W30" s="418"/>
      <c r="X30" s="417"/>
      <c r="Y30" s="418"/>
      <c r="Z30" s="418"/>
      <c r="AA30" s="418"/>
      <c r="AB30" s="418"/>
      <c r="AC30" s="418"/>
      <c r="AD30" s="409"/>
      <c r="AE30" s="406"/>
      <c r="AF30" s="406"/>
      <c r="AG30" s="406"/>
      <c r="AH30" s="406"/>
      <c r="AI30" s="406"/>
      <c r="AJ30" s="423"/>
      <c r="AK30" s="424"/>
      <c r="AL30" s="424"/>
      <c r="AM30" s="424"/>
      <c r="AN30" s="424"/>
      <c r="AO30" s="425"/>
      <c r="AP30" s="69"/>
      <c r="AQ30" s="383"/>
      <c r="AR30" s="384"/>
      <c r="AS30" s="384"/>
      <c r="AT30" s="384"/>
      <c r="AU30" s="384"/>
      <c r="AV30" s="385"/>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60"/>
      <c r="E31" s="360"/>
      <c r="F31" s="361"/>
      <c r="G31" s="400"/>
      <c r="H31" s="401"/>
      <c r="I31" s="401"/>
      <c r="J31" s="401"/>
      <c r="K31" s="402"/>
      <c r="L31" s="417" t="str">
        <f ca="1">IF(AND('Mapa final'!$Q$24="Media",'Mapa final'!$U$24="Leve"),CONCATENATE("R",'Mapa final'!$A$24),"")</f>
        <v/>
      </c>
      <c r="M31" s="418"/>
      <c r="N31" s="440" t="str">
        <f ca="1">IF(AND('Mapa final'!$Q$25="Media",'Mapa final'!$U$25="leve"),CONCATENATE("R",'Mapa final'!$D$25),"")</f>
        <v>R5</v>
      </c>
      <c r="O31" s="440"/>
      <c r="P31" s="418" t="str">
        <f>IF(AND('Mapa final'!$L$26="Media",'Mapa final'!$P$26="Leve"),CONCATENATE("R",'Mapa final'!$A$26),"")</f>
        <v/>
      </c>
      <c r="Q31" s="433"/>
      <c r="R31" s="417" t="str">
        <f ca="1">IF(AND('Mapa final'!$Q$24="Media",'Mapa final'!$U$24="Menor"),CONCATENATE("R",'Mapa final'!$A$24),"")</f>
        <v/>
      </c>
      <c r="S31" s="418"/>
      <c r="T31" s="418" t="str">
        <f ca="1">IF(AND('Mapa final'!$LR$25="Media",'Mapa final'!$U$25="Menor"),CONCATENATE("R",'Mapa final'!$A$25),"")</f>
        <v/>
      </c>
      <c r="U31" s="418"/>
      <c r="V31" s="418" t="str">
        <f>IF(AND('Mapa final'!$Q$26="Media",'Mapa final'!$U$26="Menor"),CONCATENATE("R",'Mapa final'!$A$26),"")</f>
        <v/>
      </c>
      <c r="W31" s="418"/>
      <c r="X31" s="417" t="str">
        <f ca="1">IF(AND('Mapa final'!$Q$24="Media",'Mapa final'!$U$24="Moderado"),CONCATENATE("R",'Mapa final'!$D$24),"")</f>
        <v>R4</v>
      </c>
      <c r="Y31" s="418"/>
      <c r="Z31" s="440" t="str">
        <f ca="1">IF(AND('Mapa final'!$Q$25="Media",'Mapa final'!$U$25="Moderado"),CONCATENATE("R",'Mapa final'!$D$25),"")</f>
        <v/>
      </c>
      <c r="AA31" s="440"/>
      <c r="AB31" s="418" t="str">
        <f>IF(AND('Mapa final'!$Q$26="Media",'Mapa final'!$U$26="Moderado"),CONCATENATE("R",'Mapa final'!$A$26),"")</f>
        <v/>
      </c>
      <c r="AC31" s="418"/>
      <c r="AD31" s="409" t="str">
        <f ca="1">IF(AND('Mapa final'!$Q$24="Media",'Mapa final'!$U$24="Mayor"),CONCATENATE("R",'Mapa final'!$A$24),"")</f>
        <v/>
      </c>
      <c r="AE31" s="406"/>
      <c r="AF31" s="406" t="str">
        <f ca="1">IF(AND('Mapa final'!$Q$25="Media",'Mapa final'!$U$25="Mayor"),CONCATENATE("R",'Mapa final'!$A$25),"")</f>
        <v/>
      </c>
      <c r="AG31" s="406"/>
      <c r="AH31" s="406" t="str">
        <f>IF(AND('Mapa final'!$Q$26="Media",'Mapa final'!$U$26="Mayor"),CONCATENATE("R",'Mapa final'!$A$26),"")</f>
        <v/>
      </c>
      <c r="AI31" s="406"/>
      <c r="AJ31" s="423" t="str">
        <f ca="1">IF(AND('Mapa final'!$Q$24="Media",'Mapa final'!$U$24="Catastrófico"),CONCATENATE("R",'Mapa final'!$A$24),"")</f>
        <v/>
      </c>
      <c r="AK31" s="424"/>
      <c r="AL31" s="424" t="str">
        <f ca="1">IF(AND('Mapa final'!$Q$25="Media",'Mapa final'!$U$25="Catastrófico"),CONCATENATE("R",'Mapa final'!$A$25),"")</f>
        <v/>
      </c>
      <c r="AM31" s="424"/>
      <c r="AN31" s="424" t="str">
        <f>IF(AND('Mapa final'!$Q$26="Media",'Mapa final'!$U$26="Catastrófico"),CONCATENATE("R",'Mapa final'!$A$26),"")</f>
        <v/>
      </c>
      <c r="AO31" s="425"/>
      <c r="AP31" s="69"/>
      <c r="AQ31" s="383"/>
      <c r="AR31" s="384"/>
      <c r="AS31" s="384"/>
      <c r="AT31" s="384"/>
      <c r="AU31" s="384"/>
      <c r="AV31" s="385"/>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60"/>
      <c r="E32" s="360"/>
      <c r="F32" s="361"/>
      <c r="G32" s="400"/>
      <c r="H32" s="401"/>
      <c r="I32" s="401"/>
      <c r="J32" s="401"/>
      <c r="K32" s="402"/>
      <c r="L32" s="417"/>
      <c r="M32" s="418"/>
      <c r="N32" s="440"/>
      <c r="O32" s="440"/>
      <c r="P32" s="418"/>
      <c r="Q32" s="433"/>
      <c r="R32" s="417"/>
      <c r="S32" s="418"/>
      <c r="T32" s="418"/>
      <c r="U32" s="418"/>
      <c r="V32" s="418"/>
      <c r="W32" s="418"/>
      <c r="X32" s="417"/>
      <c r="Y32" s="418"/>
      <c r="Z32" s="440"/>
      <c r="AA32" s="440"/>
      <c r="AB32" s="418"/>
      <c r="AC32" s="418"/>
      <c r="AD32" s="409"/>
      <c r="AE32" s="406"/>
      <c r="AF32" s="406"/>
      <c r="AG32" s="406"/>
      <c r="AH32" s="406"/>
      <c r="AI32" s="406"/>
      <c r="AJ32" s="423"/>
      <c r="AK32" s="424"/>
      <c r="AL32" s="424"/>
      <c r="AM32" s="424"/>
      <c r="AN32" s="424"/>
      <c r="AO32" s="425"/>
      <c r="AP32" s="69"/>
      <c r="AQ32" s="383"/>
      <c r="AR32" s="384"/>
      <c r="AS32" s="384"/>
      <c r="AT32" s="384"/>
      <c r="AU32" s="384"/>
      <c r="AV32" s="385"/>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60"/>
      <c r="E33" s="360"/>
      <c r="F33" s="361"/>
      <c r="G33" s="400"/>
      <c r="H33" s="401"/>
      <c r="I33" s="401"/>
      <c r="J33" s="401"/>
      <c r="K33" s="402"/>
      <c r="L33" s="417" t="str">
        <f>IF(AND('Mapa final'!$Q$27="Mediaa",'Mapa final'!$U$27="Leve"),CONCATENATE("R",'Mapa final'!$A$27),"")</f>
        <v/>
      </c>
      <c r="M33" s="418"/>
      <c r="N33" s="418" t="str">
        <f>IF(AND('Mapa final'!$L$28="Media",'Mapa final'!$P$28="Leve"),CONCATENATE("R",'Mapa final'!$A$28),"")</f>
        <v/>
      </c>
      <c r="O33" s="418"/>
      <c r="P33" s="418" t="str">
        <f>IF(AND('Mapa final'!$L$29="Media",'Mapa final'!$P$29="Leve"),CONCATENATE("R",'Mapa final'!$A$29),"")</f>
        <v/>
      </c>
      <c r="Q33" s="433"/>
      <c r="R33" s="417" t="str">
        <f>IF(AND('Mapa final'!$Q$27="Media",'Mapa final'!$U$27="Menor"),CONCATENATE("R",'Mapa final'!$A$27),"")</f>
        <v/>
      </c>
      <c r="S33" s="418"/>
      <c r="T33" s="418" t="str">
        <f>IF(AND('Mapa final'!$Q$28="Media",'Mapa final'!$U$28="Menor"),CONCATENATE("R",'Mapa final'!$A$28),"")</f>
        <v/>
      </c>
      <c r="U33" s="418"/>
      <c r="V33" s="418" t="str">
        <f>IF(AND('Mapa final'!$Q$29="Media",'Mapa final'!$U$29="Menor"),CONCATENATE("R",'Mapa final'!$A$29),"")</f>
        <v/>
      </c>
      <c r="W33" s="418"/>
      <c r="X33" s="417" t="str">
        <f>IF(AND('Mapa final'!$Q$27="Media",'Mapa final'!$U$27="Moderado"),CONCATENATE("R",'Mapa final'!$A$27),"")</f>
        <v/>
      </c>
      <c r="Y33" s="418"/>
      <c r="Z33" s="418" t="str">
        <f>IF(AND('Mapa final'!$Q$28="Media",'Mapa final'!$U$28="Moderado"),CONCATENATE("R",'Mapa final'!$A$28),"")</f>
        <v/>
      </c>
      <c r="AA33" s="418"/>
      <c r="AB33" s="418" t="str">
        <f>IF(AND('Mapa final'!$Q$29="Media",'Mapa final'!$U$29="Moderado"),CONCATENATE("R",'Mapa final'!$A$29),"")</f>
        <v/>
      </c>
      <c r="AC33" s="418"/>
      <c r="AD33" s="409" t="str">
        <f>IF(AND('Mapa final'!$Q$27="Media",'Mapa final'!$U$27="Mayor"),CONCATENATE("R",'Mapa final'!$A$27),"")</f>
        <v/>
      </c>
      <c r="AE33" s="406"/>
      <c r="AF33" s="406" t="str">
        <f>IF(AND('Mapa final'!$Q$28="Media",'Mapa final'!$U$28="Mayor"),CONCATENATE("R",'Mapa final'!$A$28),"")</f>
        <v/>
      </c>
      <c r="AG33" s="406"/>
      <c r="AH33" s="406" t="str">
        <f>IF(AND('Mapa final'!$Q$29="Media",'Mapa final'!$U$29="Mayor"),CONCATENATE("R",'Mapa final'!$A$29),"")</f>
        <v/>
      </c>
      <c r="AI33" s="406"/>
      <c r="AJ33" s="423" t="str">
        <f>IF(AND('Mapa final'!$Q$27="Media",'Mapa final'!$U$27="Catastrófico"),CONCATENATE("R",'Mapa final'!$A$27),"")</f>
        <v/>
      </c>
      <c r="AK33" s="424"/>
      <c r="AL33" s="424" t="str">
        <f>IF(AND('Mapa final'!$Q$28="Media",'Mapa final'!$U$28="Catastrófico"),CONCATENATE("R",'Mapa final'!$A$28),"")</f>
        <v/>
      </c>
      <c r="AM33" s="424"/>
      <c r="AN33" s="424" t="str">
        <f>IF(AND('Mapa final'!$Q$29="Media",'Mapa final'!$U$29="Catastrófico"),CONCATENATE("R",'Mapa final'!$A$29),"")</f>
        <v/>
      </c>
      <c r="AO33" s="425"/>
      <c r="AP33" s="69"/>
      <c r="AQ33" s="383"/>
      <c r="AR33" s="384"/>
      <c r="AS33" s="384"/>
      <c r="AT33" s="384"/>
      <c r="AU33" s="384"/>
      <c r="AV33" s="385"/>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60"/>
      <c r="E34" s="360"/>
      <c r="F34" s="361"/>
      <c r="G34" s="403"/>
      <c r="H34" s="404"/>
      <c r="I34" s="404"/>
      <c r="J34" s="404"/>
      <c r="K34" s="404"/>
      <c r="L34" s="434"/>
      <c r="M34" s="435"/>
      <c r="N34" s="435"/>
      <c r="O34" s="435"/>
      <c r="P34" s="435"/>
      <c r="Q34" s="436"/>
      <c r="R34" s="434"/>
      <c r="S34" s="435"/>
      <c r="T34" s="435"/>
      <c r="U34" s="435"/>
      <c r="V34" s="435"/>
      <c r="W34" s="435"/>
      <c r="X34" s="434"/>
      <c r="Y34" s="435"/>
      <c r="Z34" s="435"/>
      <c r="AA34" s="435"/>
      <c r="AB34" s="435"/>
      <c r="AC34" s="435"/>
      <c r="AD34" s="420"/>
      <c r="AE34" s="415"/>
      <c r="AF34" s="415"/>
      <c r="AG34" s="415"/>
      <c r="AH34" s="415"/>
      <c r="AI34" s="415"/>
      <c r="AJ34" s="423"/>
      <c r="AK34" s="424"/>
      <c r="AL34" s="424"/>
      <c r="AM34" s="424"/>
      <c r="AN34" s="424"/>
      <c r="AO34" s="425"/>
      <c r="AP34" s="69"/>
      <c r="AQ34" s="386"/>
      <c r="AR34" s="387"/>
      <c r="AS34" s="387"/>
      <c r="AT34" s="387"/>
      <c r="AU34" s="387"/>
      <c r="AV34" s="388"/>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60"/>
      <c r="E35" s="360"/>
      <c r="F35" s="361"/>
      <c r="G35" s="398" t="s">
        <v>113</v>
      </c>
      <c r="H35" s="399"/>
      <c r="I35" s="399"/>
      <c r="J35" s="399"/>
      <c r="K35" s="399"/>
      <c r="L35" s="447" t="str">
        <f ca="1">IF(AND('Mapa final'!$Q$15="Baja",'Mapa final'!$U$15="Leve"),CONCATENATE("R",'Mapa final'!$A$15),"")</f>
        <v/>
      </c>
      <c r="M35" s="448"/>
      <c r="N35" s="448" t="str">
        <f>IF(AND('Mapa final'!$L$16="Baja",'Mapa final'!$P$16="Leve"),CONCATENATE("R",'Mapa final'!$A$16),"")</f>
        <v/>
      </c>
      <c r="O35" s="448"/>
      <c r="P35" s="448" t="str">
        <f>IF(AND('Mapa final'!$L$19="Baja",'Mapa final'!$P$19="Leve"),CONCATENATE("R",'Mapa final'!$A$19),"")</f>
        <v/>
      </c>
      <c r="Q35" s="449"/>
      <c r="R35" s="437" t="str">
        <f ca="1">IF(AND('Mapa final'!$Q$15="Baja",'Mapa final'!$U$15="Menor"),CONCATENATE("R",'Mapa final'!$A$15),"")</f>
        <v/>
      </c>
      <c r="S35" s="438"/>
      <c r="T35" s="418" t="str">
        <f>IF(AND('Mapa final'!$Q$16="Baja",'Mapa final'!$U$16="Menor"),CONCATENATE("R",'Mapa final'!$A$16),"")</f>
        <v/>
      </c>
      <c r="U35" s="418"/>
      <c r="V35" s="418" t="str">
        <f ca="1">IF(AND('Mapa final'!$Q$19="Baja",'Mapa final'!$U$19="Menor"),CONCATENATE("R",'Mapa final'!$A$19),"")</f>
        <v/>
      </c>
      <c r="W35" s="433"/>
      <c r="X35" s="417" t="str">
        <f ca="1">IF(AND('Mapa final'!$Q$15="Baja",'Mapa final'!$U$15="Moderado"),CONCATENATE("R",'Mapa final'!$A$15),"")</f>
        <v/>
      </c>
      <c r="Y35" s="418"/>
      <c r="Z35" s="418" t="str">
        <f>IF(AND('Mapa final'!Q$16="Baja",'Mapa final'!$U$16="Moderado"),CONCATENATE("R",'Mapa final'!$A$16),"")</f>
        <v/>
      </c>
      <c r="AA35" s="418"/>
      <c r="AB35" s="418" t="str">
        <f ca="1">IF(AND('Mapa final'!$Q$19="Baja",'Mapa final'!$U$19="Moderado"),CONCATENATE("R",'Mapa final'!$A$19),"")</f>
        <v/>
      </c>
      <c r="AC35" s="433"/>
      <c r="AD35" s="409" t="str">
        <f ca="1">IF(AND('Mapa final'!$Q$15="Baja",'Mapa final'!$U$15="Mayor"),CONCATENATE("R",'Mapa final'!$A$15),"")</f>
        <v/>
      </c>
      <c r="AE35" s="406"/>
      <c r="AF35" s="406" t="str">
        <f>IF(AND('Mapa final'!$Q$16="Baja",'Mapa final'!$U$16="Mayor"),CONCATENATE("R",'Mapa final'!$A$16),"")</f>
        <v/>
      </c>
      <c r="AG35" s="406"/>
      <c r="AH35" s="406" t="str">
        <f ca="1">IF(AND('Mapa final'!$Q$19="Baja",'Mapa final'!$U$19="Mayor"),CONCATENATE("R",'Mapa final'!$A$19),"")</f>
        <v/>
      </c>
      <c r="AI35" s="406"/>
      <c r="AJ35" s="426" t="str">
        <f ca="1">IF(AND('Mapa final'!$Q$15="Baja",'Mapa final'!$U$15="Catastrófico"),CONCATENATE("R",'Mapa final'!$A$15),"")</f>
        <v/>
      </c>
      <c r="AK35" s="427"/>
      <c r="AL35" s="427" t="str">
        <f>IF(AND('Mapa final'!$Q$16="Baja",'Mapa final'!$U$16="Catastrófico"),CONCATENATE("R",'Mapa final'!$A$16),"")</f>
        <v/>
      </c>
      <c r="AM35" s="427"/>
      <c r="AN35" s="427" t="str">
        <f ca="1">IF(AND('Mapa final'!$Q$19="Baja",'Mapa final'!$U$19="Catastrófico"),CONCATENATE("R",'Mapa final'!$A$19),"")</f>
        <v/>
      </c>
      <c r="AO35" s="428"/>
      <c r="AP35" s="69"/>
      <c r="AQ35" s="389" t="s">
        <v>81</v>
      </c>
      <c r="AR35" s="390"/>
      <c r="AS35" s="390"/>
      <c r="AT35" s="390"/>
      <c r="AU35" s="390"/>
      <c r="AV35" s="391"/>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60"/>
      <c r="E36" s="360"/>
      <c r="F36" s="361"/>
      <c r="G36" s="400"/>
      <c r="H36" s="401"/>
      <c r="I36" s="401"/>
      <c r="J36" s="401"/>
      <c r="K36" s="401"/>
      <c r="L36" s="443"/>
      <c r="M36" s="441"/>
      <c r="N36" s="441"/>
      <c r="O36" s="441"/>
      <c r="P36" s="441"/>
      <c r="Q36" s="442"/>
      <c r="R36" s="417"/>
      <c r="S36" s="418"/>
      <c r="T36" s="440"/>
      <c r="U36" s="440"/>
      <c r="V36" s="440"/>
      <c r="W36" s="433"/>
      <c r="X36" s="417"/>
      <c r="Y36" s="440"/>
      <c r="Z36" s="440"/>
      <c r="AA36" s="440"/>
      <c r="AB36" s="440"/>
      <c r="AC36" s="433"/>
      <c r="AD36" s="409"/>
      <c r="AE36" s="422"/>
      <c r="AF36" s="422"/>
      <c r="AG36" s="422"/>
      <c r="AH36" s="422"/>
      <c r="AI36" s="406"/>
      <c r="AJ36" s="423"/>
      <c r="AK36" s="424"/>
      <c r="AL36" s="424"/>
      <c r="AM36" s="424"/>
      <c r="AN36" s="424"/>
      <c r="AO36" s="425"/>
      <c r="AP36" s="69"/>
      <c r="AQ36" s="392"/>
      <c r="AR36" s="393"/>
      <c r="AS36" s="393"/>
      <c r="AT36" s="393"/>
      <c r="AU36" s="393"/>
      <c r="AV36" s="394"/>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60"/>
      <c r="E37" s="360"/>
      <c r="F37" s="361"/>
      <c r="G37" s="400"/>
      <c r="H37" s="401"/>
      <c r="I37" s="401"/>
      <c r="J37" s="401"/>
      <c r="K37" s="401"/>
      <c r="L37" s="443" t="str">
        <f>IF(AND('Mapa final'!$Q$20="Baja",'Mapa final'!$U$20="Leve"),CONCATENATE("R",'Mapa final'!$A$20),"")</f>
        <v/>
      </c>
      <c r="M37" s="441"/>
      <c r="N37" s="441" t="str">
        <f>IF(AND('Mapa final'!$L$22="Baja",'Mapa final'!$P$22="Leve"),CONCATENATE("R",'Mapa final'!$A$22),"")</f>
        <v/>
      </c>
      <c r="O37" s="441"/>
      <c r="P37" s="441" t="str">
        <f>IF(AND('Mapa final'!$L$23="Baja",'Mapa final'!$P$23="Leve"),CONCATENATE("R",'Mapa final'!$A$23),"")</f>
        <v/>
      </c>
      <c r="Q37" s="442"/>
      <c r="R37" s="417" t="str">
        <f>IF(AND('Mapa final'!$Q$20="Baja",'Mapa final'!$U$20="Menor"),CONCATENATE("R",'Mapa final'!$A$20),"")</f>
        <v/>
      </c>
      <c r="S37" s="440"/>
      <c r="T37" s="440" t="str">
        <f ca="1">IF(AND('Mapa final'!$Q$22="Baja",'Mapa final'!$U$22="Menor"),CONCATENATE("R",'Mapa final'!$A$22),"")</f>
        <v/>
      </c>
      <c r="U37" s="440"/>
      <c r="V37" s="440" t="str">
        <f>IF(AND('Mapa final'!$Q$23="Baja",'Mapa final'!$U$23="Menor"),CONCATENATE("R",'Mapa final'!$A$23),"")</f>
        <v/>
      </c>
      <c r="W37" s="433"/>
      <c r="X37" s="417" t="str">
        <f>IF(AND('Mapa final'!$Q$20="Baja",'Mapa final'!$U$20="Moderado"),CONCATENATE("R",'Mapa final'!$A$20),"")</f>
        <v/>
      </c>
      <c r="Y37" s="440"/>
      <c r="Z37" s="440" t="str">
        <f ca="1">IF(AND('Mapa final'!$Q$22="Baja",'Mapa final'!$U$22="Moderado"),CONCATENATE("R",'Mapa final'!$A$22),"")</f>
        <v/>
      </c>
      <c r="AA37" s="440"/>
      <c r="AB37" s="440" t="str">
        <f>IF(AND('Mapa final'!$Q$23="Baja",'Mapa final'!$U$23="Moderado"),CONCATENATE("R",'Mapa final'!$A$23),"")</f>
        <v/>
      </c>
      <c r="AC37" s="433"/>
      <c r="AD37" s="409" t="str">
        <f>IF(AND('Mapa final'!$Q$20="Baja",'Mapa final'!$U$20="Mayor"),CONCATENATE("R",'Mapa final'!$A$20),"")</f>
        <v/>
      </c>
      <c r="AE37" s="422"/>
      <c r="AF37" s="422" t="str">
        <f ca="1">IF(AND('Mapa final'!$Q$22="Baja",'Mapa final'!$U$22="Mayor"),CONCATENATE("R",'Mapa final'!$A$22),"")</f>
        <v/>
      </c>
      <c r="AG37" s="422"/>
      <c r="AH37" s="422" t="str">
        <f>IF(AND('Mapa final'!$Q$23="Baja",'Mapa final'!$U$23="Mayor"),CONCATENATE("R",'Mapa final'!$A$23),"")</f>
        <v/>
      </c>
      <c r="AI37" s="406"/>
      <c r="AJ37" s="423" t="str">
        <f>IF(AND('Mapa final'!$Q$20="Baja",'Mapa final'!$U$20="Catastrófico"),CONCATENATE("R",'Mapa final'!$A$20),"")</f>
        <v/>
      </c>
      <c r="AK37" s="424"/>
      <c r="AL37" s="424" t="str">
        <f ca="1">IF(AND('Mapa final'!$Q$22="Baja",'Mapa final'!$U$22="Catastrófico"),CONCATENATE("R",'Mapa final'!$A$22),"")</f>
        <v/>
      </c>
      <c r="AM37" s="424"/>
      <c r="AN37" s="424" t="str">
        <f>IF(AND('Mapa final'!$Q$23="Baja",'Mapa final'!$L$23="Catastrófico"),CONCATENATE("R",'Mapa final'!$A$23),"")</f>
        <v/>
      </c>
      <c r="AO37" s="425"/>
      <c r="AP37" s="69"/>
      <c r="AQ37" s="392"/>
      <c r="AR37" s="393"/>
      <c r="AS37" s="393"/>
      <c r="AT37" s="393"/>
      <c r="AU37" s="393"/>
      <c r="AV37" s="394"/>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60"/>
      <c r="E38" s="360"/>
      <c r="F38" s="361"/>
      <c r="G38" s="400"/>
      <c r="H38" s="401"/>
      <c r="I38" s="401"/>
      <c r="J38" s="401"/>
      <c r="K38" s="401"/>
      <c r="L38" s="443"/>
      <c r="M38" s="441"/>
      <c r="N38" s="441"/>
      <c r="O38" s="441"/>
      <c r="P38" s="441"/>
      <c r="Q38" s="442"/>
      <c r="R38" s="417"/>
      <c r="S38" s="440"/>
      <c r="T38" s="440"/>
      <c r="U38" s="440"/>
      <c r="V38" s="440"/>
      <c r="W38" s="433"/>
      <c r="X38" s="417"/>
      <c r="Y38" s="440"/>
      <c r="Z38" s="440"/>
      <c r="AA38" s="440"/>
      <c r="AB38" s="440"/>
      <c r="AC38" s="433"/>
      <c r="AD38" s="409"/>
      <c r="AE38" s="422"/>
      <c r="AF38" s="422"/>
      <c r="AG38" s="422"/>
      <c r="AH38" s="422"/>
      <c r="AI38" s="406"/>
      <c r="AJ38" s="423"/>
      <c r="AK38" s="424"/>
      <c r="AL38" s="424"/>
      <c r="AM38" s="424"/>
      <c r="AN38" s="424"/>
      <c r="AO38" s="425"/>
      <c r="AP38" s="69"/>
      <c r="AQ38" s="392"/>
      <c r="AR38" s="393"/>
      <c r="AS38" s="393"/>
      <c r="AT38" s="393"/>
      <c r="AU38" s="393"/>
      <c r="AV38" s="394"/>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60"/>
      <c r="E39" s="360"/>
      <c r="F39" s="361"/>
      <c r="G39" s="400"/>
      <c r="H39" s="401"/>
      <c r="I39" s="401"/>
      <c r="J39" s="401"/>
      <c r="K39" s="401"/>
      <c r="L39" s="443" t="str">
        <f ca="1">IF(AND('Mapa final'!$Q$24="Baja",'Mapa final'!$U$24="Leve"),CONCATENATE("R",'Mapa final'!$A$24),"")</f>
        <v/>
      </c>
      <c r="M39" s="441"/>
      <c r="N39" s="441" t="str">
        <f ca="1">IF(AND('Mapa final'!$Q$25="Baja",'Mapa final'!$U$25="leva"),CONCATENATE("R",'Mapa final'!$D$25),"")</f>
        <v/>
      </c>
      <c r="O39" s="441"/>
      <c r="P39" s="441" t="str">
        <f>IF(AND('Mapa final'!$L$26="Baja",'Mapa final'!$P$26="Leve"),CONCATENATE("R",'Mapa final'!$A$26),"")</f>
        <v/>
      </c>
      <c r="Q39" s="442"/>
      <c r="R39" s="417" t="str">
        <f ca="1">IF(AND('Mapa final'!$Q$24="Baja",'Mapa final'!$U$24="Menor"),CONCATENATE("R",'Mapa final'!$A$24),"")</f>
        <v/>
      </c>
      <c r="S39" s="440"/>
      <c r="T39" s="440" t="str">
        <f ca="1">IF(AND('Mapa final'!$LR$25="Baja",'Mapa final'!$U$25="Menor"),CONCATENATE("R",'Mapa final'!$A$25),"")</f>
        <v/>
      </c>
      <c r="U39" s="440"/>
      <c r="V39" s="440" t="str">
        <f>IF(AND('Mapa final'!$Q$26="Baja",'Mapa final'!$U$26="Menor"),CONCATENATE("R",'Mapa final'!$A$26),"")</f>
        <v/>
      </c>
      <c r="W39" s="433"/>
      <c r="X39" s="417" t="str">
        <f ca="1">IF(AND('Mapa final'!$Q$24="Baja",'Mapa final'!$U$24="Moderado"),CONCATENATE("R",'Mapa final'!$A$24),"")</f>
        <v/>
      </c>
      <c r="Y39" s="440"/>
      <c r="Z39" s="440" t="str">
        <f ca="1">IF(AND('Mapa final'!$Q$25="Baja",'Mapa final'!$U$25="Moderado"),CONCATENATE("R",'Mapa final'!$A$25),"")</f>
        <v/>
      </c>
      <c r="AA39" s="440"/>
      <c r="AB39" s="440" t="str">
        <f>IF(AND('Mapa final'!$Q$26="Baja",'Mapa final'!$U$26="Moderado"),CONCATENATE("R",'Mapa final'!$A$26),"")</f>
        <v/>
      </c>
      <c r="AC39" s="433"/>
      <c r="AD39" s="409" t="str">
        <f ca="1">IF(AND('Mapa final'!$Q$24="Baja",'Mapa final'!$U$24="Mayor"),CONCATENATE("R",'Mapa final'!$A$24),"")</f>
        <v/>
      </c>
      <c r="AE39" s="422"/>
      <c r="AF39" s="422" t="str">
        <f ca="1">IF(AND('Mapa final'!$Q$25="Baja",'Mapa final'!$U$25="Mayor"),CONCATENATE("R",'Mapa final'!$A$25),"")</f>
        <v/>
      </c>
      <c r="AG39" s="422"/>
      <c r="AH39" s="422" t="str">
        <f>IF(AND('Mapa final'!$Q$26="Baja",'Mapa final'!$U$26="Mayor"),CONCATENATE("R",'Mapa final'!$A$26),"")</f>
        <v/>
      </c>
      <c r="AI39" s="406"/>
      <c r="AJ39" s="423" t="str">
        <f ca="1">IF(AND('Mapa final'!$Q$24="Baja",'Mapa final'!$U$24="Catastrófico"),CONCATENATE("R",'Mapa final'!$A$24),"")</f>
        <v/>
      </c>
      <c r="AK39" s="424"/>
      <c r="AL39" s="424" t="str">
        <f ca="1">IF(AND('Mapa final'!$Q$25="Baja",'Mapa final'!$U$25="Catastrófico"),CONCATENATE("R",'Mapa final'!$A$25),"")</f>
        <v/>
      </c>
      <c r="AM39" s="424"/>
      <c r="AN39" s="424" t="str">
        <f>IF(AND('Mapa final'!$Q$26="Baja",'Mapa final'!$U$26="Catastrófico"),CONCATENATE("R",'Mapa final'!$A$26),"")</f>
        <v/>
      </c>
      <c r="AO39" s="425"/>
      <c r="AP39" s="69"/>
      <c r="AQ39" s="392"/>
      <c r="AR39" s="393"/>
      <c r="AS39" s="393"/>
      <c r="AT39" s="393"/>
      <c r="AU39" s="393"/>
      <c r="AV39" s="394"/>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60"/>
      <c r="E40" s="360"/>
      <c r="F40" s="361"/>
      <c r="G40" s="400"/>
      <c r="H40" s="401"/>
      <c r="I40" s="401"/>
      <c r="J40" s="401"/>
      <c r="K40" s="401"/>
      <c r="L40" s="443"/>
      <c r="M40" s="441"/>
      <c r="N40" s="441"/>
      <c r="O40" s="441"/>
      <c r="P40" s="441"/>
      <c r="Q40" s="442"/>
      <c r="R40" s="417"/>
      <c r="S40" s="440"/>
      <c r="T40" s="440"/>
      <c r="U40" s="440"/>
      <c r="V40" s="440"/>
      <c r="W40" s="433"/>
      <c r="X40" s="417"/>
      <c r="Y40" s="440"/>
      <c r="Z40" s="440"/>
      <c r="AA40" s="440"/>
      <c r="AB40" s="440"/>
      <c r="AC40" s="433"/>
      <c r="AD40" s="409"/>
      <c r="AE40" s="422"/>
      <c r="AF40" s="422"/>
      <c r="AG40" s="422"/>
      <c r="AH40" s="422"/>
      <c r="AI40" s="406"/>
      <c r="AJ40" s="423"/>
      <c r="AK40" s="424"/>
      <c r="AL40" s="424"/>
      <c r="AM40" s="424"/>
      <c r="AN40" s="424"/>
      <c r="AO40" s="425"/>
      <c r="AP40" s="69"/>
      <c r="AQ40" s="392"/>
      <c r="AR40" s="393"/>
      <c r="AS40" s="393"/>
      <c r="AT40" s="393"/>
      <c r="AU40" s="393"/>
      <c r="AV40" s="394"/>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60"/>
      <c r="E41" s="360"/>
      <c r="F41" s="361"/>
      <c r="G41" s="400"/>
      <c r="H41" s="401"/>
      <c r="I41" s="401"/>
      <c r="J41" s="401"/>
      <c r="K41" s="401"/>
      <c r="L41" s="443" t="str">
        <f>IF(AND('Mapa final'!$Q$27="Baja",'Mapa final'!$U$27="Leve"),CONCATENATE("R",'Mapa final'!$A$27),"")</f>
        <v/>
      </c>
      <c r="M41" s="441"/>
      <c r="N41" s="441" t="str">
        <f>IF(AND('Mapa final'!$L$28="Baja",'Mapa final'!$P$28="Leve"),CONCATENATE("R",'Mapa final'!$A$28),"")</f>
        <v/>
      </c>
      <c r="O41" s="441"/>
      <c r="P41" s="441" t="str">
        <f>IF(AND('Mapa final'!$L$29="Baja",'Mapa final'!$P$29="Leve"),CONCATENATE("R",'Mapa final'!$A$29),"")</f>
        <v/>
      </c>
      <c r="Q41" s="442"/>
      <c r="R41" s="417" t="str">
        <f>IF(AND('Mapa final'!$Q$27="Baja",'Mapa final'!$U$27="Menor"),CONCATENATE("R",'Mapa final'!$A$27),"")</f>
        <v/>
      </c>
      <c r="S41" s="440"/>
      <c r="T41" s="440" t="str">
        <f>IF(AND('Mapa final'!$Q$28="Baja",'Mapa final'!$U$28="Menor"),CONCATENATE("R",'Mapa final'!$A$28),"")</f>
        <v/>
      </c>
      <c r="U41" s="440"/>
      <c r="V41" s="440" t="str">
        <f>IF(AND('Mapa final'!$Q$29="Baja",'Mapa final'!$U$29="Menor"),CONCATENATE("R",'Mapa final'!$A$29),"")</f>
        <v/>
      </c>
      <c r="W41" s="433"/>
      <c r="X41" s="417" t="str">
        <f>IF(AND('Mapa final'!$Q$27="Baja",'Mapa final'!$U$27="Moderado"),CONCATENATE("R",'Mapa final'!$A$27),"")</f>
        <v/>
      </c>
      <c r="Y41" s="440"/>
      <c r="Z41" s="440" t="str">
        <f>IF(AND('Mapa final'!$Q$28="Baja",'Mapa final'!$U$28="Moderado"),CONCATENATE("R",'Mapa final'!$A$28),"")</f>
        <v/>
      </c>
      <c r="AA41" s="440"/>
      <c r="AB41" s="440" t="str">
        <f>IF(AND('Mapa final'!$Q$29="Baja",'Mapa final'!$U$29="Moderado"),CONCATENATE("R",'Mapa final'!$A$29),"")</f>
        <v/>
      </c>
      <c r="AC41" s="433"/>
      <c r="AD41" s="409" t="str">
        <f>IF(AND('Mapa final'!$Q$27="Baja",'Mapa final'!$U$27="Mayor"),CONCATENATE("R",'Mapa final'!$A$27),"")</f>
        <v/>
      </c>
      <c r="AE41" s="422"/>
      <c r="AF41" s="422" t="str">
        <f>IF(AND('Mapa final'!$Q$28="Baja",'Mapa final'!$U$28="Mayor"),CONCATENATE("R",'Mapa final'!$A$28),"")</f>
        <v/>
      </c>
      <c r="AG41" s="422"/>
      <c r="AH41" s="422" t="str">
        <f>IF(AND('Mapa final'!$Q$29="Baja",'Mapa final'!$U$29="Mayor"),CONCATENATE("R",'Mapa final'!$A$29),"")</f>
        <v/>
      </c>
      <c r="AI41" s="406"/>
      <c r="AJ41" s="423" t="str">
        <f>IF(AND('Mapa final'!$Q$27="Baja",'Mapa final'!$U$27="Catastrófico"),CONCATENATE("R",'Mapa final'!$A$27),"")</f>
        <v/>
      </c>
      <c r="AK41" s="424"/>
      <c r="AL41" s="424" t="str">
        <f>IF(AND('Mapa final'!$Q$28="Baja",'Mapa final'!$U$28="Catastrófico"),CONCATENATE("R",'Mapa final'!$A$28),"")</f>
        <v/>
      </c>
      <c r="AM41" s="424"/>
      <c r="AN41" s="424" t="str">
        <f>IF(AND('Mapa final'!$Q$29="Baja",'Mapa final'!$U$29="Catastrófico"),CONCATENATE("R",'Mapa final'!$A$29),"")</f>
        <v/>
      </c>
      <c r="AO41" s="425"/>
      <c r="AP41" s="69"/>
      <c r="AQ41" s="392"/>
      <c r="AR41" s="393"/>
      <c r="AS41" s="393"/>
      <c r="AT41" s="393"/>
      <c r="AU41" s="393"/>
      <c r="AV41" s="394"/>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60"/>
      <c r="E42" s="360"/>
      <c r="F42" s="361"/>
      <c r="G42" s="403"/>
      <c r="H42" s="404"/>
      <c r="I42" s="404"/>
      <c r="J42" s="404"/>
      <c r="K42" s="404"/>
      <c r="L42" s="444"/>
      <c r="M42" s="445"/>
      <c r="N42" s="445"/>
      <c r="O42" s="445"/>
      <c r="P42" s="445"/>
      <c r="Q42" s="446"/>
      <c r="R42" s="434"/>
      <c r="S42" s="435"/>
      <c r="T42" s="435"/>
      <c r="U42" s="435"/>
      <c r="V42" s="435"/>
      <c r="W42" s="436"/>
      <c r="X42" s="434"/>
      <c r="Y42" s="435"/>
      <c r="Z42" s="435"/>
      <c r="AA42" s="435"/>
      <c r="AB42" s="435"/>
      <c r="AC42" s="436"/>
      <c r="AD42" s="420"/>
      <c r="AE42" s="415"/>
      <c r="AF42" s="415"/>
      <c r="AG42" s="415"/>
      <c r="AH42" s="415"/>
      <c r="AI42" s="415"/>
      <c r="AJ42" s="429"/>
      <c r="AK42" s="430"/>
      <c r="AL42" s="430"/>
      <c r="AM42" s="430"/>
      <c r="AN42" s="430"/>
      <c r="AO42" s="431"/>
      <c r="AP42" s="69"/>
      <c r="AQ42" s="395"/>
      <c r="AR42" s="396"/>
      <c r="AS42" s="396"/>
      <c r="AT42" s="396"/>
      <c r="AU42" s="396"/>
      <c r="AV42" s="397"/>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60"/>
      <c r="E43" s="360"/>
      <c r="F43" s="361"/>
      <c r="G43" s="398" t="s">
        <v>112</v>
      </c>
      <c r="H43" s="399"/>
      <c r="I43" s="399"/>
      <c r="J43" s="399"/>
      <c r="K43" s="399"/>
      <c r="L43" s="447" t="str">
        <f ca="1">IF(AND('Mapa final'!$Q$15="Muy Baja",'Mapa final'!$U$15="Leve"),CONCATENATE("R",'Mapa final'!$A$15),"")</f>
        <v/>
      </c>
      <c r="M43" s="448"/>
      <c r="N43" s="448" t="str">
        <f>IF(AND('Mapa final'!$L$16="Muy Baja",'Mapa final'!$P$16="Leve"),CONCATENATE("R",'Mapa final'!$A$16),"")</f>
        <v/>
      </c>
      <c r="O43" s="448"/>
      <c r="P43" s="448" t="str">
        <f>IF(AND('Mapa final'!$L$19="Muy Baja",'Mapa final'!$P$19="Leve"),CONCATENATE("R",'Mapa final'!$A$19),"")</f>
        <v/>
      </c>
      <c r="Q43" s="449"/>
      <c r="R43" s="447" t="str">
        <f ca="1">IF(AND('Mapa final'!$Q$15="Muy Baja",'Mapa final'!$U$15="Menor"),CONCATENATE("R",'Mapa final'!$A$15),"")</f>
        <v/>
      </c>
      <c r="S43" s="448"/>
      <c r="T43" s="448" t="str">
        <f>IF(AND('Mapa final'!$Q$16="Muy Baja",'Mapa final'!$U$16="Menor"),CONCATENATE("R",'Mapa final'!$A$16),"")</f>
        <v/>
      </c>
      <c r="U43" s="448"/>
      <c r="V43" s="448" t="str">
        <f ca="1">IF(AND('Mapa final'!$Q$19="Muy Baja",'Mapa final'!$U$19="Menor"),CONCATENATE("R",'Mapa final'!$A$19),"")</f>
        <v/>
      </c>
      <c r="W43" s="449"/>
      <c r="X43" s="437" t="str">
        <f ca="1">IF(AND('Mapa final'!$Q$15="Muy Baja",'Mapa final'!$U$15="Moderado"),CONCATENATE("R",'Mapa final'!$A$15),"")</f>
        <v/>
      </c>
      <c r="Y43" s="438"/>
      <c r="Z43" s="438" t="str">
        <f>IF(AND('Mapa final'!Q$16="Muy Baja",'Mapa final'!$U$16="Moderado"),CONCATENATE("R",'Mapa final'!$A$16),"")</f>
        <v/>
      </c>
      <c r="AA43" s="438"/>
      <c r="AB43" s="438" t="str">
        <f ca="1">IF(AND('Mapa final'!$Q$19="Muy Baja",'Mapa final'!$U$19="Moderado"),CONCATENATE("R",'Mapa final'!$A$19),"")</f>
        <v/>
      </c>
      <c r="AC43" s="439"/>
      <c r="AD43" s="407" t="str">
        <f ca="1">IF(AND('Mapa final'!$Q$15="Muy Baja",'Mapa final'!$U$15="Mayor"),CONCATENATE("R",'Mapa final'!$A$15),"")</f>
        <v/>
      </c>
      <c r="AE43" s="408"/>
      <c r="AF43" s="408" t="str">
        <f>IF(AND('Mapa final'!$Q$16="Muy Baja",'Mapa final'!$U$16="Mayor"),CONCATENATE("R",'Mapa final'!$A$16),"")</f>
        <v/>
      </c>
      <c r="AG43" s="408"/>
      <c r="AH43" s="408" t="str">
        <f ca="1">IF(AND('Mapa final'!$Q$19="Muy Baja",'Mapa final'!$U$19="Mayor"),CONCATENATE("R",'Mapa final'!$A$19),"")</f>
        <v/>
      </c>
      <c r="AI43" s="421"/>
      <c r="AJ43" s="423" t="str">
        <f ca="1">IF(AND('Mapa final'!$Q$15="Muy Baja",'Mapa final'!$U$15="Catastrófico"),CONCATENATE("R",'Mapa final'!$A$15),"")</f>
        <v/>
      </c>
      <c r="AK43" s="424"/>
      <c r="AL43" s="424" t="str">
        <f>IF(AND('Mapa final'!$Q$16="Muy Baja",'Mapa final'!$U$16="Catastrófico"),CONCATENATE("R",'Mapa final'!$A$16),"")</f>
        <v/>
      </c>
      <c r="AM43" s="424"/>
      <c r="AN43" s="424" t="str">
        <f ca="1">IF(AND('Mapa final'!$Q$19="Muy Baja",'Mapa final'!$U$19="Catastrófico"),CONCATENATE("R",'Mapa final'!$A$19),"")</f>
        <v/>
      </c>
      <c r="AO43" s="425"/>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60"/>
      <c r="E44" s="360"/>
      <c r="F44" s="361"/>
      <c r="G44" s="400"/>
      <c r="H44" s="401"/>
      <c r="I44" s="401"/>
      <c r="J44" s="401"/>
      <c r="K44" s="402"/>
      <c r="L44" s="443"/>
      <c r="M44" s="441"/>
      <c r="N44" s="441"/>
      <c r="O44" s="441"/>
      <c r="P44" s="441"/>
      <c r="Q44" s="442"/>
      <c r="R44" s="443"/>
      <c r="S44" s="441"/>
      <c r="T44" s="451"/>
      <c r="U44" s="451"/>
      <c r="V44" s="451"/>
      <c r="W44" s="442"/>
      <c r="X44" s="417"/>
      <c r="Y44" s="440"/>
      <c r="Z44" s="440"/>
      <c r="AA44" s="440"/>
      <c r="AB44" s="440"/>
      <c r="AC44" s="433"/>
      <c r="AD44" s="409"/>
      <c r="AE44" s="422"/>
      <c r="AF44" s="422"/>
      <c r="AG44" s="422"/>
      <c r="AH44" s="422"/>
      <c r="AI44" s="414"/>
      <c r="AJ44" s="423"/>
      <c r="AK44" s="432"/>
      <c r="AL44" s="432"/>
      <c r="AM44" s="432"/>
      <c r="AN44" s="432"/>
      <c r="AO44" s="425"/>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60"/>
      <c r="E45" s="360"/>
      <c r="F45" s="361"/>
      <c r="G45" s="400"/>
      <c r="H45" s="401"/>
      <c r="I45" s="401"/>
      <c r="J45" s="401"/>
      <c r="K45" s="402"/>
      <c r="L45" s="443" t="str">
        <f>IF(AND('Mapa final'!$Q$20="Muy Baja",'Mapa final'!$U$20="Leve"),CONCATENATE("R",'Mapa final'!$A$20),"")</f>
        <v/>
      </c>
      <c r="M45" s="441"/>
      <c r="N45" s="441" t="str">
        <f>IF(AND('Mapa final'!$L$22="Muy Baja",'Mapa final'!$P$22="Leve"),CONCATENATE("R",'Mapa final'!$A$22),"")</f>
        <v/>
      </c>
      <c r="O45" s="441"/>
      <c r="P45" s="441" t="str">
        <f>IF(AND('Mapa final'!$L$23="Muy Baja",'Mapa final'!$P$23="Leve"),CONCATENATE("R",'Mapa final'!$A$23),"")</f>
        <v/>
      </c>
      <c r="Q45" s="442"/>
      <c r="R45" s="443" t="str">
        <f>IF(AND('Mapa final'!$Q$20="Muy Baja",'Mapa final'!$U$20="Menor"),CONCATENATE("R",'Mapa final'!$A$20),"")</f>
        <v/>
      </c>
      <c r="S45" s="441"/>
      <c r="T45" s="451" t="str">
        <f ca="1">IF(AND('Mapa final'!$Q$22="Muy Baja",'Mapa final'!$U$22="Menor"),CONCATENATE("R",'Mapa final'!$A$22),"")</f>
        <v/>
      </c>
      <c r="U45" s="451"/>
      <c r="V45" s="451" t="str">
        <f>IF(AND('Mapa final'!$Q$23="Muy Baja",'Mapa final'!$U$23="Menor"),CONCATENATE("R",'Mapa final'!$A$23),"")</f>
        <v/>
      </c>
      <c r="W45" s="442"/>
      <c r="X45" s="417" t="str">
        <f>IF(AND('Mapa final'!$Q$20="Muy Baja",'Mapa final'!$U$20="Moderado"),CONCATENATE("R",'Mapa final'!$A$20),"")</f>
        <v/>
      </c>
      <c r="Y45" s="440"/>
      <c r="Z45" s="440" t="str">
        <f ca="1">IF(AND('Mapa final'!$Q$22="Muy Baja",'Mapa final'!$U$22="Moderado"),CONCATENATE("R",'Mapa final'!$A$22),"")</f>
        <v/>
      </c>
      <c r="AA45" s="440"/>
      <c r="AB45" s="440" t="str">
        <f>IF(AND('Mapa final'!$Q$23="Muy Baja",'Mapa final'!$U$23="Moderado"),CONCATENATE("R",'Mapa final'!$A$23),"")</f>
        <v/>
      </c>
      <c r="AC45" s="433"/>
      <c r="AD45" s="409" t="str">
        <f>IF(AND('Mapa final'!$Q$20="Muy Baja",'Mapa final'!$U$20="Mayor"),CONCATENATE("R",'Mapa final'!$A$20),"")</f>
        <v/>
      </c>
      <c r="AE45" s="422"/>
      <c r="AF45" s="422" t="str">
        <f ca="1">IF(AND('Mapa final'!$Q$22="Muy Baja",'Mapa final'!$U$22="Mayor"),CONCATENATE("R",'Mapa final'!$A$22),"")</f>
        <v/>
      </c>
      <c r="AG45" s="422"/>
      <c r="AH45" s="422" t="str">
        <f>IF(AND('Mapa final'!$Q$23="Muy Baja",'Mapa final'!$U$23="Mayor"),CONCATENATE("R",'Mapa final'!$A$23),"")</f>
        <v/>
      </c>
      <c r="AI45" s="414"/>
      <c r="AJ45" s="423" t="str">
        <f>IF(AND('Mapa final'!$Q$20="Muy Baja",'Mapa final'!$U$20="Catastrófico"),CONCATENATE("R",'Mapa final'!$A$20),"")</f>
        <v/>
      </c>
      <c r="AK45" s="432"/>
      <c r="AL45" s="432" t="str">
        <f ca="1">IF(AND('Mapa final'!$Q$22="Muy Baja",'Mapa final'!$U$22="Catastrófico"),CONCATENATE("R",'Mapa final'!$A$22),"")</f>
        <v/>
      </c>
      <c r="AM45" s="432"/>
      <c r="AN45" s="432" t="str">
        <f>IF(AND('Mapa final'!$Q$23="Muy Baja",'Mapa final'!$L$23="Catastrófico"),CONCATENATE("R",'Mapa final'!$A$23),"")</f>
        <v/>
      </c>
      <c r="AO45" s="425"/>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60"/>
      <c r="E46" s="360"/>
      <c r="F46" s="361"/>
      <c r="G46" s="400"/>
      <c r="H46" s="401"/>
      <c r="I46" s="401"/>
      <c r="J46" s="401"/>
      <c r="K46" s="402"/>
      <c r="L46" s="443"/>
      <c r="M46" s="441"/>
      <c r="N46" s="441"/>
      <c r="O46" s="441"/>
      <c r="P46" s="441"/>
      <c r="Q46" s="442"/>
      <c r="R46" s="443"/>
      <c r="S46" s="441"/>
      <c r="T46" s="451"/>
      <c r="U46" s="451"/>
      <c r="V46" s="451"/>
      <c r="W46" s="442"/>
      <c r="X46" s="417"/>
      <c r="Y46" s="440"/>
      <c r="Z46" s="440"/>
      <c r="AA46" s="440"/>
      <c r="AB46" s="440"/>
      <c r="AC46" s="433"/>
      <c r="AD46" s="409"/>
      <c r="AE46" s="422"/>
      <c r="AF46" s="422"/>
      <c r="AG46" s="422"/>
      <c r="AH46" s="422"/>
      <c r="AI46" s="414"/>
      <c r="AJ46" s="423"/>
      <c r="AK46" s="432"/>
      <c r="AL46" s="432"/>
      <c r="AM46" s="432"/>
      <c r="AN46" s="432"/>
      <c r="AO46" s="425"/>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60"/>
      <c r="E47" s="360"/>
      <c r="F47" s="361"/>
      <c r="G47" s="400"/>
      <c r="H47" s="401"/>
      <c r="I47" s="401"/>
      <c r="J47" s="401"/>
      <c r="K47" s="402"/>
      <c r="L47" s="443" t="str">
        <f ca="1">IF(AND('Mapa final'!$Q$24="Muy Baja",'Mapa final'!$U$24="Leve"),CONCATENATE("R",'Mapa final'!$A$24),"")</f>
        <v/>
      </c>
      <c r="M47" s="441"/>
      <c r="N47" s="441" t="str">
        <f>IF(AND('Mapa final'!$L$25="Muy Baja",'Mapa final'!$P$25="Leve"),CONCATENATE("R",'Mapa final'!$A$25),"")</f>
        <v/>
      </c>
      <c r="O47" s="441"/>
      <c r="P47" s="441" t="str">
        <f>IF(AND('Mapa final'!$L$26="Muy Baja",'Mapa final'!$P$26="Leve"),CONCATENATE("R",'Mapa final'!$A$26),"")</f>
        <v/>
      </c>
      <c r="Q47" s="442"/>
      <c r="R47" s="443" t="str">
        <f ca="1">IF(AND('Mapa final'!$Q$24="Muy Baja",'Mapa final'!$U$24="Menor"),CONCATENATE("R",'Mapa final'!$A$24),"")</f>
        <v/>
      </c>
      <c r="S47" s="441"/>
      <c r="T47" s="451" t="str">
        <f ca="1">IF(AND('Mapa final'!$LR$25="Muy Baja",'Mapa final'!$U$25="Menor"),CONCATENATE("R",'Mapa final'!$A$25),"")</f>
        <v/>
      </c>
      <c r="U47" s="451"/>
      <c r="V47" s="451" t="str">
        <f>IF(AND('Mapa final'!$Q$26="Muy Baja",'Mapa final'!$U$26="Menor"),CONCATENATE("R",'Mapa final'!$A$26),"")</f>
        <v/>
      </c>
      <c r="W47" s="442"/>
      <c r="X47" s="417" t="str">
        <f ca="1">IF(AND('Mapa final'!$Q$24="Muy Baja",'Mapa final'!$U$24="Moderado"),CONCATENATE("R",'Mapa final'!$A$24),"")</f>
        <v/>
      </c>
      <c r="Y47" s="440"/>
      <c r="Z47" s="440" t="str">
        <f ca="1">IF(AND('Mapa final'!$Q$25="Muy Baja",'Mapa final'!$U$25="Moderado"),CONCATENATE("R",'Mapa final'!$A$25),"")</f>
        <v/>
      </c>
      <c r="AA47" s="440"/>
      <c r="AB47" s="440" t="str">
        <f>IF(AND('Mapa final'!$Q$26="Muy Baja",'Mapa final'!$U$26="Moderado"),CONCATENATE("R",'Mapa final'!$A$26),"")</f>
        <v/>
      </c>
      <c r="AC47" s="433"/>
      <c r="AD47" s="409" t="str">
        <f ca="1">IF(AND('Mapa final'!$Q$24="Muy Baja",'Mapa final'!$U$24="Mayor"),CONCATENATE("R",'Mapa final'!$A$24),"")</f>
        <v/>
      </c>
      <c r="AE47" s="422"/>
      <c r="AF47" s="422" t="str">
        <f ca="1">IF(AND('Mapa final'!$Q$25="Muy Baja",'Mapa final'!$U$25="Mayor"),CONCATENATE("R",'Mapa final'!$A$25),"")</f>
        <v/>
      </c>
      <c r="AG47" s="422"/>
      <c r="AH47" s="422" t="str">
        <f>IF(AND('Mapa final'!$Q$26="Muy Baja",'Mapa final'!$U$26="Mayor"),CONCATENATE("R",'Mapa final'!$A$26),"")</f>
        <v/>
      </c>
      <c r="AI47" s="414"/>
      <c r="AJ47" s="423" t="str">
        <f ca="1">IF(AND('Mapa final'!$Q$24="Muy Baja",'Mapa final'!$U$24="Catastrófico"),CONCATENATE("R",'Mapa final'!$A$24),"")</f>
        <v/>
      </c>
      <c r="AK47" s="432"/>
      <c r="AL47" s="432" t="str">
        <f ca="1">IF(AND('Mapa final'!$Q$25="Muy Baja",'Mapa final'!$U$25="Catastrófico"),CONCATENATE("R",'Mapa final'!$A$25),"")</f>
        <v/>
      </c>
      <c r="AM47" s="432"/>
      <c r="AN47" s="432" t="str">
        <f>IF(AND('Mapa final'!$Q$26="Muy Baja",'Mapa final'!$U$26="Catastrófico"),CONCATENATE("R",'Mapa final'!$A$26),"")</f>
        <v/>
      </c>
      <c r="AO47" s="425"/>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60"/>
      <c r="E48" s="360"/>
      <c r="F48" s="361"/>
      <c r="G48" s="400"/>
      <c r="H48" s="401"/>
      <c r="I48" s="401"/>
      <c r="J48" s="401"/>
      <c r="K48" s="402"/>
      <c r="L48" s="443"/>
      <c r="M48" s="441"/>
      <c r="N48" s="441"/>
      <c r="O48" s="441"/>
      <c r="P48" s="441"/>
      <c r="Q48" s="442"/>
      <c r="R48" s="443"/>
      <c r="S48" s="441"/>
      <c r="T48" s="451"/>
      <c r="U48" s="451"/>
      <c r="V48" s="451"/>
      <c r="W48" s="442"/>
      <c r="X48" s="417"/>
      <c r="Y48" s="440"/>
      <c r="Z48" s="440"/>
      <c r="AA48" s="440"/>
      <c r="AB48" s="440"/>
      <c r="AC48" s="433"/>
      <c r="AD48" s="409"/>
      <c r="AE48" s="422"/>
      <c r="AF48" s="422"/>
      <c r="AG48" s="422"/>
      <c r="AH48" s="422"/>
      <c r="AI48" s="414"/>
      <c r="AJ48" s="423"/>
      <c r="AK48" s="432"/>
      <c r="AL48" s="432"/>
      <c r="AM48" s="432"/>
      <c r="AN48" s="432"/>
      <c r="AO48" s="425"/>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60"/>
      <c r="E49" s="360"/>
      <c r="F49" s="361"/>
      <c r="G49" s="400"/>
      <c r="H49" s="401"/>
      <c r="I49" s="401"/>
      <c r="J49" s="401"/>
      <c r="K49" s="402"/>
      <c r="L49" s="443" t="str">
        <f>IF(AND('Mapa final'!$Q$27="Muy Baja",'Mapa final'!$U$27="Leve"),CONCATENATE("R",'Mapa final'!$A$27),"")</f>
        <v/>
      </c>
      <c r="M49" s="441"/>
      <c r="N49" s="441" t="str">
        <f>IF(AND('Mapa final'!$L$28="Muy Baja",'Mapa final'!$P$28="Leve"),CONCATENATE("R",'Mapa final'!$A$28),"")</f>
        <v/>
      </c>
      <c r="O49" s="441"/>
      <c r="P49" s="441" t="str">
        <f>IF(AND('Mapa final'!$L$29="Muy Baja",'Mapa final'!$P$29="Leve"),CONCATENATE("R",'Mapa final'!$A$29),"")</f>
        <v/>
      </c>
      <c r="Q49" s="442"/>
      <c r="R49" s="441" t="str">
        <f>IF(AND('Mapa final'!$Q$27="Muy Baja",'Mapa final'!$U$27="Menor"),CONCATENATE("R",'Mapa final'!$A$27),"")</f>
        <v/>
      </c>
      <c r="S49" s="451"/>
      <c r="T49" s="451" t="str">
        <f>IF(AND('Mapa final'!$Q$28="Muy Baja",'Mapa final'!$U$28="Menor"),CONCATENATE("R",'Mapa final'!$A$28),"")</f>
        <v/>
      </c>
      <c r="U49" s="451"/>
      <c r="V49" s="451" t="str">
        <f>IF(AND('Mapa final'!$Q$29="Muy Baja",'Mapa final'!$U$29="Menor"),CONCATENATE("R",'Mapa final'!$A$29),"")</f>
        <v/>
      </c>
      <c r="W49" s="442"/>
      <c r="X49" s="417" t="str">
        <f>IF(AND('Mapa final'!$Q$27="Muy Baja",'Mapa final'!$U$27="Moderado"),CONCATENATE("R",'Mapa final'!$A$27),"")</f>
        <v/>
      </c>
      <c r="Y49" s="440"/>
      <c r="Z49" s="440" t="str">
        <f>IF(AND('Mapa final'!$Q$28="Muy Baja",'Mapa final'!$U$28="Moderado"),CONCATENATE("R",'Mapa final'!$A$28),"")</f>
        <v/>
      </c>
      <c r="AA49" s="440"/>
      <c r="AB49" s="440" t="str">
        <f>IF(AND('Mapa final'!$Q$29="Muy Baja",'Mapa final'!$U$29="Moderado"),CONCATENATE("R",'Mapa final'!$A$29),"")</f>
        <v/>
      </c>
      <c r="AC49" s="433"/>
      <c r="AD49" s="409" t="str">
        <f>IF(AND('Mapa final'!$Q$27="Muy Baja",'Mapa final'!$U$27="Mayor"),CONCATENATE("R",'Mapa final'!$A$27),"")</f>
        <v/>
      </c>
      <c r="AE49" s="422"/>
      <c r="AF49" s="422" t="str">
        <f>IF(AND('Mapa final'!$Q$28="Muy Baja",'Mapa final'!$U$28="Mayor"),CONCATENATE("R",'Mapa final'!$A$28),"")</f>
        <v/>
      </c>
      <c r="AG49" s="422"/>
      <c r="AH49" s="422" t="str">
        <f>IF(AND('Mapa final'!$Q$29="Muy Baja",'Mapa final'!$U$29="Mayor"),CONCATENATE("R",'Mapa final'!$A$29),"")</f>
        <v/>
      </c>
      <c r="AI49" s="414"/>
      <c r="AJ49" s="423" t="str">
        <f>IF(AND('Mapa final'!$Q$27="Muy Baja",'Mapa final'!$U$27="Catastrófico"),CONCATENATE("R",'Mapa final'!$A$27),"")</f>
        <v/>
      </c>
      <c r="AK49" s="432"/>
      <c r="AL49" s="432" t="str">
        <f>IF(AND('Mapa final'!$Q$28="Muy Baja",'Mapa final'!$U$28="Catastrófico"),CONCATENATE("R",'Mapa final'!$A$28),"")</f>
        <v/>
      </c>
      <c r="AM49" s="432"/>
      <c r="AN49" s="432" t="str">
        <f>IF(AND('Mapa final'!$Q$29="Muy Baja",'Mapa final'!$U$29="Catastrófico"),CONCATENATE("R",'Mapa final'!$A$29),"")</f>
        <v/>
      </c>
      <c r="AO49" s="425"/>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60"/>
      <c r="E50" s="360"/>
      <c r="F50" s="361"/>
      <c r="G50" s="403"/>
      <c r="H50" s="404"/>
      <c r="I50" s="404"/>
      <c r="J50" s="404"/>
      <c r="K50" s="404"/>
      <c r="L50" s="444"/>
      <c r="M50" s="445"/>
      <c r="N50" s="445"/>
      <c r="O50" s="445"/>
      <c r="P50" s="445"/>
      <c r="Q50" s="446"/>
      <c r="R50" s="445"/>
      <c r="S50" s="445"/>
      <c r="T50" s="445"/>
      <c r="U50" s="445"/>
      <c r="V50" s="445"/>
      <c r="W50" s="446"/>
      <c r="X50" s="434"/>
      <c r="Y50" s="435"/>
      <c r="Z50" s="435"/>
      <c r="AA50" s="435"/>
      <c r="AB50" s="435"/>
      <c r="AC50" s="436"/>
      <c r="AD50" s="420"/>
      <c r="AE50" s="415"/>
      <c r="AF50" s="415"/>
      <c r="AG50" s="415"/>
      <c r="AH50" s="415"/>
      <c r="AI50" s="416"/>
      <c r="AJ50" s="429"/>
      <c r="AK50" s="430"/>
      <c r="AL50" s="430"/>
      <c r="AM50" s="430"/>
      <c r="AN50" s="430"/>
      <c r="AO50" s="431"/>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10" t="s">
        <v>111</v>
      </c>
      <c r="M51" s="402"/>
      <c r="N51" s="402"/>
      <c r="O51" s="402"/>
      <c r="P51" s="402"/>
      <c r="Q51" s="411"/>
      <c r="R51" s="398" t="s">
        <v>110</v>
      </c>
      <c r="S51" s="399"/>
      <c r="T51" s="399"/>
      <c r="U51" s="399"/>
      <c r="V51" s="399"/>
      <c r="W51" s="413"/>
      <c r="X51" s="398" t="s">
        <v>109</v>
      </c>
      <c r="Y51" s="399"/>
      <c r="Z51" s="399"/>
      <c r="AA51" s="399"/>
      <c r="AB51" s="399"/>
      <c r="AC51" s="413"/>
      <c r="AD51" s="398" t="s">
        <v>108</v>
      </c>
      <c r="AE51" s="419"/>
      <c r="AF51" s="399"/>
      <c r="AG51" s="399"/>
      <c r="AH51" s="399"/>
      <c r="AI51" s="413"/>
      <c r="AJ51" s="398" t="s">
        <v>107</v>
      </c>
      <c r="AK51" s="399"/>
      <c r="AL51" s="399"/>
      <c r="AM51" s="399"/>
      <c r="AN51" s="399"/>
      <c r="AO51" s="413"/>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00"/>
      <c r="M52" s="401"/>
      <c r="N52" s="401"/>
      <c r="O52" s="401"/>
      <c r="P52" s="401"/>
      <c r="Q52" s="411"/>
      <c r="R52" s="400"/>
      <c r="S52" s="401"/>
      <c r="T52" s="401"/>
      <c r="U52" s="401"/>
      <c r="V52" s="401"/>
      <c r="W52" s="411"/>
      <c r="X52" s="400"/>
      <c r="Y52" s="401"/>
      <c r="Z52" s="401"/>
      <c r="AA52" s="401"/>
      <c r="AB52" s="401"/>
      <c r="AC52" s="411"/>
      <c r="AD52" s="400"/>
      <c r="AE52" s="401"/>
      <c r="AF52" s="401"/>
      <c r="AG52" s="401"/>
      <c r="AH52" s="401"/>
      <c r="AI52" s="411"/>
      <c r="AJ52" s="400"/>
      <c r="AK52" s="401"/>
      <c r="AL52" s="401"/>
      <c r="AM52" s="401"/>
      <c r="AN52" s="401"/>
      <c r="AO52" s="411"/>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00"/>
      <c r="M53" s="401"/>
      <c r="N53" s="401"/>
      <c r="O53" s="401"/>
      <c r="P53" s="401"/>
      <c r="Q53" s="411"/>
      <c r="R53" s="400"/>
      <c r="S53" s="401"/>
      <c r="T53" s="401"/>
      <c r="U53" s="401"/>
      <c r="V53" s="401"/>
      <c r="W53" s="411"/>
      <c r="X53" s="400"/>
      <c r="Y53" s="401"/>
      <c r="Z53" s="401"/>
      <c r="AA53" s="401"/>
      <c r="AB53" s="401"/>
      <c r="AC53" s="411"/>
      <c r="AD53" s="400"/>
      <c r="AE53" s="401"/>
      <c r="AF53" s="401"/>
      <c r="AG53" s="401"/>
      <c r="AH53" s="401"/>
      <c r="AI53" s="411"/>
      <c r="AJ53" s="400"/>
      <c r="AK53" s="401"/>
      <c r="AL53" s="401"/>
      <c r="AM53" s="401"/>
      <c r="AN53" s="401"/>
      <c r="AO53" s="411"/>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00"/>
      <c r="M54" s="401"/>
      <c r="N54" s="401"/>
      <c r="O54" s="401"/>
      <c r="P54" s="401"/>
      <c r="Q54" s="411"/>
      <c r="R54" s="400"/>
      <c r="S54" s="401"/>
      <c r="T54" s="401"/>
      <c r="U54" s="401"/>
      <c r="V54" s="401"/>
      <c r="W54" s="411"/>
      <c r="X54" s="400"/>
      <c r="Y54" s="401"/>
      <c r="Z54" s="401"/>
      <c r="AA54" s="401"/>
      <c r="AB54" s="401"/>
      <c r="AC54" s="411"/>
      <c r="AD54" s="400"/>
      <c r="AE54" s="401"/>
      <c r="AF54" s="401"/>
      <c r="AG54" s="401"/>
      <c r="AH54" s="401"/>
      <c r="AI54" s="411"/>
      <c r="AJ54" s="400"/>
      <c r="AK54" s="401"/>
      <c r="AL54" s="401"/>
      <c r="AM54" s="401"/>
      <c r="AN54" s="401"/>
      <c r="AO54" s="411"/>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00"/>
      <c r="M55" s="401"/>
      <c r="N55" s="401"/>
      <c r="O55" s="401"/>
      <c r="P55" s="401"/>
      <c r="Q55" s="411"/>
      <c r="R55" s="400"/>
      <c r="S55" s="401"/>
      <c r="T55" s="401"/>
      <c r="U55" s="401"/>
      <c r="V55" s="401"/>
      <c r="W55" s="411"/>
      <c r="X55" s="400"/>
      <c r="Y55" s="401"/>
      <c r="Z55" s="401"/>
      <c r="AA55" s="401"/>
      <c r="AB55" s="401"/>
      <c r="AC55" s="411"/>
      <c r="AD55" s="400"/>
      <c r="AE55" s="401"/>
      <c r="AF55" s="401"/>
      <c r="AG55" s="401"/>
      <c r="AH55" s="401"/>
      <c r="AI55" s="411"/>
      <c r="AJ55" s="400"/>
      <c r="AK55" s="401"/>
      <c r="AL55" s="401"/>
      <c r="AM55" s="401"/>
      <c r="AN55" s="401"/>
      <c r="AO55" s="411"/>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03"/>
      <c r="M56" s="404"/>
      <c r="N56" s="404"/>
      <c r="O56" s="404"/>
      <c r="P56" s="404"/>
      <c r="Q56" s="412"/>
      <c r="R56" s="403"/>
      <c r="S56" s="404"/>
      <c r="T56" s="404"/>
      <c r="U56" s="404"/>
      <c r="V56" s="404"/>
      <c r="W56" s="412"/>
      <c r="X56" s="403"/>
      <c r="Y56" s="404"/>
      <c r="Z56" s="404"/>
      <c r="AA56" s="404"/>
      <c r="AB56" s="404"/>
      <c r="AC56" s="412"/>
      <c r="AD56" s="403"/>
      <c r="AE56" s="404"/>
      <c r="AF56" s="404"/>
      <c r="AG56" s="404"/>
      <c r="AH56" s="404"/>
      <c r="AI56" s="412"/>
      <c r="AJ56" s="403"/>
      <c r="AK56" s="404"/>
      <c r="AL56" s="404"/>
      <c r="AM56" s="404"/>
      <c r="AN56" s="404"/>
      <c r="AO56" s="412"/>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sheetView>
  </sheetViews>
  <sheetFormatPr baseColWidth="10" defaultRowHeight="15" x14ac:dyDescent="0.25"/>
  <cols>
    <col min="3" max="11" width="5.7109375" customWidth="1"/>
    <col min="12" max="12" width="12" customWidth="1"/>
    <col min="13" max="19" width="5.7109375" customWidth="1"/>
    <col min="20" max="20" width="6.7109375" customWidth="1"/>
    <col min="21" max="22" width="5.7109375" customWidth="1"/>
    <col min="23" max="23" width="10" customWidth="1"/>
    <col min="24" max="24" width="10.5703125" customWidth="1"/>
    <col min="25" max="25" width="11.7109375" customWidth="1"/>
    <col min="26" max="26" width="10" customWidth="1"/>
    <col min="27" max="27" width="10.28515625" customWidth="1"/>
    <col min="28" max="28" width="6.42578125" customWidth="1"/>
    <col min="29" max="29" width="10.7109375" customWidth="1"/>
    <col min="30" max="30" width="7.42578125" customWidth="1"/>
    <col min="31" max="32" width="5.7109375" customWidth="1"/>
    <col min="33" max="33" width="8.5703125" customWidth="1"/>
    <col min="34" max="34" width="12.85546875" customWidth="1"/>
    <col min="35" max="35" width="8.42578125" customWidth="1"/>
    <col min="36" max="40" width="5.7109375" customWidth="1"/>
    <col min="42" max="47" width="5.7109375" customWidth="1"/>
  </cols>
  <sheetData>
    <row r="1" spans="1:92" ht="15.75" thickBot="1" x14ac:dyDescent="0.3"/>
    <row r="2" spans="1:92" x14ac:dyDescent="0.25">
      <c r="C2" s="351" t="s">
        <v>251</v>
      </c>
      <c r="D2" s="352"/>
      <c r="E2" s="352"/>
      <c r="F2" s="352"/>
      <c r="G2" s="352"/>
      <c r="H2" s="352"/>
      <c r="I2" s="352"/>
      <c r="J2" s="353"/>
      <c r="K2" s="342" t="s">
        <v>205</v>
      </c>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4"/>
      <c r="AO2" s="274" t="s">
        <v>377</v>
      </c>
      <c r="AP2" s="339"/>
      <c r="AQ2" s="339"/>
      <c r="AR2" s="339"/>
      <c r="AS2" s="339"/>
      <c r="AT2" s="339"/>
      <c r="AU2" s="247"/>
    </row>
    <row r="3" spans="1:92" x14ac:dyDescent="0.25">
      <c r="C3" s="354"/>
      <c r="D3" s="355"/>
      <c r="E3" s="355"/>
      <c r="F3" s="355"/>
      <c r="G3" s="355"/>
      <c r="H3" s="355"/>
      <c r="I3" s="355"/>
      <c r="J3" s="356"/>
      <c r="K3" s="345"/>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7"/>
      <c r="AO3" s="275" t="s">
        <v>264</v>
      </c>
      <c r="AP3" s="340"/>
      <c r="AQ3" s="340"/>
      <c r="AR3" s="340"/>
      <c r="AS3" s="340"/>
      <c r="AT3" s="340"/>
      <c r="AU3" s="249"/>
    </row>
    <row r="4" spans="1:92" x14ac:dyDescent="0.25">
      <c r="C4" s="354"/>
      <c r="D4" s="355"/>
      <c r="E4" s="355"/>
      <c r="F4" s="355"/>
      <c r="G4" s="355"/>
      <c r="H4" s="355"/>
      <c r="I4" s="355"/>
      <c r="J4" s="356"/>
      <c r="K4" s="345"/>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7"/>
      <c r="AO4" s="275" t="s">
        <v>389</v>
      </c>
      <c r="AP4" s="340" t="s">
        <v>263</v>
      </c>
      <c r="AQ4" s="340"/>
      <c r="AR4" s="340"/>
      <c r="AS4" s="340"/>
      <c r="AT4" s="340"/>
      <c r="AU4" s="249"/>
    </row>
    <row r="5" spans="1:92" ht="15.75" thickBot="1" x14ac:dyDescent="0.3">
      <c r="C5" s="357"/>
      <c r="D5" s="358"/>
      <c r="E5" s="358"/>
      <c r="F5" s="358"/>
      <c r="G5" s="358"/>
      <c r="H5" s="358"/>
      <c r="I5" s="358"/>
      <c r="J5" s="359"/>
      <c r="K5" s="348"/>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50"/>
      <c r="AO5" s="276" t="s">
        <v>245</v>
      </c>
      <c r="AP5" s="341" t="s">
        <v>245</v>
      </c>
      <c r="AQ5" s="341"/>
      <c r="AR5" s="341"/>
      <c r="AS5" s="341"/>
      <c r="AT5" s="341"/>
      <c r="AU5" s="251"/>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502" t="s">
        <v>266</v>
      </c>
      <c r="B8" s="502"/>
      <c r="C8" s="480" t="s">
        <v>156</v>
      </c>
      <c r="D8" s="481"/>
      <c r="E8" s="481"/>
      <c r="F8" s="481"/>
      <c r="G8" s="481"/>
      <c r="H8" s="481"/>
      <c r="I8" s="481"/>
      <c r="J8" s="481"/>
      <c r="K8" s="482" t="s">
        <v>2</v>
      </c>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c r="AM8" s="482"/>
      <c r="AN8" s="482"/>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81"/>
      <c r="D9" s="481"/>
      <c r="E9" s="481"/>
      <c r="F9" s="481"/>
      <c r="G9" s="481"/>
      <c r="H9" s="481"/>
      <c r="I9" s="481"/>
      <c r="J9" s="481"/>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2"/>
      <c r="AK9" s="482"/>
      <c r="AL9" s="482"/>
      <c r="AM9" s="482"/>
      <c r="AN9" s="482"/>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81"/>
      <c r="D10" s="481"/>
      <c r="E10" s="481"/>
      <c r="F10" s="481"/>
      <c r="G10" s="481"/>
      <c r="H10" s="481"/>
      <c r="I10" s="481"/>
      <c r="J10" s="481"/>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60" t="s">
        <v>4</v>
      </c>
      <c r="D12" s="360"/>
      <c r="E12" s="361"/>
      <c r="F12" s="452" t="s">
        <v>115</v>
      </c>
      <c r="G12" s="453"/>
      <c r="H12" s="453"/>
      <c r="I12" s="453"/>
      <c r="J12" s="453"/>
      <c r="K12" s="32" t="str">
        <f ca="1">IF(AND('Mapa final'!$AJ$15="Muy Alta",'Mapa final'!$AL$15="Leve"),CONCATENATE("R2C",'Mapa final'!$S$15),"")</f>
        <v/>
      </c>
      <c r="L12" s="33" t="str">
        <f ca="1">IF(AND('Mapa final'!$AJ$16="Muy Alta",'Mapa final'!$AL$16="Leve"),CONCATENATE("R2C",'Mapa final'!$S$16),"")</f>
        <v/>
      </c>
      <c r="M12" s="33" t="str">
        <f ca="1">IF(AND('Mapa final'!$AJ$19="Muy Alta",'Mapa final'!$AL$19="Leve"),CONCATENATE("R2C",'Mapa final'!$S$19),"")</f>
        <v/>
      </c>
      <c r="N12" s="33" t="str">
        <f ca="1">IF(AND('Mapa final'!$AJ$20="Muy Alta",'Mapa final'!$AL$20="Leve"),CONCATENATE("R2C",'Mapa final'!$S$20),"")</f>
        <v/>
      </c>
      <c r="O12" s="33" t="str">
        <f ca="1">IF(AND('Mapa final'!$AJ$22="Muy Alta",'Mapa final'!$AL$22="Leve"),CONCATENATE("R2C",'Mapa final'!$S$22),"")</f>
        <v/>
      </c>
      <c r="P12" s="34" t="str">
        <f ca="1">IF(AND('Mapa final'!$AJ$23="Muy Alta",'Mapa final'!$AL$23="Leve"),CONCATENATE("R2C",'Mapa final'!$S$23),"")</f>
        <v/>
      </c>
      <c r="Q12" s="33" t="str">
        <f ca="1">IF(AND('Mapa final'!$AJ$15="Muy Alta",'Mapa final'!$AL$15="Menor"),CONCATENATE("R2C",'Mapa final'!$S$15),"")</f>
        <v/>
      </c>
      <c r="R12" s="33" t="str">
        <f ca="1">IF(AND('Mapa final'!$AJ$16="Muy Alta",'Mapa final'!$AL$16="Menore"),CONCATENATE("R2C",'Mapa final'!$S$16),"")</f>
        <v/>
      </c>
      <c r="S12" s="33" t="str">
        <f ca="1">IF(AND('Mapa final'!$AJ$19="Muy Alta",'Mapa final'!$AL$19="Menor"),CONCATENATE("R2C",'Mapa final'!$S$19),"")</f>
        <v/>
      </c>
      <c r="T12" s="33" t="str">
        <f ca="1">IF(AND('Mapa final'!$AJ$20="Muy Alta",'Mapa final'!$AL$20="Menor"),CONCATENATE("R2C",'Mapa final'!$S$20),"")</f>
        <v/>
      </c>
      <c r="U12" s="33" t="str">
        <f ca="1">IF(AND('Mapa final'!$AJ$22="Muy Alta",'Mapa final'!$AL$22="Menor"),CONCATENATE("R2C",'Mapa final'!$S$22),"")</f>
        <v/>
      </c>
      <c r="V12" s="34" t="str">
        <f ca="1">IF(AND('Mapa final'!$AJ$23="Muy Alta",'Mapa final'!$AL$23="Menor"),CONCATENATE("R2C",'Mapa final'!$S$23),"")</f>
        <v/>
      </c>
      <c r="W12" s="32" t="str">
        <f ca="1">IF(AND('Mapa final'!$AJ$15="Muy Alta",'Mapa final'!$AL$15="Moderado"),CONCATENATE("R2C",'Mapa final'!$S$15),"")</f>
        <v/>
      </c>
      <c r="X12" s="33" t="str">
        <f ca="1">IF(AND('Mapa final'!$AJ$16="Muy Alta",'Mapa final'!$AL$16="Moderado"),CONCATENATE("R2C",'Mapa final'!$S$16),"")</f>
        <v/>
      </c>
      <c r="Y12" s="33"/>
      <c r="Z12" s="33" t="str">
        <f ca="1">IF(AND('Mapa final'!$AJ$20="Muy Alta",'Mapa final'!$AL$20="Moderado"),CONCATENATE("R2C",'Mapa final'!$S$20),"")</f>
        <v/>
      </c>
      <c r="AA12" s="33" t="str">
        <f ca="1">IF(AND('Mapa final'!$AJ$22="Muy Alta",'Mapa final'!$AL$22="Moderado"),CONCATENATE("R2C",'Mapa final'!$S$22),"")</f>
        <v/>
      </c>
      <c r="AB12" s="34" t="str">
        <f ca="1">IF(AND('Mapa final'!$AJ$23="Muy Alta",'Mapa final'!$AL$23="Moderado"),CONCATENATE("R2C",'Mapa final'!$S$23),"")</f>
        <v/>
      </c>
      <c r="AC12" s="32" t="str">
        <f ca="1">IF(AND('Mapa final'!$AJ$15="Muy Alta",'Mapa final'!$AL$15="Mayor"),CONCATENATE("R2C",'Mapa final'!$S$15),"")</f>
        <v/>
      </c>
      <c r="AD12" s="33" t="str">
        <f ca="1">IF(AND('Mapa final'!$AJ$16="Muy Alta",'Mapa final'!$AL$16="Mayor"),CONCATENATE("R2C",'Mapa final'!$S$16),"")</f>
        <v/>
      </c>
      <c r="AE12" s="33" t="str">
        <f ca="1">IF(AND('Mapa final'!$AJ$19="Muy Alta",'Mapa final'!$AL$19="Mayor"),CONCATENATE("R2C",'Mapa final'!$S$19),"")</f>
        <v/>
      </c>
      <c r="AF12" s="33" t="str">
        <f ca="1">IF(AND('Mapa final'!$AJ$20="Muy Alta",'Mapa final'!$AL$20="Mayor"),CONCATENATE("R2C",'Mapa final'!$S$20),"")</f>
        <v/>
      </c>
      <c r="AG12" s="33" t="str">
        <f ca="1">IF(AND('Mapa final'!$AJ$22="Muy Alta",'Mapa final'!$AL$22="Mayor"),CONCATENATE("R2C",'Mapa final'!$S$22),"")</f>
        <v/>
      </c>
      <c r="AH12" s="34" t="str">
        <f ca="1">IF(AND('Mapa final'!$AJ$23="Muy Alta",'Mapa final'!$AL$23="Mayor"),CONCATENATE("R2C",'Mapa final'!$S$23),"")</f>
        <v/>
      </c>
      <c r="AI12" s="35" t="str">
        <f ca="1">IF(AND('Mapa final'!$AJ$15="Muy Alta",'Mapa final'!$AL$15="Catastrófico"),CONCATENATE("R2C",'Mapa final'!$S$15),"")</f>
        <v/>
      </c>
      <c r="AJ12" s="36" t="str">
        <f ca="1">IF(AND('Mapa final'!$AJ$16="Muy Alta",'Mapa final'!$AL$16="Catastrófico"),CONCATENATE("R2C",'Mapa final'!$S$16),"")</f>
        <v/>
      </c>
      <c r="AK12" s="36" t="str">
        <f ca="1">IF(AND('Mapa final'!$AJ$19="Muy Alta",'Mapa final'!$AL$19="Catastrófico"),CONCATENATE("R2C",'Mapa final'!$S$19),"")</f>
        <v/>
      </c>
      <c r="AL12" s="36" t="str">
        <f ca="1">IF(AND('Mapa final'!$AJ$20="Muy Alta",'Mapa final'!$AL$20="Catastrófico"),CONCATENATE("R2C",'Mapa final'!$S$20),"")</f>
        <v/>
      </c>
      <c r="AM12" s="36" t="str">
        <f ca="1">IF(AND('Mapa final'!$AJ$22="Muy Alta",'Mapa final'!$AL$22="Catastrófico"),CONCATENATE("R2C",'Mapa final'!$S$22),"")</f>
        <v/>
      </c>
      <c r="AN12" s="37" t="str">
        <f ca="1">IF(AND('Mapa final'!$AJ$23="Muy Alta",'Mapa final'!$AL$23="Catastrófico"),CONCATENATE("R2C",'Mapa final'!$S$23),"")</f>
        <v/>
      </c>
      <c r="AO12" s="69"/>
      <c r="AP12" s="471" t="s">
        <v>78</v>
      </c>
      <c r="AQ12" s="472"/>
      <c r="AR12" s="472"/>
      <c r="AS12" s="472"/>
      <c r="AT12" s="472"/>
      <c r="AU12" s="473"/>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60"/>
      <c r="D13" s="360"/>
      <c r="E13" s="361"/>
      <c r="F13" s="455"/>
      <c r="G13" s="456"/>
      <c r="H13" s="456"/>
      <c r="I13" s="456"/>
      <c r="J13" s="483"/>
      <c r="K13" s="38" t="str">
        <f ca="1">IF(AND('Mapa final'!$AJ$24="Muy Alta",'Mapa final'!$AL$24="Leve"),CONCATENATE("R2C",'Mapa final'!$S$24),"")</f>
        <v/>
      </c>
      <c r="L13" s="178" t="str">
        <f ca="1">IF(AND('Mapa final'!$AJ$25="Muy Alta",'Mapa final'!$AL$25="Leve"),CONCATENATE("R2C",'Mapa final'!$S$25),"")</f>
        <v/>
      </c>
      <c r="M13" s="178" t="str">
        <f>IF(AND('Mapa final'!$AJ$26="Muy Alta",'Mapa final'!$AL$26="Leve"),CONCATENATE("R2C",'Mapa final'!$S$26),"")</f>
        <v/>
      </c>
      <c r="N13" s="178" t="str">
        <f>IF(AND('Mapa final'!$AJ$27="Muy Alta",'Mapa final'!$AL$27="Leve"),CONCATENATE("R2C",'Mapa final'!$S$27),"")</f>
        <v/>
      </c>
      <c r="O13" s="178" t="str">
        <f>IF(AND('Mapa final'!$AJ$28="Muy Alta",'Mapa final'!$AL$28="Leve"),CONCATENATE("R2C",'Mapa final'!$S$28),"")</f>
        <v/>
      </c>
      <c r="P13" s="40" t="str">
        <f>IF(AND('Mapa final'!$AJ$29="Muy Alta",'Mapa final'!$AL$29="Leve"),CONCATENATE("R2C",'Mapa final'!$S$29),"")</f>
        <v/>
      </c>
      <c r="Q13" s="178" t="str">
        <f ca="1">IF(AND('Mapa final'!$AJ$24="Muy Alta",'Mapa final'!$AL$24="Menor"),CONCATENATE("R2C",'Mapa final'!$S$24),"")</f>
        <v/>
      </c>
      <c r="R13" s="39" t="str">
        <f ca="1">IF(AND('Mapa final'!$AJ$25="Muy Alta",'Mapa final'!$AL$25="Menor"),CONCATENATE("R2C",'Mapa final'!$S$25),"")</f>
        <v/>
      </c>
      <c r="S13" s="39" t="str">
        <f>IF(AND('Mapa final'!$AJ$26="Muy Alta",'Mapa final'!$AL$26="Menor"),CONCATENATE("R2C",'Mapa final'!$S$26),"")</f>
        <v/>
      </c>
      <c r="T13" s="39" t="str">
        <f>IF(AND('Mapa final'!$AJ$27="Muy Alta",'Mapa final'!$AL$27="Menor"),CONCATENATE("R2C",'Mapa final'!$S$27),"")</f>
        <v/>
      </c>
      <c r="U13" s="39" t="str">
        <f>IF(AND('Mapa final'!$AJ$28="Muy Alta",'Mapa final'!$AL$28="Menor"),CONCATENATE("R2C",'Mapa final'!$S$28),"")</f>
        <v/>
      </c>
      <c r="V13" s="40" t="str">
        <f>IF(AND('Mapa final'!$AJ$29="Muy Alta",'Mapa final'!$AL$29="Menor"),CONCATENATE("R2C",'Mapa final'!$S$29),"")</f>
        <v/>
      </c>
      <c r="W13" s="38" t="str">
        <f ca="1">IF(AND('Mapa final'!$AJ$24="Muy Alta",'Mapa final'!$AL$24="Moderado"),CONCATENATE("R2C",'Mapa final'!$S$24),"")</f>
        <v/>
      </c>
      <c r="X13" s="39" t="str">
        <f ca="1">IF(AND('Mapa final'!$AJ$25="Muy Alta",'Mapa final'!$AL$25="Moderado"),CONCATENATE("R2C",'Mapa final'!$S$25),"")</f>
        <v/>
      </c>
      <c r="Y13" s="39" t="str">
        <f>IF(AND('Mapa final'!$AJ$26="Muy Alta",'Mapa final'!$AL$26="Moderado"),CONCATENATE("R2C",'Mapa final'!$S$26),"")</f>
        <v/>
      </c>
      <c r="Z13" s="39" t="str">
        <f>IF(AND('Mapa final'!$AJ$27="Muy Alta",'Mapa final'!$AL$27="Moderado"),CONCATENATE("R2C",'Mapa final'!$S$27),"")</f>
        <v/>
      </c>
      <c r="AA13" s="39" t="str">
        <f>IF(AND('Mapa final'!$AJ$28="Muy Alta",'Mapa final'!$AL$28="Moderado"),CONCATENATE("R2C",'Mapa final'!$S$28),"")</f>
        <v/>
      </c>
      <c r="AB13" s="40" t="str">
        <f>IF(AND('Mapa final'!$AJ$29="Muy Alta",'Mapa final'!$AL$29="Moderado"),CONCATENATE("R2C",'Mapa final'!$S$29),"")</f>
        <v/>
      </c>
      <c r="AC13" s="38" t="str">
        <f ca="1">IF(AND('Mapa final'!$AJ$24="Muy Alta",'Mapa final'!$AL$24="Mayor"),CONCATENATE("R2C",'Mapa final'!$S$24),"")</f>
        <v/>
      </c>
      <c r="AD13" s="39" t="str">
        <f ca="1">IF(AND('Mapa final'!$AJ$25="Muy Alta",'Mapa final'!$AL$25="Mayor"),CONCATENATE("R2C",'Mapa final'!$S$25),"")</f>
        <v/>
      </c>
      <c r="AE13" s="39" t="str">
        <f>IF(AND('Mapa final'!$AJ$26="Muy Alta",'Mapa final'!$AL$26="Mayor"),CONCATENATE("R2C",'Mapa final'!$S$26),"")</f>
        <v/>
      </c>
      <c r="AF13" s="39" t="str">
        <f>IF(AND('Mapa final'!$AJ$27="Muy Alta",'Mapa final'!$AL$27="Mayor"),CONCATENATE("R2C",'Mapa final'!$S$27),"")</f>
        <v/>
      </c>
      <c r="AG13" s="39" t="str">
        <f>IF(AND('Mapa final'!$AJ$28="Muy Alta",'Mapa final'!$AL$28="Mayor"),CONCATENATE("R2C",'Mapa final'!$S$28),"")</f>
        <v/>
      </c>
      <c r="AH13" s="40" t="str">
        <f>IF(AND('Mapa final'!$AJ$29="Muy Alta",'Mapa final'!$AL$29="Mayor"),CONCATENATE("R2C",'Mapa final'!$S$29),"")</f>
        <v/>
      </c>
      <c r="AI13" s="41" t="str">
        <f ca="1">IF(AND('Mapa final'!$AJ$24="Muy Alta",'Mapa final'!$AL$24="Catastrófico"),CONCATENATE("R2C",'Mapa final'!$S$24),"")</f>
        <v/>
      </c>
      <c r="AJ13" s="42" t="str">
        <f ca="1">IF(AND('Mapa final'!$AJ$25="Muy Alta",'Mapa final'!$AL$25="Catastrófico"),CONCATENATE("R2C",'Mapa final'!$S$25),"")</f>
        <v/>
      </c>
      <c r="AK13" s="42" t="str">
        <f>IF(AND('Mapa final'!$AJ$26="Muy Alta",'Mapa final'!$AL$26="Catastrófico"),CONCATENATE("R2C",'Mapa final'!$S$26),"")</f>
        <v/>
      </c>
      <c r="AL13" s="42" t="str">
        <f>IF(AND('Mapa final'!$AJ$27="Muy Alta",'Mapa final'!$AL$27="Catastrófico"),CONCATENATE("R2C",'Mapa final'!$S$27),"")</f>
        <v/>
      </c>
      <c r="AM13" s="42" t="str">
        <f>IF(AND('Mapa final'!$AJ$28="Muy Alta",'Mapa final'!$AL$28="Catastrófico"),CONCATENATE("R2C",'Mapa final'!$S$28),"")</f>
        <v/>
      </c>
      <c r="AN13" s="43" t="str">
        <f>IF(AND('Mapa final'!$AJ$29="Muy Alta",'Mapa final'!$AL$29="Catastrófico"),CONCATENATE("R2C",'Mapa final'!$S$29),"")</f>
        <v/>
      </c>
      <c r="AO13" s="69"/>
      <c r="AP13" s="474"/>
      <c r="AQ13" s="475"/>
      <c r="AR13" s="475"/>
      <c r="AS13" s="475"/>
      <c r="AT13" s="475"/>
      <c r="AU13" s="476"/>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60"/>
      <c r="D14" s="360"/>
      <c r="E14" s="361"/>
      <c r="F14" s="455"/>
      <c r="G14" s="456"/>
      <c r="H14" s="456"/>
      <c r="I14" s="456"/>
      <c r="J14" s="483"/>
      <c r="K14" s="38" t="str">
        <f>IF(AND('Mapa final'!$AJ$30="Muy Alta",'Mapa final'!$AL$30="Leve"),CONCATENATE("R2C",'Mapa final'!$S$30),"")</f>
        <v/>
      </c>
      <c r="L14" s="178" t="str">
        <f>IF(AND('Mapa final'!$AJ$31="Muy Alta",'Mapa final'!$AL$31="Leve"),CONCATENATE("R2C",'Mapa final'!$S$31),"")</f>
        <v/>
      </c>
      <c r="M14" s="178" t="str">
        <f>IF(AND('Mapa final'!$AJ$32="Muy Alta",'Mapa final'!$AL$32="Leve"),CONCATENATE("R2C",'Mapa final'!$S$32),"")</f>
        <v/>
      </c>
      <c r="N14" s="178" t="str">
        <f>IF(AND('Mapa final'!$AJ$33="Muy Alta",'Mapa final'!$AL$33="Leve"),CONCATENATE("R2C",'Mapa final'!$S$33),"")</f>
        <v/>
      </c>
      <c r="O14" s="178" t="str">
        <f>IF(AND('Mapa final'!$AJ$34="Muy Alta",'Mapa final'!$AL$34="Leve"),CONCATENATE("R2C",'Mapa final'!$S$34),"")</f>
        <v/>
      </c>
      <c r="P14" s="40" t="str">
        <f>IF(AND('Mapa final'!$AJ$35="Muy Alta",'Mapa final'!$AL$35="Leve"),CONCATENATE("R2C",'Mapa final'!$S$35),"")</f>
        <v/>
      </c>
      <c r="Q14" s="178" t="str">
        <f>IF(AND('Mapa final'!$AJ$30="Muy Alta",'Mapa final'!$AL$30="Menor"),CONCATENATE("R2C",'Mapa final'!$S$30),"")</f>
        <v/>
      </c>
      <c r="R14" s="39" t="str">
        <f>IF(AND('Mapa final'!$AJ$31="Muy Alta",'Mapa final'!$AL$31="Menor"),CONCATENATE("R2C",'Mapa final'!$S$31),"")</f>
        <v/>
      </c>
      <c r="S14" s="39" t="str">
        <f>IF(AND('Mapa final'!$AJ$32="Muy Alta",'Mapa final'!$AL$32="Menor"),CONCATENATE("R2C",'Mapa final'!$S$32),"")</f>
        <v/>
      </c>
      <c r="T14" s="39" t="str">
        <f>IF(AND('Mapa final'!$AJ$33="Muy Alta",'Mapa final'!$AL$33="Menor"),CONCATENATE("R2C",'Mapa final'!$S$33),"")</f>
        <v/>
      </c>
      <c r="U14" s="39" t="str">
        <f>IF(AND('Mapa final'!$AJ$34="Muy Alta",'Mapa final'!$AL$34="Menor"),CONCATENATE("R2C",'Mapa final'!$S$34),"")</f>
        <v/>
      </c>
      <c r="V14" s="40" t="str">
        <f>IF(AND('Mapa final'!$AJ$35="Muy Alta",'Mapa final'!$AL$35="Menor"),CONCATENATE("R2C",'Mapa final'!$S$35),"")</f>
        <v/>
      </c>
      <c r="W14" s="38" t="str">
        <f>IF(AND('Mapa final'!$AJ$30="Muy Alta",'Mapa final'!$AL$30="Moderado"),CONCATENATE("R2C",'Mapa final'!$S$30),"")</f>
        <v/>
      </c>
      <c r="X14" s="39" t="str">
        <f>IF(AND('Mapa final'!$AJ$31="Muy Alta",'Mapa final'!$AL$31="Moderado"),CONCATENATE("R2C",'Mapa final'!$S$31),"")</f>
        <v/>
      </c>
      <c r="Y14" s="39" t="str">
        <f>IF(AND('Mapa final'!$AJ$32="Muy Alta",'Mapa final'!$AL$32="Moderado"),CONCATENATE("R2C",'Mapa final'!$S$32),"")</f>
        <v/>
      </c>
      <c r="Z14" s="39" t="str">
        <f>IF(AND('Mapa final'!$AJ$33="Muy Alta",'Mapa final'!$AL$33="Moderado"),CONCATENATE("R2C",'Mapa final'!$S$33),"")</f>
        <v/>
      </c>
      <c r="AA14" s="39" t="str">
        <f>IF(AND('Mapa final'!$AJ$34="Muy Alta",'Mapa final'!$AL$34="Moderado"),CONCATENATE("R2C",'Mapa final'!$S$34),"")</f>
        <v/>
      </c>
      <c r="AB14" s="40" t="str">
        <f>IF(AND('Mapa final'!$AJ$35="Muy Alta",'Mapa final'!$AL$35="Moderado"),CONCATENATE("R2C",'Mapa final'!$S$35),"")</f>
        <v/>
      </c>
      <c r="AC14" s="38" t="str">
        <f>IF(AND('Mapa final'!$AJ$30="Muy Alta",'Mapa final'!$AL$30="Mayor"),CONCATENATE("R2C",'Mapa final'!$S$30),"")</f>
        <v/>
      </c>
      <c r="AD14" s="39" t="str">
        <f>IF(AND('Mapa final'!$AJ$31="Muy Alta",'Mapa final'!$AL$31="Mayor"),CONCATENATE("R2C",'Mapa final'!$S$31),"")</f>
        <v/>
      </c>
      <c r="AE14" s="39" t="str">
        <f>IF(AND('Mapa final'!$AJ$32="Muy Alta",'Mapa final'!$AL$32="Mayor"),CONCATENATE("R2C",'Mapa final'!$S$32),"")</f>
        <v/>
      </c>
      <c r="AF14" s="39" t="str">
        <f>IF(AND('Mapa final'!$AJ$33="Muy Alta",'Mapa final'!$AL$33="Mayor"),CONCATENATE("R2C",'Mapa final'!$S$33),"")</f>
        <v/>
      </c>
      <c r="AG14" s="39" t="str">
        <f>IF(AND('Mapa final'!$AJ$34="Muy Alta",'Mapa final'!$AL$34="Mayor"),CONCATENATE("R2C",'Mapa final'!$S$34),"")</f>
        <v/>
      </c>
      <c r="AH14" s="40" t="str">
        <f>IF(AND('Mapa final'!$AJ$35="Muy Alta",'Mapa final'!$AL$35="Mayor"),CONCATENATE("R2C",'Mapa final'!$S$35),"")</f>
        <v/>
      </c>
      <c r="AI14" s="41" t="str">
        <f>IF(AND('Mapa final'!$AJ$30="Muy Alta",'Mapa final'!$AL$30="Catastrófico"),CONCATENATE("R2C",'Mapa final'!$S$30),"")</f>
        <v/>
      </c>
      <c r="AJ14" s="42" t="str">
        <f>IF(AND('Mapa final'!$AJ$31="Muy Alta",'Mapa final'!$AL$31="Catastrófico"),CONCATENATE("R2C",'Mapa final'!$S$31),"")</f>
        <v/>
      </c>
      <c r="AK14" s="42" t="str">
        <f>IF(AND('Mapa final'!$AJ$32="Muy Alta",'Mapa final'!$AL$32="Catastrófico"),CONCATENATE("R2C",'Mapa final'!$S$32),"")</f>
        <v/>
      </c>
      <c r="AL14" s="42" t="str">
        <f>IF(AND('Mapa final'!$AJ$33="Muy Alta",'Mapa final'!$AL$33="Catastrófico"),CONCATENATE("R2C",'Mapa final'!$S$33),"")</f>
        <v/>
      </c>
      <c r="AM14" s="42" t="str">
        <f>IF(AND('Mapa final'!$AJ$34="Muy Alta",'Mapa final'!$AL$34="Catastrófico"),CONCATENATE("R2C",'Mapa final'!$S$34),"")</f>
        <v/>
      </c>
      <c r="AN14" s="43" t="str">
        <f>IF(AND('Mapa final'!$AJ$35="Muy Alta",'Mapa final'!$AL$35="Catastrófico"),CONCATENATE("R2C",'Mapa final'!$S$35),"")</f>
        <v/>
      </c>
      <c r="AO14" s="69"/>
      <c r="AP14" s="474"/>
      <c r="AQ14" s="475"/>
      <c r="AR14" s="475"/>
      <c r="AS14" s="475"/>
      <c r="AT14" s="475"/>
      <c r="AU14" s="476"/>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60"/>
      <c r="D15" s="360"/>
      <c r="E15" s="361"/>
      <c r="F15" s="455"/>
      <c r="G15" s="456"/>
      <c r="H15" s="456"/>
      <c r="I15" s="456"/>
      <c r="J15" s="483"/>
      <c r="K15" s="38" t="str">
        <f>IF(AND('Mapa final'!$AJ$36="Muy Alta",'Mapa final'!$AL$36="Leve"),CONCATENATE("R2C",'Mapa final'!$S$36),"")</f>
        <v/>
      </c>
      <c r="L15" s="178" t="str">
        <f>IF(AND('Mapa final'!$AJ$37="Muy Alta",'Mapa final'!$AL$37="Leve"),CONCATENATE("R2C",'Mapa final'!$S$37),"")</f>
        <v/>
      </c>
      <c r="M15" s="178" t="str">
        <f>IF(AND('Mapa final'!$AJ$38="Muy Alta",'Mapa final'!$AL$38="Leve"),CONCATENATE("R2C",'Mapa final'!$S$38),"")</f>
        <v/>
      </c>
      <c r="N15" s="178" t="str">
        <f>IF(AND('Mapa final'!$AJ$39="Muy Alta",'Mapa final'!$AL$39="Leve"),CONCATENATE("R2C",'Mapa final'!$S$39),"")</f>
        <v/>
      </c>
      <c r="O15" s="178" t="str">
        <f>IF(AND('Mapa final'!$AJ$40="Muy Alta",'Mapa final'!$AL$40="Leve"),CONCATENATE("R2C",'Mapa final'!$S$40),"")</f>
        <v/>
      </c>
      <c r="P15" s="40" t="str">
        <f>IF(AND('Mapa final'!$AJ$41="Muy Alta",'Mapa final'!$AL$41="Leve"),CONCATENATE("R2C",'Mapa final'!$S$41),"")</f>
        <v/>
      </c>
      <c r="Q15" s="178" t="str">
        <f>IF(AND('Mapa final'!$AJ$36="Muy Alta",'Mapa final'!$AL$36="Menor"),CONCATENATE("R2C",'Mapa final'!$S$36),"")</f>
        <v/>
      </c>
      <c r="R15" s="39" t="str">
        <f>IF(AND('Mapa final'!$AJ$37="Muy Alta",'Mapa final'!$AL$37="Menor"),CONCATENATE("R2C",'Mapa final'!$S$37),"")</f>
        <v/>
      </c>
      <c r="S15" s="39" t="str">
        <f>IF(AND('Mapa final'!$AJ$38="Muy Alta",'Mapa final'!$AL$38="Menor"),CONCATENATE("R2C",'Mapa final'!$S$38),"")</f>
        <v/>
      </c>
      <c r="T15" s="39" t="str">
        <f>IF(AND('Mapa final'!$AJ$39="Muy Alta",'Mapa final'!$AL$39="Menor"),CONCATENATE("R2C",'Mapa final'!$S$39),"")</f>
        <v/>
      </c>
      <c r="U15" s="39" t="str">
        <f>IF(AND('Mapa final'!$AJ$40="Muy Alta",'Mapa final'!$AL$40="LMenor"),CONCATENATE("R2C",'Mapa final'!$S$40),"")</f>
        <v/>
      </c>
      <c r="V15" s="40" t="str">
        <f>IF(AND('Mapa final'!$AJ$41="Muy Alta",'Mapa final'!$AL$41="Menor"),CONCATENATE("R2C",'Mapa final'!$S$41),"")</f>
        <v/>
      </c>
      <c r="W15" s="38" t="str">
        <f>IF(AND('Mapa final'!$AJ$36="Muy Alta",'Mapa final'!$AL$36="Moderado"),CONCATENATE("R2C",'Mapa final'!$S$36),"")</f>
        <v/>
      </c>
      <c r="X15" s="39" t="str">
        <f>IF(AND('Mapa final'!$AJ$37="Muy Alta",'Mapa final'!$AL$37="Moderado"),CONCATENATE("R2C",'Mapa final'!$S$37),"")</f>
        <v/>
      </c>
      <c r="Y15" s="39" t="str">
        <f>IF(AND('Mapa final'!$AJ$38="Muy Alta",'Mapa final'!$AL$38="Moderado"),CONCATENATE("R2C",'Mapa final'!$S$38),"")</f>
        <v/>
      </c>
      <c r="Z15" s="39" t="str">
        <f>IF(AND('Mapa final'!$AJ$39="Muy Alta",'Mapa final'!$AL$39="Moderado"),CONCATENATE("R2C",'Mapa final'!$S$39),"")</f>
        <v/>
      </c>
      <c r="AA15" s="39" t="str">
        <f>IF(AND('Mapa final'!$AJ$40="Muy Alta",'Mapa final'!$AL$40="Moderado"),CONCATENATE("R2C",'Mapa final'!$S$40),"")</f>
        <v/>
      </c>
      <c r="AB15" s="40" t="str">
        <f>IF(AND('Mapa final'!$AJ$41="Muy Alta",'Mapa final'!$AL$41="Moderado"),CONCATENATE("R2C",'Mapa final'!$S$41),"")</f>
        <v/>
      </c>
      <c r="AC15" s="38" t="str">
        <f>IF(AND('Mapa final'!$AJ$36="Muy Alta",'Mapa final'!$AL$36="Mayor"),CONCATENATE("R2C",'Mapa final'!$S$36),"")</f>
        <v/>
      </c>
      <c r="AD15" s="39" t="str">
        <f>IF(AND('Mapa final'!$AJ$37="Muy Alta",'Mapa final'!$AL$37="Mayor"),CONCATENATE("R2C",'Mapa final'!$S$37),"")</f>
        <v/>
      </c>
      <c r="AE15" s="39" t="str">
        <f>IF(AND('Mapa final'!$AJ$38="Muy Alta",'Mapa final'!$AL$38="Mayor"),CONCATENATE("R2C",'Mapa final'!$S$38),"")</f>
        <v/>
      </c>
      <c r="AF15" s="39" t="str">
        <f>IF(AND('Mapa final'!$AJ$39="Muy Alta",'Mapa final'!$AL$39="Mayor"),CONCATENATE("R2C",'Mapa final'!$S$39),"")</f>
        <v/>
      </c>
      <c r="AG15" s="39" t="str">
        <f>IF(AND('Mapa final'!$AJ$40="Muy Alta",'Mapa final'!$AL$40="Mayor"),CONCATENATE("R2C",'Mapa final'!$S$40),"")</f>
        <v/>
      </c>
      <c r="AH15" s="40" t="str">
        <f>IF(AND('Mapa final'!$AJ$41="Muy Alta",'Mapa final'!$AL$41="Mayor"),CONCATENATE("R2C",'Mapa final'!$S$41),"")</f>
        <v/>
      </c>
      <c r="AI15" s="41" t="str">
        <f>IF(AND('Mapa final'!$AJ$36="Muy Alta",'Mapa final'!$AL$36="Catastrófico"),CONCATENATE("R2C",'Mapa final'!$S$36),"")</f>
        <v/>
      </c>
      <c r="AJ15" s="42" t="str">
        <f>IF(AND('Mapa final'!$AJ$37="Muy Alta",'Mapa final'!$AL$37="Catastrófico"),CONCATENATE("R2C",'Mapa final'!$S$37),"")</f>
        <v/>
      </c>
      <c r="AK15" s="42" t="str">
        <f>IF(AND('Mapa final'!$AJ$38="Muy Alta",'Mapa final'!$AL$38="Catastrófico"),CONCATENATE("R2C",'Mapa final'!$S$38),"")</f>
        <v/>
      </c>
      <c r="AL15" s="42" t="str">
        <f>IF(AND('Mapa final'!$AJ$39="Muy Alta",'Mapa final'!$AL$39="Catastrófico"),CONCATENATE("R2C",'Mapa final'!$S$39),"")</f>
        <v/>
      </c>
      <c r="AM15" s="42" t="str">
        <f>IF(AND('Mapa final'!$AJ$40="Muy Alta",'Mapa final'!$AL$40="LCatastrófico"),CONCATENATE("R2C",'Mapa final'!$S$40),"")</f>
        <v/>
      </c>
      <c r="AN15" s="43" t="str">
        <f>IF(AND('Mapa final'!$AJ$41="Muy Alta",'Mapa final'!$AL$41="Catastrófico"),CONCATENATE("R2C",'Mapa final'!$S$41),"")</f>
        <v/>
      </c>
      <c r="AO15" s="69"/>
      <c r="AP15" s="474"/>
      <c r="AQ15" s="475"/>
      <c r="AR15" s="475"/>
      <c r="AS15" s="475"/>
      <c r="AT15" s="475"/>
      <c r="AU15" s="476"/>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60"/>
      <c r="D16" s="360"/>
      <c r="E16" s="361"/>
      <c r="F16" s="455"/>
      <c r="G16" s="456"/>
      <c r="H16" s="456"/>
      <c r="I16" s="456"/>
      <c r="J16" s="483"/>
      <c r="K16" s="38" t="str">
        <f>IF(AND('Mapa final'!$AJ$42="Muy Alta",'Mapa final'!$AL$42="Leve"),CONCATENATE("R2C",'Mapa final'!$S$42),"")</f>
        <v/>
      </c>
      <c r="L16" s="178" t="str">
        <f>IF(AND('Mapa final'!$AJ$43="Muy Alta",'Mapa final'!$AL$43="Leve"),CONCATENATE("R2C",'Mapa final'!$S$43),"")</f>
        <v/>
      </c>
      <c r="M16" s="178" t="str">
        <f>IF(AND('Mapa final'!$AJ$44="Muy Alta",'Mapa final'!$AL$44="Leve"),CONCATENATE("R2C",'Mapa final'!$S$44),"")</f>
        <v/>
      </c>
      <c r="N16" s="178" t="str">
        <f>IF(AND('Mapa final'!$AJ$45="Muy Alta",'Mapa final'!$AL$45="Leve"),CONCATENATE("R2C",'Mapa final'!$S$45),"")</f>
        <v/>
      </c>
      <c r="O16" s="178" t="str">
        <f>IF(AND('Mapa final'!$AJ$46="Muy Alta",'Mapa final'!$AL$46="Leve"),CONCATENATE("R2C",'Mapa final'!$S$46),"")</f>
        <v/>
      </c>
      <c r="P16" s="40" t="str">
        <f>IF(AND('Mapa final'!$AJ$47="Muy Alta",'Mapa final'!$AL$47="Leve"),CONCATENATE("R2C",'Mapa final'!$S$47),"")</f>
        <v/>
      </c>
      <c r="Q16" s="178" t="str">
        <f>IF(AND('Mapa final'!$AJ$42="Muy Alta",'Mapa final'!$AL$42="Menor"),CONCATENATE("R2C",'Mapa final'!$S$42),"")</f>
        <v/>
      </c>
      <c r="R16" s="39" t="str">
        <f>IF(AND('Mapa final'!$AJ$43="Muy Alta",'Mapa final'!$AL$43="Menor"),CONCATENATE("R2C",'Mapa final'!$S$43),"")</f>
        <v/>
      </c>
      <c r="S16" s="39" t="str">
        <f>IF(AND('Mapa final'!$AJ$44="Muy Alta",'Mapa final'!$AL$44="Menor"),CONCATENATE("R2C",'Mapa final'!$S$44),"")</f>
        <v/>
      </c>
      <c r="T16" s="39" t="str">
        <f>IF(AND('Mapa final'!$AJ$45="Muy Alta",'Mapa final'!$AL$45="Menor"),CONCATENATE("R2C",'Mapa final'!$S$45),"")</f>
        <v/>
      </c>
      <c r="U16" s="39" t="str">
        <f>IF(AND('Mapa final'!$AJ$46="Muy Alta",'Mapa final'!$AL$46="Menor"),CONCATENATE("R2C",'Mapa final'!$S$46),"")</f>
        <v/>
      </c>
      <c r="V16" s="40" t="str">
        <f>IF(AND('Mapa final'!$AJ$47="Muy Alta",'Mapa final'!$AL$47="Menor"),CONCATENATE("R2C",'Mapa final'!$S$47),"")</f>
        <v/>
      </c>
      <c r="W16" s="38" t="str">
        <f>IF(AND('Mapa final'!$AJ$42="Muy Alta",'Mapa final'!$AL$42="Moderado"),CONCATENATE("R2C",'Mapa final'!$S$42),"")</f>
        <v/>
      </c>
      <c r="X16" s="39" t="str">
        <f>IF(AND('Mapa final'!$AJ$43="Muy Alta",'Mapa final'!$AL$43="Moderado"),CONCATENATE("R2C",'Mapa final'!$S$43),"")</f>
        <v/>
      </c>
      <c r="Y16" s="39" t="str">
        <f>IF(AND('Mapa final'!$AJ$44="Muy Alta",'Mapa final'!$AL$44="Moderado"),CONCATENATE("R2C",'Mapa final'!$S$44),"")</f>
        <v/>
      </c>
      <c r="Z16" s="39" t="str">
        <f>IF(AND('Mapa final'!$AJ$45="Muy Alta",'Mapa final'!$AL$45="Moderado"),CONCATENATE("R2C",'Mapa final'!$S$45),"")</f>
        <v/>
      </c>
      <c r="AA16" s="39" t="str">
        <f>IF(AND('Mapa final'!$AJ$46="Muy Alta",'Mapa final'!$AL$46="Moderado"),CONCATENATE("R2C",'Mapa final'!$S$46),"")</f>
        <v/>
      </c>
      <c r="AB16" s="40" t="str">
        <f>IF(AND('Mapa final'!$AJ$47="Muy Alta",'Mapa final'!$AL$47="Moderado"),CONCATENATE("R2C",'Mapa final'!$S$47),"")</f>
        <v/>
      </c>
      <c r="AC16" s="38" t="str">
        <f>IF(AND('Mapa final'!$AJ$42="Muy Alta",'Mapa final'!$AL$42="Mayor"),CONCATENATE("R2C",'Mapa final'!$S$42),"")</f>
        <v/>
      </c>
      <c r="AD16" s="39" t="str">
        <f>IF(AND('Mapa final'!$AJ$43="Muy Alta",'Mapa final'!$AL$43="Mayor"),CONCATENATE("R2C",'Mapa final'!$S$43),"")</f>
        <v/>
      </c>
      <c r="AE16" s="39" t="str">
        <f>IF(AND('Mapa final'!$AJ$44="Muy Alta",'Mapa final'!$AL$44="Mayor"),CONCATENATE("R2C",'Mapa final'!$S$44),"")</f>
        <v/>
      </c>
      <c r="AF16" s="39" t="str">
        <f>IF(AND('Mapa final'!$AJ$45="Muy Alta",'Mapa final'!$AL$45="Mayor"),CONCATENATE("R2C",'Mapa final'!$S$45),"")</f>
        <v/>
      </c>
      <c r="AG16" s="39" t="str">
        <f>IF(AND('Mapa final'!$AJ$46="Muy Alta",'Mapa final'!$AL$46="Mayor"),CONCATENATE("R2C",'Mapa final'!$S$46),"")</f>
        <v/>
      </c>
      <c r="AH16" s="40" t="str">
        <f>IF(AND('Mapa final'!$AJ$47="Muy Alta",'Mapa final'!$AL$47="Mayor"),CONCATENATE("R2C",'Mapa final'!$S$47),"")</f>
        <v/>
      </c>
      <c r="AI16" s="41" t="str">
        <f>IF(AND('Mapa final'!$AJ$42="Muy Alta",'Mapa final'!$AL$42="Catastrófico"),CONCATENATE("R2C",'Mapa final'!$S$42),"")</f>
        <v/>
      </c>
      <c r="AJ16" s="42" t="str">
        <f>IF(AND('Mapa final'!$AJ$43="Muy Alta",'Mapa final'!$AL$43="Catastrófico"),CONCATENATE("R2C",'Mapa final'!$S$43),"")</f>
        <v/>
      </c>
      <c r="AK16" s="42" t="str">
        <f>IF(AND('Mapa final'!$AJ$44="Muy Alta",'Mapa final'!$AL$44="Catastrófico"),CONCATENATE("R2C",'Mapa final'!$S$44),"")</f>
        <v/>
      </c>
      <c r="AL16" s="42" t="str">
        <f>IF(AND('Mapa final'!$AJ$45="Muy Alta",'Mapa final'!$AL$45="Catastrófico"),CONCATENATE("R2C",'Mapa final'!$S$45),"")</f>
        <v/>
      </c>
      <c r="AM16" s="42" t="str">
        <f>IF(AND('Mapa final'!$AJ$46="Muy Alta",'Mapa final'!$AL$46="Catastrófico"),CONCATENATE("R2C",'Mapa final'!$S$46),"")</f>
        <v/>
      </c>
      <c r="AN16" s="43" t="str">
        <f>IF(AND('Mapa final'!$AJ$47="Muy Alta",'Mapa final'!$AL$47="Catastrófico"),CONCATENATE("R2C",'Mapa final'!$S$47),"")</f>
        <v/>
      </c>
      <c r="AO16" s="69"/>
      <c r="AP16" s="474"/>
      <c r="AQ16" s="475"/>
      <c r="AR16" s="475"/>
      <c r="AS16" s="475"/>
      <c r="AT16" s="475"/>
      <c r="AU16" s="476"/>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60"/>
      <c r="D17" s="360"/>
      <c r="E17" s="361"/>
      <c r="F17" s="455"/>
      <c r="G17" s="456"/>
      <c r="H17" s="456"/>
      <c r="I17" s="456"/>
      <c r="J17" s="483"/>
      <c r="K17" s="38" t="str">
        <f>IF(AND('Mapa final'!$AJ$48="Muy Alta",'Mapa final'!$AL$48="Leve"),CONCATENATE("R2C",'Mapa final'!$S$48),"")</f>
        <v/>
      </c>
      <c r="L17" s="178" t="str">
        <f>IF(AND('Mapa final'!$AJ$49="Muy Alta",'Mapa final'!$AL$49="Leve"),CONCATENATE("R2C",'Mapa final'!$S$49),"")</f>
        <v/>
      </c>
      <c r="M17" s="178" t="str">
        <f>IF(AND('Mapa final'!$AJ$50="Muy Alta",'Mapa final'!$AL$50="Leve"),CONCATENATE("R2C",'Mapa final'!$S$50),"")</f>
        <v/>
      </c>
      <c r="N17" s="178" t="str">
        <f>IF(AND('Mapa final'!$AJ$51="Muy Alta",'Mapa final'!$AL$51="Leve"),CONCATENATE("R2C",'Mapa final'!$S$51),"")</f>
        <v/>
      </c>
      <c r="O17" s="178" t="str">
        <f>IF(AND('Mapa final'!$AJ$52="Muy Alta",'Mapa final'!$AL$52="Leve"),CONCATENATE("R2C",'Mapa final'!$S$52),"")</f>
        <v/>
      </c>
      <c r="P17" s="40" t="str">
        <f>IF(AND('Mapa final'!$AJ$63="Muy Alta",'Mapa final'!$AL$53="Leve"),CONCATENATE("R2C",'Mapa final'!$S$53),"")</f>
        <v/>
      </c>
      <c r="Q17" s="178" t="str">
        <f>IF(AND('Mapa final'!$AJ$48="Muy Alta",'Mapa final'!$AL$48="Menor"),CONCATENATE("R2C",'Mapa final'!$S$48),"")</f>
        <v/>
      </c>
      <c r="R17" s="39" t="str">
        <f>IF(AND('Mapa final'!$AJ$49="Muy Alta",'Mapa final'!$AL$49="Menor"),CONCATENATE("R2C",'Mapa final'!$S$49),"")</f>
        <v/>
      </c>
      <c r="S17" s="39" t="str">
        <f>IF(AND('Mapa final'!$AJ$50="Muy Alta",'Mapa final'!$AL$50="Menor"),CONCATENATE("R2C",'Mapa final'!$S$50),"")</f>
        <v/>
      </c>
      <c r="T17" s="39" t="str">
        <f>IF(AND('Mapa final'!$AJ$51="Muy Alta",'Mapa final'!$AL$51="Menor"),CONCATENATE("R2C",'Mapa final'!$S$51),"")</f>
        <v/>
      </c>
      <c r="U17" s="39" t="str">
        <f>IF(AND('Mapa final'!$AJ$52="Muy Alta",'Mapa final'!$AL$52="Menor"),CONCATENATE("R2C",'Mapa final'!$S$52),"")</f>
        <v/>
      </c>
      <c r="V17" s="40" t="str">
        <f>IF(AND('Mapa final'!$AJ$63="Muy Alta",'Mapa final'!$AL$53="Menor"),CONCATENATE("R2C",'Mapa final'!$S$53),"")</f>
        <v/>
      </c>
      <c r="W17" s="38" t="str">
        <f>IF(AND('Mapa final'!$AJ$48="Muy Alta",'Mapa final'!$AL$48="Moderado"),CONCATENATE("R2C",'Mapa final'!$S$48),"")</f>
        <v/>
      </c>
      <c r="X17" s="39" t="str">
        <f>IF(AND('Mapa final'!$AJ$49="Muy Alta",'Mapa final'!$AL$49="Moderado"),CONCATENATE("R2C",'Mapa final'!$S$49),"")</f>
        <v/>
      </c>
      <c r="Y17" s="39" t="str">
        <f>IF(AND('Mapa final'!$AJ$50="Muy Alta",'Mapa final'!$AL$50="Moderado"),CONCATENATE("R2C",'Mapa final'!$S$50),"")</f>
        <v/>
      </c>
      <c r="Z17" s="39" t="str">
        <f>IF(AND('Mapa final'!$AJ$51="Muy Alta",'Mapa final'!$AL$51="Moderado"),CONCATENATE("R2C",'Mapa final'!$S$51),"")</f>
        <v/>
      </c>
      <c r="AA17" s="39" t="str">
        <f>IF(AND('Mapa final'!$AJ$52="Muy Alta",'Mapa final'!$AL$52="Moderado"),CONCATENATE("R2C",'Mapa final'!$S$52),"")</f>
        <v/>
      </c>
      <c r="AB17" s="40" t="str">
        <f>IF(AND('Mapa final'!$AJ$63="Muy Alta",'Mapa final'!$AL$53="Moderado"),CONCATENATE("R2C",'Mapa final'!$S$53),"")</f>
        <v/>
      </c>
      <c r="AC17" s="38" t="str">
        <f>IF(AND('Mapa final'!$AJ$48="Muy Alta",'Mapa final'!$AL$48="Mayor"),CONCATENATE("R2C",'Mapa final'!$S$48),"")</f>
        <v/>
      </c>
      <c r="AD17" s="39" t="str">
        <f>IF(AND('Mapa final'!$AJ$49="Muy Alta",'Mapa final'!$AL$49="Mayor"),CONCATENATE("R2C",'Mapa final'!$S$49),"")</f>
        <v/>
      </c>
      <c r="AE17" s="39" t="str">
        <f>IF(AND('Mapa final'!$AJ$50="Muy Alta",'Mapa final'!$AL$50="Mayor"),CONCATENATE("R2C",'Mapa final'!$S$50),"")</f>
        <v/>
      </c>
      <c r="AF17" s="39" t="str">
        <f>IF(AND('Mapa final'!$AJ$51="Muy Alta",'Mapa final'!$AL$51="Mayor"),CONCATENATE("R2C",'Mapa final'!$S$51),"")</f>
        <v/>
      </c>
      <c r="AG17" s="39" t="str">
        <f>IF(AND('Mapa final'!$AJ$52="Muy Alta",'Mapa final'!$AL$52="Mayor"),CONCATENATE("R2C",'Mapa final'!$S$52),"")</f>
        <v/>
      </c>
      <c r="AH17" s="40" t="str">
        <f>IF(AND('Mapa final'!$AJ$63="Muy Alta",'Mapa final'!$AL$53="Mayor"),CONCATENATE("R2C",'Mapa final'!$S$53),"")</f>
        <v/>
      </c>
      <c r="AI17" s="41" t="str">
        <f>IF(AND('Mapa final'!$AJ$48="Muy Alta",'Mapa final'!$AL$48="Catastrófico"),CONCATENATE("R2C",'Mapa final'!$S$48),"")</f>
        <v/>
      </c>
      <c r="AJ17" s="42" t="str">
        <f>IF(AND('Mapa final'!$AJ$49="Muy Alta",'Mapa final'!$AL$49="Catastrófico"),CONCATENATE("R2C",'Mapa final'!$S$49),"")</f>
        <v/>
      </c>
      <c r="AK17" s="42" t="str">
        <f>IF(AND('Mapa final'!$AJ$50="Muy Alta",'Mapa final'!$AL$50="Catastrófico"),CONCATENATE("R2C",'Mapa final'!$S$50),"")</f>
        <v/>
      </c>
      <c r="AL17" s="42" t="str">
        <f>IF(AND('Mapa final'!$AJ$51="Muy Alta",'Mapa final'!$AL$51="Catastrófico"),CONCATENATE("R2C",'Mapa final'!$S$51),"")</f>
        <v/>
      </c>
      <c r="AM17" s="42" t="str">
        <f>IF(AND('Mapa final'!$AJ$52="Muy Alta",'Mapa final'!$AL$52="Catastrófico"),CONCATENATE("R2C",'Mapa final'!$S$52),"")</f>
        <v/>
      </c>
      <c r="AN17" s="43" t="str">
        <f>IF(AND('Mapa final'!$AJ$63="Muy Alta",'Mapa final'!$AL$53="Catastrófico"),CONCATENATE("R2C",'Mapa final'!$S$53),"")</f>
        <v/>
      </c>
      <c r="AO17" s="69"/>
      <c r="AP17" s="474"/>
      <c r="AQ17" s="475"/>
      <c r="AR17" s="475"/>
      <c r="AS17" s="475"/>
      <c r="AT17" s="475"/>
      <c r="AU17" s="476"/>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60"/>
      <c r="D18" s="360"/>
      <c r="E18" s="361"/>
      <c r="F18" s="455"/>
      <c r="G18" s="456"/>
      <c r="H18" s="456"/>
      <c r="I18" s="456"/>
      <c r="J18" s="483"/>
      <c r="K18" s="38" t="str">
        <f>IF(AND('Mapa final'!$AJ$54="Muy Alta",'Mapa final'!$AL$54="Leve"),CONCATENATE("R2C",'Mapa final'!$S$54),"")</f>
        <v/>
      </c>
      <c r="L18" s="178" t="str">
        <f>IF(AND('Mapa final'!$AJ$55="Muy Alta",'Mapa final'!$AL$55="Leve"),CONCATENATE("R2C",'Mapa final'!$S$55),"")</f>
        <v/>
      </c>
      <c r="M18" s="178" t="str">
        <f>IF(AND('Mapa final'!$AJ$56="Muy Alta",'Mapa final'!$AL$56="Leve"),CONCATENATE("R2C",'Mapa final'!$S$56),"")</f>
        <v/>
      </c>
      <c r="N18" s="178" t="str">
        <f>IF(AND('Mapa final'!$AJ$57="Muy Alta",'Mapa final'!$AL$57="Leve"),CONCATENATE("R2C",'Mapa final'!$S$57),"")</f>
        <v/>
      </c>
      <c r="O18" s="178" t="str">
        <f>IF(AND('Mapa final'!$AJ$58="Muy Alta",'Mapa final'!$AL$58="Leve"),CONCATENATE("R2C",'Mapa final'!$S$58),"")</f>
        <v/>
      </c>
      <c r="P18" s="40" t="str">
        <f>IF(AND('Mapa final'!$AJ$59="Muy Alta",'Mapa final'!$AL$59="Leve"),CONCATENATE("R2C",'Mapa final'!$S$59),"")</f>
        <v/>
      </c>
      <c r="Q18" s="178" t="str">
        <f>IF(AND('Mapa final'!$AJ$54="Muy Alta",'Mapa final'!$AL$54="Menor"),CONCATENATE("R2C",'Mapa final'!$S$54),"")</f>
        <v/>
      </c>
      <c r="R18" s="39" t="str">
        <f>IF(AND('Mapa final'!$AJ$55="Muy Alta",'Mapa final'!$AL$55="Menor"),CONCATENATE("R2C",'Mapa final'!$S$55),"")</f>
        <v/>
      </c>
      <c r="S18" s="39" t="str">
        <f>IF(AND('Mapa final'!$AJ$56="Muy Alta",'Mapa final'!$AL$56="Menor"),CONCATENATE("R2C",'Mapa final'!$S$56),"")</f>
        <v/>
      </c>
      <c r="T18" s="39" t="str">
        <f>IF(AND('Mapa final'!$AJ$57="Muy Alta",'Mapa final'!$AL$57="Menor"),CONCATENATE("R2C",'Mapa final'!$S$57),"")</f>
        <v/>
      </c>
      <c r="U18" s="39" t="str">
        <f>IF(AND('Mapa final'!$AJ$58="Muy Alta",'Mapa final'!$AL$58="Menor"),CONCATENATE("R2C",'Mapa final'!$S$58),"")</f>
        <v/>
      </c>
      <c r="V18" s="40" t="str">
        <f>IF(AND('Mapa final'!$AJ$59="Muy Alta",'Mapa final'!$AL$59="Menor"),CONCATENATE("R2C",'Mapa final'!$S$59),"")</f>
        <v/>
      </c>
      <c r="W18" s="38" t="str">
        <f>IF(AND('Mapa final'!$AJ$54="Muy Alta",'Mapa final'!$AL$54="Moderado"),CONCATENATE("R2C",'Mapa final'!$S$54),"")</f>
        <v/>
      </c>
      <c r="X18" s="39" t="str">
        <f>IF(AND('Mapa final'!$AJ$55="Muy Alta",'Mapa final'!$AL$55="Moderado"),CONCATENATE("R2C",'Mapa final'!$S$55),"")</f>
        <v/>
      </c>
      <c r="Y18" s="39" t="str">
        <f>IF(AND('Mapa final'!$AJ$56="Muy Alta",'Mapa final'!$AL$56="Moderado"),CONCATENATE("R2C",'Mapa final'!$S$56),"")</f>
        <v/>
      </c>
      <c r="Z18" s="39" t="str">
        <f>IF(AND('Mapa final'!$AJ$57="Muy Alta",'Mapa final'!$AL$57="Moderado"),CONCATENATE("R2C",'Mapa final'!$S$57),"")</f>
        <v/>
      </c>
      <c r="AA18" s="39" t="str">
        <f>IF(AND('Mapa final'!$AJ$58="Muy Alta",'Mapa final'!$AL$58="Moderado"),CONCATENATE("R2C",'Mapa final'!$S$58),"")</f>
        <v/>
      </c>
      <c r="AB18" s="40" t="str">
        <f>IF(AND('Mapa final'!$AJ$59="Muy Alta",'Mapa final'!$AL$59="Moderado"),CONCATENATE("R2C",'Mapa final'!$S$59),"")</f>
        <v/>
      </c>
      <c r="AC18" s="38" t="str">
        <f>IF(AND('Mapa final'!$AJ$54="Muy Alta",'Mapa final'!$AL$54="Mayor"),CONCATENATE("R2C",'Mapa final'!$S$54),"")</f>
        <v/>
      </c>
      <c r="AD18" s="39" t="str">
        <f>IF(AND('Mapa final'!$AJ$55="Muy Alta",'Mapa final'!$AL$55="Mayor"),CONCATENATE("R2C",'Mapa final'!$S$55),"")</f>
        <v/>
      </c>
      <c r="AE18" s="39" t="str">
        <f>IF(AND('Mapa final'!$AJ$56="Muy Alta",'Mapa final'!$AL$56="Mayor"),CONCATENATE("R2C",'Mapa final'!$S$56),"")</f>
        <v/>
      </c>
      <c r="AF18" s="39" t="str">
        <f>IF(AND('Mapa final'!$AJ$57="Muy Alta",'Mapa final'!$AL$57="Mayor"),CONCATENATE("R2C",'Mapa final'!$S$57),"")</f>
        <v/>
      </c>
      <c r="AG18" s="39" t="str">
        <f>IF(AND('Mapa final'!$AJ$58="Muy Alta",'Mapa final'!$AL$58="Mayor"),CONCATENATE("R2C",'Mapa final'!$S$58),"")</f>
        <v/>
      </c>
      <c r="AH18" s="40" t="str">
        <f>IF(AND('Mapa final'!$AJ$59="Muy Alta",'Mapa final'!$AL$59="Mayor"),CONCATENATE("R2C",'Mapa final'!$S$59),"")</f>
        <v/>
      </c>
      <c r="AI18" s="41" t="str">
        <f>IF(AND('Mapa final'!$AJ$54="Muy Alta",'Mapa final'!$AL$54="Catastrófico"),CONCATENATE("R2C",'Mapa final'!$S$54),"")</f>
        <v/>
      </c>
      <c r="AJ18" s="42" t="str">
        <f>IF(AND('Mapa final'!$AJ$55="Muy Alta",'Mapa final'!$AL$55="Catastrófico"),CONCATENATE("R2C",'Mapa final'!$S$55),"")</f>
        <v/>
      </c>
      <c r="AK18" s="42" t="str">
        <f>IF(AND('Mapa final'!$AJ$56="Muy Alta",'Mapa final'!$AL$56="Catastrófico"),CONCATENATE("R2C",'Mapa final'!$S$56),"")</f>
        <v/>
      </c>
      <c r="AL18" s="42" t="str">
        <f>IF(AND('Mapa final'!$AJ$57="Muy Alta",'Mapa final'!$AL$57="Catastrófico"),CONCATENATE("R2C",'Mapa final'!$S$57),"")</f>
        <v/>
      </c>
      <c r="AM18" s="42" t="str">
        <f>IF(AND('Mapa final'!$AJ$58="Muy Alta",'Mapa final'!$AL$58="Catastrófico"),CONCATENATE("R2C",'Mapa final'!$S$58),"")</f>
        <v/>
      </c>
      <c r="AN18" s="43" t="str">
        <f>IF(AND('Mapa final'!$AJ$59="Muy Alta",'Mapa final'!$AL$59="Catastrófico"),CONCATENATE("R2C",'Mapa final'!$S$59),"")</f>
        <v/>
      </c>
      <c r="AO18" s="69"/>
      <c r="AP18" s="474"/>
      <c r="AQ18" s="475"/>
      <c r="AR18" s="475"/>
      <c r="AS18" s="475"/>
      <c r="AT18" s="475"/>
      <c r="AU18" s="476"/>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60"/>
      <c r="D19" s="360"/>
      <c r="E19" s="361"/>
      <c r="F19" s="455"/>
      <c r="G19" s="456"/>
      <c r="H19" s="456"/>
      <c r="I19" s="456"/>
      <c r="J19" s="483"/>
      <c r="K19" s="38" t="str">
        <f>IF(AND('Mapa final'!$AJ$60="Muy Alta",'Mapa final'!$AL$60="Leve"),CONCATENATE("R2C",'Mapa final'!$S$60),"")</f>
        <v/>
      </c>
      <c r="L19" s="178" t="str">
        <f>IF(AND('Mapa final'!$AJ$61="Muy Alta",'Mapa final'!$AL$61="Leve"),CONCATENATE("R2C",'Mapa final'!$S$61),"")</f>
        <v/>
      </c>
      <c r="M19" s="178" t="str">
        <f>IF(AND('Mapa final'!$AJ$62="Muy Alta",'Mapa final'!$AL$62="Leve"),CONCATENATE("R2C",'Mapa final'!$S$62),"")</f>
        <v/>
      </c>
      <c r="N19" s="178" t="str">
        <f>IF(AND('Mapa final'!$AJ$63="Muy Alta",'Mapa final'!$AL$63="Leve"),CONCATENATE("R2C",'Mapa final'!$S$63),"")</f>
        <v/>
      </c>
      <c r="O19" s="178" t="str">
        <f>IF(AND('Mapa final'!$AJ$64="Muy Alta",'Mapa final'!$AL$64="Leve"),CONCATENATE("R2C",'Mapa final'!$S$64),"")</f>
        <v/>
      </c>
      <c r="P19" s="40" t="str">
        <f>IF(AND('Mapa final'!$AJ$65="Muy Alta",'Mapa final'!$AL$65="Leve"),CONCATENATE("R2C",'Mapa final'!$S$65),"")</f>
        <v/>
      </c>
      <c r="Q19" s="178" t="str">
        <f>IF(AND('Mapa final'!$AJ$60="Muy Alta",'Mapa final'!$AL$60="Menor"),CONCATENATE("R2C",'Mapa final'!$S$60),"")</f>
        <v/>
      </c>
      <c r="R19" s="39" t="str">
        <f>IF(AND('Mapa final'!$AJ$61="Muy Alta",'Mapa final'!$AL$61="Menor"),CONCATENATE("R2C",'Mapa final'!$S$61),"")</f>
        <v/>
      </c>
      <c r="S19" s="39" t="str">
        <f>IF(AND('Mapa final'!$AJ$62="Muy Alta",'Mapa final'!$AL$62="Menor"),CONCATENATE("R2C",'Mapa final'!$S$62),"")</f>
        <v/>
      </c>
      <c r="T19" s="39" t="str">
        <f>IF(AND('Mapa final'!$AJ$63="Muy Alta",'Mapa final'!$AL$63="Menor"),CONCATENATE("R2C",'Mapa final'!$S$63),"")</f>
        <v/>
      </c>
      <c r="U19" s="39" t="str">
        <f>IF(AND('Mapa final'!$AJ$64="Muy Alta",'Mapa final'!$AL$64="Menor"),CONCATENATE("R2C",'Mapa final'!$S$64),"")</f>
        <v/>
      </c>
      <c r="V19" s="40" t="str">
        <f>IF(AND('Mapa final'!$AJ$65="Muy Alta",'Mapa final'!$AL$65="Menor"),CONCATENATE("R2C",'Mapa final'!$S$65),"")</f>
        <v/>
      </c>
      <c r="W19" s="38" t="str">
        <f>IF(AND('Mapa final'!$AJ$60="Muy Alta",'Mapa final'!$AL$60="Moderado"),CONCATENATE("R2C",'Mapa final'!$S$60),"")</f>
        <v/>
      </c>
      <c r="X19" s="39" t="str">
        <f>IF(AND('Mapa final'!$AJ$61="Muy Alta",'Mapa final'!$AL$61="Moderado"),CONCATENATE("R2C",'Mapa final'!$S$61),"")</f>
        <v/>
      </c>
      <c r="Y19" s="39" t="str">
        <f>IF(AND('Mapa final'!$AJ$62="Muy Alta",'Mapa final'!$AL$62="Moderado"),CONCATENATE("R2C",'Mapa final'!$S$62),"")</f>
        <v/>
      </c>
      <c r="Z19" s="39" t="str">
        <f>IF(AND('Mapa final'!$AJ$63="Muy Alta",'Mapa final'!$AL$63="Moderado"),CONCATENATE("R2C",'Mapa final'!$S$63),"")</f>
        <v/>
      </c>
      <c r="AA19" s="39" t="str">
        <f>IF(AND('Mapa final'!$AJ$64="Muy Alta",'Mapa final'!$AL$64="Moderado"),CONCATENATE("R2C",'Mapa final'!$S$64),"")</f>
        <v/>
      </c>
      <c r="AB19" s="40" t="str">
        <f>IF(AND('Mapa final'!$AJ$65="Muy Alta",'Mapa final'!$AL$65="Moderado"),CONCATENATE("R2C",'Mapa final'!$S$65),"")</f>
        <v/>
      </c>
      <c r="AC19" s="38" t="str">
        <f>IF(AND('Mapa final'!$AJ$60="Muy Alta",'Mapa final'!$AL$60="Mayor"),CONCATENATE("R2C",'Mapa final'!$S$60),"")</f>
        <v/>
      </c>
      <c r="AD19" s="39" t="str">
        <f>IF(AND('Mapa final'!$AJ$61="Muy Alta",'Mapa final'!$AL$61="Mayor"),CONCATENATE("R2C",'Mapa final'!$S$61),"")</f>
        <v/>
      </c>
      <c r="AE19" s="39" t="str">
        <f>IF(AND('Mapa final'!$AJ$62="Muy Alta",'Mapa final'!$AL$62="Mayor"),CONCATENATE("R2C",'Mapa final'!$S$62),"")</f>
        <v/>
      </c>
      <c r="AF19" s="39" t="str">
        <f>IF(AND('Mapa final'!$AJ$63="Muy Alta",'Mapa final'!$AL$63="Mayor"),CONCATENATE("R2C",'Mapa final'!$S$63),"")</f>
        <v/>
      </c>
      <c r="AG19" s="39" t="str">
        <f>IF(AND('Mapa final'!$AJ$64="Muy Alta",'Mapa final'!$AL$64="Mayor"),CONCATENATE("R2C",'Mapa final'!$S$64),"")</f>
        <v/>
      </c>
      <c r="AH19" s="40" t="str">
        <f>IF(AND('Mapa final'!$AJ$65="Muy Alta",'Mapa final'!$AL$65="Mayor"),CONCATENATE("R2C",'Mapa final'!$S$65),"")</f>
        <v/>
      </c>
      <c r="AI19" s="41" t="str">
        <f>IF(AND('Mapa final'!$AJ$60="Muy Alta",'Mapa final'!$AL$60="Catastrófico"),CONCATENATE("R2C",'Mapa final'!$S$60),"")</f>
        <v/>
      </c>
      <c r="AJ19" s="42" t="str">
        <f>IF(AND('Mapa final'!$AJ$61="Muy Alta",'Mapa final'!$AL$61="Catastrófico"),CONCATENATE("R2C",'Mapa final'!$S$61),"")</f>
        <v/>
      </c>
      <c r="AK19" s="42" t="str">
        <f>IF(AND('Mapa final'!$AJ$62="Muy Alta",'Mapa final'!$AL$62="Catastrófico"),CONCATENATE("R2C",'Mapa final'!$S$62),"")</f>
        <v/>
      </c>
      <c r="AL19" s="42" t="str">
        <f>IF(AND('Mapa final'!$AJ$63="Muy Alta",'Mapa final'!$AL$63="Catastrófico"),CONCATENATE("R2C",'Mapa final'!$S$63),"")</f>
        <v/>
      </c>
      <c r="AM19" s="42" t="str">
        <f>IF(AND('Mapa final'!$AJ$64="Muy Alta",'Mapa final'!$AL$64="Catastrófico"),CONCATENATE("R2C",'Mapa final'!$S$64),"")</f>
        <v/>
      </c>
      <c r="AN19" s="43" t="str">
        <f>IF(AND('Mapa final'!$AJ$65="Muy Alta",'Mapa final'!$AL$65="Catastrófico"),CONCATENATE("R2C",'Mapa final'!$S$65),"")</f>
        <v/>
      </c>
      <c r="AO19" s="69"/>
      <c r="AP19" s="474"/>
      <c r="AQ19" s="475"/>
      <c r="AR19" s="475"/>
      <c r="AS19" s="475"/>
      <c r="AT19" s="475"/>
      <c r="AU19" s="476"/>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60"/>
      <c r="D20" s="360"/>
      <c r="E20" s="361"/>
      <c r="F20" s="455"/>
      <c r="G20" s="456"/>
      <c r="H20" s="456"/>
      <c r="I20" s="456"/>
      <c r="J20" s="483"/>
      <c r="K20" s="38" t="str">
        <f>IF(AND('Mapa final'!$AJ$66="Muy Alta",'Mapa final'!$AL$66="Leve"),CONCATENATE("R2C",'Mapa final'!$S$66),"")</f>
        <v/>
      </c>
      <c r="L20" s="178" t="str">
        <f>IF(AND('Mapa final'!$AJ$67="Muy Alta",'Mapa final'!$AL$67="Leve"),CONCATENATE("R2C",'Mapa final'!$S$67),"")</f>
        <v/>
      </c>
      <c r="M20" s="178" t="str">
        <f>IF(AND('Mapa final'!$AJ$68="Muy Alta",'Mapa final'!$AL$68="Leve"),CONCATENATE("R2C",'Mapa final'!$S$68),"")</f>
        <v/>
      </c>
      <c r="N20" s="178" t="str">
        <f>IF(AND('Mapa final'!$AJ$69="Muy Alta",'Mapa final'!$AL$69="Leve"),CONCATENATE("R2C",'Mapa final'!$S$69),"")</f>
        <v/>
      </c>
      <c r="O20" s="178" t="str">
        <f>IF(AND('Mapa final'!$AJ$70="Muy Alta",'Mapa final'!$AL$70="Leve"),CONCATENATE("R2C",'Mapa final'!$S$70),"")</f>
        <v/>
      </c>
      <c r="P20" s="40" t="str">
        <f>IF(AND('Mapa final'!$AJ$71="Muy Alta",'Mapa final'!$AL$71="Leve"),CONCATENATE("R2C",'Mapa final'!$S$71),"")</f>
        <v/>
      </c>
      <c r="Q20" s="178" t="str">
        <f>IF(AND('Mapa final'!$AJ$66="Muy Alta",'Mapa final'!$AL$66="Menor"),CONCATENATE("R2C",'Mapa final'!$S$66),"")</f>
        <v/>
      </c>
      <c r="R20" s="39" t="str">
        <f>IF(AND('Mapa final'!$AJ$67="Muy Alta",'Mapa final'!$AL$67="Menor"),CONCATENATE("R2C",'Mapa final'!$S$67),"")</f>
        <v/>
      </c>
      <c r="S20" s="39" t="str">
        <f>IF(AND('Mapa final'!$AJ$68="Muy Alta",'Mapa final'!$AL$68="Menor"),CONCATENATE("R2C",'Mapa final'!$S$68),"")</f>
        <v/>
      </c>
      <c r="T20" s="39" t="str">
        <f>IF(AND('Mapa final'!$AJ$69="Muy Alta",'Mapa final'!$AL$69="Menor"),CONCATENATE("R2C",'Mapa final'!$S$69),"")</f>
        <v/>
      </c>
      <c r="U20" s="39" t="str">
        <f>IF(AND('Mapa final'!$AJ$70="Muy Alta",'Mapa final'!$AL$70="Menor"),CONCATENATE("R2C",'Mapa final'!$S$70),"")</f>
        <v/>
      </c>
      <c r="V20" s="40" t="str">
        <f>IF(AND('Mapa final'!$AJ$71="Muy Alta",'Mapa final'!$AL$71="Menor"),CONCATENATE("R2C",'Mapa final'!$S$71),"")</f>
        <v/>
      </c>
      <c r="W20" s="38" t="str">
        <f>IF(AND('Mapa final'!$AJ$66="Muy Alta",'Mapa final'!$AL$66="Moderado"),CONCATENATE("R2C",'Mapa final'!$S$66),"")</f>
        <v/>
      </c>
      <c r="X20" s="39" t="str">
        <f>IF(AND('Mapa final'!$AJ$67="Muy Alta",'Mapa final'!$AL$67="Moderado"),CONCATENATE("R2C",'Mapa final'!$S$67),"")</f>
        <v/>
      </c>
      <c r="Y20" s="39" t="str">
        <f>IF(AND('Mapa final'!$AJ$68="Muy Alta",'Mapa final'!$AL$68="Moderado"),CONCATENATE("R2C",'Mapa final'!$S$68),"")</f>
        <v/>
      </c>
      <c r="Z20" s="39" t="str">
        <f>IF(AND('Mapa final'!$AJ$69="Muy Alta",'Mapa final'!$AL$69="Moderado"),CONCATENATE("R2C",'Mapa final'!$S$69),"")</f>
        <v/>
      </c>
      <c r="AA20" s="39" t="str">
        <f>IF(AND('Mapa final'!$AJ$70="Muy Alta",'Mapa final'!$AL$70="Moderado"),CONCATENATE("R2C",'Mapa final'!$S$70),"")</f>
        <v/>
      </c>
      <c r="AB20" s="40" t="str">
        <f>IF(AND('Mapa final'!$AJ$71="Muy Alta",'Mapa final'!$AL$71="Moderado"),CONCATENATE("R2C",'Mapa final'!$S$71),"")</f>
        <v/>
      </c>
      <c r="AC20" s="38" t="str">
        <f>IF(AND('Mapa final'!$AJ$66="Muy Alta",'Mapa final'!$AL$66="Mayor"),CONCATENATE("R2C",'Mapa final'!$S$66),"")</f>
        <v/>
      </c>
      <c r="AD20" s="39" t="str">
        <f>IF(AND('Mapa final'!$AJ$67="Muy Alta",'Mapa final'!$AL$67="Mayor"),CONCATENATE("R2C",'Mapa final'!$S$67),"")</f>
        <v/>
      </c>
      <c r="AE20" s="39" t="str">
        <f>IF(AND('Mapa final'!$AJ$68="Muy Alta",'Mapa final'!$AL$68="Mayor"),CONCATENATE("R2C",'Mapa final'!$S$68),"")</f>
        <v/>
      </c>
      <c r="AF20" s="39" t="str">
        <f>IF(AND('Mapa final'!$AJ$69="Muy Alta",'Mapa final'!$AL$69="Mayor"),CONCATENATE("R2C",'Mapa final'!$S$69),"")</f>
        <v/>
      </c>
      <c r="AG20" s="39" t="str">
        <f>IF(AND('Mapa final'!$AJ$70="Muy Alta",'Mapa final'!$AL$70="Mayor"),CONCATENATE("R2C",'Mapa final'!$S$70),"")</f>
        <v/>
      </c>
      <c r="AH20" s="40" t="str">
        <f>IF(AND('Mapa final'!$AJ$71="Muy Alta",'Mapa final'!$AL$71="Mayor"),CONCATENATE("R2C",'Mapa final'!$S$71),"")</f>
        <v/>
      </c>
      <c r="AI20" s="41" t="str">
        <f>IF(AND('Mapa final'!$AJ$66="Muy Alta",'Mapa final'!$AL$66="Catastrófico"),CONCATENATE("R2C",'Mapa final'!$S$66),"")</f>
        <v/>
      </c>
      <c r="AJ20" s="42" t="str">
        <f>IF(AND('Mapa final'!$AJ$67="Muy Alta",'Mapa final'!$AL$67="Catastrófico"),CONCATENATE("R2C",'Mapa final'!$S$67),"")</f>
        <v/>
      </c>
      <c r="AK20" s="42" t="str">
        <f>IF(AND('Mapa final'!$AJ$68="Muy Alta",'Mapa final'!$AL$68="Catastrófico"),CONCATENATE("R2C",'Mapa final'!$S$68),"")</f>
        <v/>
      </c>
      <c r="AL20" s="42" t="str">
        <f>IF(AND('Mapa final'!$AJ$69="Muy Alta",'Mapa final'!$AL$69="Catastrófico"),CONCATENATE("R2C",'Mapa final'!$S$69),"")</f>
        <v/>
      </c>
      <c r="AM20" s="42" t="str">
        <f>IF(AND('Mapa final'!$AJ$70="Muy Alta",'Mapa final'!$AL$70="Catastrófico"),CONCATENATE("R2C",'Mapa final'!$S$70),"")</f>
        <v/>
      </c>
      <c r="AN20" s="43" t="str">
        <f>IF(AND('Mapa final'!$AJ$71="Muy Alta",'Mapa final'!$AL$71="Catastrófico"),CONCATENATE("R2C",'Mapa final'!$S$71),"")</f>
        <v/>
      </c>
      <c r="AO20" s="69"/>
      <c r="AP20" s="474"/>
      <c r="AQ20" s="475"/>
      <c r="AR20" s="475"/>
      <c r="AS20" s="475"/>
      <c r="AT20" s="475"/>
      <c r="AU20" s="476"/>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60"/>
      <c r="D21" s="360"/>
      <c r="E21" s="361"/>
      <c r="F21" s="458"/>
      <c r="G21" s="459"/>
      <c r="H21" s="459"/>
      <c r="I21" s="459"/>
      <c r="J21" s="459"/>
      <c r="K21" s="44" t="str">
        <f>IF(AND('Mapa final'!$AJ$72="Muy Alta",'Mapa final'!$AL$72="Leve"),CONCATENATE("R2C",'Mapa final'!$S$72),"")</f>
        <v/>
      </c>
      <c r="L21" s="45" t="str">
        <f>IF(AND('Mapa final'!$AJ$73="Muy Alta",'Mapa final'!$AL$73="Leve"),CONCATENATE("R2C",'Mapa final'!$S$73),"")</f>
        <v/>
      </c>
      <c r="M21" s="45" t="str">
        <f>IF(AND('Mapa final'!$AJ$74="Muy Alta",'Mapa final'!$AL$74="Leve"),CONCATENATE("R2C",'Mapa final'!$S$74),"")</f>
        <v/>
      </c>
      <c r="N21" s="45" t="str">
        <f>IF(AND('Mapa final'!$AJ$75="Muy Alta",'Mapa final'!$AL$75="Leve"),CONCATENATE("R2C",'Mapa final'!$S$75),"")</f>
        <v/>
      </c>
      <c r="O21" s="45" t="str">
        <f>IF(AND('Mapa final'!$AJ$77="Muy Alta",'Mapa final'!$AL$77="Leve"),CONCATENATE("R2C",'Mapa final'!$S$77),"")</f>
        <v/>
      </c>
      <c r="P21" s="46" t="str">
        <f>IF(AND('Mapa final'!$AJ$78="Muy Alta",'Mapa final'!$AL$78="Leve"),CONCATENATE("R2C",'Mapa final'!$S$78),"")</f>
        <v/>
      </c>
      <c r="Q21" s="178" t="str">
        <f>IF(AND('Mapa final'!$AJ$72="Muy Alta",'Mapa final'!$AL$72="Menor"),CONCATENATE("R2C",'Mapa final'!$S$72),"")</f>
        <v/>
      </c>
      <c r="R21" s="39" t="str">
        <f>IF(AND('Mapa final'!$AJ$73="Muy Alta",'Mapa final'!$AL$73="Menor"),CONCATENATE("R2C",'Mapa final'!$S$73),"")</f>
        <v/>
      </c>
      <c r="S21" s="39" t="str">
        <f>IF(AND('Mapa final'!$AJ$74="Muy Alta",'Mapa final'!$AL$74="Menor"),CONCATENATE("R2C",'Mapa final'!$S$74),"")</f>
        <v/>
      </c>
      <c r="T21" s="39" t="str">
        <f>IF(AND('Mapa final'!$AJ$75="Muy Alta",'Mapa final'!$AL$75="Menor"),CONCATENATE("R2C",'Mapa final'!$S$75),"")</f>
        <v/>
      </c>
      <c r="U21" s="39" t="str">
        <f>IF(AND('Mapa final'!$AJ$77="Muy Alta",'Mapa final'!$AL$77="Menor"),CONCATENATE("R2C",'Mapa final'!$S$77),"")</f>
        <v/>
      </c>
      <c r="V21" s="40" t="str">
        <f>IF(AND('Mapa final'!$AJ$78="Muy Alta",'Mapa final'!$AL$78="Menor"),CONCATENATE("R2C",'Mapa final'!$S$78),"")</f>
        <v/>
      </c>
      <c r="W21" s="44" t="str">
        <f>IF(AND('Mapa final'!$AJ$72="Muy Alta",'Mapa final'!$AL$72="Moderado"),CONCATENATE("R2C",'Mapa final'!$S$72),"")</f>
        <v/>
      </c>
      <c r="X21" s="45" t="str">
        <f>IF(AND('Mapa final'!$AJ$73="Muy Alta",'Mapa final'!$AL$73="Moderado"),CONCATENATE("R2C",'Mapa final'!$S$73),"")</f>
        <v/>
      </c>
      <c r="Y21" s="45" t="str">
        <f>IF(AND('Mapa final'!$AJ$74="Muy Alta",'Mapa final'!$AL$74="Moderado"),CONCATENATE("R2C",'Mapa final'!$S$74),"")</f>
        <v/>
      </c>
      <c r="Z21" s="45" t="str">
        <f>IF(AND('Mapa final'!$AJ$75="Muy Alta",'Mapa final'!$AL$75="Moderado"),CONCATENATE("R2C",'Mapa final'!$S$75),"")</f>
        <v/>
      </c>
      <c r="AA21" s="45" t="str">
        <f>IF(AND('Mapa final'!$AJ$77="Muy Alta",'Mapa final'!$AL$77="Moderado"),CONCATENATE("R2C",'Mapa final'!$S$77),"")</f>
        <v/>
      </c>
      <c r="AB21" s="46" t="str">
        <f>IF(AND('Mapa final'!$AJ$78="Muy Alta",'Mapa final'!$AL$78="Moderado"),CONCATENATE("R2C",'Mapa final'!$S$78),"")</f>
        <v/>
      </c>
      <c r="AC21" s="38" t="str">
        <f>IF(AND('Mapa final'!$AJ$72="Muy Alta",'Mapa final'!$AL$72="Mayor"),CONCATENATE("R2C",'Mapa final'!$S$72),"")</f>
        <v/>
      </c>
      <c r="AD21" s="39" t="str">
        <f>IF(AND('Mapa final'!$AJ$73="Muy Alta",'Mapa final'!$AL$73="Mayor"),CONCATENATE("R2C",'Mapa final'!$S$73),"")</f>
        <v/>
      </c>
      <c r="AE21" s="39" t="str">
        <f>IF(AND('Mapa final'!$AJ$74="Muy Alta",'Mapa final'!$AL$74="Mayor"),CONCATENATE("R2C",'Mapa final'!$S$74),"")</f>
        <v/>
      </c>
      <c r="AF21" s="39" t="str">
        <f>IF(AND('Mapa final'!$AJ$75="Muy Alta",'Mapa final'!$AL$75="Mayor"),CONCATENATE("R2C",'Mapa final'!$S$75),"")</f>
        <v/>
      </c>
      <c r="AG21" s="39" t="str">
        <f>IF(AND('Mapa final'!$AJ$77="Muy Alta",'Mapa final'!$AL$77="Mayor"),CONCATENATE("R2C",'Mapa final'!$S$77),"")</f>
        <v/>
      </c>
      <c r="AH21" s="40" t="str">
        <f>IF(AND('Mapa final'!$AJ$78="Muy Alta",'Mapa final'!$AL$78="Mayor"),CONCATENATE("R2C",'Mapa final'!$S$78),"")</f>
        <v/>
      </c>
      <c r="AI21" s="47" t="str">
        <f>IF(AND('Mapa final'!$AJ$72="Muy Alta",'Mapa final'!$AL$72="Catastrófico"),CONCATENATE("R2C",'Mapa final'!$S$72),"")</f>
        <v/>
      </c>
      <c r="AJ21" s="48" t="str">
        <f>IF(AND('Mapa final'!$AJ$73="Muy Alta",'Mapa final'!$AL$73="Catastrófico"),CONCATENATE("R2C",'Mapa final'!$S$73),"")</f>
        <v/>
      </c>
      <c r="AK21" s="48" t="str">
        <f>IF(AND('Mapa final'!$AJ$74="Muy Alta",'Mapa final'!$AL$74="Catastrófico"),CONCATENATE("R2C",'Mapa final'!$S$74),"")</f>
        <v/>
      </c>
      <c r="AL21" s="48" t="str">
        <f>IF(AND('Mapa final'!$AJ$75="Muy Alta",'Mapa final'!$AL$75="Catastrófico"),CONCATENATE("R2C",'Mapa final'!$S$75),"")</f>
        <v/>
      </c>
      <c r="AM21" s="48" t="str">
        <f>IF(AND('Mapa final'!$AJ$77="Muy Alta",'Mapa final'!$AL$77="Catastrófico"),CONCATENATE("R2C",'Mapa final'!$S$77),"")</f>
        <v/>
      </c>
      <c r="AN21" s="49" t="str">
        <f>IF(AND('Mapa final'!$AJ$78="Muy Alta",'Mapa final'!$AL$78="Catastrófico"),CONCATENATE("R2C",'Mapa final'!$S$78),"")</f>
        <v/>
      </c>
      <c r="AO21" s="69"/>
      <c r="AP21" s="477"/>
      <c r="AQ21" s="478"/>
      <c r="AR21" s="478"/>
      <c r="AS21" s="478"/>
      <c r="AT21" s="478"/>
      <c r="AU21" s="47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60"/>
      <c r="D22" s="360"/>
      <c r="E22" s="361"/>
      <c r="F22" s="452" t="s">
        <v>114</v>
      </c>
      <c r="G22" s="453"/>
      <c r="H22" s="453"/>
      <c r="I22" s="453"/>
      <c r="J22" s="453"/>
      <c r="K22" s="53" t="str">
        <f ca="1">IF(AND('Mapa final'!$AJ$15="Alta",'Mapa final'!$AL$15="Leve"),CONCATENATE("R2C",'Mapa final'!$S$15),"")</f>
        <v/>
      </c>
      <c r="L22" s="179" t="str">
        <f ca="1">IF(AND('Mapa final'!$AJ$16="Alta",'Mapa final'!$AL$16="Leve"),CONCATENATE("R2C",'Mapa final'!$S$16),"")</f>
        <v/>
      </c>
      <c r="M22" s="179" t="str">
        <f ca="1">IF(AND('Mapa final'!$AJ$19="Alta",'Mapa final'!$AL$19="Leve"),CONCATENATE("R2C",'Mapa final'!$S$19),"")</f>
        <v/>
      </c>
      <c r="N22" s="179" t="str">
        <f ca="1">IF(AND('Mapa final'!$AJ$20="Alta",'Mapa final'!$AL$20="Leve"),CONCATENATE("R2C",'Mapa final'!$S$20),"")</f>
        <v/>
      </c>
      <c r="O22" s="179" t="str">
        <f ca="1">IF(AND('Mapa final'!$AJ$22="Alta",'Mapa final'!$AL$22="Leve"),CONCATENATE("R2C",'Mapa final'!$S$22),"")</f>
        <v/>
      </c>
      <c r="P22" s="55" t="str">
        <f ca="1">IF(AND('Mapa final'!$AJ$23="Alta",'Mapa final'!$AL$23="Leve"),CONCATENATE("R2C",'Mapa final'!$S$23),"")</f>
        <v/>
      </c>
      <c r="Q22" s="50" t="str">
        <f ca="1">IF(AND('Mapa final'!$AJ$15="Alta",'Mapa final'!$AL$15="Menor"),CONCATENATE("R2C",'Mapa final'!$S$15),"")</f>
        <v/>
      </c>
      <c r="R22" s="51" t="str">
        <f ca="1">IF(AND('Mapa final'!$AJ$16="Alta",'Mapa final'!$AL$16="Menore"),CONCATENATE("R2C",'Mapa final'!$S$16),"")</f>
        <v/>
      </c>
      <c r="S22" s="51" t="str">
        <f ca="1">IF(AND('Mapa final'!$AJ$19="Alta",'Mapa final'!$AL$19="Menor"),CONCATENATE("R2C",'Mapa final'!$S$19),"")</f>
        <v/>
      </c>
      <c r="T22" s="51" t="str">
        <f ca="1">IF(AND('Mapa final'!$AJ$20="Alta",'Mapa final'!$AL$20="Menor"),CONCATENATE("R2C",'Mapa final'!$S$20),"")</f>
        <v/>
      </c>
      <c r="U22" s="51" t="str">
        <f ca="1">IF(AND('Mapa final'!$AJ$22="Alta",'Mapa final'!$AL$22="Menor"),CONCATENATE("R2C",'Mapa final'!$S$22),"")</f>
        <v/>
      </c>
      <c r="V22" s="52" t="str">
        <f ca="1">IF(AND('Mapa final'!$AJ$23="Alta",'Mapa final'!$AL$23="Menor"),CONCATENATE("R2C",'Mapa final'!$S$23),"")</f>
        <v/>
      </c>
      <c r="W22" s="32" t="str">
        <f ca="1">IF(AND('Mapa final'!$AJ$15="Alta",'Mapa final'!$AL$15="Moderado"),CONCATENATE("R2C",'Mapa final'!$S$15),"")</f>
        <v/>
      </c>
      <c r="X22" s="33" t="str">
        <f ca="1">IF(AND('Mapa final'!$AJ$16="Alta",'Mapa final'!$AL$16="Moderado"),CONCATENATE("R2C",'Mapa final'!$S$16),"")</f>
        <v/>
      </c>
      <c r="Y22" s="33"/>
      <c r="Z22" s="33" t="str">
        <f ca="1">IF(AND('Mapa final'!$AJ$20="Alta",'Mapa final'!$AL$20="Moderado"),CONCATENATE("R2C",'Mapa final'!$S$20),"")</f>
        <v/>
      </c>
      <c r="AA22" s="33" t="str">
        <f ca="1">IF(AND('Mapa final'!$AJ$22="Alta",'Mapa final'!$AL$22="Moderado"),CONCATENATE("R2C",'Mapa final'!$S$22),"")</f>
        <v/>
      </c>
      <c r="AB22" s="34" t="str">
        <f ca="1">IF(AND('Mapa final'!$AJ$23="Alta",'Mapa final'!$AL$23="Moderado"),CONCATENATE("R2C",'Mapa final'!$S$23),"")</f>
        <v/>
      </c>
      <c r="AC22" s="32" t="str">
        <f ca="1">IF(AND('Mapa final'!$AJ$15="Alta",'Mapa final'!$AL$15="Mayor"),CONCATENATE("R2C",'Mapa final'!$S$15),"")</f>
        <v/>
      </c>
      <c r="AD22" s="33" t="str">
        <f ca="1">IF(AND('Mapa final'!$AJ$16="Alta",'Mapa final'!$AL$16="Mayor"),CONCATENATE("R2C",'Mapa final'!$S$16),"")</f>
        <v/>
      </c>
      <c r="AE22" s="33" t="str">
        <f ca="1">IF(AND('Mapa final'!$AJ$19="Alta",'Mapa final'!$AL$19="Mayor"),CONCATENATE("R2C",'Mapa final'!$D$19),"")</f>
        <v/>
      </c>
      <c r="AF22" s="33" t="str">
        <f ca="1">IF(AND('Mapa final'!$AJ$20="Alta",'Mapa final'!$AL$20="Mayor"),CONCATENATE("R2C",'Mapa final'!$S$20),"")</f>
        <v/>
      </c>
      <c r="AG22" s="33" t="str">
        <f ca="1">IF(AND('Mapa final'!$AJ$22="Alta",'Mapa final'!$AL$22="Mayor"),CONCATENATE("R2C",'Mapa final'!$S$22),"")</f>
        <v/>
      </c>
      <c r="AH22" s="34" t="str">
        <f ca="1">IF(AND('Mapa final'!$AJ$23="Alta",'Mapa final'!$AL$23="Mayor"),CONCATENATE("R2C",'Mapa final'!$S$23),"")</f>
        <v/>
      </c>
      <c r="AI22" s="35" t="str">
        <f ca="1">IF(AND('Mapa final'!$AJ$15="Alta",'Mapa final'!$AL$15="Catastrófico"),CONCATENATE("R2C",'Mapa final'!$S$15),"")</f>
        <v/>
      </c>
      <c r="AJ22" s="36" t="str">
        <f ca="1">IF(AND('Mapa final'!$AJ$16="Alta",'Mapa final'!$AL$16="Catastrófico"),CONCATENATE("R2C",'Mapa final'!$S$16),"")</f>
        <v/>
      </c>
      <c r="AK22" s="36" t="str">
        <f ca="1">IF(AND('Mapa final'!$AJ$19="Alta",'Mapa final'!$AL$19="Catastrófico"),CONCATENATE("R2C",'Mapa final'!$S$19),"")</f>
        <v/>
      </c>
      <c r="AL22" s="36" t="str">
        <f ca="1">IF(AND('Mapa final'!$AJ$20="Alta",'Mapa final'!$AL$20="Catastrófico"),CONCATENATE("R2C",'Mapa final'!$S$20),"")</f>
        <v/>
      </c>
      <c r="AM22" s="36" t="str">
        <f ca="1">IF(AND('Mapa final'!$AJ$22="Alta",'Mapa final'!$AL$22="Catastrófico"),CONCATENATE("R2C",'Mapa final'!$S$22),"")</f>
        <v/>
      </c>
      <c r="AN22" s="37" t="str">
        <f ca="1">IF(AND('Mapa final'!$AJ$23="Alta",'Mapa final'!$AL$23="Catastrófico"),CONCATENATE("R2C",'Mapa final'!$S$23),"")</f>
        <v/>
      </c>
      <c r="AO22" s="69"/>
      <c r="AP22" s="461" t="s">
        <v>79</v>
      </c>
      <c r="AQ22" s="462"/>
      <c r="AR22" s="462"/>
      <c r="AS22" s="462"/>
      <c r="AT22" s="462"/>
      <c r="AU22" s="463"/>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60"/>
      <c r="D23" s="360"/>
      <c r="E23" s="361"/>
      <c r="F23" s="470"/>
      <c r="G23" s="456"/>
      <c r="H23" s="456"/>
      <c r="I23" s="456"/>
      <c r="J23" s="456"/>
      <c r="K23" s="53" t="str">
        <f ca="1">IF(AND('Mapa final'!$AJ$24="Alta",'Mapa final'!$AL$24="Leve"),CONCATENATE("R2C",'Mapa final'!$S$24),"")</f>
        <v/>
      </c>
      <c r="L23" s="54" t="str">
        <f ca="1">IF(AND('Mapa final'!$AJ$25="Alta",'Mapa final'!$AL$25="Leve"),CONCATENATE("R2C",'Mapa final'!$S$25),"")</f>
        <v/>
      </c>
      <c r="M23" s="54" t="str">
        <f>IF(AND('Mapa final'!$AJ$26="Alta",'Mapa final'!$AL$26="Leve"),CONCATENATE("R2C",'Mapa final'!$S$26),"")</f>
        <v/>
      </c>
      <c r="N23" s="54" t="str">
        <f>IF(AND('Mapa final'!$AJ$27="Alta",'Mapa final'!$AL$27="Leve"),CONCATENATE("R2C",'Mapa final'!$S$27),"")</f>
        <v/>
      </c>
      <c r="O23" s="54" t="str">
        <f>IF(AND('Mapa final'!$AJ$28="Alta",'Mapa final'!$AL$28="Leve"),CONCATENATE("R2C",'Mapa final'!$S$28),"")</f>
        <v/>
      </c>
      <c r="P23" s="55" t="str">
        <f>IF(AND('Mapa final'!$AJ$29="Alta",'Mapa final'!$AL$29="Leve"),CONCATENATE("R2C",'Mapa final'!$S$29),"")</f>
        <v/>
      </c>
      <c r="Q23" s="53" t="str">
        <f ca="1">IF(AND('Mapa final'!$AJ$24="Alta",'Mapa final'!$AL$24="Menor"),CONCATENATE("R2C",'Mapa final'!$S$24),"")</f>
        <v/>
      </c>
      <c r="R23" s="54" t="str">
        <f ca="1">IF(AND('Mapa final'!$AJ$25="Alta",'Mapa final'!$AL$25="Menor"),CONCATENATE("R2C",'Mapa final'!$S$25),"")</f>
        <v/>
      </c>
      <c r="S23" s="54" t="str">
        <f>IF(AND('Mapa final'!$AJ$26="Alta",'Mapa final'!$AL$26="Menor"),CONCATENATE("R2C",'Mapa final'!$S$26),"")</f>
        <v/>
      </c>
      <c r="T23" s="54" t="str">
        <f>IF(AND('Mapa final'!$AJ$27="Alta",'Mapa final'!$AL$27="Menor"),CONCATENATE("R2C",'Mapa final'!$S$27),"")</f>
        <v/>
      </c>
      <c r="U23" s="54" t="str">
        <f>IF(AND('Mapa final'!$AJ$28="Alta",'Mapa final'!$AL$28="Menor"),CONCATENATE("R2C",'Mapa final'!$S$28),"")</f>
        <v/>
      </c>
      <c r="V23" s="55" t="str">
        <f>IF(AND('Mapa final'!$AJ$29="Alta",'Mapa final'!$AL$29="Menor"),CONCATENATE("R2C",'Mapa final'!$S$29),"")</f>
        <v/>
      </c>
      <c r="W23" s="38" t="str">
        <f ca="1">IF(AND('Mapa final'!$AJ$24="Alta",'Mapa final'!$AL$24="Moderado"),CONCATENATE("R2C",'Mapa final'!$S$24),"")</f>
        <v/>
      </c>
      <c r="X23" s="39" t="str">
        <f ca="1">IF(AND('Mapa final'!$AJ$25="Alta",'Mapa final'!$AL$25="Moderado"),CONCATENATE("R2C",'Mapa final'!$S$25),"")</f>
        <v/>
      </c>
      <c r="Y23" s="39" t="str">
        <f>IF(AND('Mapa final'!$AJ$26="Alta",'Mapa final'!$AL$26="Moderado"),CONCATENATE("R2C",'Mapa final'!$S$26),"")</f>
        <v/>
      </c>
      <c r="Z23" s="39" t="str">
        <f>IF(AND('Mapa final'!$AJ$27="Alta",'Mapa final'!$AL$27="Moderado"),CONCATENATE("R2C",'Mapa final'!$S$27),"")</f>
        <v/>
      </c>
      <c r="AA23" s="39" t="str">
        <f>IF(AND('Mapa final'!$AJ$28="Alta",'Mapa final'!$AL$28="Moderado"),CONCATENATE("R2C",'Mapa final'!$S$28),"")</f>
        <v/>
      </c>
      <c r="AB23" s="40" t="str">
        <f>IF(AND('Mapa final'!$AJ$29="Alta",'Mapa final'!$AL$29="Moderado"),CONCATENATE("R2C",'Mapa final'!$S$29),"")</f>
        <v/>
      </c>
      <c r="AC23" s="38" t="str">
        <f ca="1">IF(AND('Mapa final'!$AJ$24="Alta",'Mapa final'!$AL$24="Mayor"),CONCATENATE("R2C",'Mapa final'!$S$24),"")</f>
        <v/>
      </c>
      <c r="AD23" s="39" t="str">
        <f ca="1">IF(AND('Mapa final'!$AJ$25="Alta",'Mapa final'!$AL$25="Mayor"),CONCATENATE("R2C",'Mapa final'!$S$25),"")</f>
        <v/>
      </c>
      <c r="AE23" s="39" t="str">
        <f>IF(AND('Mapa final'!$AJ$26="Alta",'Mapa final'!$AL$26="Mayor"),CONCATENATE("R2C",'Mapa final'!$S$26),"")</f>
        <v/>
      </c>
      <c r="AF23" s="39" t="str">
        <f>IF(AND('Mapa final'!$AJ$27="Alta",'Mapa final'!$AL$27="Mayor"),CONCATENATE("R2C",'Mapa final'!$S$27),"")</f>
        <v/>
      </c>
      <c r="AG23" s="39" t="str">
        <f>IF(AND('Mapa final'!$AJ$28="Alta",'Mapa final'!$AL$28="Mayor"),CONCATENATE("R2C",'Mapa final'!$S$28),"")</f>
        <v/>
      </c>
      <c r="AH23" s="40" t="str">
        <f>IF(AND('Mapa final'!$AJ$29="Alta",'Mapa final'!$AL$29="Mayor"),CONCATENATE("R2C",'Mapa final'!$S$29),"")</f>
        <v/>
      </c>
      <c r="AI23" s="41" t="str">
        <f ca="1">IF(AND('Mapa final'!$AJ$24="Alta",'Mapa final'!$AL$24="Catastrófico"),CONCATENATE("R2C",'Mapa final'!$S$24),"")</f>
        <v/>
      </c>
      <c r="AJ23" s="42" t="str">
        <f ca="1">IF(AND('Mapa final'!$AJ$25="Alta",'Mapa final'!$AL$25="Catastrófico"),CONCATENATE("R2C",'Mapa final'!$S$25),"")</f>
        <v/>
      </c>
      <c r="AK23" s="42" t="str">
        <f>IF(AND('Mapa final'!$AJ$26="Alta",'Mapa final'!$AL$26="Catastrófico"),CONCATENATE("R2C",'Mapa final'!$S$26),"")</f>
        <v/>
      </c>
      <c r="AL23" s="42" t="str">
        <f>IF(AND('Mapa final'!$AJ$27="Alta",'Mapa final'!$AL$27="Catastrófico"),CONCATENATE("R2C",'Mapa final'!$S$27),"")</f>
        <v/>
      </c>
      <c r="AM23" s="42" t="str">
        <f>IF(AND('Mapa final'!$AJ$28="Alta",'Mapa final'!$AL$28="Catastrófico"),CONCATENATE("R2C",'Mapa final'!$S$28),"")</f>
        <v/>
      </c>
      <c r="AN23" s="43" t="str">
        <f>IF(AND('Mapa final'!$AJ$29="Alta",'Mapa final'!$AL$29="Catastrófico"),CONCATENATE("R2C",'Mapa final'!$S$29),"")</f>
        <v/>
      </c>
      <c r="AO23" s="69"/>
      <c r="AP23" s="464"/>
      <c r="AQ23" s="465"/>
      <c r="AR23" s="465"/>
      <c r="AS23" s="465"/>
      <c r="AT23" s="465"/>
      <c r="AU23" s="466"/>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60"/>
      <c r="D24" s="360"/>
      <c r="E24" s="361"/>
      <c r="F24" s="455"/>
      <c r="G24" s="456"/>
      <c r="H24" s="456"/>
      <c r="I24" s="456"/>
      <c r="J24" s="456"/>
      <c r="K24" s="53" t="str">
        <f>IF(AND('Mapa final'!$AJ$30="Alta",'Mapa final'!$AL$30="Leve"),CONCATENATE("R2C",'Mapa final'!$S$30),"")</f>
        <v/>
      </c>
      <c r="L24" s="54" t="str">
        <f>IF(AND('Mapa final'!$AJ$31="Alta",'Mapa final'!$AL$31="Leve"),CONCATENATE("R2C",'Mapa final'!$S$31),"")</f>
        <v/>
      </c>
      <c r="M24" s="54" t="str">
        <f>IF(AND('Mapa final'!$AJ$32="Alta",'Mapa final'!$AL$32="Leve"),CONCATENATE("R2C",'Mapa final'!$S$32),"")</f>
        <v/>
      </c>
      <c r="N24" s="54" t="str">
        <f>IF(AND('Mapa final'!$AJ$33="Alta",'Mapa final'!$AL$33="Leve"),CONCATENATE("R2C",'Mapa final'!$S$33),"")</f>
        <v/>
      </c>
      <c r="O24" s="54" t="str">
        <f>IF(AND('Mapa final'!$AJ$34="Alta",'Mapa final'!$AL$34="Leve"),CONCATENATE("R2C",'Mapa final'!$S$34),"")</f>
        <v/>
      </c>
      <c r="P24" s="55" t="str">
        <f>IF(AND('Mapa final'!$AJ$35="Alta",'Mapa final'!$AL$35="Leve"),CONCATENATE("R2C",'Mapa final'!$S$35),"")</f>
        <v/>
      </c>
      <c r="Q24" s="53" t="str">
        <f>IF(AND('Mapa final'!$AJ$30="Alta",'Mapa final'!$AL$30="Menor"),CONCATENATE("R2C",'Mapa final'!$S$30),"")</f>
        <v/>
      </c>
      <c r="R24" s="54" t="str">
        <f>IF(AND('Mapa final'!$AJ$31="Alta",'Mapa final'!$AL$31="Menor"),CONCATENATE("R2C",'Mapa final'!$S$31),"")</f>
        <v/>
      </c>
      <c r="S24" s="54" t="str">
        <f>IF(AND('Mapa final'!$AJ$32="Alta",'Mapa final'!$AL$32="Menor"),CONCATENATE("R2C",'Mapa final'!$S$32),"")</f>
        <v/>
      </c>
      <c r="T24" s="54" t="str">
        <f>IF(AND('Mapa final'!$AJ$33="Alta",'Mapa final'!$AL$33="Menor"),CONCATENATE("R2C",'Mapa final'!$S$33),"")</f>
        <v/>
      </c>
      <c r="U24" s="54" t="str">
        <f>IF(AND('Mapa final'!$AJ$34="Alta",'Mapa final'!$AL$34="Menor"),CONCATENATE("R2C",'Mapa final'!$S$34),"")</f>
        <v/>
      </c>
      <c r="V24" s="55" t="str">
        <f>IF(AND('Mapa final'!$AJ$35="Alta",'Mapa final'!$AL$35="Menor"),CONCATENATE("R2C",'Mapa final'!$S$35),"")</f>
        <v/>
      </c>
      <c r="W24" s="38" t="str">
        <f>IF(AND('Mapa final'!$AJ$30="Alta",'Mapa final'!$AL$30="Moderado"),CONCATENATE("R2C",'Mapa final'!$S$30),"")</f>
        <v/>
      </c>
      <c r="X24" s="39" t="str">
        <f>IF(AND('Mapa final'!$AJ$31="Alta",'Mapa final'!$AL$31="Moderado"),CONCATENATE("R2C",'Mapa final'!$S$31),"")</f>
        <v/>
      </c>
      <c r="Y24" s="39" t="str">
        <f>IF(AND('Mapa final'!$AJ$32="Alta",'Mapa final'!$AL$32="Moderado"),CONCATENATE("R2C",'Mapa final'!$S$32),"")</f>
        <v/>
      </c>
      <c r="Z24" s="39" t="str">
        <f>IF(AND('Mapa final'!$AJ$33="Alta",'Mapa final'!$AL$33="Moderado"),CONCATENATE("R2C",'Mapa final'!$S$33),"")</f>
        <v/>
      </c>
      <c r="AA24" s="39" t="str">
        <f>IF(AND('Mapa final'!$AJ$34="Alta",'Mapa final'!$AL$34="Moderado"),CONCATENATE("R2C",'Mapa final'!$S$34),"")</f>
        <v/>
      </c>
      <c r="AB24" s="40" t="str">
        <f>IF(AND('Mapa final'!$AJ$35="Alta",'Mapa final'!$AL$35="Moderado"),CONCATENATE("R2C",'Mapa final'!$S$35),"")</f>
        <v/>
      </c>
      <c r="AC24" s="38" t="str">
        <f>IF(AND('Mapa final'!$AJ$30="Alta",'Mapa final'!$AL$30="Mayor"),CONCATENATE("R2C",'Mapa final'!$S$30),"")</f>
        <v/>
      </c>
      <c r="AD24" s="39" t="str">
        <f>IF(AND('Mapa final'!$AJ$31="Alta",'Mapa final'!$AL$31="Mayor"),CONCATENATE("R2C",'Mapa final'!$S$31),"")</f>
        <v/>
      </c>
      <c r="AE24" s="39" t="str">
        <f>IF(AND('Mapa final'!$AJ$32="Alta",'Mapa final'!$AL$32="Mayor"),CONCATENATE("R2C",'Mapa final'!$S$32),"")</f>
        <v/>
      </c>
      <c r="AF24" s="39" t="str">
        <f>IF(AND('Mapa final'!$AJ$33="Alta",'Mapa final'!$AL$33="Mayor"),CONCATENATE("R2C",'Mapa final'!$S$33),"")</f>
        <v/>
      </c>
      <c r="AG24" s="39" t="str">
        <f>IF(AND('Mapa final'!$AJ$34="Alta",'Mapa final'!$AL$34="Mayor"),CONCATENATE("R2C",'Mapa final'!$S$34),"")</f>
        <v/>
      </c>
      <c r="AH24" s="40" t="str">
        <f>IF(AND('Mapa final'!$AJ$35="Alta",'Mapa final'!$AL$35="Mayor"),CONCATENATE("R2C",'Mapa final'!$S$35),"")</f>
        <v/>
      </c>
      <c r="AI24" s="41" t="str">
        <f>IF(AND('Mapa final'!$AJ$30="Alta",'Mapa final'!$AL$30="Catastrófico"),CONCATENATE("R2C",'Mapa final'!$S$30),"")</f>
        <v/>
      </c>
      <c r="AJ24" s="42" t="str">
        <f>IF(AND('Mapa final'!$AJ$31="Alta",'Mapa final'!$AL$31="Catastrófico"),CONCATENATE("R2C",'Mapa final'!$S$31),"")</f>
        <v/>
      </c>
      <c r="AK24" s="42" t="str">
        <f>IF(AND('Mapa final'!$AJ$32="Alta",'Mapa final'!$AL$32="Catastrófico"),CONCATENATE("R2C",'Mapa final'!$S$32),"")</f>
        <v/>
      </c>
      <c r="AL24" s="42" t="str">
        <f>IF(AND('Mapa final'!$AJ$33="Alta",'Mapa final'!$AL$33="Catastrófico"),CONCATENATE("R2C",'Mapa final'!$S$33),"")</f>
        <v/>
      </c>
      <c r="AM24" s="42" t="str">
        <f>IF(AND('Mapa final'!$AJ$34="Alta",'Mapa final'!$AL$34="Catastrófico"),CONCATENATE("R2C",'Mapa final'!$S$34),"")</f>
        <v/>
      </c>
      <c r="AN24" s="43" t="str">
        <f>IF(AND('Mapa final'!$AJ$35="Alta",'Mapa final'!$AL$35="Catastrófico"),CONCATENATE("R2C",'Mapa final'!$S$35),"")</f>
        <v/>
      </c>
      <c r="AO24" s="69"/>
      <c r="AP24" s="464"/>
      <c r="AQ24" s="465"/>
      <c r="AR24" s="465"/>
      <c r="AS24" s="465"/>
      <c r="AT24" s="465"/>
      <c r="AU24" s="466"/>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60"/>
      <c r="D25" s="360"/>
      <c r="E25" s="361"/>
      <c r="F25" s="455"/>
      <c r="G25" s="456"/>
      <c r="H25" s="456"/>
      <c r="I25" s="456"/>
      <c r="J25" s="456"/>
      <c r="K25" s="53" t="str">
        <f>IF(AND('Mapa final'!$AJ$36="Alta",'Mapa final'!$AL$36="Leve"),CONCATENATE("R2C",'Mapa final'!$S$36),"")</f>
        <v/>
      </c>
      <c r="L25" s="54" t="str">
        <f>IF(AND('Mapa final'!$AJ$37="Alta",'Mapa final'!$AL$37="Leve"),CONCATENATE("R2C",'Mapa final'!$S$37),"")</f>
        <v/>
      </c>
      <c r="M25" s="54" t="str">
        <f>IF(AND('Mapa final'!$AJ$38="Alta",'Mapa final'!$AL$38="Leve"),CONCATENATE("R2C",'Mapa final'!$S$38),"")</f>
        <v/>
      </c>
      <c r="N25" s="54" t="str">
        <f>IF(AND('Mapa final'!$AJ$39="Alta",'Mapa final'!$AL$39="Leve"),CONCATENATE("R2C",'Mapa final'!$S$39),"")</f>
        <v/>
      </c>
      <c r="O25" s="54" t="str">
        <f>IF(AND('Mapa final'!$AJ$40="Alta",'Mapa final'!$AL$40="Leve"),CONCATENATE("R2C",'Mapa final'!$S$40),"")</f>
        <v/>
      </c>
      <c r="P25" s="55" t="str">
        <f>IF(AND('Mapa final'!$AJ$41="Alta",'Mapa final'!$AL$41="Leve"),CONCATENATE("R2C",'Mapa final'!$S$41),"")</f>
        <v/>
      </c>
      <c r="Q25" s="53" t="str">
        <f>IF(AND('Mapa final'!$AJ$36="Alta",'Mapa final'!$AL$36="Menor"),CONCATENATE("R2C",'Mapa final'!$S$36),"")</f>
        <v/>
      </c>
      <c r="R25" s="54" t="str">
        <f>IF(AND('Mapa final'!$AJ$37="Alta",'Mapa final'!$AL$37="Menor"),CONCATENATE("R2C",'Mapa final'!$S$37),"")</f>
        <v/>
      </c>
      <c r="S25" s="54" t="str">
        <f>IF(AND('Mapa final'!$AJ$38="Alta",'Mapa final'!$AL$38="Menor"),CONCATENATE("R2C",'Mapa final'!$S$38),"")</f>
        <v/>
      </c>
      <c r="T25" s="54" t="str">
        <f>IF(AND('Mapa final'!$AJ$39="Alta",'Mapa final'!$AL$39="Menor"),CONCATENATE("R2C",'Mapa final'!$S$39),"")</f>
        <v/>
      </c>
      <c r="U25" s="54" t="str">
        <f>IF(AND('Mapa final'!$AJ$40="Alta",'Mapa final'!$AL$40="LMenor"),CONCATENATE("R2C",'Mapa final'!$S$40),"")</f>
        <v/>
      </c>
      <c r="V25" s="55" t="str">
        <f>IF(AND('Mapa final'!$AJ$41="Alta",'Mapa final'!$AL$41="Menor"),CONCATENATE("R2C",'Mapa final'!$S$41),"")</f>
        <v/>
      </c>
      <c r="W25" s="38" t="str">
        <f>IF(AND('Mapa final'!$AJ$36="Alta",'Mapa final'!$AL$36="Moderado"),CONCATENATE("R2C",'Mapa final'!$S$36),"")</f>
        <v/>
      </c>
      <c r="X25" s="39" t="str">
        <f>IF(AND('Mapa final'!$AJ$37="Alta",'Mapa final'!$AL$37="Moderado"),CONCATENATE("R2C",'Mapa final'!$S$37),"")</f>
        <v/>
      </c>
      <c r="Y25" s="39" t="str">
        <f>IF(AND('Mapa final'!$AJ$38="Alta",'Mapa final'!$AL$38="Moderado"),CONCATENATE("R2C",'Mapa final'!$S$38),"")</f>
        <v/>
      </c>
      <c r="Z25" s="39" t="str">
        <f>IF(AND('Mapa final'!$AJ$39="Alta",'Mapa final'!$AL$39="Moderado"),CONCATENATE("R2C",'Mapa final'!$S$39),"")</f>
        <v/>
      </c>
      <c r="AA25" s="39" t="str">
        <f>IF(AND('Mapa final'!$AJ$40="Alta",'Mapa final'!$AL$40="Moderado"),CONCATENATE("R2C",'Mapa final'!$S$40),"")</f>
        <v/>
      </c>
      <c r="AB25" s="40" t="str">
        <f>IF(AND('Mapa final'!$AJ$41="Alta",'Mapa final'!$AL$41="Moderado"),CONCATENATE("R2C",'Mapa final'!$S$41),"")</f>
        <v/>
      </c>
      <c r="AC25" s="38" t="str">
        <f>IF(AND('Mapa final'!$AJ$36="Alta",'Mapa final'!$AL$36="Mayor"),CONCATENATE("R2C",'Mapa final'!$S$36),"")</f>
        <v/>
      </c>
      <c r="AD25" s="39" t="str">
        <f>IF(AND('Mapa final'!$AJ$37="Alta",'Mapa final'!$AL$37="Mayor"),CONCATENATE("R2C",'Mapa final'!$S$37),"")</f>
        <v/>
      </c>
      <c r="AE25" s="39" t="str">
        <f>IF(AND('Mapa final'!$AJ$38="Alta",'Mapa final'!$AL$38="Mayor"),CONCATENATE("R2C",'Mapa final'!$S$38),"")</f>
        <v/>
      </c>
      <c r="AF25" s="39" t="str">
        <f>IF(AND('Mapa final'!$AJ$39="Alta",'Mapa final'!$AL$39="Mayor"),CONCATENATE("R2C",'Mapa final'!$S$39),"")</f>
        <v/>
      </c>
      <c r="AG25" s="39" t="str">
        <f>IF(AND('Mapa final'!$AJ$40="Alta",'Mapa final'!$AL$40="Mayor"),CONCATENATE("R2C",'Mapa final'!$S$40),"")</f>
        <v/>
      </c>
      <c r="AH25" s="40" t="str">
        <f>IF(AND('Mapa final'!$AJ$41="Alta",'Mapa final'!$AL$41="Mayor"),CONCATENATE("R2C",'Mapa final'!$S$41),"")</f>
        <v/>
      </c>
      <c r="AI25" s="41" t="str">
        <f>IF(AND('Mapa final'!$AJ$36="Alta",'Mapa final'!$AL$36="Catastrófico"),CONCATENATE("R2C",'Mapa final'!$S$36),"")</f>
        <v/>
      </c>
      <c r="AJ25" s="42" t="str">
        <f>IF(AND('Mapa final'!$AJ$37="Alta",'Mapa final'!$AL$37="Catastrófico"),CONCATENATE("R2C",'Mapa final'!$S$37),"")</f>
        <v/>
      </c>
      <c r="AK25" s="42" t="str">
        <f>IF(AND('Mapa final'!$AJ$38="Alta",'Mapa final'!$AL$38="Catastrófico"),CONCATENATE("R2C",'Mapa final'!$S$38),"")</f>
        <v/>
      </c>
      <c r="AL25" s="42" t="str">
        <f>IF(AND('Mapa final'!$AJ$39="Alta",'Mapa final'!$AL$39="Catastrófico"),CONCATENATE("R2C",'Mapa final'!$S$39),"")</f>
        <v/>
      </c>
      <c r="AM25" s="42" t="str">
        <f>IF(AND('Mapa final'!$AJ$40="Alta",'Mapa final'!$AL$40="LCatastrófico"),CONCATENATE("R2C",'Mapa final'!$S$40),"")</f>
        <v/>
      </c>
      <c r="AN25" s="43" t="str">
        <f>IF(AND('Mapa final'!$AJ$41="Alta",'Mapa final'!$AL$41="Catastrófico"),CONCATENATE("R2C",'Mapa final'!$S$41),"")</f>
        <v/>
      </c>
      <c r="AO25" s="69"/>
      <c r="AP25" s="464"/>
      <c r="AQ25" s="465"/>
      <c r="AR25" s="465"/>
      <c r="AS25" s="465"/>
      <c r="AT25" s="465"/>
      <c r="AU25" s="466"/>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60"/>
      <c r="D26" s="360"/>
      <c r="E26" s="361"/>
      <c r="F26" s="455"/>
      <c r="G26" s="456"/>
      <c r="H26" s="456"/>
      <c r="I26" s="456"/>
      <c r="J26" s="456"/>
      <c r="K26" s="53" t="str">
        <f>IF(AND('Mapa final'!$AJ$42="Alta",'Mapa final'!$AL$42="Leve"),CONCATENATE("R2C",'Mapa final'!$S$42),"")</f>
        <v/>
      </c>
      <c r="L26" s="54" t="str">
        <f>IF(AND('Mapa final'!$AJ$43="Alta",'Mapa final'!$AL$43="Leve"),CONCATENATE("R2C",'Mapa final'!$S$43),"")</f>
        <v/>
      </c>
      <c r="M26" s="54" t="str">
        <f>IF(AND('Mapa final'!$AJ$44="Alta",'Mapa final'!$AL$44="Leve"),CONCATENATE("R2C",'Mapa final'!$S$44),"")</f>
        <v/>
      </c>
      <c r="N26" s="54" t="str">
        <f>IF(AND('Mapa final'!$AJ$45="Alta",'Mapa final'!$AL$45="Leve"),CONCATENATE("R2C",'Mapa final'!$S$45),"")</f>
        <v/>
      </c>
      <c r="O26" s="54" t="str">
        <f>IF(AND('Mapa final'!$AJ$46="Alta",'Mapa final'!$AL$46="Leve"),CONCATENATE("R2C",'Mapa final'!$S$46),"")</f>
        <v/>
      </c>
      <c r="P26" s="55" t="str">
        <f>IF(AND('Mapa final'!$AJ$47="Alta",'Mapa final'!$AL$47="Leve"),CONCATENATE("R2C",'Mapa final'!$S$47),"")</f>
        <v/>
      </c>
      <c r="Q26" s="53" t="str">
        <f>IF(AND('Mapa final'!$AJ$42="Alta",'Mapa final'!$AL$42="Menor"),CONCATENATE("R2C",'Mapa final'!$S$42),"")</f>
        <v/>
      </c>
      <c r="R26" s="54" t="str">
        <f>IF(AND('Mapa final'!$AJ$43="Alta",'Mapa final'!$AL$43="Menor"),CONCATENATE("R2C",'Mapa final'!$S$43),"")</f>
        <v/>
      </c>
      <c r="S26" s="54" t="str">
        <f>IF(AND('Mapa final'!$AJ$44="Alta",'Mapa final'!$AL$44="Menor"),CONCATENATE("R2C",'Mapa final'!$S$44),"")</f>
        <v/>
      </c>
      <c r="T26" s="54" t="str">
        <f>IF(AND('Mapa final'!$AJ$45="Alta",'Mapa final'!$AL$45="Menor"),CONCATENATE("R2C",'Mapa final'!$S$45),"")</f>
        <v/>
      </c>
      <c r="U26" s="54" t="str">
        <f>IF(AND('Mapa final'!$AJ$46="Alta",'Mapa final'!$AL$46="Menor"),CONCATENATE("R2C",'Mapa final'!$S$46),"")</f>
        <v/>
      </c>
      <c r="V26" s="55" t="str">
        <f>IF(AND('Mapa final'!$AJ$47="Alta",'Mapa final'!$AL$47="Menor"),CONCATENATE("R2C",'Mapa final'!$S$47),"")</f>
        <v/>
      </c>
      <c r="W26" s="38" t="str">
        <f>IF(AND('Mapa final'!$AJ$42="Alta",'Mapa final'!$AL$42="Moderado"),CONCATENATE("R2C",'Mapa final'!$S$42),"")</f>
        <v/>
      </c>
      <c r="X26" s="39" t="str">
        <f>IF(AND('Mapa final'!$AJ$43="Alta",'Mapa final'!$AL$43="Moderado"),CONCATENATE("R2C",'Mapa final'!$S$43),"")</f>
        <v/>
      </c>
      <c r="Y26" s="39" t="str">
        <f>IF(AND('Mapa final'!$AJ$44="Alta",'Mapa final'!$AL$44="Moderado"),CONCATENATE("R2C",'Mapa final'!$S$44),"")</f>
        <v/>
      </c>
      <c r="Z26" s="39" t="str">
        <f>IF(AND('Mapa final'!$AJ$45="Alta",'Mapa final'!$AL$45="Moderado"),CONCATENATE("R2C",'Mapa final'!$S$45),"")</f>
        <v/>
      </c>
      <c r="AA26" s="39" t="str">
        <f>IF(AND('Mapa final'!$AJ$46="Alta",'Mapa final'!$AL$46="Moderado"),CONCATENATE("R2C",'Mapa final'!$S$46),"")</f>
        <v/>
      </c>
      <c r="AB26" s="40" t="str">
        <f>IF(AND('Mapa final'!$AJ$47="Alta",'Mapa final'!$AL$47="Moderado"),CONCATENATE("R2C",'Mapa final'!$S$47),"")</f>
        <v/>
      </c>
      <c r="AC26" s="38" t="str">
        <f>IF(AND('Mapa final'!$AJ$42="Alta",'Mapa final'!$AL$42="Mayor"),CONCATENATE("R2C",'Mapa final'!$S$42),"")</f>
        <v/>
      </c>
      <c r="AD26" s="39" t="str">
        <f>IF(AND('Mapa final'!$AJ$43="Alta",'Mapa final'!$AL$43="Mayor"),CONCATENATE("R2C",'Mapa final'!$S$43),"")</f>
        <v/>
      </c>
      <c r="AE26" s="39" t="str">
        <f>IF(AND('Mapa final'!$AJ$44="Alta",'Mapa final'!$AL$44="Mayor"),CONCATENATE("R2C",'Mapa final'!$S$44),"")</f>
        <v/>
      </c>
      <c r="AF26" s="39" t="str">
        <f>IF(AND('Mapa final'!$AJ$45="Alta",'Mapa final'!$AL$45="Mayor"),CONCATENATE("R2C",'Mapa final'!$S$45),"")</f>
        <v/>
      </c>
      <c r="AG26" s="39" t="str">
        <f>IF(AND('Mapa final'!$AJ$46="Alta",'Mapa final'!$AL$46="Mayor"),CONCATENATE("R2C",'Mapa final'!$S$46),"")</f>
        <v/>
      </c>
      <c r="AH26" s="40" t="str">
        <f>IF(AND('Mapa final'!$AJ$47="Alta",'Mapa final'!$AL$47="Mayor"),CONCATENATE("R2C",'Mapa final'!$S$47),"")</f>
        <v/>
      </c>
      <c r="AI26" s="41" t="str">
        <f>IF(AND('Mapa final'!$AJ$42="Alta",'Mapa final'!$AL$42="Catastrófico"),CONCATENATE("R2C",'Mapa final'!$S$42),"")</f>
        <v/>
      </c>
      <c r="AJ26" s="42" t="str">
        <f>IF(AND('Mapa final'!$AJ$43="Alta",'Mapa final'!$AL$43="Catastrófico"),CONCATENATE("R2C",'Mapa final'!$S$43),"")</f>
        <v/>
      </c>
      <c r="AK26" s="42" t="str">
        <f>IF(AND('Mapa final'!$AJ$44="Alta",'Mapa final'!$AL$44="Catastrófico"),CONCATENATE("R2C",'Mapa final'!$S$44),"")</f>
        <v/>
      </c>
      <c r="AL26" s="42" t="str">
        <f>IF(AND('Mapa final'!$AJ$45="Alta",'Mapa final'!$AL$45="Catastrófico"),CONCATENATE("R2C",'Mapa final'!$S$45),"")</f>
        <v/>
      </c>
      <c r="AM26" s="42" t="str">
        <f>IF(AND('Mapa final'!$AJ$46="Alta",'Mapa final'!$AL$46="Catastrófico"),CONCATENATE("R2C",'Mapa final'!$S$46),"")</f>
        <v/>
      </c>
      <c r="AN26" s="43" t="str">
        <f>IF(AND('Mapa final'!$AJ$47="Alta",'Mapa final'!$AL$47="Catastrófico"),CONCATENATE("R2C",'Mapa final'!$S$47),"")</f>
        <v/>
      </c>
      <c r="AO26" s="69"/>
      <c r="AP26" s="464"/>
      <c r="AQ26" s="465"/>
      <c r="AR26" s="465"/>
      <c r="AS26" s="465"/>
      <c r="AT26" s="465"/>
      <c r="AU26" s="466"/>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60"/>
      <c r="D27" s="360"/>
      <c r="E27" s="361"/>
      <c r="F27" s="455"/>
      <c r="G27" s="456"/>
      <c r="H27" s="456"/>
      <c r="I27" s="456"/>
      <c r="J27" s="456"/>
      <c r="K27" s="53" t="str">
        <f>IF(AND('Mapa final'!$AJ$48="Alta",'Mapa final'!$AL$48="Leve"),CONCATENATE("R2C",'Mapa final'!$S$48),"")</f>
        <v/>
      </c>
      <c r="L27" s="54" t="str">
        <f>IF(AND('Mapa final'!$AJ$49="Alta",'Mapa final'!$AL$49="Leve"),CONCATENATE("R2C",'Mapa final'!$S$49),"")</f>
        <v/>
      </c>
      <c r="M27" s="54" t="str">
        <f>IF(AND('Mapa final'!$AJ$50="Alta",'Mapa final'!$AL$50="Leve"),CONCATENATE("R2C",'Mapa final'!$S$50),"")</f>
        <v/>
      </c>
      <c r="N27" s="54" t="str">
        <f>IF(AND('Mapa final'!$AJ$51="Alta",'Mapa final'!$AL$51="Leve"),CONCATENATE("R2C",'Mapa final'!$S$51),"")</f>
        <v/>
      </c>
      <c r="O27" s="54" t="str">
        <f>IF(AND('Mapa final'!$AJ$52="Alta",'Mapa final'!$AL$52="Leve"),CONCATENATE("R2C",'Mapa final'!$S$52),"")</f>
        <v/>
      </c>
      <c r="P27" s="55" t="str">
        <f>IF(AND('Mapa final'!$AJ$63="Alta",'Mapa final'!$AL$53="Leve"),CONCATENATE("R2C",'Mapa final'!$S$53),"")</f>
        <v/>
      </c>
      <c r="Q27" s="53" t="str">
        <f>IF(AND('Mapa final'!$AJ$48="Alta",'Mapa final'!$AL$48="Menor"),CONCATENATE("R2C",'Mapa final'!$S$48),"")</f>
        <v/>
      </c>
      <c r="R27" s="54" t="str">
        <f>IF(AND('Mapa final'!$AJ$49="Alta",'Mapa final'!$AL$49="Menor"),CONCATENATE("R2C",'Mapa final'!$S$49),"")</f>
        <v/>
      </c>
      <c r="S27" s="54" t="str">
        <f>IF(AND('Mapa final'!$AJ$50="Alta",'Mapa final'!$AL$50="Menor"),CONCATENATE("R2C",'Mapa final'!$S$50),"")</f>
        <v/>
      </c>
      <c r="T27" s="54" t="str">
        <f>IF(AND('Mapa final'!$AJ$51="Alta",'Mapa final'!$AL$51="Menor"),CONCATENATE("R2C",'Mapa final'!$S$51),"")</f>
        <v/>
      </c>
      <c r="U27" s="54" t="str">
        <f>IF(AND('Mapa final'!$AJ$52="Alta",'Mapa final'!$AL$52="Menor"),CONCATENATE("R2C",'Mapa final'!$S$52),"")</f>
        <v/>
      </c>
      <c r="V27" s="55" t="str">
        <f>IF(AND('Mapa final'!$AJ$63="Alta",'Mapa final'!$AL$53="Menor"),CONCATENATE("R2C",'Mapa final'!$S$53),"")</f>
        <v/>
      </c>
      <c r="W27" s="38" t="str">
        <f>IF(AND('Mapa final'!$AJ$48="Alta",'Mapa final'!$AL$48="Moderado"),CONCATENATE("R2C",'Mapa final'!$S$48),"")</f>
        <v/>
      </c>
      <c r="X27" s="39" t="str">
        <f>IF(AND('Mapa final'!$AJ$49="Alta",'Mapa final'!$AL$49="Moderado"),CONCATENATE("R2C",'Mapa final'!$S$49),"")</f>
        <v/>
      </c>
      <c r="Y27" s="39" t="str">
        <f>IF(AND('Mapa final'!$AJ$50="Alta",'Mapa final'!$AL$50="Moderado"),CONCATENATE("R2C",'Mapa final'!$S$50),"")</f>
        <v/>
      </c>
      <c r="Z27" s="39" t="str">
        <f>IF(AND('Mapa final'!$AJ$51="Alta",'Mapa final'!$AL$51="Moderado"),CONCATENATE("R2C",'Mapa final'!$S$51),"")</f>
        <v/>
      </c>
      <c r="AA27" s="39" t="str">
        <f>IF(AND('Mapa final'!$AJ$52="Alta",'Mapa final'!$AL$52="Moderado"),CONCATENATE("R2C",'Mapa final'!$S$52),"")</f>
        <v/>
      </c>
      <c r="AB27" s="40" t="str">
        <f>IF(AND('Mapa final'!$AJ$63="Alta",'Mapa final'!$AL$53="Moderado"),CONCATENATE("R2C",'Mapa final'!$S$53),"")</f>
        <v/>
      </c>
      <c r="AC27" s="38" t="str">
        <f>IF(AND('Mapa final'!$AJ$48="Alta",'Mapa final'!$AL$48="Mayor"),CONCATENATE("R2C",'Mapa final'!$S$48),"")</f>
        <v/>
      </c>
      <c r="AD27" s="39" t="str">
        <f>IF(AND('Mapa final'!$AJ$49="Alta",'Mapa final'!$AL$49="Mayor"),CONCATENATE("R2C",'Mapa final'!$S$49),"")</f>
        <v/>
      </c>
      <c r="AE27" s="39" t="str">
        <f>IF(AND('Mapa final'!$AJ$50="Alta",'Mapa final'!$AL$50="Mayor"),CONCATENATE("R2C",'Mapa final'!$S$50),"")</f>
        <v/>
      </c>
      <c r="AF27" s="39" t="str">
        <f>IF(AND('Mapa final'!$AJ$51="Alta",'Mapa final'!$AL$51="Mayor"),CONCATENATE("R2C",'Mapa final'!$S$51),"")</f>
        <v/>
      </c>
      <c r="AG27" s="39" t="str">
        <f>IF(AND('Mapa final'!$AJ$52="Alta",'Mapa final'!$AL$52="Mayor"),CONCATENATE("R2C",'Mapa final'!$S$52),"")</f>
        <v/>
      </c>
      <c r="AH27" s="40" t="str">
        <f>IF(AND('Mapa final'!$AJ$63="Alta",'Mapa final'!$AL$53="Mayor"),CONCATENATE("R2C",'Mapa final'!$S$53),"")</f>
        <v/>
      </c>
      <c r="AI27" s="41" t="str">
        <f>IF(AND('Mapa final'!$AJ$48="Alta",'Mapa final'!$AL$48="Catastrófico"),CONCATENATE("R2C",'Mapa final'!$S$48),"")</f>
        <v/>
      </c>
      <c r="AJ27" s="42" t="str">
        <f>IF(AND('Mapa final'!$AJ$49="Alta",'Mapa final'!$AL$49="Catastrófico"),CONCATENATE("R2C",'Mapa final'!$S$49),"")</f>
        <v/>
      </c>
      <c r="AK27" s="42" t="str">
        <f>IF(AND('Mapa final'!$AJ$50="Alta",'Mapa final'!$AL$50="Catastrófico"),CONCATENATE("R2C",'Mapa final'!$S$50),"")</f>
        <v/>
      </c>
      <c r="AL27" s="42" t="str">
        <f>IF(AND('Mapa final'!$AJ$51="Alta",'Mapa final'!$AL$51="Catastrófico"),CONCATENATE("R2C",'Mapa final'!$S$51),"")</f>
        <v/>
      </c>
      <c r="AM27" s="42" t="str">
        <f>IF(AND('Mapa final'!$AJ$52="Alta",'Mapa final'!$AL$52="Catastrófico"),CONCATENATE("R2C",'Mapa final'!$S$52),"")</f>
        <v/>
      </c>
      <c r="AN27" s="43" t="str">
        <f>IF(AND('Mapa final'!$AJ$63="Alta",'Mapa final'!$AL$53="Catastrófico"),CONCATENATE("R2C",'Mapa final'!$S$53),"")</f>
        <v/>
      </c>
      <c r="AO27" s="69"/>
      <c r="AP27" s="464"/>
      <c r="AQ27" s="465"/>
      <c r="AR27" s="465"/>
      <c r="AS27" s="465"/>
      <c r="AT27" s="465"/>
      <c r="AU27" s="466"/>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60"/>
      <c r="D28" s="360"/>
      <c r="E28" s="361"/>
      <c r="F28" s="455"/>
      <c r="G28" s="456"/>
      <c r="H28" s="456"/>
      <c r="I28" s="456"/>
      <c r="J28" s="456"/>
      <c r="K28" s="53" t="str">
        <f>IF(AND('Mapa final'!$AJ$54="Alta",'Mapa final'!$AL$54="Leve"),CONCATENATE("R2C",'Mapa final'!$S$54),"")</f>
        <v/>
      </c>
      <c r="L28" s="54" t="str">
        <f>IF(AND('Mapa final'!$AJ$55="Alta",'Mapa final'!$AL$55="Leve"),CONCATENATE("R2C",'Mapa final'!$S$55),"")</f>
        <v/>
      </c>
      <c r="M28" s="54" t="str">
        <f>IF(AND('Mapa final'!$AJ$56="Alta",'Mapa final'!$AL$56="Leve"),CONCATENATE("R2C",'Mapa final'!$S$56),"")</f>
        <v/>
      </c>
      <c r="N28" s="54" t="str">
        <f>IF(AND('Mapa final'!$AJ$57="Alta",'Mapa final'!$AL$57="Leve"),CONCATENATE("R2C",'Mapa final'!$S$57),"")</f>
        <v/>
      </c>
      <c r="O28" s="54" t="str">
        <f>IF(AND('Mapa final'!$AJ$58="Alta",'Mapa final'!$AL$58="Leve"),CONCATENATE("R2C",'Mapa final'!$S$58),"")</f>
        <v/>
      </c>
      <c r="P28" s="55" t="str">
        <f>IF(AND('Mapa final'!$AJ$59="Alta",'Mapa final'!$AL$59="Leve"),CONCATENATE("R2C",'Mapa final'!$S$59),"")</f>
        <v/>
      </c>
      <c r="Q28" s="53" t="str">
        <f>IF(AND('Mapa final'!$AJ$54="Alta",'Mapa final'!$AL$54="Menor"),CONCATENATE("R2C",'Mapa final'!$S$54),"")</f>
        <v/>
      </c>
      <c r="R28" s="54" t="str">
        <f>IF(AND('Mapa final'!$AJ$55="Alta",'Mapa final'!$AL$55="Menor"),CONCATENATE("R2C",'Mapa final'!$S$55),"")</f>
        <v/>
      </c>
      <c r="S28" s="54" t="str">
        <f>IF(AND('Mapa final'!$AJ$56="Alta",'Mapa final'!$AL$56="Menor"),CONCATENATE("R2C",'Mapa final'!$S$56),"")</f>
        <v/>
      </c>
      <c r="T28" s="54" t="str">
        <f>IF(AND('Mapa final'!$AJ$57="Alta",'Mapa final'!$AL$57="Menor"),CONCATENATE("R2C",'Mapa final'!$S$57),"")</f>
        <v/>
      </c>
      <c r="U28" s="54" t="str">
        <f>IF(AND('Mapa final'!$AJ$58="Alta",'Mapa final'!$AL$58="Menor"),CONCATENATE("R2C",'Mapa final'!$S$58),"")</f>
        <v/>
      </c>
      <c r="V28" s="55" t="str">
        <f>IF(AND('Mapa final'!$AJ$59="Alta",'Mapa final'!$AL$59="Menor"),CONCATENATE("R2C",'Mapa final'!$S$59),"")</f>
        <v/>
      </c>
      <c r="W28" s="38" t="str">
        <f>IF(AND('Mapa final'!$AJ$54="Alta",'Mapa final'!$AL$54="Moderado"),CONCATENATE("R2C",'Mapa final'!$S$54),"")</f>
        <v/>
      </c>
      <c r="X28" s="39" t="str">
        <f>IF(AND('Mapa final'!$AJ$55="Alta",'Mapa final'!$AL$55="Moderado"),CONCATENATE("R2C",'Mapa final'!$S$55),"")</f>
        <v/>
      </c>
      <c r="Y28" s="39" t="str">
        <f>IF(AND('Mapa final'!$AJ$56="Alta",'Mapa final'!$AL$56="Moderado"),CONCATENATE("R2C",'Mapa final'!$S$56),"")</f>
        <v/>
      </c>
      <c r="Z28" s="39" t="str">
        <f>IF(AND('Mapa final'!$AJ$57="Alta",'Mapa final'!$AL$57="Moderado"),CONCATENATE("R2C",'Mapa final'!$S$57),"")</f>
        <v/>
      </c>
      <c r="AA28" s="39" t="str">
        <f>IF(AND('Mapa final'!$AJ$58="Alta",'Mapa final'!$AL$58="Moderado"),CONCATENATE("R2C",'Mapa final'!$S$58),"")</f>
        <v/>
      </c>
      <c r="AB28" s="40" t="str">
        <f>IF(AND('Mapa final'!$AJ$59="Alta",'Mapa final'!$AL$59="Moderado"),CONCATENATE("R2C",'Mapa final'!$S$59),"")</f>
        <v/>
      </c>
      <c r="AC28" s="38" t="str">
        <f>IF(AND('Mapa final'!$AJ$54="Alta",'Mapa final'!$AL$54="Mayor"),CONCATENATE("R2C",'Mapa final'!$S$54),"")</f>
        <v/>
      </c>
      <c r="AD28" s="39" t="str">
        <f>IF(AND('Mapa final'!$AJ$55="Alta",'Mapa final'!$AL$55="Mayor"),CONCATENATE("R2C",'Mapa final'!$S$55),"")</f>
        <v/>
      </c>
      <c r="AE28" s="39" t="str">
        <f>IF(AND('Mapa final'!$AJ$56="Alta",'Mapa final'!$AL$56="Mayor"),CONCATENATE("R2C",'Mapa final'!$S$56),"")</f>
        <v/>
      </c>
      <c r="AF28" s="39" t="str">
        <f>IF(AND('Mapa final'!$AJ$57="Alta",'Mapa final'!$AL$57="Mayor"),CONCATENATE("R2C",'Mapa final'!$S$57),"")</f>
        <v/>
      </c>
      <c r="AG28" s="39" t="str">
        <f>IF(AND('Mapa final'!$AJ$58="Alta",'Mapa final'!$AL$58="Mayor"),CONCATENATE("R2C",'Mapa final'!$S$58),"")</f>
        <v/>
      </c>
      <c r="AH28" s="40" t="str">
        <f>IF(AND('Mapa final'!$AJ$59="Alta",'Mapa final'!$AL$59="Mayor"),CONCATENATE("R2C",'Mapa final'!$S$59),"")</f>
        <v/>
      </c>
      <c r="AI28" s="41" t="str">
        <f>IF(AND('Mapa final'!$AJ$54="Alta",'Mapa final'!$AL$54="Catastrófico"),CONCATENATE("R2C",'Mapa final'!$S$54),"")</f>
        <v/>
      </c>
      <c r="AJ28" s="42" t="str">
        <f>IF(AND('Mapa final'!$AJ$55="Alta",'Mapa final'!$AL$55="Catastrófico"),CONCATENATE("R2C",'Mapa final'!$S$55),"")</f>
        <v/>
      </c>
      <c r="AK28" s="42" t="str">
        <f>IF(AND('Mapa final'!$AJ$56="Alta",'Mapa final'!$AL$56="Catastrófico"),CONCATENATE("R2C",'Mapa final'!$S$56),"")</f>
        <v/>
      </c>
      <c r="AL28" s="42" t="str">
        <f>IF(AND('Mapa final'!$AJ$57="Alta",'Mapa final'!$AL$57="Catastrófico"),CONCATENATE("R2C",'Mapa final'!$S$57),"")</f>
        <v/>
      </c>
      <c r="AM28" s="42" t="str">
        <f>IF(AND('Mapa final'!$AJ$58="Alta",'Mapa final'!$AL$58="Catastrófico"),CONCATENATE("R2C",'Mapa final'!$S$58),"")</f>
        <v/>
      </c>
      <c r="AN28" s="43" t="str">
        <f>IF(AND('Mapa final'!$AJ$59="Alta",'Mapa final'!$AL$59="Catastrófico"),CONCATENATE("R2C",'Mapa final'!$S$59),"")</f>
        <v/>
      </c>
      <c r="AO28" s="69"/>
      <c r="AP28" s="464"/>
      <c r="AQ28" s="465"/>
      <c r="AR28" s="465"/>
      <c r="AS28" s="465"/>
      <c r="AT28" s="465"/>
      <c r="AU28" s="466"/>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60"/>
      <c r="D29" s="360"/>
      <c r="E29" s="361"/>
      <c r="F29" s="455"/>
      <c r="G29" s="456"/>
      <c r="H29" s="456"/>
      <c r="I29" s="456"/>
      <c r="J29" s="456"/>
      <c r="K29" s="53" t="str">
        <f>IF(AND('Mapa final'!$AJ$60="Alta",'Mapa final'!$AL$60="Leve"),CONCATENATE("R2C",'Mapa final'!$S$60),"")</f>
        <v/>
      </c>
      <c r="L29" s="54" t="str">
        <f>IF(AND('Mapa final'!$AJ$61="Alta",'Mapa final'!$AL$61="Leve"),CONCATENATE("R2C",'Mapa final'!$S$61),"")</f>
        <v/>
      </c>
      <c r="M29" s="54" t="str">
        <f>IF(AND('Mapa final'!$AJ$62="Alta",'Mapa final'!$AL$62="Leve"),CONCATENATE("R2C",'Mapa final'!$S$62),"")</f>
        <v/>
      </c>
      <c r="N29" s="54" t="str">
        <f>IF(AND('Mapa final'!$AJ$63="Alta",'Mapa final'!$AL$63="Leve"),CONCATENATE("R2C",'Mapa final'!$S$63),"")</f>
        <v/>
      </c>
      <c r="O29" s="54" t="str">
        <f>IF(AND('Mapa final'!$AJ$64="Alta",'Mapa final'!$AL$64="Leve"),CONCATENATE("R2C",'Mapa final'!$S$64),"")</f>
        <v/>
      </c>
      <c r="P29" s="55" t="str">
        <f>IF(AND('Mapa final'!$AJ$65="Alta",'Mapa final'!$AL$65="Leve"),CONCATENATE("R2C",'Mapa final'!$S$65),"")</f>
        <v/>
      </c>
      <c r="Q29" s="53" t="str">
        <f>IF(AND('Mapa final'!$AJ$60="Alta",'Mapa final'!$AL$60="Menor"),CONCATENATE("R2C",'Mapa final'!$S$60),"")</f>
        <v/>
      </c>
      <c r="R29" s="54" t="str">
        <f>IF(AND('Mapa final'!$AJ$61="Alta",'Mapa final'!$AL$61="Menor"),CONCATENATE("R2C",'Mapa final'!$S$61),"")</f>
        <v/>
      </c>
      <c r="S29" s="54" t="str">
        <f>IF(AND('Mapa final'!$AJ$62="Alta",'Mapa final'!$AL$62="Menor"),CONCATENATE("R2C",'Mapa final'!$S$62),"")</f>
        <v/>
      </c>
      <c r="T29" s="54" t="str">
        <f>IF(AND('Mapa final'!$AJ$63="Alta",'Mapa final'!$AL$63="Menor"),CONCATENATE("R2C",'Mapa final'!$S$63),"")</f>
        <v/>
      </c>
      <c r="U29" s="54" t="str">
        <f>IF(AND('Mapa final'!$AJ$64="Alta",'Mapa final'!$AL$64="Menor"),CONCATENATE("R2C",'Mapa final'!$S$64),"")</f>
        <v/>
      </c>
      <c r="V29" s="55" t="str">
        <f>IF(AND('Mapa final'!$AJ$65="Alta",'Mapa final'!$AL$65="Menor"),CONCATENATE("R2C",'Mapa final'!$S$65),"")</f>
        <v/>
      </c>
      <c r="W29" s="38" t="str">
        <f>IF(AND('Mapa final'!$AJ$60="Alta",'Mapa final'!$AL$60="Moderado"),CONCATENATE("R2C",'Mapa final'!$S$60),"")</f>
        <v/>
      </c>
      <c r="X29" s="39" t="str">
        <f>IF(AND('Mapa final'!$AJ$61="Alta",'Mapa final'!$AL$61="Moderado"),CONCATENATE("R2C",'Mapa final'!$S$61),"")</f>
        <v/>
      </c>
      <c r="Y29" s="39" t="str">
        <f>IF(AND('Mapa final'!$AJ$62="Alta",'Mapa final'!$AL$62="Moderado"),CONCATENATE("R2C",'Mapa final'!$S$62),"")</f>
        <v/>
      </c>
      <c r="Z29" s="39" t="str">
        <f>IF(AND('Mapa final'!$AJ$63="Alta",'Mapa final'!$AL$63="Moderado"),CONCATENATE("R2C",'Mapa final'!$S$63),"")</f>
        <v/>
      </c>
      <c r="AA29" s="39" t="str">
        <f>IF(AND('Mapa final'!$AJ$64="Alta",'Mapa final'!$AL$64="Moderado"),CONCATENATE("R2C",'Mapa final'!$S$64),"")</f>
        <v/>
      </c>
      <c r="AB29" s="40" t="str">
        <f>IF(AND('Mapa final'!$AJ$65="Alta",'Mapa final'!$AL$65="Moderado"),CONCATENATE("R2C",'Mapa final'!$S$65),"")</f>
        <v/>
      </c>
      <c r="AC29" s="38" t="str">
        <f>IF(AND('Mapa final'!$AJ$60="Alta",'Mapa final'!$AL$60="Mayor"),CONCATENATE("R2C",'Mapa final'!$S$60),"")</f>
        <v/>
      </c>
      <c r="AD29" s="39" t="str">
        <f>IF(AND('Mapa final'!$AJ$61="Alta",'Mapa final'!$AL$61="Mayor"),CONCATENATE("R2C",'Mapa final'!$S$61),"")</f>
        <v/>
      </c>
      <c r="AE29" s="39" t="str">
        <f>IF(AND('Mapa final'!$AJ$62="Alta",'Mapa final'!$AL$62="Mayor"),CONCATENATE("R2C",'Mapa final'!$S$62),"")</f>
        <v/>
      </c>
      <c r="AF29" s="39" t="str">
        <f>IF(AND('Mapa final'!$AJ$63="Alta",'Mapa final'!$AL$63="Mayor"),CONCATENATE("R2C",'Mapa final'!$S$63),"")</f>
        <v/>
      </c>
      <c r="AG29" s="39" t="str">
        <f>IF(AND('Mapa final'!$AJ$64="Alta",'Mapa final'!$AL$64="Mayor"),CONCATENATE("R2C",'Mapa final'!$S$64),"")</f>
        <v/>
      </c>
      <c r="AH29" s="40" t="str">
        <f>IF(AND('Mapa final'!$AJ$65="Alta",'Mapa final'!$AL$65="Mayor"),CONCATENATE("R2C",'Mapa final'!$S$65),"")</f>
        <v/>
      </c>
      <c r="AI29" s="41" t="str">
        <f>IF(AND('Mapa final'!$AJ$60="Alta",'Mapa final'!$AL$60="Catastrófico"),CONCATENATE("R2C",'Mapa final'!$S$60),"")</f>
        <v/>
      </c>
      <c r="AJ29" s="42" t="str">
        <f>IF(AND('Mapa final'!$AJ$61="Alta",'Mapa final'!$AL$61="Catastrófico"),CONCATENATE("R2C",'Mapa final'!$S$61),"")</f>
        <v/>
      </c>
      <c r="AK29" s="42" t="str">
        <f>IF(AND('Mapa final'!$AJ$62="Alta",'Mapa final'!$AL$62="Catastrófico"),CONCATENATE("R2C",'Mapa final'!$S$62),"")</f>
        <v/>
      </c>
      <c r="AL29" s="42" t="str">
        <f>IF(AND('Mapa final'!$AJ$63="Alta",'Mapa final'!$AL$63="Catastrófico"),CONCATENATE("R2C",'Mapa final'!$S$63),"")</f>
        <v/>
      </c>
      <c r="AM29" s="42" t="str">
        <f>IF(AND('Mapa final'!$AJ$64="Alta",'Mapa final'!$AL$64="Catastrófico"),CONCATENATE("R2C",'Mapa final'!$S$64),"")</f>
        <v/>
      </c>
      <c r="AN29" s="43" t="str">
        <f>IF(AND('Mapa final'!$AJ$65="Alta",'Mapa final'!$AL$65="Catastrófico"),CONCATENATE("R2C",'Mapa final'!$S$65),"")</f>
        <v/>
      </c>
      <c r="AO29" s="69"/>
      <c r="AP29" s="464"/>
      <c r="AQ29" s="465"/>
      <c r="AR29" s="465"/>
      <c r="AS29" s="465"/>
      <c r="AT29" s="465"/>
      <c r="AU29" s="466"/>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60"/>
      <c r="D30" s="360"/>
      <c r="E30" s="361"/>
      <c r="F30" s="455"/>
      <c r="G30" s="456"/>
      <c r="H30" s="456"/>
      <c r="I30" s="456"/>
      <c r="J30" s="456"/>
      <c r="K30" s="53" t="str">
        <f>IF(AND('Mapa final'!$AJ$66="Alta",'Mapa final'!$AL$66="Leve"),CONCATENATE("R2C",'Mapa final'!$S$66),"")</f>
        <v/>
      </c>
      <c r="L30" s="54" t="str">
        <f>IF(AND('Mapa final'!$AJ$67="Alta",'Mapa final'!$AL$67="Leve"),CONCATENATE("R2C",'Mapa final'!$S$67),"")</f>
        <v/>
      </c>
      <c r="M30" s="54" t="str">
        <f>IF(AND('Mapa final'!$AJ$68="Alta",'Mapa final'!$AL$68="Leve"),CONCATENATE("R2C",'Mapa final'!$S$68),"")</f>
        <v/>
      </c>
      <c r="N30" s="54" t="str">
        <f>IF(AND('Mapa final'!$AJ$69="Alta",'Mapa final'!$AL$69="Leve"),CONCATENATE("R2C",'Mapa final'!$S$69),"")</f>
        <v/>
      </c>
      <c r="O30" s="54" t="str">
        <f>IF(AND('Mapa final'!$AJ$70="Alta",'Mapa final'!$AL$70="Leve"),CONCATENATE("R2C",'Mapa final'!$S$70),"")</f>
        <v/>
      </c>
      <c r="P30" s="55" t="str">
        <f>IF(AND('Mapa final'!$AJ$71="Alta",'Mapa final'!$AL$71="Leve"),CONCATENATE("R2C",'Mapa final'!$S$71),"")</f>
        <v/>
      </c>
      <c r="Q30" s="53" t="str">
        <f>IF(AND('Mapa final'!$AJ$66="Alta",'Mapa final'!$AL$66="Menor"),CONCATENATE("R2C",'Mapa final'!$S$66),"")</f>
        <v/>
      </c>
      <c r="R30" s="54" t="str">
        <f>IF(AND('Mapa final'!$AJ$67="Alta",'Mapa final'!$AL$67="Menor"),CONCATENATE("R2C",'Mapa final'!$S$67),"")</f>
        <v/>
      </c>
      <c r="S30" s="54" t="str">
        <f>IF(AND('Mapa final'!$AJ$68="Alta",'Mapa final'!$AL$68="Menor"),CONCATENATE("R2C",'Mapa final'!$S$68),"")</f>
        <v/>
      </c>
      <c r="T30" s="54" t="str">
        <f>IF(AND('Mapa final'!$AJ$69="Alta",'Mapa final'!$AL$69="Menor"),CONCATENATE("R2C",'Mapa final'!$S$69),"")</f>
        <v/>
      </c>
      <c r="U30" s="54" t="str">
        <f>IF(AND('Mapa final'!$AJ$70="Alta",'Mapa final'!$AL$70="Menor"),CONCATENATE("R2C",'Mapa final'!$S$70),"")</f>
        <v/>
      </c>
      <c r="V30" s="55" t="str">
        <f>IF(AND('Mapa final'!$AJ$71="Alta",'Mapa final'!$AL$71="Menor"),CONCATENATE("R2C",'Mapa final'!$S$71),"")</f>
        <v/>
      </c>
      <c r="W30" s="38" t="str">
        <f>IF(AND('Mapa final'!$AJ$66="Alta",'Mapa final'!$AL$66="Moderado"),CONCATENATE("R2C",'Mapa final'!$S$66),"")</f>
        <v/>
      </c>
      <c r="X30" s="39" t="str">
        <f>IF(AND('Mapa final'!$AJ$67="Alta",'Mapa final'!$AL$67="Moderado"),CONCATENATE("R2C",'Mapa final'!$S$67),"")</f>
        <v/>
      </c>
      <c r="Y30" s="39" t="str">
        <f>IF(AND('Mapa final'!$AJ$68="Alta",'Mapa final'!$AL$68="Moderado"),CONCATENATE("R2C",'Mapa final'!$S$68),"")</f>
        <v/>
      </c>
      <c r="Z30" s="39" t="str">
        <f>IF(AND('Mapa final'!$AJ$69="Alta",'Mapa final'!$AL$69="Moderado"),CONCATENATE("R2C",'Mapa final'!$S$69),"")</f>
        <v/>
      </c>
      <c r="AA30" s="39" t="str">
        <f>IF(AND('Mapa final'!$AJ$70="Alta",'Mapa final'!$AL$70="Moderado"),CONCATENATE("R2C",'Mapa final'!$S$70),"")</f>
        <v/>
      </c>
      <c r="AB30" s="40" t="str">
        <f>IF(AND('Mapa final'!$AJ$71="Alta",'Mapa final'!$AL$71="Moderado"),CONCATENATE("R2C",'Mapa final'!$S$71),"")</f>
        <v/>
      </c>
      <c r="AC30" s="38" t="str">
        <f>IF(AND('Mapa final'!$AJ$66="Alta",'Mapa final'!$AL$66="Mayor"),CONCATENATE("R2C",'Mapa final'!$S$66),"")</f>
        <v/>
      </c>
      <c r="AD30" s="39" t="str">
        <f>IF(AND('Mapa final'!$AJ$67="Alta",'Mapa final'!$AL$67="Mayor"),CONCATENATE("R2C",'Mapa final'!$S$67),"")</f>
        <v/>
      </c>
      <c r="AE30" s="39" t="str">
        <f>IF(AND('Mapa final'!$AJ$68="Alta",'Mapa final'!$AL$68="Mayor"),CONCATENATE("R2C",'Mapa final'!$S$68),"")</f>
        <v/>
      </c>
      <c r="AF30" s="39" t="str">
        <f>IF(AND('Mapa final'!$AJ$69="Alta",'Mapa final'!$AL$69="Mayor"),CONCATENATE("R2C",'Mapa final'!$S$69),"")</f>
        <v/>
      </c>
      <c r="AG30" s="39" t="str">
        <f>IF(AND('Mapa final'!$AJ$70="Alta",'Mapa final'!$AL$70="Mayor"),CONCATENATE("R2C",'Mapa final'!$S$70),"")</f>
        <v/>
      </c>
      <c r="AH30" s="40" t="str">
        <f>IF(AND('Mapa final'!$AJ$71="Alta",'Mapa final'!$AL$71="Mayor"),CONCATENATE("R2C",'Mapa final'!$S$71),"")</f>
        <v/>
      </c>
      <c r="AI30" s="41" t="str">
        <f>IF(AND('Mapa final'!$AJ$66="Alta",'Mapa final'!$AL$66="Catastrófico"),CONCATENATE("R2C",'Mapa final'!$S$66),"")</f>
        <v/>
      </c>
      <c r="AJ30" s="42" t="str">
        <f>IF(AND('Mapa final'!$AJ$67="Alta",'Mapa final'!$AL$67="Catastrófico"),CONCATENATE("R2C",'Mapa final'!$S$67),"")</f>
        <v/>
      </c>
      <c r="AK30" s="42" t="str">
        <f>IF(AND('Mapa final'!$AJ$68="Alta",'Mapa final'!$AL$68="Catastrófico"),CONCATENATE("R2C",'Mapa final'!$S$68),"")</f>
        <v/>
      </c>
      <c r="AL30" s="42" t="str">
        <f>IF(AND('Mapa final'!$AJ$69="Alta",'Mapa final'!$AL$69="Catastrófico"),CONCATENATE("R2C",'Mapa final'!$S$69),"")</f>
        <v/>
      </c>
      <c r="AM30" s="42" t="str">
        <f>IF(AND('Mapa final'!$AJ$70="Alta",'Mapa final'!$AL$70="Catastrófico"),CONCATENATE("R2C",'Mapa final'!$S$70),"")</f>
        <v/>
      </c>
      <c r="AN30" s="43" t="str">
        <f>IF(AND('Mapa final'!$AJ$71="Alta",'Mapa final'!$AL$71="Catastrófico"),CONCATENATE("R2C",'Mapa final'!$S$71),"")</f>
        <v/>
      </c>
      <c r="AO30" s="69"/>
      <c r="AP30" s="464"/>
      <c r="AQ30" s="465"/>
      <c r="AR30" s="465"/>
      <c r="AS30" s="465"/>
      <c r="AT30" s="465"/>
      <c r="AU30" s="466"/>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60"/>
      <c r="D31" s="360"/>
      <c r="E31" s="361"/>
      <c r="F31" s="458"/>
      <c r="G31" s="459"/>
      <c r="H31" s="459"/>
      <c r="I31" s="459"/>
      <c r="J31" s="459"/>
      <c r="K31" s="56" t="str">
        <f>IF(AND('Mapa final'!$AJ$72="Alta",'Mapa final'!$AL$72="Leve"),CONCATENATE("R2C",'Mapa final'!$S$72),"")</f>
        <v/>
      </c>
      <c r="L31" s="57" t="str">
        <f>IF(AND('Mapa final'!$AJ$73="Alta",'Mapa final'!$AL$73="Leve"),CONCATENATE("R2C",'Mapa final'!$S$73),"")</f>
        <v/>
      </c>
      <c r="M31" s="57" t="str">
        <f>IF(AND('Mapa final'!$AJ$74="Alta",'Mapa final'!$AL$74="Leve"),CONCATENATE("R2C",'Mapa final'!$S$74),"")</f>
        <v/>
      </c>
      <c r="N31" s="57" t="str">
        <f>IF(AND('Mapa final'!$AJ$75="Alta",'Mapa final'!$AL$75="Leve"),CONCATENATE("R2C",'Mapa final'!$S$75),"")</f>
        <v/>
      </c>
      <c r="O31" s="57" t="str">
        <f>IF(AND('Mapa final'!$AJ$77="Alta",'Mapa final'!$AL$77="Leve"),CONCATENATE("R2C",'Mapa final'!$S$77),"")</f>
        <v/>
      </c>
      <c r="P31" s="58" t="str">
        <f>IF(AND('Mapa final'!$AJ$78="Alta",'Mapa final'!$AL$78="Leve"),CONCATENATE("R2C",'Mapa final'!$S$78),"")</f>
        <v/>
      </c>
      <c r="Q31" s="56" t="str">
        <f>IF(AND('Mapa final'!$AJ$72="Alta",'Mapa final'!$AL$72="Menor"),CONCATENATE("R2C",'Mapa final'!$S$72),"")</f>
        <v/>
      </c>
      <c r="R31" s="57" t="str">
        <f>IF(AND('Mapa final'!$AJ$73="Alta",'Mapa final'!$AL$73="Menor"),CONCATENATE("R2C",'Mapa final'!$S$73),"")</f>
        <v/>
      </c>
      <c r="S31" s="57" t="str">
        <f>IF(AND('Mapa final'!$AJ$74="Alta",'Mapa final'!$AL$74="Menor"),CONCATENATE("R2C",'Mapa final'!$S$74),"")</f>
        <v/>
      </c>
      <c r="T31" s="57" t="str">
        <f>IF(AND('Mapa final'!$AJ$75="Alta",'Mapa final'!$AL$75="Menor"),CONCATENATE("R2C",'Mapa final'!$S$75),"")</f>
        <v/>
      </c>
      <c r="U31" s="57" t="str">
        <f>IF(AND('Mapa final'!$AJ$77="Alta",'Mapa final'!$AL$77="Menor"),CONCATENATE("R2C",'Mapa final'!$S$77),"")</f>
        <v/>
      </c>
      <c r="V31" s="58" t="str">
        <f>IF(AND('Mapa final'!$AJ$78="Alta",'Mapa final'!$AL$78="Menor"),CONCATENATE("R2C",'Mapa final'!$S$78),"")</f>
        <v/>
      </c>
      <c r="W31" s="44" t="str">
        <f>IF(AND('Mapa final'!$AJ$72="Alta",'Mapa final'!$AL$72="Moderado"),CONCATENATE("R2C",'Mapa final'!$S$72),"")</f>
        <v/>
      </c>
      <c r="X31" s="45" t="str">
        <f>IF(AND('Mapa final'!$AJ$73="Alta",'Mapa final'!$AL$73="Moderado"),CONCATENATE("R2C",'Mapa final'!$S$73),"")</f>
        <v/>
      </c>
      <c r="Y31" s="45" t="str">
        <f>IF(AND('Mapa final'!$AJ$74="Alta",'Mapa final'!$AL$74="Moderado"),CONCATENATE("R2C",'Mapa final'!$S$74),"")</f>
        <v/>
      </c>
      <c r="Z31" s="45" t="str">
        <f>IF(AND('Mapa final'!$AJ$75="Alta",'Mapa final'!$AL$75="Moderado"),CONCATENATE("R2C",'Mapa final'!$S$75),"")</f>
        <v/>
      </c>
      <c r="AA31" s="45" t="str">
        <f>IF(AND('Mapa final'!$AJ$77="Alta",'Mapa final'!$AL$77="Moderado"),CONCATENATE("R2C",'Mapa final'!$S$77),"")</f>
        <v/>
      </c>
      <c r="AB31" s="46" t="str">
        <f>IF(AND('Mapa final'!$AJ$78="Alta",'Mapa final'!$AL$78="Moderado"),CONCATENATE("R2C",'Mapa final'!$S$78),"")</f>
        <v/>
      </c>
      <c r="AC31" s="44" t="str">
        <f>IF(AND('Mapa final'!$AJ$72="Alta",'Mapa final'!$AL$72="Mayor"),CONCATENATE("R2C",'Mapa final'!$S$72),"")</f>
        <v/>
      </c>
      <c r="AD31" s="45" t="str">
        <f>IF(AND('Mapa final'!$AJ$73="Alta",'Mapa final'!$AL$73="Mayor"),CONCATENATE("R2C",'Mapa final'!$S$73),"")</f>
        <v/>
      </c>
      <c r="AE31" s="45" t="str">
        <f>IF(AND('Mapa final'!$AJ$74="Alta",'Mapa final'!$AL$74="Mayor"),CONCATENATE("R2C",'Mapa final'!$S$74),"")</f>
        <v/>
      </c>
      <c r="AF31" s="45" t="str">
        <f>IF(AND('Mapa final'!$AJ$75="Alta",'Mapa final'!$AL$75="Mayor"),CONCATENATE("R2C",'Mapa final'!$S$75),"")</f>
        <v/>
      </c>
      <c r="AG31" s="45" t="str">
        <f>IF(AND('Mapa final'!$AJ$77="Alta",'Mapa final'!$AL$77="Mayor"),CONCATENATE("R2C",'Mapa final'!$S$77),"")</f>
        <v/>
      </c>
      <c r="AH31" s="46" t="str">
        <f>IF(AND('Mapa final'!$AJ$78="Alta",'Mapa final'!$AL$78="Mayor"),CONCATENATE("R2C",'Mapa final'!$S$78),"")</f>
        <v/>
      </c>
      <c r="AI31" s="47" t="str">
        <f>IF(AND('Mapa final'!$AJ$72="Alta",'Mapa final'!$AL$72="Catastrófico"),CONCATENATE("R2C",'Mapa final'!$S$72),"")</f>
        <v/>
      </c>
      <c r="AJ31" s="48" t="str">
        <f>IF(AND('Mapa final'!$AJ$73="Alta",'Mapa final'!$AL$73="Catastrófico"),CONCATENATE("R2C",'Mapa final'!$S$73),"")</f>
        <v/>
      </c>
      <c r="AK31" s="48" t="str">
        <f>IF(AND('Mapa final'!$AJ$74="Alta",'Mapa final'!$AL$74="Catastrófico"),CONCATENATE("R2C",'Mapa final'!$S$74),"")</f>
        <v/>
      </c>
      <c r="AL31" s="48" t="str">
        <f>IF(AND('Mapa final'!$AJ$75="Alta",'Mapa final'!$AL$75="Catastrófico"),CONCATENATE("R2C",'Mapa final'!$S$75),"")</f>
        <v/>
      </c>
      <c r="AM31" s="48" t="str">
        <f>IF(AND('Mapa final'!$AJ$77="Alta",'Mapa final'!$AL$77="Catastrófico"),CONCATENATE("R2C",'Mapa final'!$S$77),"")</f>
        <v/>
      </c>
      <c r="AN31" s="49" t="str">
        <f>IF(AND('Mapa final'!$AJ$78="Muy Alta",'Mapa final'!$AL$78="Catastrófico"),CONCATENATE("R2C",'Mapa final'!$S$78),"")</f>
        <v/>
      </c>
      <c r="AO31" s="69"/>
      <c r="AP31" s="467"/>
      <c r="AQ31" s="468"/>
      <c r="AR31" s="468"/>
      <c r="AS31" s="468"/>
      <c r="AT31" s="468"/>
      <c r="AU31" s="4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60"/>
      <c r="D32" s="360"/>
      <c r="E32" s="361"/>
      <c r="F32" s="452" t="s">
        <v>116</v>
      </c>
      <c r="G32" s="453"/>
      <c r="H32" s="453"/>
      <c r="I32" s="453"/>
      <c r="J32" s="454"/>
      <c r="K32" s="50" t="str">
        <f ca="1">IF(AND('Mapa final'!$AJ$15="Media",'Mapa final'!$AL$15="Leve"),CONCATENATE("R2C",'Mapa final'!$S$15),"")</f>
        <v/>
      </c>
      <c r="L32" s="51" t="str">
        <f ca="1">IF(AND('Mapa final'!$AJ$16="Media",'Mapa final'!$AL$16="Leve"),CONCATENATE("R2C",'Mapa final'!$S$16),"")</f>
        <v/>
      </c>
      <c r="M32" s="51" t="str">
        <f ca="1">IF(AND('Mapa final'!$AJ$19="Media",'Mapa final'!$AL$19="Leve"),CONCATENATE("R2C",'Mapa final'!$S$19),"")</f>
        <v/>
      </c>
      <c r="N32" s="51" t="str">
        <f ca="1">IF(AND('Mapa final'!$AJ$20="Media",'Mapa final'!$AL$20="Leve"),CONCATENATE("R2C",'Mapa final'!$S$20),"")</f>
        <v/>
      </c>
      <c r="O32" s="51" t="str">
        <f ca="1">IF(AND('Mapa final'!$AJ$22="Media",'Mapa final'!$AL$22="Leve"),CONCATENATE("R2C",'Mapa final'!$S$22),"")</f>
        <v/>
      </c>
      <c r="P32" s="52" t="str">
        <f ca="1">IF(AND('Mapa final'!$AJ$23="Media",'Mapa final'!$AL$23="Leve"),CONCATENATE("R2C",'Mapa final'!$S$23),"")</f>
        <v/>
      </c>
      <c r="Q32" s="50" t="str">
        <f ca="1">IF(AND('Mapa final'!$AJ$15="Media",'Mapa final'!$AL$15="Menor"),CONCATENATE("R2C",'Mapa final'!$S$15),"")</f>
        <v/>
      </c>
      <c r="R32" s="51" t="str">
        <f ca="1">IF(AND('Mapa final'!$AJ$16="Media",'Mapa final'!$AL$16="Menore"),CONCATENATE("R2C",'Mapa final'!$S$16),"")</f>
        <v/>
      </c>
      <c r="S32" s="51" t="str">
        <f ca="1">IF(AND('Mapa final'!$AJ$19="Media",'Mapa final'!$AL$19="Menor"),CONCATENATE("R2C",'Mapa final'!$S$19),"")</f>
        <v/>
      </c>
      <c r="T32" s="51" t="str">
        <f ca="1">IF(AND('Mapa final'!$AJ$20="Media",'Mapa final'!$AL$20="Menor"),CONCATENATE("R2C",'Mapa final'!$S$20),"")</f>
        <v/>
      </c>
      <c r="U32" s="51" t="str">
        <f ca="1">IF(AND('Mapa final'!$AJ$22="Media",'Mapa final'!$AL$22="Menor"),CONCATENATE("R2C",'Mapa final'!$S$22),"")</f>
        <v/>
      </c>
      <c r="V32" s="52" t="str">
        <f ca="1">IF(AND('Mapa final'!$AJ$23="Media",'Mapa final'!$AL$23="Menor"),CONCATENATE("R2C",'Mapa final'!$S$23),"")</f>
        <v/>
      </c>
      <c r="W32" s="50" t="str">
        <f ca="1">IF(AND('Mapa final'!$AJ$15="Media",'Mapa final'!$AL$15="Moderado"),CONCATENATE("R2C",'Mapa final'!$S$15),"")</f>
        <v/>
      </c>
      <c r="X32" s="51" t="str">
        <f ca="1">IF(AND('Mapa final'!$AJ$16="Media",'Mapa final'!$AL$16="Moderado"),CONCATENATE("R2C",'Mapa final'!$S$16),"")</f>
        <v/>
      </c>
      <c r="Y32" s="51"/>
      <c r="Z32" s="51" t="str">
        <f ca="1">IF(AND('Mapa final'!$AJ$20="Media",'Mapa final'!$AL$20="Moderado"),CONCATENATE("R2C",'Mapa final'!$S$20),"")</f>
        <v/>
      </c>
      <c r="AA32" s="51" t="str">
        <f ca="1">IF(AND('Mapa final'!$AJ$22="Media",'Mapa final'!$AL$22="Moderado"),CONCATENATE("R2C",'Mapa final'!$S$22),"")</f>
        <v/>
      </c>
      <c r="AB32" s="52" t="str">
        <f ca="1">IF(AND('Mapa final'!$AJ$23="Media",'Mapa final'!$AL$23="Moderado"),CONCATENATE("R2C",'Mapa final'!$S$23),"")</f>
        <v/>
      </c>
      <c r="AC32" s="32" t="str">
        <f ca="1">IF(AND('Mapa final'!$AJ$15="Media",'Mapa final'!$AL$15="Mayor"),CONCATENATE("R2C",'Mapa final'!$S$15),"")</f>
        <v/>
      </c>
      <c r="AD32" s="33" t="str">
        <f ca="1">IF(AND('Mapa final'!$AJ$16="Media",'Mapa final'!$AL$16="Mayor"),CONCATENATE("R2C",'Mapa final'!$S$16),"")</f>
        <v/>
      </c>
      <c r="AE32" s="33" t="str">
        <f ca="1">IF(AND('Mapa final'!$AJ$19="Media",'Mapa final'!$AL$19="Mayor"),CONCATENATE("R2C",'Mapa final'!$D$19),"")</f>
        <v/>
      </c>
      <c r="AF32" s="33" t="str">
        <f ca="1">IF(AND('Mapa final'!$AJ$20="Media",'Mapa final'!$AL$20="Mayor"),CONCATENATE("R2C",'Mapa final'!$S$20),"")</f>
        <v/>
      </c>
      <c r="AG32" s="33" t="str">
        <f ca="1">IF(AND('Mapa final'!$AJ$22="Media",'Mapa final'!$AL$22="Mayor"),CONCATENATE("R2C",'Mapa final'!$S$22),"")</f>
        <v/>
      </c>
      <c r="AH32" s="34" t="str">
        <f ca="1">IF(AND('Mapa final'!$AJ$23="Media",'Mapa final'!$AL$23="Mayor"),CONCATENATE("R2C",'Mapa final'!$S$23),"")</f>
        <v/>
      </c>
      <c r="AI32" s="35" t="str">
        <f ca="1">IF(AND('Mapa final'!$AJ$15="Media",'Mapa final'!$AL$15="Catastrófico"),CONCATENATE("R2C",'Mapa final'!$S$15),"")</f>
        <v/>
      </c>
      <c r="AJ32" s="36" t="str">
        <f ca="1">IF(AND('Mapa final'!$AJ$16="Media",'Mapa final'!$AL$16="Catastrófico"),CONCATENATE("R2C",'Mapa final'!$S$16),"")</f>
        <v/>
      </c>
      <c r="AK32" s="36" t="str">
        <f ca="1">IF(AND('Mapa final'!$AJ$19="Media",'Mapa final'!$AL$19="Catastrófico"),CONCATENATE("R2C",'Mapa final'!$S$19),"")</f>
        <v/>
      </c>
      <c r="AL32" s="36" t="str">
        <f ca="1">IF(AND('Mapa final'!$AJ$20="Media",'Mapa final'!$AL$20="Catastrófico"),CONCATENATE("R2C",'Mapa final'!$S$20),"")</f>
        <v/>
      </c>
      <c r="AM32" s="36" t="str">
        <f ca="1">IF(AND('Mapa final'!$AJ$22="Media",'Mapa final'!$AL$22="Catastrófico"),CONCATENATE("R2C",'Mapa final'!$S$22),"")</f>
        <v/>
      </c>
      <c r="AN32" s="37" t="str">
        <f ca="1">IF(AND('Mapa final'!$AJ$23="Media",'Mapa final'!$AL$23="Catastrófico"),CONCATENATE("R2C",'Mapa final'!$S$23),"")</f>
        <v/>
      </c>
      <c r="AO32" s="69"/>
      <c r="AP32" s="493" t="s">
        <v>80</v>
      </c>
      <c r="AQ32" s="494"/>
      <c r="AR32" s="494"/>
      <c r="AS32" s="494"/>
      <c r="AT32" s="494"/>
      <c r="AU32" s="495"/>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60"/>
      <c r="D33" s="360"/>
      <c r="E33" s="361"/>
      <c r="F33" s="470"/>
      <c r="G33" s="456"/>
      <c r="H33" s="456"/>
      <c r="I33" s="456"/>
      <c r="J33" s="457"/>
      <c r="K33" s="53" t="str">
        <f ca="1">IF(AND('Mapa final'!$AJ$24="Media",'Mapa final'!$AL$24="Leve"),CONCATENATE("R2C",'Mapa final'!$S$24),"")</f>
        <v/>
      </c>
      <c r="L33" s="54" t="str">
        <f ca="1">IF(AND('Mapa final'!$AJ$25="Media",'Mapa final'!$AL$25="Leve"),CONCATENATE("R2C",'Mapa final'!$S$25),"")</f>
        <v/>
      </c>
      <c r="M33" s="54" t="str">
        <f>IF(AND('Mapa final'!$AJ$26="Media",'Mapa final'!$AL$26="Leve"),CONCATENATE("R2C",'Mapa final'!$S$26),"")</f>
        <v/>
      </c>
      <c r="N33" s="54" t="str">
        <f>IF(AND('Mapa final'!$AJ$27="Media",'Mapa final'!$AL$27="Leve"),CONCATENATE("R2C",'Mapa final'!$S$27),"")</f>
        <v/>
      </c>
      <c r="O33" s="54" t="str">
        <f>IF(AND('Mapa final'!$AJ$28="Media",'Mapa final'!$AL$28="Leve"),CONCATENATE("R2C",'Mapa final'!$S$28),"")</f>
        <v/>
      </c>
      <c r="P33" s="55" t="str">
        <f>IF(AND('Mapa final'!$AJ$29="Media",'Mapa final'!$AL$29="Leve"),CONCATENATE("R2C",'Mapa final'!$S$29),"")</f>
        <v/>
      </c>
      <c r="Q33" s="53" t="str">
        <f ca="1">IF(AND('Mapa final'!$AJ$24="Media",'Mapa final'!$AL$24="Menor"),CONCATENATE("R2C",'Mapa final'!$S$24),"")</f>
        <v/>
      </c>
      <c r="R33" s="54" t="str">
        <f ca="1">IF(AND('Mapa final'!$AJ$25="Media",'Mapa final'!$AL$25="Menor"),CONCATENATE("R2C",'Mapa final'!$S$25),"")</f>
        <v/>
      </c>
      <c r="S33" s="54" t="str">
        <f>IF(AND('Mapa final'!$AJ$26="Media",'Mapa final'!$AL$26="Menor"),CONCATENATE("R2C",'Mapa final'!$S$26),"")</f>
        <v/>
      </c>
      <c r="T33" s="54" t="str">
        <f>IF(AND('Mapa final'!$AJ$27="Media",'Mapa final'!$AL$27="Menor"),CONCATENATE("R2C",'Mapa final'!$S$27),"")</f>
        <v/>
      </c>
      <c r="U33" s="54" t="str">
        <f>IF(AND('Mapa final'!$AJ$28="Media",'Mapa final'!$AL$28="Menor"),CONCATENATE("R2C",'Mapa final'!$S$28),"")</f>
        <v/>
      </c>
      <c r="V33" s="55" t="str">
        <f>IF(AND('Mapa final'!$AJ$29="Media",'Mapa final'!$AL$29="Menor"),CONCATENATE("R2C",'Mapa final'!$S$29),"")</f>
        <v/>
      </c>
      <c r="W33" s="53" t="str">
        <f ca="1">IF(AND('Mapa final'!$AJ$24="Media",'Mapa final'!$AL$24="Moderado"),CONCATENATE("R2C",'Mapa final'!$S$24),"")</f>
        <v/>
      </c>
      <c r="X33" s="54" t="str">
        <f ca="1">IF(AND('Mapa final'!$AJ$25="Media",'Mapa final'!$AL$25="Moderado"),CONCATENATE("R2C",'Mapa final'!$S$25),"")</f>
        <v/>
      </c>
      <c r="Y33" s="54" t="str">
        <f>IF(AND('Mapa final'!$AJ$26="Media",'Mapa final'!$AL$26="Moderado"),CONCATENATE("R2C",'Mapa final'!$S$26),"")</f>
        <v/>
      </c>
      <c r="Z33" s="54" t="str">
        <f>IF(AND('Mapa final'!$AJ$27="Media",'Mapa final'!$AL$27="Moderado"),CONCATENATE("R2C",'Mapa final'!$S$27),"")</f>
        <v/>
      </c>
      <c r="AA33" s="54" t="str">
        <f>IF(AND('Mapa final'!$AJ$28="Media",'Mapa final'!$AL$28="Moderado"),CONCATENATE("R2C",'Mapa final'!$S$28),"")</f>
        <v/>
      </c>
      <c r="AB33" s="55" t="str">
        <f>IF(AND('Mapa final'!$AJ$29="Media",'Mapa final'!$AL$29="Moderado"),CONCATENATE("R2C",'Mapa final'!$S$29),"")</f>
        <v/>
      </c>
      <c r="AC33" s="38" t="str">
        <f ca="1">IF(AND('Mapa final'!$AJ$24="Media",'Mapa final'!$AL$24="Mayor"),CONCATENATE("R2C",'Mapa final'!$S$24),"")</f>
        <v/>
      </c>
      <c r="AD33" s="39" t="str">
        <f ca="1">IF(AND('Mapa final'!$AJ$25="Muy Alta",'Mapa final'!$AL$25="Mayor"),CONCATENATE("R2C",'Mapa final'!$S$25),"")</f>
        <v/>
      </c>
      <c r="AE33" s="39" t="str">
        <f>IF(AND('Mapa final'!$AJ$26="Media",'Mapa final'!$AL$26="Mayor"),CONCATENATE("R2C",'Mapa final'!$S$26),"")</f>
        <v/>
      </c>
      <c r="AF33" s="39" t="str">
        <f>IF(AND('Mapa final'!$AJ$27="Media",'Mapa final'!$AL$27="Mayor"),CONCATENATE("R2C",'Mapa final'!$S$27),"")</f>
        <v/>
      </c>
      <c r="AG33" s="39" t="str">
        <f>IF(AND('Mapa final'!$AJ$28="Media",'Mapa final'!$AL$28="Mayor"),CONCATENATE("R2C",'Mapa final'!$S$28),"")</f>
        <v/>
      </c>
      <c r="AH33" s="40" t="str">
        <f>IF(AND('Mapa final'!$AJ$29="Media",'Mapa final'!$AL$29="Mayor"),CONCATENATE("R2C",'Mapa final'!$S$29),"")</f>
        <v/>
      </c>
      <c r="AI33" s="41" t="str">
        <f ca="1">IF(AND('Mapa final'!$AJ$24="Media",'Mapa final'!$AL$24="Catastrófico"),CONCATENATE("R2C",'Mapa final'!$S$24),"")</f>
        <v/>
      </c>
      <c r="AJ33" s="42" t="str">
        <f ca="1">IF(AND('Mapa final'!$AJ$25="Media",'Mapa final'!$AL$25="Catastrófico"),CONCATENATE("R2C",'Mapa final'!$S$25),"")</f>
        <v/>
      </c>
      <c r="AK33" s="42" t="str">
        <f>IF(AND('Mapa final'!$AJ$26="Media",'Mapa final'!$AL$26="Catastrófico"),CONCATENATE("R2C",'Mapa final'!$S$26),"")</f>
        <v/>
      </c>
      <c r="AL33" s="42" t="str">
        <f>IF(AND('Mapa final'!$AJ$27="Media",'Mapa final'!$AL$27="Catastrófico"),CONCATENATE("R2C",'Mapa final'!$S$27),"")</f>
        <v/>
      </c>
      <c r="AM33" s="42" t="str">
        <f>IF(AND('Mapa final'!$AJ$28="Media",'Mapa final'!$AL$28="Catastrófico"),CONCATENATE("R2C",'Mapa final'!$S$28),"")</f>
        <v/>
      </c>
      <c r="AN33" s="43" t="str">
        <f>IF(AND('Mapa final'!$AJ$29="Media",'Mapa final'!$AL$29="Catastrófico"),CONCATENATE("R2C",'Mapa final'!$S$29),"")</f>
        <v/>
      </c>
      <c r="AO33" s="69"/>
      <c r="AP33" s="496"/>
      <c r="AQ33" s="497"/>
      <c r="AR33" s="497"/>
      <c r="AS33" s="497"/>
      <c r="AT33" s="497"/>
      <c r="AU33" s="498"/>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60"/>
      <c r="D34" s="360"/>
      <c r="E34" s="361"/>
      <c r="F34" s="455"/>
      <c r="G34" s="456"/>
      <c r="H34" s="456"/>
      <c r="I34" s="456"/>
      <c r="J34" s="457"/>
      <c r="K34" s="53" t="str">
        <f>IF(AND('Mapa final'!$AJ$30="Media",'Mapa final'!$AL$30="Leve"),CONCATENATE("R2C",'Mapa final'!$S$30),"")</f>
        <v/>
      </c>
      <c r="L34" s="54" t="str">
        <f>IF(AND('Mapa final'!$AJ$31="Media",'Mapa final'!$AL$31="Leve"),CONCATENATE("R2C",'Mapa final'!$S$31),"")</f>
        <v/>
      </c>
      <c r="M34" s="54" t="str">
        <f>IF(AND('Mapa final'!$AJ$32="Media",'Mapa final'!$AL$32="Leve"),CONCATENATE("R2C",'Mapa final'!$S$32),"")</f>
        <v/>
      </c>
      <c r="N34" s="54" t="str">
        <f>IF(AND('Mapa final'!$AJ$33="Media",'Mapa final'!$AL$33="Leve"),CONCATENATE("R2C",'Mapa final'!$S$33),"")</f>
        <v/>
      </c>
      <c r="O34" s="54" t="str">
        <f>IF(AND('Mapa final'!$AJ$34="Media",'Mapa final'!$AL$34="Leve"),CONCATENATE("R2C",'Mapa final'!$S$34),"")</f>
        <v/>
      </c>
      <c r="P34" s="55" t="str">
        <f>IF(AND('Mapa final'!$AJ$35="Media",'Mapa final'!$AL$35="Leve"),CONCATENATE("R2C",'Mapa final'!$S$35),"")</f>
        <v/>
      </c>
      <c r="Q34" s="53" t="str">
        <f>IF(AND('Mapa final'!$AJ$30="Media",'Mapa final'!$AL$30="Menor"),CONCATENATE("R2C",'Mapa final'!$S$30),"")</f>
        <v/>
      </c>
      <c r="R34" s="54" t="str">
        <f>IF(AND('Mapa final'!$AJ$31="Media",'Mapa final'!$AL$31="Menor"),CONCATENATE("R2C",'Mapa final'!$S$31),"")</f>
        <v/>
      </c>
      <c r="S34" s="54" t="str">
        <f>IF(AND('Mapa final'!$AJ$32="Media",'Mapa final'!$AL$32="Menor"),CONCATENATE("R2C",'Mapa final'!$S$32),"")</f>
        <v/>
      </c>
      <c r="T34" s="54" t="str">
        <f>IF(AND('Mapa final'!$AJ$33="Media",'Mapa final'!$AL$33="Menor"),CONCATENATE("R2C",'Mapa final'!$S$33),"")</f>
        <v/>
      </c>
      <c r="U34" s="54" t="str">
        <f>IF(AND('Mapa final'!$AJ$34="Media",'Mapa final'!$AL$34="Menor"),CONCATENATE("R2C",'Mapa final'!$S$34),"")</f>
        <v/>
      </c>
      <c r="V34" s="55" t="str">
        <f>IF(AND('Mapa final'!$AJ$35="Media",'Mapa final'!$AL$35="Menor"),CONCATENATE("R2C",'Mapa final'!$S$35),"")</f>
        <v/>
      </c>
      <c r="W34" s="53" t="str">
        <f>IF(AND('Mapa final'!$AJ$30="Media",'Mapa final'!$AL$30="Moderado"),CONCATENATE("R2C",'Mapa final'!$S$30),"")</f>
        <v/>
      </c>
      <c r="X34" s="54" t="str">
        <f>IF(AND('Mapa final'!$AJ$31="Media",'Mapa final'!$AL$31="Moderado"),CONCATENATE("R2C",'Mapa final'!$S$31),"")</f>
        <v/>
      </c>
      <c r="Y34" s="54" t="str">
        <f>IF(AND('Mapa final'!$AJ$32="Media",'Mapa final'!$AL$32="Moderado"),CONCATENATE("R2C",'Mapa final'!$S$32),"")</f>
        <v/>
      </c>
      <c r="Z34" s="54" t="str">
        <f>IF(AND('Mapa final'!$AJ$33="Media",'Mapa final'!$AL$33="Moderado"),CONCATENATE("R2C",'Mapa final'!$S$33),"")</f>
        <v/>
      </c>
      <c r="AA34" s="54" t="str">
        <f>IF(AND('Mapa final'!$AJ$34="Media",'Mapa final'!$AL$34="Moderado"),CONCATENATE("R2C",'Mapa final'!$S$34),"")</f>
        <v/>
      </c>
      <c r="AB34" s="55" t="str">
        <f>IF(AND('Mapa final'!$AJ$35="Media",'Mapa final'!$AL$35="Moderado"),CONCATENATE("R2C",'Mapa final'!$S$35),"")</f>
        <v/>
      </c>
      <c r="AC34" s="38" t="str">
        <f>IF(AND('Mapa final'!$AJ$30="Media",'Mapa final'!$AL$30="Mayor"),CONCATENATE("R2C",'Mapa final'!$S$30),"")</f>
        <v/>
      </c>
      <c r="AD34" s="39" t="str">
        <f>IF(AND('Mapa final'!$AJ$31="Media",'Mapa final'!$AL$31="Mayor"),CONCATENATE("R2C",'Mapa final'!$S$31),"")</f>
        <v/>
      </c>
      <c r="AE34" s="39" t="str">
        <f>IF(AND('Mapa final'!$AJ$32="Media",'Mapa final'!$AL$32="Mayor"),CONCATENATE("R2C",'Mapa final'!$S$32),"")</f>
        <v/>
      </c>
      <c r="AF34" s="39" t="str">
        <f>IF(AND('Mapa final'!$AJ$33="Media",'Mapa final'!$AL$33="Mayor"),CONCATENATE("R2C",'Mapa final'!$S$33),"")</f>
        <v/>
      </c>
      <c r="AG34" s="39" t="str">
        <f>IF(AND('Mapa final'!$AJ$34="Media",'Mapa final'!$AL$34="Mayor"),CONCATENATE("R2C",'Mapa final'!$S$34),"")</f>
        <v/>
      </c>
      <c r="AH34" s="40" t="str">
        <f>IF(AND('Mapa final'!$AJ$35="Media",'Mapa final'!$AL$35="Mayor"),CONCATENATE("R2C",'Mapa final'!$S$35),"")</f>
        <v/>
      </c>
      <c r="AI34" s="41" t="str">
        <f>IF(AND('Mapa final'!$AJ$30="Media",'Mapa final'!$AL$30="Catastrófico"),CONCATENATE("R2C",'Mapa final'!$S$30),"")</f>
        <v/>
      </c>
      <c r="AJ34" s="42" t="str">
        <f>IF(AND('Mapa final'!$AJ$31="Media",'Mapa final'!$AL$31="Catastrófico"),CONCATENATE("R2C",'Mapa final'!$S$31),"")</f>
        <v/>
      </c>
      <c r="AK34" s="42" t="str">
        <f>IF(AND('Mapa final'!$AJ$32="Media",'Mapa final'!$AL$32="Catastrófico"),CONCATENATE("R2C",'Mapa final'!$S$32),"")</f>
        <v/>
      </c>
      <c r="AL34" s="42" t="str">
        <f>IF(AND('Mapa final'!$AJ$33="Media",'Mapa final'!$AL$33="Catastrófico"),CONCATENATE("R2C",'Mapa final'!$S$33),"")</f>
        <v/>
      </c>
      <c r="AM34" s="42" t="str">
        <f>IF(AND('Mapa final'!$AJ$34="Media",'Mapa final'!$AL$34="Catastrófico"),CONCATENATE("R2C",'Mapa final'!$S$34),"")</f>
        <v/>
      </c>
      <c r="AN34" s="43" t="str">
        <f>IF(AND('Mapa final'!$AJ$35="Media",'Mapa final'!$AL$35="Catastrófico"),CONCATENATE("R2C",'Mapa final'!$S$35),"")</f>
        <v/>
      </c>
      <c r="AO34" s="69"/>
      <c r="AP34" s="496"/>
      <c r="AQ34" s="497"/>
      <c r="AR34" s="497"/>
      <c r="AS34" s="497"/>
      <c r="AT34" s="497"/>
      <c r="AU34" s="498"/>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60"/>
      <c r="D35" s="360"/>
      <c r="E35" s="361"/>
      <c r="F35" s="455"/>
      <c r="G35" s="456"/>
      <c r="H35" s="456"/>
      <c r="I35" s="456"/>
      <c r="J35" s="457"/>
      <c r="K35" s="53" t="str">
        <f>IF(AND('Mapa final'!$AJ$36="Media",'Mapa final'!$AL$36="Leve"),CONCATENATE("R2C",'Mapa final'!$S$36),"")</f>
        <v/>
      </c>
      <c r="L35" s="54" t="str">
        <f>IF(AND('Mapa final'!$AJ$37="Media",'Mapa final'!$AL$37="Leve"),CONCATENATE("R2C",'Mapa final'!$S$37),"")</f>
        <v/>
      </c>
      <c r="M35" s="54" t="str">
        <f>IF(AND('Mapa final'!$AJ$38="Media",'Mapa final'!$AL$38="Leve"),CONCATENATE("R2C",'Mapa final'!$S$38),"")</f>
        <v/>
      </c>
      <c r="N35" s="54" t="str">
        <f>IF(AND('Mapa final'!$AJ$39="Media",'Mapa final'!$AL$39="Leve"),CONCATENATE("R2C",'Mapa final'!$S$39),"")</f>
        <v/>
      </c>
      <c r="O35" s="54" t="str">
        <f>IF(AND('Mapa final'!$AJ$40="Media",'Mapa final'!$AL$40="Leve"),CONCATENATE("R2C",'Mapa final'!$S$40),"")</f>
        <v/>
      </c>
      <c r="P35" s="55" t="str">
        <f>IF(AND('Mapa final'!$AJ$41="Media",'Mapa final'!$AL$41="Leve"),CONCATENATE("R2C",'Mapa final'!$S$41),"")</f>
        <v/>
      </c>
      <c r="Q35" s="53" t="str">
        <f>IF(AND('Mapa final'!$AJ$36="Media",'Mapa final'!$AL$36="Menor"),CONCATENATE("R2C",'Mapa final'!$S$36),"")</f>
        <v/>
      </c>
      <c r="R35" s="54" t="str">
        <f>IF(AND('Mapa final'!$AJ$37="Media",'Mapa final'!$AL$37="Menor"),CONCATENATE("R2C",'Mapa final'!$S$37),"")</f>
        <v/>
      </c>
      <c r="S35" s="54" t="str">
        <f>IF(AND('Mapa final'!$AJ$38="Media",'Mapa final'!$AL$38="Menor"),CONCATENATE("R2C",'Mapa final'!$S$38),"")</f>
        <v/>
      </c>
      <c r="T35" s="54" t="str">
        <f>IF(AND('Mapa final'!$AJ$39="Media",'Mapa final'!$AL$39="Menor"),CONCATENATE("R2C",'Mapa final'!$S$39),"")</f>
        <v/>
      </c>
      <c r="U35" s="54" t="str">
        <f>IF(AND('Mapa final'!$AJ$40="Media",'Mapa final'!$AL$40="LMenor"),CONCATENATE("R2C",'Mapa final'!$S$40),"")</f>
        <v/>
      </c>
      <c r="V35" s="55" t="str">
        <f>IF(AND('Mapa final'!$AJ$41="Media",'Mapa final'!$AL$41="Menor"),CONCATENATE("R2C",'Mapa final'!$S$41),"")</f>
        <v/>
      </c>
      <c r="W35" s="53" t="str">
        <f>IF(AND('Mapa final'!$AJ$36="Media",'Mapa final'!$AL$36="Moderado"),CONCATENATE("R2C",'Mapa final'!$S$36),"")</f>
        <v/>
      </c>
      <c r="X35" s="54" t="str">
        <f>IF(AND('Mapa final'!$AJ$37="Media",'Mapa final'!$AL$37="Moderado"),CONCATENATE("R2C",'Mapa final'!$S$37),"")</f>
        <v/>
      </c>
      <c r="Y35" s="54" t="str">
        <f>IF(AND('Mapa final'!$AJ$38="Media",'Mapa final'!$AL$38="Moderado"),CONCATENATE("R2C",'Mapa final'!$S$38),"")</f>
        <v/>
      </c>
      <c r="Z35" s="54" t="str">
        <f>IF(AND('Mapa final'!$AJ$39="Media",'Mapa final'!$AL$39="Moderado"),CONCATENATE("R2C",'Mapa final'!$S$39),"")</f>
        <v/>
      </c>
      <c r="AA35" s="54" t="str">
        <f>IF(AND('Mapa final'!$AJ$40="Media",'Mapa final'!$AL$40="Moderado"),CONCATENATE("R2C",'Mapa final'!$S$40),"")</f>
        <v/>
      </c>
      <c r="AB35" s="55" t="str">
        <f>IF(AND('Mapa final'!$AJ$41="Media",'Mapa final'!$AL$41="Moderado"),CONCATENATE("R2C",'Mapa final'!$S$41),"")</f>
        <v/>
      </c>
      <c r="AC35" s="38" t="str">
        <f>IF(AND('Mapa final'!$AJ$36="Media",'Mapa final'!$AL$36="Mayor"),CONCATENATE("R2C",'Mapa final'!$S$36),"")</f>
        <v/>
      </c>
      <c r="AD35" s="39" t="str">
        <f>IF(AND('Mapa final'!$AJ$37="Media",'Mapa final'!$AL$37="Mayor"),CONCATENATE("R2C",'Mapa final'!$S$37),"")</f>
        <v/>
      </c>
      <c r="AE35" s="39" t="str">
        <f>IF(AND('Mapa final'!$AJ$38="Media",'Mapa final'!$AL$38="Mayor"),CONCATENATE("R2C",'Mapa final'!$S$38),"")</f>
        <v/>
      </c>
      <c r="AF35" s="39" t="str">
        <f>IF(AND('Mapa final'!$AJ$39="Media",'Mapa final'!$AL$39="Mayor"),CONCATENATE("R2C",'Mapa final'!$S$39),"")</f>
        <v/>
      </c>
      <c r="AG35" s="39" t="str">
        <f>IF(AND('Mapa final'!$AJ$40="Media",'Mapa final'!$AL$40="Mayor"),CONCATENATE("R2C",'Mapa final'!$S$40),"")</f>
        <v/>
      </c>
      <c r="AH35" s="40" t="str">
        <f>IF(AND('Mapa final'!$AJ$41="Media",'Mapa final'!$AL$41="Mayor"),CONCATENATE("R2C",'Mapa final'!$S$41),"")</f>
        <v/>
      </c>
      <c r="AI35" s="41" t="str">
        <f>IF(AND('Mapa final'!$AJ$36="Media",'Mapa final'!$AL$36="Catastrófico"),CONCATENATE("R2C",'Mapa final'!$S$36),"")</f>
        <v/>
      </c>
      <c r="AJ35" s="42" t="str">
        <f>IF(AND('Mapa final'!$AJ$37="Media",'Mapa final'!$AL$37="Catastrófico"),CONCATENATE("R2C",'Mapa final'!$S$37),"")</f>
        <v/>
      </c>
      <c r="AK35" s="42" t="str">
        <f>IF(AND('Mapa final'!$AJ$38="Media",'Mapa final'!$AL$38="Catastrófico"),CONCATENATE("R2C",'Mapa final'!$S$38),"")</f>
        <v/>
      </c>
      <c r="AL35" s="42" t="str">
        <f>IF(AND('Mapa final'!$AJ$39="Media",'Mapa final'!$AL$39="Catastrófico"),CONCATENATE("R2C",'Mapa final'!$S$39),"")</f>
        <v/>
      </c>
      <c r="AM35" s="42" t="str">
        <f>IF(AND('Mapa final'!$AJ$40="Media",'Mapa final'!$AL$40="LCatastrófico"),CONCATENATE("R2C",'Mapa final'!$S$40),"")</f>
        <v/>
      </c>
      <c r="AN35" s="43" t="str">
        <f>IF(AND('Mapa final'!$AJ$41="Media",'Mapa final'!$AL$41="Catastrófico"),CONCATENATE("R2C",'Mapa final'!$S$41),"")</f>
        <v/>
      </c>
      <c r="AO35" s="69"/>
      <c r="AP35" s="496"/>
      <c r="AQ35" s="497"/>
      <c r="AR35" s="497"/>
      <c r="AS35" s="497"/>
      <c r="AT35" s="497"/>
      <c r="AU35" s="498"/>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60"/>
      <c r="D36" s="360"/>
      <c r="E36" s="361"/>
      <c r="F36" s="455"/>
      <c r="G36" s="456"/>
      <c r="H36" s="456"/>
      <c r="I36" s="456"/>
      <c r="J36" s="457"/>
      <c r="K36" s="53" t="str">
        <f>IF(AND('Mapa final'!$AJ$42="Media",'Mapa final'!$AL$42="Leve"),CONCATENATE("R2C",'Mapa final'!$S$42),"")</f>
        <v/>
      </c>
      <c r="L36" s="54" t="str">
        <f>IF(AND('Mapa final'!$AJ$43="Media",'Mapa final'!$AL$43="Leve"),CONCATENATE("R2C",'Mapa final'!$S$43),"")</f>
        <v/>
      </c>
      <c r="M36" s="54" t="str">
        <f>IF(AND('Mapa final'!$AJ$44="Media",'Mapa final'!$AL$44="Leve"),CONCATENATE("R2C",'Mapa final'!$S$44),"")</f>
        <v/>
      </c>
      <c r="N36" s="54" t="str">
        <f>IF(AND('Mapa final'!$AJ$45="Media",'Mapa final'!$AL$45="Leve"),CONCATENATE("R2C",'Mapa final'!$S$45),"")</f>
        <v/>
      </c>
      <c r="O36" s="54" t="str">
        <f>IF(AND('Mapa final'!$AJ$46="Media",'Mapa final'!$AL$46="Leve"),CONCATENATE("R2C",'Mapa final'!$S$46),"")</f>
        <v/>
      </c>
      <c r="P36" s="55" t="str">
        <f>IF(AND('Mapa final'!$AJ$47="Media",'Mapa final'!$AL$47="Leve"),CONCATENATE("R2C",'Mapa final'!$S$47),"")</f>
        <v/>
      </c>
      <c r="Q36" s="53" t="str">
        <f>IF(AND('Mapa final'!$AJ$42="Media",'Mapa final'!$AL$42="Menor"),CONCATENATE("R2C",'Mapa final'!$S$42),"")</f>
        <v/>
      </c>
      <c r="R36" s="54" t="str">
        <f>IF(AND('Mapa final'!$AJ$43="Media",'Mapa final'!$AL$43="Menor"),CONCATENATE("R2C",'Mapa final'!$S$43),"")</f>
        <v/>
      </c>
      <c r="S36" s="54" t="str">
        <f>IF(AND('Mapa final'!$AJ$44="Media",'Mapa final'!$AL$44="Menor"),CONCATENATE("R2C",'Mapa final'!$S$44),"")</f>
        <v/>
      </c>
      <c r="T36" s="54" t="str">
        <f>IF(AND('Mapa final'!$AJ$45="Media",'Mapa final'!$AL$45="Menor"),CONCATENATE("R2C",'Mapa final'!$S$45),"")</f>
        <v/>
      </c>
      <c r="U36" s="54" t="str">
        <f>IF(AND('Mapa final'!$AJ$46="Media",'Mapa final'!$AL$46="Menor"),CONCATENATE("R2C",'Mapa final'!$S$46),"")</f>
        <v/>
      </c>
      <c r="V36" s="55" t="str">
        <f>IF(AND('Mapa final'!$AJ$47="Media",'Mapa final'!$AL$47="Menor"),CONCATENATE("R2C",'Mapa final'!$S$47),"")</f>
        <v/>
      </c>
      <c r="W36" s="53" t="str">
        <f>IF(AND('Mapa final'!$AJ$42="Media",'Mapa final'!$AL$42="Moderado"),CONCATENATE("R2C",'Mapa final'!$S$42),"")</f>
        <v/>
      </c>
      <c r="X36" s="54" t="str">
        <f>IF(AND('Mapa final'!$AJ$43="Media",'Mapa final'!$AL$43="Moderado"),CONCATENATE("R2C",'Mapa final'!$S$43),"")</f>
        <v/>
      </c>
      <c r="Y36" s="54" t="str">
        <f>IF(AND('Mapa final'!$AJ$44="Media",'Mapa final'!$AL$44="Moderado"),CONCATENATE("R2C",'Mapa final'!$S$44),"")</f>
        <v/>
      </c>
      <c r="Z36" s="54" t="str">
        <f>IF(AND('Mapa final'!$AJ$45="Media",'Mapa final'!$AL$45="Moderado"),CONCATENATE("R2C",'Mapa final'!$S$45),"")</f>
        <v/>
      </c>
      <c r="AA36" s="54" t="str">
        <f>IF(AND('Mapa final'!$AJ$46="Media",'Mapa final'!$AL$46="Moderado"),CONCATENATE("R2C",'Mapa final'!$S$46),"")</f>
        <v/>
      </c>
      <c r="AB36" s="55" t="str">
        <f>IF(AND('Mapa final'!$AJ$47="Media",'Mapa final'!$AL$47="Moderado"),CONCATENATE("R2C",'Mapa final'!$S$47),"")</f>
        <v/>
      </c>
      <c r="AC36" s="38" t="str">
        <f>IF(AND('Mapa final'!$AJ$42="Media",'Mapa final'!$AL$42="Mayor"),CONCATENATE("R2C",'Mapa final'!$S$42),"")</f>
        <v/>
      </c>
      <c r="AD36" s="39" t="str">
        <f>IF(AND('Mapa final'!$AJ$43="Media",'Mapa final'!$AL$43="Mayor"),CONCATENATE("R2C",'Mapa final'!$S$43),"")</f>
        <v/>
      </c>
      <c r="AE36" s="39" t="str">
        <f>IF(AND('Mapa final'!$AJ$44="Media",'Mapa final'!$AL$44="Mayor"),CONCATENATE("R2C",'Mapa final'!$S$44),"")</f>
        <v/>
      </c>
      <c r="AF36" s="39" t="str">
        <f>IF(AND('Mapa final'!$AJ$45="Media",'Mapa final'!$AL$45="Mayor"),CONCATENATE("R2C",'Mapa final'!$S$45),"")</f>
        <v/>
      </c>
      <c r="AG36" s="39" t="str">
        <f>IF(AND('Mapa final'!$AJ$46="Media",'Mapa final'!$AL$46="Mayor"),CONCATENATE("R2C",'Mapa final'!$S$46),"")</f>
        <v/>
      </c>
      <c r="AH36" s="40" t="str">
        <f>IF(AND('Mapa final'!$AJ$47="Media",'Mapa final'!$AL$47="Mayor"),CONCATENATE("R2C",'Mapa final'!$S$47),"")</f>
        <v/>
      </c>
      <c r="AI36" s="41" t="str">
        <f>IF(AND('Mapa final'!$AJ$42="Media",'Mapa final'!$AL$42="Catastrófico"),CONCATENATE("R2C",'Mapa final'!$S$42),"")</f>
        <v/>
      </c>
      <c r="AJ36" s="42" t="str">
        <f>IF(AND('Mapa final'!$AJ$43="Media",'Mapa final'!$AL$43="Catastrófico"),CONCATENATE("R2C",'Mapa final'!$S$43),"")</f>
        <v/>
      </c>
      <c r="AK36" s="42" t="str">
        <f>IF(AND('Mapa final'!$AJ$44="Media",'Mapa final'!$AL$44="Catastrófico"),CONCATENATE("R2C",'Mapa final'!$S$44),"")</f>
        <v/>
      </c>
      <c r="AL36" s="42" t="str">
        <f>IF(AND('Mapa final'!$AJ$45="Media",'Mapa final'!$AL$45="Catastrófico"),CONCATENATE("R2C",'Mapa final'!$S$45),"")</f>
        <v/>
      </c>
      <c r="AM36" s="42" t="str">
        <f>IF(AND('Mapa final'!$AJ$46="Media",'Mapa final'!$AL$46="Catastrófico"),CONCATENATE("R2C",'Mapa final'!$S$46),"")</f>
        <v/>
      </c>
      <c r="AN36" s="43" t="str">
        <f>IF(AND('Mapa final'!$AJ$47="Media",'Mapa final'!$AL$47="Catastrófico"),CONCATENATE("R2C",'Mapa final'!$S$47),"")</f>
        <v/>
      </c>
      <c r="AO36" s="69"/>
      <c r="AP36" s="496"/>
      <c r="AQ36" s="497"/>
      <c r="AR36" s="497"/>
      <c r="AS36" s="497"/>
      <c r="AT36" s="497"/>
      <c r="AU36" s="498"/>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60"/>
      <c r="D37" s="360"/>
      <c r="E37" s="361"/>
      <c r="F37" s="455"/>
      <c r="G37" s="456"/>
      <c r="H37" s="456"/>
      <c r="I37" s="456"/>
      <c r="J37" s="457"/>
      <c r="K37" s="53" t="str">
        <f>IF(AND('Mapa final'!$AJ$48="Media",'Mapa final'!$AL$48="Leve"),CONCATENATE("R2C",'Mapa final'!$S$48),"")</f>
        <v/>
      </c>
      <c r="L37" s="54" t="str">
        <f>IF(AND('Mapa final'!$AJ$49="Media",'Mapa final'!$AL$49="Leve"),CONCATENATE("R2C",'Mapa final'!$S$49),"")</f>
        <v/>
      </c>
      <c r="M37" s="54" t="str">
        <f>IF(AND('Mapa final'!$AJ$50="Media",'Mapa final'!$AL$50="Leve"),CONCATENATE("R2C",'Mapa final'!$S$50),"")</f>
        <v/>
      </c>
      <c r="N37" s="54" t="str">
        <f>IF(AND('Mapa final'!$AJ$51="Media",'Mapa final'!$AL$51="Leve"),CONCATENATE("R2C",'Mapa final'!$S$51),"")</f>
        <v/>
      </c>
      <c r="O37" s="54" t="str">
        <f>IF(AND('Mapa final'!$AJ$52="Media",'Mapa final'!$AL$52="Leve"),CONCATENATE("R2C",'Mapa final'!$S$52),"")</f>
        <v/>
      </c>
      <c r="P37" s="55" t="str">
        <f>IF(AND('Mapa final'!$AJ$63="Media",'Mapa final'!$AL$53="Leve"),CONCATENATE("R2C",'Mapa final'!$S$53),"")</f>
        <v/>
      </c>
      <c r="Q37" s="53" t="str">
        <f>IF(AND('Mapa final'!$AJ$48="Media",'Mapa final'!$AL$48="Menor"),CONCATENATE("R2C",'Mapa final'!$S$48),"")</f>
        <v/>
      </c>
      <c r="R37" s="54" t="str">
        <f>IF(AND('Mapa final'!$AJ$49="Media",'Mapa final'!$AL$49="Menor"),CONCATENATE("R2C",'Mapa final'!$S$49),"")</f>
        <v/>
      </c>
      <c r="S37" s="54" t="str">
        <f>IF(AND('Mapa final'!$AJ$50="Media",'Mapa final'!$AL$50="Menor"),CONCATENATE("R2C",'Mapa final'!$S$50),"")</f>
        <v/>
      </c>
      <c r="T37" s="54" t="str">
        <f>IF(AND('Mapa final'!$AJ$51="Media",'Mapa final'!$AL$51="Menor"),CONCATENATE("R2C",'Mapa final'!$S$51),"")</f>
        <v/>
      </c>
      <c r="U37" s="54" t="str">
        <f>IF(AND('Mapa final'!$AJ$52="Media",'Mapa final'!$AL$52="Menor"),CONCATENATE("R2C",'Mapa final'!$S$52),"")</f>
        <v/>
      </c>
      <c r="V37" s="55" t="str">
        <f>IF(AND('Mapa final'!$AJ$63="Media",'Mapa final'!$AL$53="Menor"),CONCATENATE("R2C",'Mapa final'!$S$53),"")</f>
        <v/>
      </c>
      <c r="W37" s="53" t="str">
        <f>IF(AND('Mapa final'!$AJ$48="Media",'Mapa final'!$AL$48="Moderado"),CONCATENATE("R2C",'Mapa final'!$S$48),"")</f>
        <v/>
      </c>
      <c r="X37" s="54" t="str">
        <f>IF(AND('Mapa final'!$AJ$49="Media",'Mapa final'!$AL$49="Moderado"),CONCATENATE("R2C",'Mapa final'!$S$49),"")</f>
        <v/>
      </c>
      <c r="Y37" s="54" t="str">
        <f>IF(AND('Mapa final'!$AJ$50="Media",'Mapa final'!$AL$50="Moderado"),CONCATENATE("R2C",'Mapa final'!$S$50),"")</f>
        <v/>
      </c>
      <c r="Z37" s="54" t="str">
        <f>IF(AND('Mapa final'!$AJ$51="Media",'Mapa final'!$AL$51="Moderado"),CONCATENATE("R2C",'Mapa final'!$S$51),"")</f>
        <v/>
      </c>
      <c r="AA37" s="54" t="str">
        <f>IF(AND('Mapa final'!$AJ$52="Media",'Mapa final'!$AL$52="Moderado"),CONCATENATE("R2C",'Mapa final'!$S$52),"")</f>
        <v/>
      </c>
      <c r="AB37" s="55" t="str">
        <f>IF(AND('Mapa final'!$AJ$63="Media",'Mapa final'!$AL$53="Moderado"),CONCATENATE("R2C",'Mapa final'!$S$53),"")</f>
        <v/>
      </c>
      <c r="AC37" s="38" t="str">
        <f>IF(AND('Mapa final'!$AJ$48="Media",'Mapa final'!$AL$48="Mayor"),CONCATENATE("R2C",'Mapa final'!$S$48),"")</f>
        <v/>
      </c>
      <c r="AD37" s="39" t="str">
        <f>IF(AND('Mapa final'!$AJ$49="Media",'Mapa final'!$AL$49="Mayor"),CONCATENATE("R2C",'Mapa final'!$S$49),"")</f>
        <v/>
      </c>
      <c r="AE37" s="39" t="str">
        <f>IF(AND('Mapa final'!$AJ$50="Media",'Mapa final'!$AL$50="Mayor"),CONCATENATE("R2C",'Mapa final'!$S$50),"")</f>
        <v/>
      </c>
      <c r="AF37" s="39" t="str">
        <f>IF(AND('Mapa final'!$AJ$51="Media",'Mapa final'!$AL$51="Mayor"),CONCATENATE("R2C",'Mapa final'!$S$51),"")</f>
        <v/>
      </c>
      <c r="AG37" s="39" t="str">
        <f>IF(AND('Mapa final'!$AJ$52="Media",'Mapa final'!$AL$52="Mayor"),CONCATENATE("R2C",'Mapa final'!$S$52),"")</f>
        <v/>
      </c>
      <c r="AH37" s="40" t="str">
        <f>IF(AND('Mapa final'!$AJ$63="Media",'Mapa final'!$AL$53="Mayor"),CONCATENATE("R2C",'Mapa final'!$S$53),"")</f>
        <v/>
      </c>
      <c r="AI37" s="41" t="str">
        <f>IF(AND('Mapa final'!$AJ$48="Media",'Mapa final'!$AL$48="Catastrófico"),CONCATENATE("R2C",'Mapa final'!$S$48),"")</f>
        <v/>
      </c>
      <c r="AJ37" s="42" t="str">
        <f>IF(AND('Mapa final'!$AJ$49="Media",'Mapa final'!$AL$49="Catastrófico"),CONCATENATE("R2C",'Mapa final'!$S$49),"")</f>
        <v/>
      </c>
      <c r="AK37" s="42" t="str">
        <f>IF(AND('Mapa final'!$AJ$50="Media",'Mapa final'!$AL$50="Catastrófico"),CONCATENATE("R2C",'Mapa final'!$S$50),"")</f>
        <v/>
      </c>
      <c r="AL37" s="42" t="str">
        <f>IF(AND('Mapa final'!$AJ$51="Media",'Mapa final'!$AL$51="Catastrófico"),CONCATENATE("R2C",'Mapa final'!$S$51),"")</f>
        <v/>
      </c>
      <c r="AM37" s="42" t="str">
        <f>IF(AND('Mapa final'!$AJ$52="Media",'Mapa final'!$AL$52="Catastrófico"),CONCATENATE("R2C",'Mapa final'!$S$52),"")</f>
        <v/>
      </c>
      <c r="AN37" s="43" t="str">
        <f>IF(AND('Mapa final'!$AJ$63="Media",'Mapa final'!$AL$53="Catastrófico"),CONCATENATE("R2C",'Mapa final'!$S$53),"")</f>
        <v/>
      </c>
      <c r="AO37" s="69"/>
      <c r="AP37" s="496"/>
      <c r="AQ37" s="497"/>
      <c r="AR37" s="497"/>
      <c r="AS37" s="497"/>
      <c r="AT37" s="497"/>
      <c r="AU37" s="498"/>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60"/>
      <c r="D38" s="360"/>
      <c r="E38" s="361"/>
      <c r="F38" s="455"/>
      <c r="G38" s="456"/>
      <c r="H38" s="456"/>
      <c r="I38" s="456"/>
      <c r="J38" s="457"/>
      <c r="K38" s="53" t="str">
        <f>IF(AND('Mapa final'!$AJ$54="Media",'Mapa final'!$AL$54="Leve"),CONCATENATE("R2C",'Mapa final'!$S$54),"")</f>
        <v/>
      </c>
      <c r="L38" s="54" t="str">
        <f>IF(AND('Mapa final'!$AJ$55="Media",'Mapa final'!$AL$55="Leve"),CONCATENATE("R2C",'Mapa final'!$S$55),"")</f>
        <v/>
      </c>
      <c r="M38" s="54" t="str">
        <f>IF(AND('Mapa final'!$AJ$56="Media",'Mapa final'!$AL$56="Leve"),CONCATENATE("R2C",'Mapa final'!$S$56),"")</f>
        <v/>
      </c>
      <c r="N38" s="54" t="str">
        <f>IF(AND('Mapa final'!$AJ$57="Media",'Mapa final'!$AL$57="Leve"),CONCATENATE("R2C",'Mapa final'!$S$57),"")</f>
        <v/>
      </c>
      <c r="O38" s="54" t="str">
        <f>IF(AND('Mapa final'!$AJ$58="Media",'Mapa final'!$AL$58="Leve"),CONCATENATE("R2C",'Mapa final'!$S$58),"")</f>
        <v/>
      </c>
      <c r="P38" s="55" t="str">
        <f>IF(AND('Mapa final'!$AJ$59="Media",'Mapa final'!$AL$59="Leve"),CONCATENATE("R2C",'Mapa final'!$S$59),"")</f>
        <v/>
      </c>
      <c r="Q38" s="53" t="str">
        <f>IF(AND('Mapa final'!$AJ$54="Media",'Mapa final'!$AL$54="Menor"),CONCATENATE("R2C",'Mapa final'!$S$54),"")</f>
        <v/>
      </c>
      <c r="R38" s="54" t="str">
        <f>IF(AND('Mapa final'!$AJ$55="Media",'Mapa final'!$AL$55="Menor"),CONCATENATE("R2C",'Mapa final'!$S$55),"")</f>
        <v/>
      </c>
      <c r="S38" s="54" t="str">
        <f>IF(AND('Mapa final'!$AJ$56="Media",'Mapa final'!$AL$56="Menor"),CONCATENATE("R2C",'Mapa final'!$S$56),"")</f>
        <v/>
      </c>
      <c r="T38" s="54" t="str">
        <f>IF(AND('Mapa final'!$AJ$57="Media",'Mapa final'!$AL$57="Menor"),CONCATENATE("R2C",'Mapa final'!$S$57),"")</f>
        <v/>
      </c>
      <c r="U38" s="54" t="str">
        <f>IF(AND('Mapa final'!$AJ$58="Media",'Mapa final'!$AL$58="Menor"),CONCATENATE("R2C",'Mapa final'!$S$58),"")</f>
        <v/>
      </c>
      <c r="V38" s="55" t="str">
        <f>IF(AND('Mapa final'!$AJ$59="Media",'Mapa final'!$AL$59="Menor"),CONCATENATE("R2C",'Mapa final'!$S$59),"")</f>
        <v/>
      </c>
      <c r="W38" s="53" t="str">
        <f>IF(AND('Mapa final'!$AJ$54="Media",'Mapa final'!$AL$54="Moderado"),CONCATENATE("R2C",'Mapa final'!$S$54),"")</f>
        <v/>
      </c>
      <c r="X38" s="54" t="str">
        <f>IF(AND('Mapa final'!$AJ$55="Media",'Mapa final'!$AL$55="Moderado"),CONCATENATE("R2C",'Mapa final'!$S$55),"")</f>
        <v/>
      </c>
      <c r="Y38" s="54" t="str">
        <f>IF(AND('Mapa final'!$AJ$56="Media",'Mapa final'!$AL$56="Moderado"),CONCATENATE("R2C",'Mapa final'!$S$56),"")</f>
        <v/>
      </c>
      <c r="Z38" s="54" t="str">
        <f>IF(AND('Mapa final'!$AJ$57="Media",'Mapa final'!$AL$57="Moderado"),CONCATENATE("R2C",'Mapa final'!$S$57),"")</f>
        <v/>
      </c>
      <c r="AA38" s="54" t="str">
        <f>IF(AND('Mapa final'!$AJ$58="Media",'Mapa final'!$AL$58="Moderado"),CONCATENATE("R2C",'Mapa final'!$S$58),"")</f>
        <v/>
      </c>
      <c r="AB38" s="55" t="str">
        <f>IF(AND('Mapa final'!$AJ$59="Media",'Mapa final'!$AL$59="Moderado"),CONCATENATE("R2C",'Mapa final'!$S$59),"")</f>
        <v/>
      </c>
      <c r="AC38" s="38" t="str">
        <f>IF(AND('Mapa final'!$AJ$54="Media",'Mapa final'!$AL$54="Mayor"),CONCATENATE("R2C",'Mapa final'!$S$54),"")</f>
        <v/>
      </c>
      <c r="AD38" s="39" t="str">
        <f>IF(AND('Mapa final'!$AJ$55="Media",'Mapa final'!$AL$55="Mayor"),CONCATENATE("R2C",'Mapa final'!$S$55),"")</f>
        <v/>
      </c>
      <c r="AE38" s="39" t="str">
        <f>IF(AND('Mapa final'!$AJ$56="Media",'Mapa final'!$AL$56="Mayor"),CONCATENATE("R2C",'Mapa final'!$S$56),"")</f>
        <v/>
      </c>
      <c r="AF38" s="39" t="str">
        <f>IF(AND('Mapa final'!$AJ$57="Media",'Mapa final'!$AL$57="Mayor"),CONCATENATE("R2C",'Mapa final'!$S$57),"")</f>
        <v/>
      </c>
      <c r="AG38" s="39" t="str">
        <f>IF(AND('Mapa final'!$AJ$58="Media",'Mapa final'!$AL$58="Mayor"),CONCATENATE("R2C",'Mapa final'!$S$58),"")</f>
        <v/>
      </c>
      <c r="AH38" s="40" t="str">
        <f>IF(AND('Mapa final'!$AJ$59="Media",'Mapa final'!$AL$59="Mayor"),CONCATENATE("R2C",'Mapa final'!$S$59),"")</f>
        <v/>
      </c>
      <c r="AI38" s="41" t="str">
        <f>IF(AND('Mapa final'!$AJ$54="Media",'Mapa final'!$AL$54="Catastrófico"),CONCATENATE("R2C",'Mapa final'!$S$54),"")</f>
        <v/>
      </c>
      <c r="AJ38" s="42" t="str">
        <f>IF(AND('Mapa final'!$AJ$55="Media",'Mapa final'!$AL$55="Catastrófico"),CONCATENATE("R2C",'Mapa final'!$S$55),"")</f>
        <v/>
      </c>
      <c r="AK38" s="42" t="str">
        <f>IF(AND('Mapa final'!$AJ$56="Media",'Mapa final'!$AL$56="Catastrófico"),CONCATENATE("R2C",'Mapa final'!$S$56),"")</f>
        <v/>
      </c>
      <c r="AL38" s="42" t="str">
        <f>IF(AND('Mapa final'!$AJ$57="Media",'Mapa final'!$AL$57="Catastrófico"),CONCATENATE("R2C",'Mapa final'!$S$57),"")</f>
        <v/>
      </c>
      <c r="AM38" s="42" t="str">
        <f>IF(AND('Mapa final'!$AJ$58="Media",'Mapa final'!$AL$58="Catastrófico"),CONCATENATE("R2C",'Mapa final'!$S$58),"")</f>
        <v/>
      </c>
      <c r="AN38" s="43" t="str">
        <f>IF(AND('Mapa final'!$AJ$59="Media",'Mapa final'!$AL$59="Catastrófico"),CONCATENATE("R2C",'Mapa final'!$S$59),"")</f>
        <v/>
      </c>
      <c r="AO38" s="69"/>
      <c r="AP38" s="496"/>
      <c r="AQ38" s="497"/>
      <c r="AR38" s="497"/>
      <c r="AS38" s="497"/>
      <c r="AT38" s="497"/>
      <c r="AU38" s="498"/>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60"/>
      <c r="D39" s="360"/>
      <c r="E39" s="361"/>
      <c r="F39" s="455"/>
      <c r="G39" s="456"/>
      <c r="H39" s="456"/>
      <c r="I39" s="456"/>
      <c r="J39" s="457"/>
      <c r="K39" s="53" t="str">
        <f>IF(AND('Mapa final'!$AJ$60="Media",'Mapa final'!$AL$60="Leve"),CONCATENATE("R2C",'Mapa final'!$S$60),"")</f>
        <v/>
      </c>
      <c r="L39" s="54" t="str">
        <f>IF(AND('Mapa final'!$AJ$61="Media",'Mapa final'!$AL$61="Leve"),CONCATENATE("R2C",'Mapa final'!$S$61),"")</f>
        <v/>
      </c>
      <c r="M39" s="54" t="str">
        <f>IF(AND('Mapa final'!$AJ$62="Media",'Mapa final'!$AL$62="Leve"),CONCATENATE("R2C",'Mapa final'!$S$62),"")</f>
        <v/>
      </c>
      <c r="N39" s="54" t="str">
        <f>IF(AND('Mapa final'!$AJ$63="Media",'Mapa final'!$AL$63="Leve"),CONCATENATE("R2C",'Mapa final'!$S$63),"")</f>
        <v/>
      </c>
      <c r="O39" s="54" t="str">
        <f>IF(AND('Mapa final'!$AJ$64="Media",'Mapa final'!$AL$64="Leve"),CONCATENATE("R2C",'Mapa final'!$S$64),"")</f>
        <v/>
      </c>
      <c r="P39" s="55" t="str">
        <f>IF(AND('Mapa final'!$AJ$65="Media",'Mapa final'!$AL$65="Leve"),CONCATENATE("R2C",'Mapa final'!$S$65),"")</f>
        <v/>
      </c>
      <c r="Q39" s="53" t="str">
        <f>IF(AND('Mapa final'!$AJ$60="Media",'Mapa final'!$AL$60="Menor"),CONCATENATE("R2C",'Mapa final'!$S$60),"")</f>
        <v/>
      </c>
      <c r="R39" s="54" t="str">
        <f>IF(AND('Mapa final'!$AJ$61="Media",'Mapa final'!$AL$61="Menor"),CONCATENATE("R2C",'Mapa final'!$S$61),"")</f>
        <v/>
      </c>
      <c r="S39" s="54" t="str">
        <f>IF(AND('Mapa final'!$AJ$62="Media",'Mapa final'!$AL$62="Menor"),CONCATENATE("R2C",'Mapa final'!$S$62),"")</f>
        <v/>
      </c>
      <c r="T39" s="54" t="str">
        <f>IF(AND('Mapa final'!$AJ$63="Media",'Mapa final'!$AL$63="Menor"),CONCATENATE("R2C",'Mapa final'!$S$63),"")</f>
        <v/>
      </c>
      <c r="U39" s="54" t="str">
        <f>IF(AND('Mapa final'!$AJ$64="Media",'Mapa final'!$AL$64="Menor"),CONCATENATE("R2C",'Mapa final'!$S$64),"")</f>
        <v/>
      </c>
      <c r="V39" s="55" t="str">
        <f>IF(AND('Mapa final'!$AJ$65="Media",'Mapa final'!$AL$65="Menor"),CONCATENATE("R2C",'Mapa final'!$S$65),"")</f>
        <v/>
      </c>
      <c r="W39" s="53" t="str">
        <f>IF(AND('Mapa final'!$AJ$60="Media",'Mapa final'!$AL$60="Moderado"),CONCATENATE("R2C",'Mapa final'!$S$60),"")</f>
        <v/>
      </c>
      <c r="X39" s="54" t="str">
        <f>IF(AND('Mapa final'!$AJ$61="Media",'Mapa final'!$AL$61="Moderado"),CONCATENATE("R2C",'Mapa final'!$S$61),"")</f>
        <v/>
      </c>
      <c r="Y39" s="54" t="str">
        <f>IF(AND('Mapa final'!$AJ$62="Media",'Mapa final'!$AL$62="Moderado"),CONCATENATE("R2C",'Mapa final'!$S$62),"")</f>
        <v/>
      </c>
      <c r="Z39" s="54" t="str">
        <f>IF(AND('Mapa final'!$AJ$63="Media",'Mapa final'!$AL$63="Moderado"),CONCATENATE("R2C",'Mapa final'!$S$63),"")</f>
        <v/>
      </c>
      <c r="AA39" s="54" t="str">
        <f>IF(AND('Mapa final'!$AJ$64="Media",'Mapa final'!$AL$64="Moderado"),CONCATENATE("R2C",'Mapa final'!$S$64),"")</f>
        <v/>
      </c>
      <c r="AB39" s="55" t="str">
        <f>IF(AND('Mapa final'!$AJ$65="Media",'Mapa final'!$AL$65="Moderado"),CONCATENATE("R2C",'Mapa final'!$S$65),"")</f>
        <v/>
      </c>
      <c r="AC39" s="38" t="str">
        <f>IF(AND('Mapa final'!$AJ$60="Media",'Mapa final'!$AL$60="Mayor"),CONCATENATE("R2C",'Mapa final'!$S$60),"")</f>
        <v/>
      </c>
      <c r="AD39" s="39" t="str">
        <f>IF(AND('Mapa final'!$AJ$61="Media",'Mapa final'!$AL$61="Mayor"),CONCATENATE("R2C",'Mapa final'!$S$61),"")</f>
        <v/>
      </c>
      <c r="AE39" s="39" t="str">
        <f>IF(AND('Mapa final'!$AJ$62="Media",'Mapa final'!$AL$62="Mayor"),CONCATENATE("R2C",'Mapa final'!$S$62),"")</f>
        <v/>
      </c>
      <c r="AF39" s="39" t="str">
        <f>IF(AND('Mapa final'!$AJ$63="Media",'Mapa final'!$AL$63="Mayor"),CONCATENATE("R2C",'Mapa final'!$S$63),"")</f>
        <v/>
      </c>
      <c r="AG39" s="39" t="str">
        <f>IF(AND('Mapa final'!$AJ$64="Media",'Mapa final'!$AL$64="Mayor"),CONCATENATE("R2C",'Mapa final'!$S$64),"")</f>
        <v/>
      </c>
      <c r="AH39" s="40" t="str">
        <f>IF(AND('Mapa final'!$AJ$65="Media",'Mapa final'!$AL$65="Mayor"),CONCATENATE("R2C",'Mapa final'!$S$65),"")</f>
        <v/>
      </c>
      <c r="AI39" s="41" t="str">
        <f>IF(AND('Mapa final'!$AJ$60="Media",'Mapa final'!$AL$60="Catastrófico"),CONCATENATE("R2C",'Mapa final'!$S$60),"")</f>
        <v/>
      </c>
      <c r="AJ39" s="42" t="str">
        <f>IF(AND('Mapa final'!$AJ$61="Media",'Mapa final'!$AL$61="Catastrófico"),CONCATENATE("R2C",'Mapa final'!$S$61),"")</f>
        <v/>
      </c>
      <c r="AK39" s="42" t="str">
        <f>IF(AND('Mapa final'!$AJ$62="Media",'Mapa final'!$AL$62="Catastrófico"),CONCATENATE("R2C",'Mapa final'!$S$62),"")</f>
        <v/>
      </c>
      <c r="AL39" s="42" t="str">
        <f>IF(AND('Mapa final'!$AJ$63="Media",'Mapa final'!$AL$63="Catastrófico"),CONCATENATE("R2C",'Mapa final'!$S$63),"")</f>
        <v/>
      </c>
      <c r="AM39" s="42" t="str">
        <f>IF(AND('Mapa final'!$AJ$64="Media",'Mapa final'!$AL$64="Catastrófico"),CONCATENATE("R2C",'Mapa final'!$S$64),"")</f>
        <v/>
      </c>
      <c r="AN39" s="43" t="str">
        <f>IF(AND('Mapa final'!$AJ$65="Media",'Mapa final'!$AL$65="Catastrófico"),CONCATENATE("R2C",'Mapa final'!$S$65),"")</f>
        <v/>
      </c>
      <c r="AO39" s="69"/>
      <c r="AP39" s="496"/>
      <c r="AQ39" s="497"/>
      <c r="AR39" s="497"/>
      <c r="AS39" s="497"/>
      <c r="AT39" s="497"/>
      <c r="AU39" s="498"/>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60"/>
      <c r="D40" s="360"/>
      <c r="E40" s="361"/>
      <c r="F40" s="455"/>
      <c r="G40" s="456"/>
      <c r="H40" s="456"/>
      <c r="I40" s="456"/>
      <c r="J40" s="457"/>
      <c r="K40" s="53" t="str">
        <f>IF(AND('Mapa final'!$AJ$66="Media",'Mapa final'!$AL$66="Leve"),CONCATENATE("R2C",'Mapa final'!$S$66),"")</f>
        <v/>
      </c>
      <c r="L40" s="54" t="str">
        <f>IF(AND('Mapa final'!$AJ$67="Media",'Mapa final'!$AL$67="Leve"),CONCATENATE("R2C",'Mapa final'!$S$67),"")</f>
        <v/>
      </c>
      <c r="M40" s="54" t="str">
        <f>IF(AND('Mapa final'!$AJ$68="Media",'Mapa final'!$AL$68="Leve"),CONCATENATE("R2C",'Mapa final'!$S$68),"")</f>
        <v/>
      </c>
      <c r="N40" s="54" t="str">
        <f>IF(AND('Mapa final'!$AJ$69="Media",'Mapa final'!$AL$69="Leve"),CONCATENATE("R2C",'Mapa final'!$S$69),"")</f>
        <v/>
      </c>
      <c r="O40" s="54" t="str">
        <f>IF(AND('Mapa final'!$AJ$70="Media",'Mapa final'!$AL$70="Leve"),CONCATENATE("R2C",'Mapa final'!$S$70),"")</f>
        <v/>
      </c>
      <c r="P40" s="55" t="str">
        <f>IF(AND('Mapa final'!$AJ$71="Media",'Mapa final'!$AL$71="Leve"),CONCATENATE("R2C",'Mapa final'!$S$71),"")</f>
        <v/>
      </c>
      <c r="Q40" s="53" t="str">
        <f>IF(AND('Mapa final'!$AJ$66="Media",'Mapa final'!$AL$66="Menor"),CONCATENATE("R2C",'Mapa final'!$S$66),"")</f>
        <v/>
      </c>
      <c r="R40" s="54" t="str">
        <f>IF(AND('Mapa final'!$AJ$67="Media",'Mapa final'!$AL$67="Menor"),CONCATENATE("R2C",'Mapa final'!$S$67),"")</f>
        <v/>
      </c>
      <c r="S40" s="54" t="str">
        <f>IF(AND('Mapa final'!$AJ$68="Media",'Mapa final'!$AL$68="Menor"),CONCATENATE("R2C",'Mapa final'!$S$68),"")</f>
        <v/>
      </c>
      <c r="T40" s="54" t="str">
        <f>IF(AND('Mapa final'!$AJ$69="Media",'Mapa final'!$AL$69="Menor"),CONCATENATE("R2C",'Mapa final'!$S$69),"")</f>
        <v/>
      </c>
      <c r="U40" s="54" t="str">
        <f>IF(AND('Mapa final'!$AJ$70="Media",'Mapa final'!$AL$70="Menor"),CONCATENATE("R2C",'Mapa final'!$S$70),"")</f>
        <v/>
      </c>
      <c r="V40" s="55" t="str">
        <f>IF(AND('Mapa final'!$AJ$71="Media",'Mapa final'!$AL$71="Menor"),CONCATENATE("R2C",'Mapa final'!$S$71),"")</f>
        <v/>
      </c>
      <c r="W40" s="53" t="str">
        <f>IF(AND('Mapa final'!$AJ$66="Media",'Mapa final'!$AL$66="Moderado"),CONCATENATE("R2C",'Mapa final'!$S$66),"")</f>
        <v/>
      </c>
      <c r="X40" s="54" t="str">
        <f>IF(AND('Mapa final'!$AJ$67="Media",'Mapa final'!$AL$67="Moderado"),CONCATENATE("R2C",'Mapa final'!$S$67),"")</f>
        <v/>
      </c>
      <c r="Y40" s="54" t="str">
        <f>IF(AND('Mapa final'!$AJ$68="Media",'Mapa final'!$AL$68="Moderado"),CONCATENATE("R2C",'Mapa final'!$S$68),"")</f>
        <v/>
      </c>
      <c r="Z40" s="54" t="str">
        <f>IF(AND('Mapa final'!$AJ$69="Media",'Mapa final'!$AL$69="Moderado"),CONCATENATE("R2C",'Mapa final'!$S$69),"")</f>
        <v/>
      </c>
      <c r="AA40" s="54" t="str">
        <f>IF(AND('Mapa final'!$AJ$70="Media",'Mapa final'!$AL$70="Moderado"),CONCATENATE("R2C",'Mapa final'!$S$70),"")</f>
        <v/>
      </c>
      <c r="AB40" s="55" t="str">
        <f>IF(AND('Mapa final'!$AJ$71="Media",'Mapa final'!$AL$71="Moderado"),CONCATENATE("R2C",'Mapa final'!$S$71),"")</f>
        <v/>
      </c>
      <c r="AC40" s="38" t="str">
        <f>IF(AND('Mapa final'!$AJ$66="Media",'Mapa final'!$AL$66="Mayor"),CONCATENATE("R2C",'Mapa final'!$S$66),"")</f>
        <v/>
      </c>
      <c r="AD40" s="39" t="str">
        <f>IF(AND('Mapa final'!$AJ$67="Media",'Mapa final'!$AL$67="Mayor"),CONCATENATE("R2C",'Mapa final'!$S$67),"")</f>
        <v/>
      </c>
      <c r="AE40" s="39" t="str">
        <f>IF(AND('Mapa final'!$AJ$68="Media",'Mapa final'!$AL$68="Mayor"),CONCATENATE("R2C",'Mapa final'!$S$68),"")</f>
        <v/>
      </c>
      <c r="AF40" s="39" t="str">
        <f>IF(AND('Mapa final'!$AJ$69="Media",'Mapa final'!$AL$69="Mayor"),CONCATENATE("R2C",'Mapa final'!$S$69),"")</f>
        <v/>
      </c>
      <c r="AG40" s="39" t="str">
        <f>IF(AND('Mapa final'!$AJ$70="Media",'Mapa final'!$AL$70="Mayor"),CONCATENATE("R2C",'Mapa final'!$S$70),"")</f>
        <v/>
      </c>
      <c r="AH40" s="40" t="str">
        <f>IF(AND('Mapa final'!$AJ$71="Media",'Mapa final'!$AL$71="Mayor"),CONCATENATE("R2C",'Mapa final'!$S$71),"")</f>
        <v/>
      </c>
      <c r="AI40" s="41" t="str">
        <f>IF(AND('Mapa final'!$AJ$66="Media",'Mapa final'!$AL$66="Catastrófico"),CONCATENATE("R2C",'Mapa final'!$S$66),"")</f>
        <v/>
      </c>
      <c r="AJ40" s="42" t="str">
        <f>IF(AND('Mapa final'!$AJ$67="Media",'Mapa final'!$AL$67="Catastrófico"),CONCATENATE("R2C",'Mapa final'!$S$67),"")</f>
        <v/>
      </c>
      <c r="AK40" s="42" t="str">
        <f>IF(AND('Mapa final'!$AJ$68="Media",'Mapa final'!$AL$68="Catastrófico"),CONCATENATE("R2C",'Mapa final'!$S$68),"")</f>
        <v/>
      </c>
      <c r="AL40" s="42" t="str">
        <f>IF(AND('Mapa final'!$AJ$69="Media",'Mapa final'!$AL$69="Catastrófico"),CONCATENATE("R2C",'Mapa final'!$S$69),"")</f>
        <v/>
      </c>
      <c r="AM40" s="42" t="str">
        <f>IF(AND('Mapa final'!$AJ$70="Media",'Mapa final'!$AL$70="Catastrófico"),CONCATENATE("R2C",'Mapa final'!$S$70),"")</f>
        <v/>
      </c>
      <c r="AN40" s="43" t="str">
        <f>IF(AND('Mapa final'!$AJ$71="Media",'Mapa final'!$AL$71="Catastrófico"),CONCATENATE("R2C",'Mapa final'!$S$71),"")</f>
        <v/>
      </c>
      <c r="AO40" s="69"/>
      <c r="AP40" s="496"/>
      <c r="AQ40" s="497"/>
      <c r="AR40" s="497"/>
      <c r="AS40" s="497"/>
      <c r="AT40" s="497"/>
      <c r="AU40" s="498"/>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60"/>
      <c r="D41" s="360"/>
      <c r="E41" s="361"/>
      <c r="F41" s="458"/>
      <c r="G41" s="459"/>
      <c r="H41" s="459"/>
      <c r="I41" s="459"/>
      <c r="J41" s="460"/>
      <c r="K41" s="53" t="str">
        <f>IF(AND('Mapa final'!$AJ$72="Media",'Mapa final'!$AL$72="Leve"),CONCATENATE("R2C",'Mapa final'!$S$72),"")</f>
        <v/>
      </c>
      <c r="L41" s="54" t="str">
        <f>IF(AND('Mapa final'!$AJ$73="Media",'Mapa final'!$AL$73="Leve"),CONCATENATE("R2C",'Mapa final'!$S$73),"")</f>
        <v/>
      </c>
      <c r="M41" s="54" t="str">
        <f>IF(AND('Mapa final'!$AJ$74="Media",'Mapa final'!$AL$74="Leve"),CONCATENATE("R2C",'Mapa final'!$S$74),"")</f>
        <v/>
      </c>
      <c r="N41" s="54" t="str">
        <f>IF(AND('Mapa final'!$AJ$75="Media",'Mapa final'!$AL$75="Leve"),CONCATENATE("R2C",'Mapa final'!$S$75),"")</f>
        <v/>
      </c>
      <c r="O41" s="54" t="str">
        <f>IF(AND('Mapa final'!$AJ$77="Media",'Mapa final'!$AL$77="Leve"),CONCATENATE("R2C",'Mapa final'!$S$77),"")</f>
        <v/>
      </c>
      <c r="P41" s="55" t="str">
        <f>IF(AND('Mapa final'!$AJ$78="Media",'Mapa final'!$AL$78="Leve"),CONCATENATE("R2C",'Mapa final'!$S$78),"")</f>
        <v/>
      </c>
      <c r="Q41" s="53" t="str">
        <f>IF(AND('Mapa final'!$AJ$72="Media",'Mapa final'!$AL$72="Menor"),CONCATENATE("R2C",'Mapa final'!$S$72),"")</f>
        <v/>
      </c>
      <c r="R41" s="54" t="str">
        <f>IF(AND('Mapa final'!$AJ$73="Media",'Mapa final'!$AL$73="Menor"),CONCATENATE("R2C",'Mapa final'!$S$73),"")</f>
        <v/>
      </c>
      <c r="S41" s="54" t="str">
        <f>IF(AND('Mapa final'!$AJ$74="Media",'Mapa final'!$AL$74="Menor"),CONCATENATE("R2C",'Mapa final'!$S$74),"")</f>
        <v/>
      </c>
      <c r="T41" s="54" t="str">
        <f>IF(AND('Mapa final'!$AJ$75="Media",'Mapa final'!$AL$75="Menor"),CONCATENATE("R2C",'Mapa final'!$S$75),"")</f>
        <v/>
      </c>
      <c r="U41" s="54" t="str">
        <f>IF(AND('Mapa final'!$AJ$77="Media",'Mapa final'!$AL$77="Menor"),CONCATENATE("R2C",'Mapa final'!$S$77),"")</f>
        <v/>
      </c>
      <c r="V41" s="55" t="str">
        <f>IF(AND('Mapa final'!$AJ$78="Media",'Mapa final'!$AL$78="Menor"),CONCATENATE("R2C",'Mapa final'!$S$78),"")</f>
        <v/>
      </c>
      <c r="W41" s="53" t="str">
        <f>IF(AND('Mapa final'!$AJ$72="Media",'Mapa final'!$AL$72="Moderado"),CONCATENATE("R2C",'Mapa final'!$S$72),"")</f>
        <v/>
      </c>
      <c r="X41" s="54" t="str">
        <f>IF(AND('Mapa final'!$AJ$73="Media",'Mapa final'!$AL$73="Moderado"),CONCATENATE("R2C",'Mapa final'!$S$73),"")</f>
        <v/>
      </c>
      <c r="Y41" s="54" t="str">
        <f>IF(AND('Mapa final'!$AJ$74="Media",'Mapa final'!$AL$74="Moderado"),CONCATENATE("R2C",'Mapa final'!$S$74),"")</f>
        <v/>
      </c>
      <c r="Z41" s="54" t="str">
        <f>IF(AND('Mapa final'!$AJ$75="Media",'Mapa final'!$AL$75="Moderado"),CONCATENATE("R2C",'Mapa final'!$S$75),"")</f>
        <v/>
      </c>
      <c r="AA41" s="54" t="str">
        <f>IF(AND('Mapa final'!$AJ$77="Media",'Mapa final'!$AL$77="Moderado"),CONCATENATE("R2C",'Mapa final'!$S$77),"")</f>
        <v/>
      </c>
      <c r="AB41" s="55" t="str">
        <f>IF(AND('Mapa final'!$AJ$78="Media",'Mapa final'!$AL$78="Moderado"),CONCATENATE("R2C",'Mapa final'!$S$78),"")</f>
        <v/>
      </c>
      <c r="AC41" s="38" t="str">
        <f>IF(AND('Mapa final'!$AJ$72="Media",'Mapa final'!$AL$72="Mayor"),CONCATENATE("R2C",'Mapa final'!$S$72),"")</f>
        <v/>
      </c>
      <c r="AD41" s="178" t="str">
        <f>IF(AND('Mapa final'!$AJ$73="Media",'Mapa final'!$AL$73="Mayor"),CONCATENATE("R2C",'Mapa final'!$S$73),"")</f>
        <v/>
      </c>
      <c r="AE41" s="178" t="str">
        <f>IF(AND('Mapa final'!$AJ$74="Media",'Mapa final'!$AL$74="Mayor"),CONCATENATE("R2C",'Mapa final'!$S$74),"")</f>
        <v/>
      </c>
      <c r="AF41" s="178" t="str">
        <f>IF(AND('Mapa final'!$AJ$75="Media",'Mapa final'!$AL$75="Mayor"),CONCATENATE("R2C",'Mapa final'!$S$75),"")</f>
        <v/>
      </c>
      <c r="AG41" s="178" t="str">
        <f>IF(AND('Mapa final'!$AJ$77="Media",'Mapa final'!$AL$77="Mayor"),CONCATENATE("R2C",'Mapa final'!$S$77),"")</f>
        <v/>
      </c>
      <c r="AH41" s="40" t="str">
        <f>IF(AND('Mapa final'!$AJ$78="Media",'Mapa final'!$AL$78="Mayor"),CONCATENATE("R2C",'Mapa final'!$S$78),"")</f>
        <v/>
      </c>
      <c r="AI41" s="47" t="str">
        <f>IF(AND('Mapa final'!$AJ$72="Media",'Mapa final'!$AL$72="Catastrófico"),CONCATENATE("R2C",'Mapa final'!$S$72),"")</f>
        <v/>
      </c>
      <c r="AJ41" s="48" t="str">
        <f>IF(AND('Mapa final'!$AJ$73="Media",'Mapa final'!$AL$73="Catastrófico"),CONCATENATE("R2C",'Mapa final'!$S$73),"")</f>
        <v/>
      </c>
      <c r="AK41" s="48" t="str">
        <f>IF(AND('Mapa final'!$AJ$74="Media",'Mapa final'!$AL$74="Catastrófico"),CONCATENATE("R2C",'Mapa final'!$S$74),"")</f>
        <v/>
      </c>
      <c r="AL41" s="48" t="str">
        <f>IF(AND('Mapa final'!$AJ$75="Media",'Mapa final'!$AL$75="Catastrófico"),CONCATENATE("R2C",'Mapa final'!$S$75),"")</f>
        <v/>
      </c>
      <c r="AM41" s="48" t="str">
        <f>IF(AND('Mapa final'!$AJ$77="Media",'Mapa final'!$AL$77="Catastrófico"),CONCATENATE("R2C",'Mapa final'!$S$77),"")</f>
        <v/>
      </c>
      <c r="AN41" s="49" t="str">
        <f>IF(AND('Mapa final'!$AJ$78="Muy Alta",'Mapa final'!$AL$78="Catastrófico"),CONCATENATE("R2C",'Mapa final'!$S$78),"")</f>
        <v/>
      </c>
      <c r="AO41" s="69"/>
      <c r="AP41" s="499"/>
      <c r="AQ41" s="500"/>
      <c r="AR41" s="500"/>
      <c r="AS41" s="500"/>
      <c r="AT41" s="500"/>
      <c r="AU41" s="501"/>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60"/>
      <c r="D42" s="360"/>
      <c r="E42" s="361"/>
      <c r="F42" s="452" t="s">
        <v>113</v>
      </c>
      <c r="G42" s="453"/>
      <c r="H42" s="453"/>
      <c r="I42" s="453"/>
      <c r="J42" s="453"/>
      <c r="K42" s="59" t="str">
        <f ca="1">IF(AND('Mapa final'!$AJ$15="Baja",'Mapa final'!$AL$15="Leve"),CONCATENATE("R2C",'Mapa final'!$S$15),"")</f>
        <v/>
      </c>
      <c r="L42" s="60" t="str">
        <f ca="1">IF(AND('Mapa final'!$AJ$19="Baja",'Mapa final'!$AL$19="Leve"),CONCATENATE("R2C",'Mapa final'!$D$19),"")</f>
        <v/>
      </c>
      <c r="M42" s="60" t="str">
        <f ca="1">IF(AND('Mapa final'!$AJ$20="Baja",'Mapa final'!$AL$20="Leve"),CONCATENATE("R2C",'Mapa final'!$S$20),"")</f>
        <v/>
      </c>
      <c r="N42" s="60" t="str">
        <f ca="1">IF(AND('Mapa final'!$AJ$20="Baja",'Mapa final'!$AL$20="Leve"),CONCATENATE("R2C",'Mapa final'!$S$20),"")</f>
        <v/>
      </c>
      <c r="O42" s="60" t="str">
        <f ca="1">IF(AND('Mapa final'!$AJ$22="Baja",'Mapa final'!$AL$22="Leve"),CONCATENATE("R2C",'Mapa final'!$S$22),"")</f>
        <v/>
      </c>
      <c r="P42" s="61" t="str">
        <f ca="1">IF(AND('Mapa final'!$AJ$23="Baja",'Mapa final'!$AL$23="Leve"),CONCATENATE("R2C",'Mapa final'!$S$23),"")</f>
        <v/>
      </c>
      <c r="Q42" s="50" t="str">
        <f ca="1">IF(AND('Mapa final'!$AJ$15="Baja",'Mapa final'!$AL$15="Menor"),CONCATENATE("R2C",'Mapa final'!$S$15),"")</f>
        <v/>
      </c>
      <c r="R42" s="51" t="str">
        <f ca="1">IF(AND('Mapa final'!$AJ$16="Baja",'Mapa final'!$AL$16="Menore"),CONCATENATE("R2C",'Mapa final'!$S$16),"")</f>
        <v/>
      </c>
      <c r="S42" s="51" t="str">
        <f ca="1">IF(AND('Mapa final'!$AJ$19="Baja",'Mapa final'!$AL$19="Menor"),CONCATENATE("R2C",'Mapa final'!$S$19),"")</f>
        <v/>
      </c>
      <c r="T42" s="51" t="str">
        <f ca="1">IF(AND('Mapa final'!$AJ$20="Baja",'Mapa final'!$AL$20="Menor"),CONCATENATE("R2C",'Mapa final'!$S$20),"")</f>
        <v/>
      </c>
      <c r="U42" s="51" t="str">
        <f ca="1">IF(AND('Mapa final'!$AJ$22="Baja",'Mapa final'!$AL$22="Menor"),CONCATENATE("R2C",'Mapa final'!$S$22),"")</f>
        <v/>
      </c>
      <c r="V42" s="52" t="str">
        <f ca="1">IF(AND('Mapa final'!$AJ$23="Baja",'Mapa final'!$AL$23="Menor"),CONCATENATE("R2C",'Mapa final'!$S$23),"")</f>
        <v/>
      </c>
      <c r="W42" s="50" t="str">
        <f ca="1">IF(AND('Mapa final'!$AJ$15="Baja",'Mapa final'!$AL$15="Moderado"),CONCATENATE("R2C",'Mapa final'!$D$15),"")</f>
        <v>R2C1</v>
      </c>
      <c r="X42" s="51"/>
      <c r="Y42" s="51" t="str">
        <f ca="1">IF(AND('Mapa final'!$AJ$19="Baja",'Mapa final'!$AL$19="Moderado"),CONCATENATE("R2C",'Mapa final'!$D$19),"")</f>
        <v>R2C2</v>
      </c>
      <c r="Z42" s="51"/>
      <c r="AA42" s="51" t="str">
        <f ca="1">IF(AND('Mapa final'!$AJ$22="Baja",'Mapa final'!$AL$22="Moderado"),CONCATENATE("R2C",'Mapa final'!$D$22),"")</f>
        <v/>
      </c>
      <c r="AB42" s="51"/>
      <c r="AC42" s="32" t="str">
        <f ca="1">IF(AND('Mapa final'!$AJ$15="Baja",'Mapa final'!$AL$15="Mayor"),CONCATENATE("R2C",'Mapa final'!$D$15),"")</f>
        <v/>
      </c>
      <c r="AD42" s="33" t="str">
        <f ca="1">IF(AND('Mapa final'!$AJ$16="Baja",'Mapa final'!$AL$16="Mayor"),CONCATENATE("R2C",'Mapa final'!$S$16),"")</f>
        <v/>
      </c>
      <c r="AE42" s="33" t="str">
        <f ca="1">IF(AND('Mapa final'!$AJ$19="Baja",'Mapa final'!$AL$19="Mayor"),CONCATENATE("R2C",'Mapa final'!$D$19),"")</f>
        <v/>
      </c>
      <c r="AF42" s="33" t="str">
        <f ca="1">IF(AND('Mapa final'!$AJ$19="Baja",'Mapa final'!$AL$19="Mayor"),CONCATENATE("R2C",'Mapa final'!$D$19),"")</f>
        <v/>
      </c>
      <c r="AG42" s="33" t="str">
        <f ca="1">IF(AND('Mapa final'!$AJ$22="Baja",'Mapa final'!$AL$22="Mayor"),CONCATENATE("R2C",'Mapa final'!$D$22),"")</f>
        <v>R2C3</v>
      </c>
      <c r="AH42" s="34"/>
      <c r="AI42" s="35" t="str">
        <f ca="1">IF(AND('Mapa final'!$AJ$15="Baja",'Mapa final'!$AL$15="Catastrófico"),CONCATENATE("R2C",'Mapa final'!$S$15),"")</f>
        <v/>
      </c>
      <c r="AJ42" s="36" t="str">
        <f ca="1">IF(AND('Mapa final'!$AJ$16="Baja",'Mapa final'!$AL$16="Catastrófico"),CONCATENATE("R2C",'Mapa final'!$S$16),"")</f>
        <v/>
      </c>
      <c r="AK42" s="36" t="str">
        <f ca="1">IF(AND('Mapa final'!$AJ$19="Baja",'Mapa final'!$AL$19="Catastrófico"),CONCATENATE("R2C",'Mapa final'!$S$19),"")</f>
        <v/>
      </c>
      <c r="AL42" s="36" t="str">
        <f ca="1">IF(AND('Mapa final'!$AJ$20="Baja",'Mapa final'!$AL$20="Catastrófico"),CONCATENATE("R2C",'Mapa final'!$S$20),"")</f>
        <v/>
      </c>
      <c r="AM42" s="36" t="str">
        <f ca="1">IF(AND('Mapa final'!$AJ$22="Baja",'Mapa final'!$AL$22="Catastrófico"),CONCATENATE("R2C",'Mapa final'!$S$22),"")</f>
        <v/>
      </c>
      <c r="AN42" s="37" t="str">
        <f ca="1">IF(AND('Mapa final'!$AJ$23="Baja",'Mapa final'!$AL$23="Catastrófico"),CONCATENATE("R2C",'Mapa final'!$S$23),"")</f>
        <v/>
      </c>
      <c r="AO42" s="69"/>
      <c r="AP42" s="484" t="s">
        <v>81</v>
      </c>
      <c r="AQ42" s="485"/>
      <c r="AR42" s="485"/>
      <c r="AS42" s="485"/>
      <c r="AT42" s="485"/>
      <c r="AU42" s="486"/>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60"/>
      <c r="D43" s="360"/>
      <c r="E43" s="361"/>
      <c r="F43" s="470"/>
      <c r="G43" s="456"/>
      <c r="H43" s="456"/>
      <c r="I43" s="456"/>
      <c r="J43" s="456"/>
      <c r="K43" s="62" t="str">
        <f ca="1">IF(AND('Mapa final'!$AJ$24="Baja",'Mapa final'!$AL$24="Leve"),CONCATENATE("R2C",'Mapa final'!$S$24),"")</f>
        <v/>
      </c>
      <c r="L43" s="63" t="str">
        <f ca="1">IF(AND('Mapa final'!$AJ$25="Baja",'Mapa final'!$AL$25="Leve"),CONCATENATE("R2C",'Mapa final'!$D$25),"")</f>
        <v>R2C5</v>
      </c>
      <c r="M43" s="63" t="str">
        <f>IF(AND('Mapa final'!$AJ$26="Baja",'Mapa final'!$AL$26="Leve"),CONCATENATE("R2C",'Mapa final'!$S$26),"")</f>
        <v/>
      </c>
      <c r="N43" s="63" t="str">
        <f>IF(AND('Mapa final'!$AJ$27="Baja",'Mapa final'!$AL$27="Leve"),CONCATENATE("R2C",'Mapa final'!$S$27),"")</f>
        <v/>
      </c>
      <c r="O43" s="63" t="str">
        <f>IF(AND('Mapa final'!$AJ$28="Baja",'Mapa final'!$AL$28="Leve"),CONCATENATE("R2C",'Mapa final'!$S$28),"")</f>
        <v/>
      </c>
      <c r="P43" s="64" t="str">
        <f>IF(AND('Mapa final'!$AJ$29="Baja",'Mapa final'!$AL$29="Leve"),CONCATENATE("R2C",'Mapa final'!$S$29),"")</f>
        <v/>
      </c>
      <c r="Q43" s="53" t="str">
        <f ca="1">IF(AND('Mapa final'!$AJ$24="Baja",'Mapa final'!$AL$24="Menor"),CONCATENATE("R2C",'Mapa final'!$S$24),"")</f>
        <v/>
      </c>
      <c r="R43" s="54" t="str">
        <f ca="1">IF(AND('Mapa final'!$AJ$25="Baja",'Mapa final'!$AL$25="Menor"),CONCATENATE("R2C",'Mapa final'!$S$25),"")</f>
        <v/>
      </c>
      <c r="S43" s="54" t="str">
        <f>IF(AND('Mapa final'!$AJ$26="Baja",'Mapa final'!$AL$26="Menor"),CONCATENATE("R2C",'Mapa final'!$S$26),"")</f>
        <v/>
      </c>
      <c r="T43" s="54" t="str">
        <f>IF(AND('Mapa final'!$AJ$27="Baja",'Mapa final'!$AL$27="Menor"),CONCATENATE("R2C",'Mapa final'!$S$27),"")</f>
        <v/>
      </c>
      <c r="U43" s="54" t="str">
        <f>IF(AND('Mapa final'!$AJ$28="Baja",'Mapa final'!$AL$28="Menor"),CONCATENATE("R2C",'Mapa final'!$S$28),"")</f>
        <v/>
      </c>
      <c r="V43" s="55" t="str">
        <f>IF(AND('Mapa final'!$AJ$29="Baja",'Mapa final'!$AL$29="Menor"),CONCATENATE("R2C",'Mapa final'!$S$29),"")</f>
        <v/>
      </c>
      <c r="W43" s="53" t="str">
        <f ca="1">IF(AND('Mapa final'!$AJ$24="Baja",'Mapa final'!$AL$24="Moderado"),CONCATENATE("R2C",'Mapa final'!$D$24),"")</f>
        <v>R2C4</v>
      </c>
      <c r="X43" s="54" t="str">
        <f ca="1">IF(AND('Mapa final'!$AJ$25="Baja",'Mapa final'!$AL$25="Moderado"),CONCATENATE("R2C",'Mapa final'!$S$25),"")</f>
        <v/>
      </c>
      <c r="Y43" s="54" t="str">
        <f>IF(AND('Mapa final'!$AJ$26="Baja",'Mapa final'!$AL$26="Moderado"),CONCATENATE("R2C",'Mapa final'!$S$26),"")</f>
        <v/>
      </c>
      <c r="Z43" s="54" t="str">
        <f>IF(AND('Mapa final'!$AJ$27="Baja",'Mapa final'!$AL$27="Moderado"),CONCATENATE("R2C",'Mapa final'!$S$27),"")</f>
        <v/>
      </c>
      <c r="AA43" s="54" t="str">
        <f>IF(AND('Mapa final'!$AJ$28="Baja",'Mapa final'!$AL$28="Moderado"),CONCATENATE("R2C",'Mapa final'!$S$28),"")</f>
        <v/>
      </c>
      <c r="AB43" s="55" t="str">
        <f>IF(AND('Mapa final'!$AJ$29="Baja",'Mapa final'!$AL$29="Moderado"),CONCATENATE("R2C",'Mapa final'!$S$29),"")</f>
        <v/>
      </c>
      <c r="AC43" s="38" t="str">
        <f ca="1">IF(AND('Mapa final'!$AJ$24="Baja",'Mapa final'!$AL$24="Mayor"),CONCATENATE("R2C",'Mapa final'!$S$24),"")</f>
        <v/>
      </c>
      <c r="AD43" s="178" t="str">
        <f ca="1">IF(AND('Mapa final'!$AJ$25="Baja",'Mapa final'!$AL$25="Mayor"),CONCATENATE("R2C",'Mapa final'!$S$25),"")</f>
        <v/>
      </c>
      <c r="AE43" s="178" t="str">
        <f>IF(AND('Mapa final'!$AJ$26="Baja",'Mapa final'!$AL$26="Mayor"),CONCATENATE("R2C",'Mapa final'!$S$26),"")</f>
        <v/>
      </c>
      <c r="AF43" s="178" t="str">
        <f>IF(AND('Mapa final'!$AJ$27="Baja",'Mapa final'!$AL$27="Mayor"),CONCATENATE("R2C",'Mapa final'!$S$27),"")</f>
        <v/>
      </c>
      <c r="AG43" s="178" t="str">
        <f>IF(AND('Mapa final'!$AJ$28="Baja",'Mapa final'!$AL$28="Mayor"),CONCATENATE("R2C",'Mapa final'!$S$28),"")</f>
        <v/>
      </c>
      <c r="AH43" s="40" t="str">
        <f>IF(AND('Mapa final'!$AJ$29="Baja",'Mapa final'!$AL$29="Mayor"),CONCATENATE("R2C",'Mapa final'!$S$29),"")</f>
        <v/>
      </c>
      <c r="AI43" s="41" t="str">
        <f ca="1">IF(AND('Mapa final'!$AJ$24="Baja",'Mapa final'!$AL$24="Catastrófico"),CONCATENATE("R2C",'Mapa final'!$S$24),"")</f>
        <v/>
      </c>
      <c r="AJ43" s="42" t="str">
        <f ca="1">IF(AND('Mapa final'!$AJ$25="Baja",'Mapa final'!$AL$25="Catastrófico"),CONCATENATE("R2C",'Mapa final'!$S$25),"")</f>
        <v/>
      </c>
      <c r="AK43" s="42" t="str">
        <f>IF(AND('Mapa final'!$AJ$26="Baja",'Mapa final'!$AL$26="Catastrófico"),CONCATENATE("R2C",'Mapa final'!$S$26),"")</f>
        <v/>
      </c>
      <c r="AL43" s="42" t="str">
        <f>IF(AND('Mapa final'!$AJ$27="Baja",'Mapa final'!$AL$27="Catastrófico"),CONCATENATE("R2C",'Mapa final'!$S$27),"")</f>
        <v/>
      </c>
      <c r="AM43" s="42" t="str">
        <f>IF(AND('Mapa final'!$AJ$28="Baja",'Mapa final'!$AL$28="Catastrófico"),CONCATENATE("R2C",'Mapa final'!$S$28),"")</f>
        <v/>
      </c>
      <c r="AN43" s="43" t="str">
        <f>IF(AND('Mapa final'!$AJ$29="Baja",'Mapa final'!$AL$29="Catastrófico"),CONCATENATE("R2C",'Mapa final'!$S$29),"")</f>
        <v/>
      </c>
      <c r="AO43" s="69"/>
      <c r="AP43" s="487"/>
      <c r="AQ43" s="488"/>
      <c r="AR43" s="488"/>
      <c r="AS43" s="488"/>
      <c r="AT43" s="488"/>
      <c r="AU43" s="48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60"/>
      <c r="D44" s="360"/>
      <c r="E44" s="361"/>
      <c r="F44" s="455"/>
      <c r="G44" s="456"/>
      <c r="H44" s="456"/>
      <c r="I44" s="456"/>
      <c r="J44" s="456"/>
      <c r="K44" s="62" t="str">
        <f>IF(AND('Mapa final'!$AJ$30="Baja",'Mapa final'!$AL$30="Leve"),CONCATENATE("R2C",'Mapa final'!$S$30),"")</f>
        <v/>
      </c>
      <c r="L44" s="63" t="str">
        <f>IF(AND('Mapa final'!$AJ$31="Baja",'Mapa final'!$AL$31="Leve"),CONCATENATE("R2C",'Mapa final'!$S$31),"")</f>
        <v/>
      </c>
      <c r="M44" s="63" t="str">
        <f>IF(AND('Mapa final'!$AJ$32="Baja",'Mapa final'!$AL$32="Leve"),CONCATENATE("R2C",'Mapa final'!$S$32),"")</f>
        <v/>
      </c>
      <c r="N44" s="63" t="str">
        <f>IF(AND('Mapa final'!$AJ$33="Baja",'Mapa final'!$AL$33="Leve"),CONCATENATE("R2C",'Mapa final'!$S$33),"")</f>
        <v/>
      </c>
      <c r="O44" s="63" t="str">
        <f>IF(AND('Mapa final'!$AJ$34="Baja",'Mapa final'!$AL$34="Leve"),CONCATENATE("R2C",'Mapa final'!$S$34),"")</f>
        <v/>
      </c>
      <c r="P44" s="64" t="str">
        <f>IF(AND('Mapa final'!$AJ$35="Baja",'Mapa final'!$AL$35="Leve"),CONCATENATE("R2C",'Mapa final'!$S$35),"")</f>
        <v/>
      </c>
      <c r="Q44" s="53" t="str">
        <f>IF(AND('Mapa final'!$AJ$30="Baja",'Mapa final'!$AL$30="Menor"),CONCATENATE("R2C",'Mapa final'!$S$30),"")</f>
        <v/>
      </c>
      <c r="R44" s="54" t="str">
        <f>IF(AND('Mapa final'!$AJ$31="Baja",'Mapa final'!$AL$31="Menor"),CONCATENATE("R2C",'Mapa final'!$S$31),"")</f>
        <v/>
      </c>
      <c r="S44" s="54" t="str">
        <f>IF(AND('Mapa final'!$AJ$32="Baja",'Mapa final'!$AL$32="Menor"),CONCATENATE("R2C",'Mapa final'!$S$32),"")</f>
        <v/>
      </c>
      <c r="T44" s="54" t="str">
        <f>IF(AND('Mapa final'!$AJ$33="Baja",'Mapa final'!$AL$33="Menor"),CONCATENATE("R2C",'Mapa final'!$S$33),"")</f>
        <v/>
      </c>
      <c r="U44" s="54" t="str">
        <f>IF(AND('Mapa final'!$AJ$34="Baja",'Mapa final'!$AL$34="Menor"),CONCATENATE("R2C",'Mapa final'!$S$34),"")</f>
        <v/>
      </c>
      <c r="V44" s="55" t="str">
        <f>IF(AND('Mapa final'!$AJ$35="Baja",'Mapa final'!$AL$35="Menor"),CONCATENATE("R2C",'Mapa final'!$S$35),"")</f>
        <v/>
      </c>
      <c r="W44" s="53" t="str">
        <f>IF(AND('Mapa final'!$AJ$30="Baja",'Mapa final'!$AL$30="Moderado"),CONCATENATE("R2C",'Mapa final'!$S$30),"")</f>
        <v/>
      </c>
      <c r="X44" s="54" t="str">
        <f>IF(AND('Mapa final'!$AJ$31="Baja",'Mapa final'!$AL$31="Moderado"),CONCATENATE("R2C",'Mapa final'!$S$31),"")</f>
        <v/>
      </c>
      <c r="Y44" s="54" t="str">
        <f>IF(AND('Mapa final'!$AJ$32="Baja",'Mapa final'!$AL$32="Moderado"),CONCATENATE("R2C",'Mapa final'!$S$32),"")</f>
        <v/>
      </c>
      <c r="Z44" s="54" t="str">
        <f>IF(AND('Mapa final'!$AJ$33="Baja",'Mapa final'!$AL$33="Moderado"),CONCATENATE("R2C",'Mapa final'!$S$33),"")</f>
        <v/>
      </c>
      <c r="AA44" s="54" t="str">
        <f>IF(AND('Mapa final'!$AJ$34="Baja",'Mapa final'!$AL$34="Moderado"),CONCATENATE("R2C",'Mapa final'!$S$34),"")</f>
        <v/>
      </c>
      <c r="AB44" s="55" t="str">
        <f>IF(AND('Mapa final'!$AJ$35="Baja",'Mapa final'!$AL$35="Moderado"),CONCATENATE("R2C",'Mapa final'!$S$35),"")</f>
        <v/>
      </c>
      <c r="AC44" s="38" t="str">
        <f>IF(AND('Mapa final'!$AJ$30="Baja",'Mapa final'!$AL$30="Mayor"),CONCATENATE("R2C",'Mapa final'!$S$30),"")</f>
        <v/>
      </c>
      <c r="AD44" s="178" t="str">
        <f>IF(AND('Mapa final'!$AJ$31="Baja",'Mapa final'!$AL$31="Mayor"),CONCATENATE("R2C",'Mapa final'!$S$31),"")</f>
        <v/>
      </c>
      <c r="AE44" s="178" t="str">
        <f>IF(AND('Mapa final'!$AJ$32="Baja",'Mapa final'!$AL$32="Mayor"),CONCATENATE("R2C",'Mapa final'!$S$32),"")</f>
        <v/>
      </c>
      <c r="AF44" s="178" t="str">
        <f>IF(AND('Mapa final'!$AJ$33="Baja",'Mapa final'!$AL$33="Mayor"),CONCATENATE("R2C",'Mapa final'!$S$33),"")</f>
        <v/>
      </c>
      <c r="AG44" s="178" t="str">
        <f>IF(AND('Mapa final'!$AJ$34="Baja",'Mapa final'!$AL$34="Mayor"),CONCATENATE("R2C",'Mapa final'!$S$34),"")</f>
        <v/>
      </c>
      <c r="AH44" s="40" t="str">
        <f>IF(AND('Mapa final'!$AJ$35="Baja",'Mapa final'!$AL$35="Mayor"),CONCATENATE("R2C",'Mapa final'!$S$35),"")</f>
        <v/>
      </c>
      <c r="AI44" s="41" t="str">
        <f>IF(AND('Mapa final'!$AJ$30="Baja",'Mapa final'!$AL$30="Catastrófico"),CONCATENATE("R2C",'Mapa final'!$S$30),"")</f>
        <v/>
      </c>
      <c r="AJ44" s="42" t="str">
        <f>IF(AND('Mapa final'!$AJ$31="Baja",'Mapa final'!$AL$31="Catastrófico"),CONCATENATE("R2C",'Mapa final'!$S$31),"")</f>
        <v/>
      </c>
      <c r="AK44" s="42" t="str">
        <f>IF(AND('Mapa final'!$AJ$32="Baja",'Mapa final'!$AL$32="Catastrófico"),CONCATENATE("R2C",'Mapa final'!$S$32),"")</f>
        <v/>
      </c>
      <c r="AL44" s="42" t="str">
        <f>IF(AND('Mapa final'!$AJ$33="Baja",'Mapa final'!$AL$33="Catastrófico"),CONCATENATE("R2C",'Mapa final'!$S$33),"")</f>
        <v/>
      </c>
      <c r="AM44" s="42" t="str">
        <f>IF(AND('Mapa final'!$AJ$34="Baja",'Mapa final'!$AL$34="Catastrófico"),CONCATENATE("R2C",'Mapa final'!$S$34),"")</f>
        <v/>
      </c>
      <c r="AN44" s="43" t="str">
        <f>IF(AND('Mapa final'!$AJ$35="Baja",'Mapa final'!$AL$35="Catastrófico"),CONCATENATE("R2C",'Mapa final'!$S$35),"")</f>
        <v/>
      </c>
      <c r="AO44" s="69"/>
      <c r="AP44" s="487"/>
      <c r="AQ44" s="488"/>
      <c r="AR44" s="488"/>
      <c r="AS44" s="488"/>
      <c r="AT44" s="488"/>
      <c r="AU44" s="48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60"/>
      <c r="D45" s="360"/>
      <c r="E45" s="361"/>
      <c r="F45" s="455"/>
      <c r="G45" s="456"/>
      <c r="H45" s="456"/>
      <c r="I45" s="456"/>
      <c r="J45" s="456"/>
      <c r="K45" s="62" t="str">
        <f>IF(AND('Mapa final'!$AJ$36="Baja",'Mapa final'!$AL$36="Leve"),CONCATENATE("R2C",'Mapa final'!$S$36),"")</f>
        <v/>
      </c>
      <c r="L45" s="63" t="str">
        <f>IF(AND('Mapa final'!$AJ$37="Baja",'Mapa final'!$AL$37="Leve"),CONCATENATE("R2C",'Mapa final'!$S$37),"")</f>
        <v/>
      </c>
      <c r="M45" s="63" t="str">
        <f>IF(AND('Mapa final'!$AJ$38="Baja",'Mapa final'!$AL$38="Leve"),CONCATENATE("R2C",'Mapa final'!$S$38),"")</f>
        <v/>
      </c>
      <c r="N45" s="63" t="str">
        <f>IF(AND('Mapa final'!$AJ$39="Baja",'Mapa final'!$AL$39="Leve"),CONCATENATE("R2C",'Mapa final'!$S$39),"")</f>
        <v/>
      </c>
      <c r="O45" s="63" t="str">
        <f>IF(AND('Mapa final'!$AJ$40="Baja",'Mapa final'!$AL$40="Leve"),CONCATENATE("R2C",'Mapa final'!$S$40),"")</f>
        <v/>
      </c>
      <c r="P45" s="64" t="str">
        <f>IF(AND('Mapa final'!$AJ$41="Baja",'Mapa final'!$AL$41="Leve"),CONCATENATE("R2C",'Mapa final'!$S$41),"")</f>
        <v/>
      </c>
      <c r="Q45" s="53" t="str">
        <f>IF(AND('Mapa final'!$AJ$36="Baja",'Mapa final'!$AL$36="Menor"),CONCATENATE("R2C",'Mapa final'!$S$36),"")</f>
        <v/>
      </c>
      <c r="R45" s="54" t="str">
        <f>IF(AND('Mapa final'!$AJ$37="Baja",'Mapa final'!$AL$37="Menor"),CONCATENATE("R2C",'Mapa final'!$S$37),"")</f>
        <v/>
      </c>
      <c r="S45" s="54" t="str">
        <f>IF(AND('Mapa final'!$AJ$38="Baja",'Mapa final'!$AL$38="Menor"),CONCATENATE("R2C",'Mapa final'!$S$38),"")</f>
        <v/>
      </c>
      <c r="T45" s="54" t="str">
        <f>IF(AND('Mapa final'!$AJ$39="Baja",'Mapa final'!$AL$39="Menor"),CONCATENATE("R2C",'Mapa final'!$S$39),"")</f>
        <v/>
      </c>
      <c r="U45" s="54" t="str">
        <f>IF(AND('Mapa final'!$AJ$40="Baja",'Mapa final'!$AL$40="LMenor"),CONCATENATE("R2C",'Mapa final'!$S$40),"")</f>
        <v/>
      </c>
      <c r="V45" s="55" t="str">
        <f>IF(AND('Mapa final'!$AJ$41="Baja",'Mapa final'!$AL$41="Menor"),CONCATENATE("R2C",'Mapa final'!$S$41),"")</f>
        <v/>
      </c>
      <c r="W45" s="53" t="str">
        <f>IF(AND('Mapa final'!$AJ$36="Baja",'Mapa final'!$AL$36="Moderado"),CONCATENATE("R2C",'Mapa final'!$S$36),"")</f>
        <v/>
      </c>
      <c r="X45" s="54" t="str">
        <f>IF(AND('Mapa final'!$AJ$37="Baja",'Mapa final'!$AL$37="Moderado"),CONCATENATE("R2C",'Mapa final'!$S$37),"")</f>
        <v/>
      </c>
      <c r="Y45" s="54" t="str">
        <f>IF(AND('Mapa final'!$AJ$38="Baja",'Mapa final'!$AL$38="Moderado"),CONCATENATE("R2C",'Mapa final'!$S$38),"")</f>
        <v/>
      </c>
      <c r="Z45" s="54" t="str">
        <f>IF(AND('Mapa final'!$AJ$39="Baja",'Mapa final'!$AL$39="Moderado"),CONCATENATE("R2C",'Mapa final'!$S$39),"")</f>
        <v/>
      </c>
      <c r="AA45" s="54" t="str">
        <f>IF(AND('Mapa final'!$AJ$40="Baja",'Mapa final'!$AL$40="Moderado"),CONCATENATE("R2C",'Mapa final'!$S$40),"")</f>
        <v/>
      </c>
      <c r="AB45" s="55" t="str">
        <f>IF(AND('Mapa final'!$AJ$41="Baja",'Mapa final'!$AL$41="Moderado"),CONCATENATE("R2C",'Mapa final'!$S$41),"")</f>
        <v/>
      </c>
      <c r="AC45" s="38" t="str">
        <f>IF(AND('Mapa final'!$AJ$36="Baja",'Mapa final'!$AL$36="Mayor"),CONCATENATE("R2C",'Mapa final'!$S$36),"")</f>
        <v/>
      </c>
      <c r="AD45" s="178" t="str">
        <f>IF(AND('Mapa final'!$AJ$37="Baja",'Mapa final'!$AL$37="Mayor"),CONCATENATE("R2C",'Mapa final'!$S$37),"")</f>
        <v/>
      </c>
      <c r="AE45" s="178" t="str">
        <f>IF(AND('Mapa final'!$AJ$38="Baja",'Mapa final'!$AL$38="Mayor"),CONCATENATE("R2C",'Mapa final'!$S$38),"")</f>
        <v/>
      </c>
      <c r="AF45" s="178" t="str">
        <f>IF(AND('Mapa final'!$AJ$39="Baja",'Mapa final'!$AL$39="Mayor"),CONCATENATE("R2C",'Mapa final'!$S$39),"")</f>
        <v/>
      </c>
      <c r="AG45" s="178" t="str">
        <f>IF(AND('Mapa final'!$AJ$40="Baja",'Mapa final'!$AL$40="Mayor"),CONCATENATE("R2C",'Mapa final'!$S$40),"")</f>
        <v/>
      </c>
      <c r="AH45" s="40" t="str">
        <f>IF(AND('Mapa final'!$AJ$41="Baja",'Mapa final'!$AL$41="Mayor"),CONCATENATE("R2C",'Mapa final'!$S$41),"")</f>
        <v/>
      </c>
      <c r="AI45" s="41" t="str">
        <f>IF(AND('Mapa final'!$AJ$36="Baja",'Mapa final'!$AL$36="Catastrófico"),CONCATENATE("R2C",'Mapa final'!$S$36),"")</f>
        <v/>
      </c>
      <c r="AJ45" s="42" t="str">
        <f>IF(AND('Mapa final'!$AJ$37="Baja",'Mapa final'!$AL$37="Catastrófico"),CONCATENATE("R2C",'Mapa final'!$S$37),"")</f>
        <v/>
      </c>
      <c r="AK45" s="42" t="str">
        <f>IF(AND('Mapa final'!$AJ$38="Baja",'Mapa final'!$AL$38="Catastrófico"),CONCATENATE("R2C",'Mapa final'!$S$38),"")</f>
        <v/>
      </c>
      <c r="AL45" s="42" t="str">
        <f>IF(AND('Mapa final'!$AJ$39="Baja",'Mapa final'!$AL$39="Catastrófico"),CONCATENATE("R2C",'Mapa final'!$S$39),"")</f>
        <v/>
      </c>
      <c r="AM45" s="42" t="str">
        <f>IF(AND('Mapa final'!$AJ$40="Baja",'Mapa final'!$AL$40="LCatastrófico"),CONCATENATE("R2C",'Mapa final'!$S$40),"")</f>
        <v/>
      </c>
      <c r="AN45" s="43" t="str">
        <f>IF(AND('Mapa final'!$AJ$41="Baja",'Mapa final'!$AL$41="Catastrófico"),CONCATENATE("R2C",'Mapa final'!$S$41),"")</f>
        <v/>
      </c>
      <c r="AO45" s="69"/>
      <c r="AP45" s="487"/>
      <c r="AQ45" s="488"/>
      <c r="AR45" s="488"/>
      <c r="AS45" s="488"/>
      <c r="AT45" s="488"/>
      <c r="AU45" s="48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60"/>
      <c r="D46" s="360"/>
      <c r="E46" s="361"/>
      <c r="F46" s="455"/>
      <c r="G46" s="456"/>
      <c r="H46" s="456"/>
      <c r="I46" s="456"/>
      <c r="J46" s="456"/>
      <c r="K46" s="62" t="str">
        <f>IF(AND('Mapa final'!$AJ$42="Baja",'Mapa final'!$AL$42="Leve"),CONCATENATE("R2C",'Mapa final'!$S$42),"")</f>
        <v/>
      </c>
      <c r="L46" s="63" t="str">
        <f>IF(AND('Mapa final'!$AJ$43="Baja",'Mapa final'!$AL$43="Leve"),CONCATENATE("R2C",'Mapa final'!$S$43),"")</f>
        <v/>
      </c>
      <c r="M46" s="63" t="str">
        <f>IF(AND('Mapa final'!$AJ$44="Baja",'Mapa final'!$AL$44="Leve"),CONCATENATE("R2C",'Mapa final'!$S$44),"")</f>
        <v/>
      </c>
      <c r="N46" s="63" t="str">
        <f>IF(AND('Mapa final'!$AJ$45="Baja",'Mapa final'!$AL$45="Leve"),CONCATENATE("R2C",'Mapa final'!$S$45),"")</f>
        <v/>
      </c>
      <c r="O46" s="63" t="str">
        <f>IF(AND('Mapa final'!$AJ$46="Baja",'Mapa final'!$AL$46="Leve"),CONCATENATE("R2C",'Mapa final'!$S$46),"")</f>
        <v/>
      </c>
      <c r="P46" s="64" t="str">
        <f>IF(AND('Mapa final'!$AJ$47="Baja",'Mapa final'!$AL$47="Leve"),CONCATENATE("R2C",'Mapa final'!$S$47),"")</f>
        <v/>
      </c>
      <c r="Q46" s="53" t="str">
        <f>IF(AND('Mapa final'!$AJ$42="Baja",'Mapa final'!$AL$42="Menor"),CONCATENATE("R2C",'Mapa final'!$S$42),"")</f>
        <v/>
      </c>
      <c r="R46" s="54" t="str">
        <f>IF(AND('Mapa final'!$AJ$43="Baja",'Mapa final'!$AL$43="Menor"),CONCATENATE("R2C",'Mapa final'!$S$43),"")</f>
        <v/>
      </c>
      <c r="S46" s="54" t="str">
        <f>IF(AND('Mapa final'!$AJ$44="Baja",'Mapa final'!$AL$44="Menor"),CONCATENATE("R2C",'Mapa final'!$S$44),"")</f>
        <v/>
      </c>
      <c r="T46" s="54" t="str">
        <f>IF(AND('Mapa final'!$AJ$45="Baja",'Mapa final'!$AL$45="Menor"),CONCATENATE("R2C",'Mapa final'!$S$45),"")</f>
        <v/>
      </c>
      <c r="U46" s="54" t="str">
        <f>IF(AND('Mapa final'!$AJ$46="Baja",'Mapa final'!$AL$46="Menor"),CONCATENATE("R2C",'Mapa final'!$S$46),"")</f>
        <v/>
      </c>
      <c r="V46" s="55" t="str">
        <f>IF(AND('Mapa final'!$AJ$47="Baja",'Mapa final'!$AL$47="Menor"),CONCATENATE("R2C",'Mapa final'!$S$47),"")</f>
        <v/>
      </c>
      <c r="W46" s="53" t="str">
        <f>IF(AND('Mapa final'!$AJ$42="Baja",'Mapa final'!$AL$42="Moderado"),CONCATENATE("R2C",'Mapa final'!$S$42),"")</f>
        <v/>
      </c>
      <c r="X46" s="54" t="str">
        <f>IF(AND('Mapa final'!$AJ$43="Baja",'Mapa final'!$AL$43="Moderado"),CONCATENATE("R2C",'Mapa final'!$S$43),"")</f>
        <v/>
      </c>
      <c r="Y46" s="54" t="str">
        <f>IF(AND('Mapa final'!$AJ$44="Baja",'Mapa final'!$AL$44="Moderado"),CONCATENATE("R2C",'Mapa final'!$S$44),"")</f>
        <v/>
      </c>
      <c r="Z46" s="54" t="str">
        <f>IF(AND('Mapa final'!$AJ$45="Baja",'Mapa final'!$AL$45="Moderado"),CONCATENATE("R2C",'Mapa final'!$S$45),"")</f>
        <v/>
      </c>
      <c r="AA46" s="54" t="str">
        <f>IF(AND('Mapa final'!$AJ$46="Baja",'Mapa final'!$AL$46="Moderado"),CONCATENATE("R2C",'Mapa final'!$S$46),"")</f>
        <v/>
      </c>
      <c r="AB46" s="55" t="str">
        <f>IF(AND('Mapa final'!$AJ$47="Baja",'Mapa final'!$AL$47="Moderado"),CONCATENATE("R2C",'Mapa final'!$S$47),"")</f>
        <v/>
      </c>
      <c r="AC46" s="38" t="str">
        <f>IF(AND('Mapa final'!$AJ$42="Baja",'Mapa final'!$AL$42="Mayor"),CONCATENATE("R2C",'Mapa final'!$S$42),"")</f>
        <v/>
      </c>
      <c r="AD46" s="178" t="str">
        <f>IF(AND('Mapa final'!$AJ$43="Baja",'Mapa final'!$AL$43="Mayor"),CONCATENATE("R2C",'Mapa final'!$S$43),"")</f>
        <v/>
      </c>
      <c r="AE46" s="178" t="str">
        <f>IF(AND('Mapa final'!$AJ$44="Baja",'Mapa final'!$AL$44="Mayor"),CONCATENATE("R2C",'Mapa final'!$S$44),"")</f>
        <v/>
      </c>
      <c r="AF46" s="178" t="str">
        <f>IF(AND('Mapa final'!$AJ$45="Baja",'Mapa final'!$AL$45="Mayor"),CONCATENATE("R2C",'Mapa final'!$S$45),"")</f>
        <v/>
      </c>
      <c r="AG46" s="178" t="str">
        <f>IF(AND('Mapa final'!$AJ$46="Baja",'Mapa final'!$AL$46="Mayor"),CONCATENATE("R2C",'Mapa final'!$S$46),"")</f>
        <v/>
      </c>
      <c r="AH46" s="40" t="str">
        <f>IF(AND('Mapa final'!$AJ$47="Baja",'Mapa final'!$AL$47="Mayor"),CONCATENATE("R2C",'Mapa final'!$S$47),"")</f>
        <v/>
      </c>
      <c r="AI46" s="41" t="str">
        <f>IF(AND('Mapa final'!$AJ$42="Baja",'Mapa final'!$AL$42="Catastrófico"),CONCATENATE("R2C",'Mapa final'!$S$42),"")</f>
        <v/>
      </c>
      <c r="AJ46" s="42" t="str">
        <f>IF(AND('Mapa final'!$AJ$43="Baja",'Mapa final'!$AL$43="Catastrófico"),CONCATENATE("R2C",'Mapa final'!$S$43),"")</f>
        <v/>
      </c>
      <c r="AK46" s="42" t="str">
        <f>IF(AND('Mapa final'!$AJ$44="Baja",'Mapa final'!$AL$44="Catastrófico"),CONCATENATE("R2C",'Mapa final'!$S$44),"")</f>
        <v/>
      </c>
      <c r="AL46" s="42" t="str">
        <f>IF(AND('Mapa final'!$AJ$45="Baja",'Mapa final'!$AL$45="Catastrófico"),CONCATENATE("R2C",'Mapa final'!$S$45),"")</f>
        <v/>
      </c>
      <c r="AM46" s="42" t="str">
        <f>IF(AND('Mapa final'!$AJ$46="Baja",'Mapa final'!$AL$46="Catastrófico"),CONCATENATE("R2C",'Mapa final'!$S$46),"")</f>
        <v/>
      </c>
      <c r="AN46" s="43" t="str">
        <f>IF(AND('Mapa final'!$AJ$47="Baja",'Mapa final'!$AL$47="Catastrófico"),CONCATENATE("R2C",'Mapa final'!$S$47),"")</f>
        <v/>
      </c>
      <c r="AO46" s="69"/>
      <c r="AP46" s="487"/>
      <c r="AQ46" s="488"/>
      <c r="AR46" s="488"/>
      <c r="AS46" s="488"/>
      <c r="AT46" s="488"/>
      <c r="AU46" s="48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60"/>
      <c r="D47" s="360"/>
      <c r="E47" s="361"/>
      <c r="F47" s="455"/>
      <c r="G47" s="456"/>
      <c r="H47" s="456"/>
      <c r="I47" s="456"/>
      <c r="J47" s="456"/>
      <c r="K47" s="62" t="str">
        <f>IF(AND('Mapa final'!$AJ$48="Baja",'Mapa final'!$AL$48="Leve"),CONCATENATE("R2C",'Mapa final'!$S$48),"")</f>
        <v/>
      </c>
      <c r="L47" s="63" t="str">
        <f>IF(AND('Mapa final'!$AJ$49="Baja",'Mapa final'!$AL$49="Leve"),CONCATENATE("R2C",'Mapa final'!$S$49),"")</f>
        <v/>
      </c>
      <c r="M47" s="63" t="str">
        <f>IF(AND('Mapa final'!$AJ$50="Baja",'Mapa final'!$AL$50="Leve"),CONCATENATE("R2C",'Mapa final'!$S$50),"")</f>
        <v/>
      </c>
      <c r="N47" s="63" t="str">
        <f>IF(AND('Mapa final'!$AJ$51="Baja",'Mapa final'!$AL$51="Leve"),CONCATENATE("R2C",'Mapa final'!$S$51),"")</f>
        <v/>
      </c>
      <c r="O47" s="63" t="str">
        <f>IF(AND('Mapa final'!$AJ$52="Baja",'Mapa final'!$AL$52="Leve"),CONCATENATE("R2C",'Mapa final'!$S$52),"")</f>
        <v/>
      </c>
      <c r="P47" s="64" t="str">
        <f>IF(AND('Mapa final'!$AJ$63="Baja",'Mapa final'!$AL$53="Leve"),CONCATENATE("R2C",'Mapa final'!$S$53),"")</f>
        <v/>
      </c>
      <c r="Q47" s="53" t="str">
        <f>IF(AND('Mapa final'!$AJ$48="Baja",'Mapa final'!$AL$48="Menor"),CONCATENATE("R2C",'Mapa final'!$S$48),"")</f>
        <v/>
      </c>
      <c r="R47" s="54" t="str">
        <f>IF(AND('Mapa final'!$AJ$49="Baja",'Mapa final'!$AL$49="Menor"),CONCATENATE("R2C",'Mapa final'!$S$49),"")</f>
        <v/>
      </c>
      <c r="S47" s="54" t="str">
        <f>IF(AND('Mapa final'!$AJ$50="Baja",'Mapa final'!$AL$50="Menor"),CONCATENATE("R2C",'Mapa final'!$S$50),"")</f>
        <v/>
      </c>
      <c r="T47" s="54" t="str">
        <f>IF(AND('Mapa final'!$AJ$51="Baja",'Mapa final'!$AL$51="Menor"),CONCATENATE("R2C",'Mapa final'!$S$51),"")</f>
        <v/>
      </c>
      <c r="U47" s="54" t="str">
        <f>IF(AND('Mapa final'!$AJ$52="Baja",'Mapa final'!$AL$52="Menor"),CONCATENATE("R2C",'Mapa final'!$S$52),"")</f>
        <v/>
      </c>
      <c r="V47" s="55" t="str">
        <f>IF(AND('Mapa final'!$AJ$63="Baja",'Mapa final'!$AL$53="Menor"),CONCATENATE("R2C",'Mapa final'!$S$53),"")</f>
        <v/>
      </c>
      <c r="W47" s="53" t="str">
        <f>IF(AND('Mapa final'!$AJ$48="Baja",'Mapa final'!$AL$48="Moderado"),CONCATENATE("R2C",'Mapa final'!$S$48),"")</f>
        <v/>
      </c>
      <c r="X47" s="54" t="str">
        <f>IF(AND('Mapa final'!$AJ$49="Baja",'Mapa final'!$AL$49="Moderado"),CONCATENATE("R2C",'Mapa final'!$S$49),"")</f>
        <v/>
      </c>
      <c r="Y47" s="54" t="str">
        <f>IF(AND('Mapa final'!$AJ$50="Baja",'Mapa final'!$AL$50="Moderado"),CONCATENATE("R2C",'Mapa final'!$S$50),"")</f>
        <v/>
      </c>
      <c r="Z47" s="54" t="str">
        <f>IF(AND('Mapa final'!$AJ$51="Baja",'Mapa final'!$AL$51="Moderado"),CONCATENATE("R2C",'Mapa final'!$S$51),"")</f>
        <v/>
      </c>
      <c r="AA47" s="54" t="str">
        <f>IF(AND('Mapa final'!$AJ$52="Baja",'Mapa final'!$AL$52="Moderado"),CONCATENATE("R2C",'Mapa final'!$S$52),"")</f>
        <v/>
      </c>
      <c r="AB47" s="55" t="str">
        <f>IF(AND('Mapa final'!$AJ$63="Baja",'Mapa final'!$AL$53="Moderado"),CONCATENATE("R2C",'Mapa final'!$S$53),"")</f>
        <v/>
      </c>
      <c r="AC47" s="38" t="str">
        <f>IF(AND('Mapa final'!$AJ$48="Baja",'Mapa final'!$AL$48="Mayor"),CONCATENATE("R2C",'Mapa final'!$S$48),"")</f>
        <v/>
      </c>
      <c r="AD47" s="178" t="str">
        <f>IF(AND('Mapa final'!$AJ$49="Baja",'Mapa final'!$AL$49="Mayor"),CONCATENATE("R2C",'Mapa final'!$S$49),"")</f>
        <v/>
      </c>
      <c r="AE47" s="178" t="str">
        <f>IF(AND('Mapa final'!$AJ$50="Baja",'Mapa final'!$AL$50="Mayor"),CONCATENATE("R2C",'Mapa final'!$S$50),"")</f>
        <v/>
      </c>
      <c r="AF47" s="178" t="str">
        <f>IF(AND('Mapa final'!$AJ$51="Baja",'Mapa final'!$AL$51="Mayor"),CONCATENATE("R2C",'Mapa final'!$S$51),"")</f>
        <v/>
      </c>
      <c r="AG47" s="178" t="str">
        <f>IF(AND('Mapa final'!$AJ$52="Baja",'Mapa final'!$AL$52="Mayor"),CONCATENATE("R2C",'Mapa final'!$S$52),"")</f>
        <v/>
      </c>
      <c r="AH47" s="40" t="str">
        <f>IF(AND('Mapa final'!$AJ$63="Baja",'Mapa final'!$AL$53="Mayor"),CONCATENATE("R2C",'Mapa final'!$S$53),"")</f>
        <v/>
      </c>
      <c r="AI47" s="41" t="str">
        <f>IF(AND('Mapa final'!$AJ$48="Baja",'Mapa final'!$AL$48="Catastrófico"),CONCATENATE("R2C",'Mapa final'!$S$48),"")</f>
        <v/>
      </c>
      <c r="AJ47" s="42" t="str">
        <f>IF(AND('Mapa final'!$AJ$49="Baja",'Mapa final'!$AL$49="Catastrófico"),CONCATENATE("R2C",'Mapa final'!$S$49),"")</f>
        <v/>
      </c>
      <c r="AK47" s="42" t="str">
        <f>IF(AND('Mapa final'!$AJ$50="Baja",'Mapa final'!$AL$50="Catastrófico"),CONCATENATE("R2C",'Mapa final'!$S$50),"")</f>
        <v/>
      </c>
      <c r="AL47" s="42" t="str">
        <f>IF(AND('Mapa final'!$AJ$51="Baja",'Mapa final'!$AL$51="Catastrófico"),CONCATENATE("R2C",'Mapa final'!$S$51),"")</f>
        <v/>
      </c>
      <c r="AM47" s="42" t="str">
        <f>IF(AND('Mapa final'!$AJ$52="Baja",'Mapa final'!$AL$52="Catastrófico"),CONCATENATE("R2C",'Mapa final'!$S$52),"")</f>
        <v/>
      </c>
      <c r="AN47" s="43" t="str">
        <f>IF(AND('Mapa final'!$AJ$63="Baja",'Mapa final'!$AL$53="Catastrófico"),CONCATENATE("R2C",'Mapa final'!$S$53),"")</f>
        <v/>
      </c>
      <c r="AO47" s="69"/>
      <c r="AP47" s="487"/>
      <c r="AQ47" s="488"/>
      <c r="AR47" s="488"/>
      <c r="AS47" s="488"/>
      <c r="AT47" s="488"/>
      <c r="AU47" s="48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60"/>
      <c r="D48" s="360"/>
      <c r="E48" s="361"/>
      <c r="F48" s="455"/>
      <c r="G48" s="456"/>
      <c r="H48" s="456"/>
      <c r="I48" s="456"/>
      <c r="J48" s="456"/>
      <c r="K48" s="62" t="str">
        <f>IF(AND('Mapa final'!$AJ$54="Baja",'Mapa final'!$AL$54="Leve"),CONCATENATE("R2C",'Mapa final'!$S$54),"")</f>
        <v/>
      </c>
      <c r="L48" s="63" t="str">
        <f>IF(AND('Mapa final'!$AJ$55="Baja",'Mapa final'!$AL$55="Leve"),CONCATENATE("R2C",'Mapa final'!$S$55),"")</f>
        <v/>
      </c>
      <c r="M48" s="63" t="str">
        <f>IF(AND('Mapa final'!$AJ$56="Baja",'Mapa final'!$AL$56="Leve"),CONCATENATE("R2C",'Mapa final'!$S$56),"")</f>
        <v/>
      </c>
      <c r="N48" s="63" t="str">
        <f>IF(AND('Mapa final'!$AJ$57="Baja",'Mapa final'!$AL$57="Leve"),CONCATENATE("R2C",'Mapa final'!$S$57),"")</f>
        <v/>
      </c>
      <c r="O48" s="63" t="str">
        <f>IF(AND('Mapa final'!$AJ$58="Baja",'Mapa final'!$AL$58="Leve"),CONCATENATE("R2C",'Mapa final'!$S$58),"")</f>
        <v/>
      </c>
      <c r="P48" s="64" t="str">
        <f>IF(AND('Mapa final'!$AJ$59="Baja",'Mapa final'!$AL$59="Leve"),CONCATENATE("R2C",'Mapa final'!$S$59),"")</f>
        <v/>
      </c>
      <c r="Q48" s="53" t="str">
        <f>IF(AND('Mapa final'!$AJ$54="Baja",'Mapa final'!$AL$54="Menor"),CONCATENATE("R2C",'Mapa final'!$S$54),"")</f>
        <v/>
      </c>
      <c r="R48" s="54" t="str">
        <f>IF(AND('Mapa final'!$AJ$55="Baja",'Mapa final'!$AL$55="Menor"),CONCATENATE("R2C",'Mapa final'!$S$55),"")</f>
        <v/>
      </c>
      <c r="S48" s="54" t="str">
        <f>IF(AND('Mapa final'!$AJ$56="Baja",'Mapa final'!$AL$56="Menor"),CONCATENATE("R2C",'Mapa final'!$S$56),"")</f>
        <v/>
      </c>
      <c r="T48" s="54" t="str">
        <f>IF(AND('Mapa final'!$AJ$57="Baja",'Mapa final'!$AL$57="Menor"),CONCATENATE("R2C",'Mapa final'!$S$57),"")</f>
        <v/>
      </c>
      <c r="U48" s="54" t="str">
        <f>IF(AND('Mapa final'!$AJ$58="Baja",'Mapa final'!$AL$58="Menor"),CONCATENATE("R2C",'Mapa final'!$S$58),"")</f>
        <v/>
      </c>
      <c r="V48" s="55" t="str">
        <f>IF(AND('Mapa final'!$AJ$59="Baja",'Mapa final'!$AL$59="Menor"),CONCATENATE("R2C",'Mapa final'!$S$59),"")</f>
        <v/>
      </c>
      <c r="W48" s="53" t="str">
        <f>IF(AND('Mapa final'!$AJ$54="Baja",'Mapa final'!$AL$54="Moderado"),CONCATENATE("R2C",'Mapa final'!$S$54),"")</f>
        <v/>
      </c>
      <c r="X48" s="54" t="str">
        <f>IF(AND('Mapa final'!$AJ$55="Baja",'Mapa final'!$AL$55="Moderado"),CONCATENATE("R2C",'Mapa final'!$S$55),"")</f>
        <v/>
      </c>
      <c r="Y48" s="54" t="str">
        <f>IF(AND('Mapa final'!$AJ$56="Baja",'Mapa final'!$AL$56="Moderado"),CONCATENATE("R2C",'Mapa final'!$S$56),"")</f>
        <v/>
      </c>
      <c r="Z48" s="54" t="str">
        <f>IF(AND('Mapa final'!$AJ$57="Baja",'Mapa final'!$AL$57="Moderado"),CONCATENATE("R2C",'Mapa final'!$S$57),"")</f>
        <v/>
      </c>
      <c r="AA48" s="54" t="str">
        <f>IF(AND('Mapa final'!$AJ$58="Baja",'Mapa final'!$AL$58="Moderado"),CONCATENATE("R2C",'Mapa final'!$S$58),"")</f>
        <v/>
      </c>
      <c r="AB48" s="55" t="str">
        <f>IF(AND('Mapa final'!$AJ$59="Baja",'Mapa final'!$AL$59="Moderado"),CONCATENATE("R2C",'Mapa final'!$S$59),"")</f>
        <v/>
      </c>
      <c r="AC48" s="38" t="str">
        <f>IF(AND('Mapa final'!$AJ$54="Baja",'Mapa final'!$AL$54="Mayor"),CONCATENATE("R2C",'Mapa final'!$S$54),"")</f>
        <v/>
      </c>
      <c r="AD48" s="178" t="str">
        <f>IF(AND('Mapa final'!$AJ$55="Baja",'Mapa final'!$AL$55="Mayor"),CONCATENATE("R2C",'Mapa final'!$S$55),"")</f>
        <v/>
      </c>
      <c r="AE48" s="178" t="str">
        <f>IF(AND('Mapa final'!$AJ$56="Baja",'Mapa final'!$AL$56="Mayor"),CONCATENATE("R2C",'Mapa final'!$S$56),"")</f>
        <v/>
      </c>
      <c r="AF48" s="178" t="str">
        <f>IF(AND('Mapa final'!$AJ$57="Baja",'Mapa final'!$AL$57="Mayor"),CONCATENATE("R2C",'Mapa final'!$S$57),"")</f>
        <v/>
      </c>
      <c r="AG48" s="178" t="str">
        <f>IF(AND('Mapa final'!$AJ$58="Baja",'Mapa final'!$AL$58="Mayor"),CONCATENATE("R2C",'Mapa final'!$S$58),"")</f>
        <v/>
      </c>
      <c r="AH48" s="40" t="str">
        <f>IF(AND('Mapa final'!$AJ$59="Baja",'Mapa final'!$AL$59="Mayor"),CONCATENATE("R2C",'Mapa final'!$S$59),"")</f>
        <v/>
      </c>
      <c r="AI48" s="41" t="str">
        <f>IF(AND('Mapa final'!$AJ$54="Baja",'Mapa final'!$AL$54="Catastrófico"),CONCATENATE("R2C",'Mapa final'!$S$54),"")</f>
        <v/>
      </c>
      <c r="AJ48" s="42" t="str">
        <f>IF(AND('Mapa final'!$AJ$55="Baja",'Mapa final'!$AL$55="Catastrófico"),CONCATENATE("R2C",'Mapa final'!$S$55),"")</f>
        <v/>
      </c>
      <c r="AK48" s="42" t="str">
        <f>IF(AND('Mapa final'!$AJ$56="Baja",'Mapa final'!$AL$56="Catastrófico"),CONCATENATE("R2C",'Mapa final'!$S$56),"")</f>
        <v/>
      </c>
      <c r="AL48" s="42" t="str">
        <f>IF(AND('Mapa final'!$AJ$57="Baja",'Mapa final'!$AL$57="Catastrófico"),CONCATENATE("R2C",'Mapa final'!$S$57),"")</f>
        <v/>
      </c>
      <c r="AM48" s="42" t="str">
        <f>IF(AND('Mapa final'!$AJ$58="Baja",'Mapa final'!$AL$58="Catastrófico"),CONCATENATE("R2C",'Mapa final'!$S$58),"")</f>
        <v/>
      </c>
      <c r="AN48" s="43" t="str">
        <f>IF(AND('Mapa final'!$AJ$59="Baja",'Mapa final'!$AL$59="Catastrófico"),CONCATENATE("R2C",'Mapa final'!$S$59),"")</f>
        <v/>
      </c>
      <c r="AO48" s="69"/>
      <c r="AP48" s="487"/>
      <c r="AQ48" s="488"/>
      <c r="AR48" s="488"/>
      <c r="AS48" s="488"/>
      <c r="AT48" s="488"/>
      <c r="AU48" s="48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60"/>
      <c r="D49" s="360"/>
      <c r="E49" s="361"/>
      <c r="F49" s="455"/>
      <c r="G49" s="456"/>
      <c r="H49" s="456"/>
      <c r="I49" s="456"/>
      <c r="J49" s="456"/>
      <c r="K49" s="62" t="str">
        <f>IF(AND('Mapa final'!$AJ$60="Baja",'Mapa final'!$AL$60="Leve"),CONCATENATE("R2C",'Mapa final'!$S$60),"")</f>
        <v/>
      </c>
      <c r="L49" s="63" t="str">
        <f>IF(AND('Mapa final'!$AJ$61="Baja",'Mapa final'!$AL$61="Leve"),CONCATENATE("R2C",'Mapa final'!$S$61),"")</f>
        <v/>
      </c>
      <c r="M49" s="63" t="str">
        <f>IF(AND('Mapa final'!$AJ$62="Baja",'Mapa final'!$AL$62="Leve"),CONCATENATE("R2C",'Mapa final'!$S$62),"")</f>
        <v/>
      </c>
      <c r="N49" s="63" t="str">
        <f>IF(AND('Mapa final'!$AJ$63="Baja",'Mapa final'!$AL$63="Leve"),CONCATENATE("R2C",'Mapa final'!$S$63),"")</f>
        <v/>
      </c>
      <c r="O49" s="63" t="str">
        <f>IF(AND('Mapa final'!$AJ$64="Baja",'Mapa final'!$AL$64="Leve"),CONCATENATE("R2C",'Mapa final'!$S$64),"")</f>
        <v/>
      </c>
      <c r="P49" s="64" t="str">
        <f>IF(AND('Mapa final'!$AJ$65="Baja",'Mapa final'!$AL$65="Leve"),CONCATENATE("R2C",'Mapa final'!$S$65),"")</f>
        <v/>
      </c>
      <c r="Q49" s="53" t="str">
        <f>IF(AND('Mapa final'!$AJ$60="Baja",'Mapa final'!$AL$60="Menor"),CONCATENATE("R2C",'Mapa final'!$S$60),"")</f>
        <v/>
      </c>
      <c r="R49" s="54" t="str">
        <f>IF(AND('Mapa final'!$AJ$61="Baja",'Mapa final'!$AL$61="Menor"),CONCATENATE("R2C",'Mapa final'!$S$61),"")</f>
        <v/>
      </c>
      <c r="S49" s="54" t="str">
        <f>IF(AND('Mapa final'!$AJ$62="Baja",'Mapa final'!$AL$62="Menor"),CONCATENATE("R2C",'Mapa final'!$S$62),"")</f>
        <v/>
      </c>
      <c r="T49" s="54" t="str">
        <f>IF(AND('Mapa final'!$AJ$63="Baja",'Mapa final'!$AL$63="Menor"),CONCATENATE("R2C",'Mapa final'!$S$63),"")</f>
        <v/>
      </c>
      <c r="U49" s="54" t="str">
        <f>IF(AND('Mapa final'!$AJ$64="Baja",'Mapa final'!$AL$64="Menor"),CONCATENATE("R2C",'Mapa final'!$S$64),"")</f>
        <v/>
      </c>
      <c r="V49" s="55" t="str">
        <f>IF(AND('Mapa final'!$AJ$65="Baja",'Mapa final'!$AL$65="Menor"),CONCATENATE("R2C",'Mapa final'!$S$65),"")</f>
        <v/>
      </c>
      <c r="W49" s="53" t="str">
        <f>IF(AND('Mapa final'!$AJ$60="Baja",'Mapa final'!$AL$60="Moderado"),CONCATENATE("R2C",'Mapa final'!$S$60),"")</f>
        <v/>
      </c>
      <c r="X49" s="54" t="str">
        <f>IF(AND('Mapa final'!$AJ$61="Baja",'Mapa final'!$AL$61="Moderado"),CONCATENATE("R2C",'Mapa final'!$S$61),"")</f>
        <v/>
      </c>
      <c r="Y49" s="54" t="str">
        <f>IF(AND('Mapa final'!$AJ$62="Baja",'Mapa final'!$AL$62="Moderado"),CONCATENATE("R2C",'Mapa final'!$S$62),"")</f>
        <v/>
      </c>
      <c r="Z49" s="54" t="str">
        <f>IF(AND('Mapa final'!$AJ$63="Baja",'Mapa final'!$AL$63="Moderado"),CONCATENATE("R2C",'Mapa final'!$S$63),"")</f>
        <v/>
      </c>
      <c r="AA49" s="54" t="str">
        <f>IF(AND('Mapa final'!$AJ$64="Baja",'Mapa final'!$AL$64="Moderado"),CONCATENATE("R2C",'Mapa final'!$S$64),"")</f>
        <v/>
      </c>
      <c r="AB49" s="55" t="str">
        <f>IF(AND('Mapa final'!$AJ$65="Baja",'Mapa final'!$AL$65="Moderado"),CONCATENATE("R2C",'Mapa final'!$S$65),"")</f>
        <v/>
      </c>
      <c r="AC49" s="38" t="str">
        <f>IF(AND('Mapa final'!$AJ$60="Baja",'Mapa final'!$AL$60="Mayor"),CONCATENATE("R2C",'Mapa final'!$S$60),"")</f>
        <v/>
      </c>
      <c r="AD49" s="178" t="str">
        <f>IF(AND('Mapa final'!$AJ$61="Baja",'Mapa final'!$AL$61="Mayor"),CONCATENATE("R2C",'Mapa final'!$S$61),"")</f>
        <v/>
      </c>
      <c r="AE49" s="178" t="str">
        <f>IF(AND('Mapa final'!$AJ$62="Baja",'Mapa final'!$AL$62="Mayor"),CONCATENATE("R2C",'Mapa final'!$S$62),"")</f>
        <v/>
      </c>
      <c r="AF49" s="178" t="str">
        <f>IF(AND('Mapa final'!$AJ$63="Baja",'Mapa final'!$AL$63="Mayor"),CONCATENATE("R2C",'Mapa final'!$S$63),"")</f>
        <v/>
      </c>
      <c r="AG49" s="178" t="str">
        <f>IF(AND('Mapa final'!$AJ$64="Baja",'Mapa final'!$AL$64="Mayor"),CONCATENATE("R2C",'Mapa final'!$S$64),"")</f>
        <v/>
      </c>
      <c r="AH49" s="40" t="str">
        <f>IF(AND('Mapa final'!$AJ$65="Baja",'Mapa final'!$AL$65="Mayor"),CONCATENATE("R2C",'Mapa final'!$S$65),"")</f>
        <v/>
      </c>
      <c r="AI49" s="41" t="str">
        <f>IF(AND('Mapa final'!$AJ$60="Baja",'Mapa final'!$AL$60="Catastrófico"),CONCATENATE("R2C",'Mapa final'!$S$60),"")</f>
        <v/>
      </c>
      <c r="AJ49" s="42" t="str">
        <f>IF(AND('Mapa final'!$AJ$61="Baja",'Mapa final'!$AL$61="Catastrófico"),CONCATENATE("R2C",'Mapa final'!$S$61),"")</f>
        <v/>
      </c>
      <c r="AK49" s="42" t="str">
        <f>IF(AND('Mapa final'!$AJ$62="Baja",'Mapa final'!$AL$62="Catastrófico"),CONCATENATE("R2C",'Mapa final'!$S$62),"")</f>
        <v/>
      </c>
      <c r="AL49" s="42" t="str">
        <f>IF(AND('Mapa final'!$AJ$63="Baja",'Mapa final'!$AL$63="Catastrófico"),CONCATENATE("R2C",'Mapa final'!$S$63),"")</f>
        <v/>
      </c>
      <c r="AM49" s="42" t="str">
        <f>IF(AND('Mapa final'!$AJ$64="Baja",'Mapa final'!$AL$64="Catastrófico"),CONCATENATE("R2C",'Mapa final'!$S$64),"")</f>
        <v/>
      </c>
      <c r="AN49" s="43" t="str">
        <f>IF(AND('Mapa final'!$AJ$65="Baja",'Mapa final'!$AL$65="Catastrófico"),CONCATENATE("R2C",'Mapa final'!$S$65),"")</f>
        <v/>
      </c>
      <c r="AO49" s="69"/>
      <c r="AP49" s="487"/>
      <c r="AQ49" s="488"/>
      <c r="AR49" s="488"/>
      <c r="AS49" s="488"/>
      <c r="AT49" s="488"/>
      <c r="AU49" s="48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60"/>
      <c r="D50" s="360"/>
      <c r="E50" s="361"/>
      <c r="F50" s="455"/>
      <c r="G50" s="456"/>
      <c r="H50" s="456"/>
      <c r="I50" s="456"/>
      <c r="J50" s="456"/>
      <c r="K50" s="62" t="str">
        <f>IF(AND('Mapa final'!$AJ$66="Baja",'Mapa final'!$AL$66="Leve"),CONCATENATE("R2C",'Mapa final'!$S$66),"")</f>
        <v/>
      </c>
      <c r="L50" s="63" t="str">
        <f>IF(AND('Mapa final'!$AJ$67="Baja",'Mapa final'!$AL$67="Leve"),CONCATENATE("R2C",'Mapa final'!$S$67),"")</f>
        <v/>
      </c>
      <c r="M50" s="63" t="str">
        <f>IF(AND('Mapa final'!$AJ$68="Baja",'Mapa final'!$AL$68="Leve"),CONCATENATE("R2C",'Mapa final'!$S$68),"")</f>
        <v/>
      </c>
      <c r="N50" s="63" t="str">
        <f>IF(AND('Mapa final'!$AJ$69="Baja",'Mapa final'!$AL$69="Leve"),CONCATENATE("R2C",'Mapa final'!$S$69),"")</f>
        <v/>
      </c>
      <c r="O50" s="63" t="str">
        <f>IF(AND('Mapa final'!$AJ$70="Baja",'Mapa final'!$AL$70="Leve"),CONCATENATE("R2C",'Mapa final'!$S$70),"")</f>
        <v/>
      </c>
      <c r="P50" s="64" t="str">
        <f>IF(AND('Mapa final'!$AJ$71="Baja",'Mapa final'!$AL$71="Leve"),CONCATENATE("R2C",'Mapa final'!$S$71),"")</f>
        <v/>
      </c>
      <c r="Q50" s="53" t="str">
        <f>IF(AND('Mapa final'!$AJ$66="Baja",'Mapa final'!$AL$66="Menor"),CONCATENATE("R2C",'Mapa final'!$S$66),"")</f>
        <v/>
      </c>
      <c r="R50" s="54" t="str">
        <f>IF(AND('Mapa final'!$AJ$67="Baja",'Mapa final'!$AL$67="Menor"),CONCATENATE("R2C",'Mapa final'!$S$67),"")</f>
        <v/>
      </c>
      <c r="S50" s="54" t="str">
        <f>IF(AND('Mapa final'!$AJ$68="Baja",'Mapa final'!$AL$68="Menor"),CONCATENATE("R2C",'Mapa final'!$S$68),"")</f>
        <v/>
      </c>
      <c r="T50" s="54" t="str">
        <f>IF(AND('Mapa final'!$AJ$69="Baja",'Mapa final'!$AL$69="Menor"),CONCATENATE("R2C",'Mapa final'!$S$69),"")</f>
        <v/>
      </c>
      <c r="U50" s="54" t="str">
        <f>IF(AND('Mapa final'!$AJ$70="Baja",'Mapa final'!$AL$70="Menor"),CONCATENATE("R2C",'Mapa final'!$S$70),"")</f>
        <v/>
      </c>
      <c r="V50" s="55" t="str">
        <f>IF(AND('Mapa final'!$AJ$71="Baja",'Mapa final'!$AL$71="Menor"),CONCATENATE("R2C",'Mapa final'!$S$71),"")</f>
        <v/>
      </c>
      <c r="W50" s="53" t="str">
        <f>IF(AND('Mapa final'!$AJ$66="Baja",'Mapa final'!$AL$66="Moderado"),CONCATENATE("R2C",'Mapa final'!$S$66),"")</f>
        <v/>
      </c>
      <c r="X50" s="54" t="str">
        <f>IF(AND('Mapa final'!$AJ$67="Baja",'Mapa final'!$AL$67="Moderado"),CONCATENATE("R2C",'Mapa final'!$S$67),"")</f>
        <v/>
      </c>
      <c r="Y50" s="54" t="str">
        <f>IF(AND('Mapa final'!$AJ$68="Baja",'Mapa final'!$AL$68="Moderado"),CONCATENATE("R2C",'Mapa final'!$S$68),"")</f>
        <v/>
      </c>
      <c r="Z50" s="54" t="str">
        <f>IF(AND('Mapa final'!$AJ$69="Baja",'Mapa final'!$AL$69="Moderado"),CONCATENATE("R2C",'Mapa final'!$S$69),"")</f>
        <v/>
      </c>
      <c r="AA50" s="54" t="str">
        <f>IF(AND('Mapa final'!$AJ$70="Baja",'Mapa final'!$AL$70="Moderado"),CONCATENATE("R2C",'Mapa final'!$S$70),"")</f>
        <v/>
      </c>
      <c r="AB50" s="55" t="str">
        <f>IF(AND('Mapa final'!$AJ$71="Baja",'Mapa final'!$AL$71="Moderado"),CONCATENATE("R2C",'Mapa final'!$S$71),"")</f>
        <v/>
      </c>
      <c r="AC50" s="38" t="str">
        <f>IF(AND('Mapa final'!$AJ$66="Baja",'Mapa final'!$AL$66="Mayor"),CONCATENATE("R2C",'Mapa final'!$S$66),"")</f>
        <v/>
      </c>
      <c r="AD50" s="178" t="str">
        <f>IF(AND('Mapa final'!$AJ$67="Baja",'Mapa final'!$AL$67="Mayor"),CONCATENATE("R2C",'Mapa final'!$S$67),"")</f>
        <v/>
      </c>
      <c r="AE50" s="178" t="str">
        <f>IF(AND('Mapa final'!$AJ$68="Baja",'Mapa final'!$AL$68="Mayor"),CONCATENATE("R2C",'Mapa final'!$S$68),"")</f>
        <v/>
      </c>
      <c r="AF50" s="178" t="str">
        <f>IF(AND('Mapa final'!$AJ$69="Baja",'Mapa final'!$AL$69="Mayor"),CONCATENATE("R2C",'Mapa final'!$S$69),"")</f>
        <v/>
      </c>
      <c r="AG50" s="178" t="str">
        <f>IF(AND('Mapa final'!$AJ$70="Baja",'Mapa final'!$AL$70="Mayor"),CONCATENATE("R2C",'Mapa final'!$S$70),"")</f>
        <v/>
      </c>
      <c r="AH50" s="40" t="str">
        <f>IF(AND('Mapa final'!$AJ$71="Baja",'Mapa final'!$AL$71="Mayor"),CONCATENATE("R2C",'Mapa final'!$S$71),"")</f>
        <v/>
      </c>
      <c r="AI50" s="41" t="str">
        <f>IF(AND('Mapa final'!$AJ$66="Baja",'Mapa final'!$AL$66="Catastrófico"),CONCATENATE("R2C",'Mapa final'!$S$66),"")</f>
        <v/>
      </c>
      <c r="AJ50" s="42" t="str">
        <f>IF(AND('Mapa final'!$AJ$67="Baja",'Mapa final'!$AL$67="Catastrófico"),CONCATENATE("R2C",'Mapa final'!$S$67),"")</f>
        <v/>
      </c>
      <c r="AK50" s="42" t="str">
        <f>IF(AND('Mapa final'!$AJ$68="Baja",'Mapa final'!$AL$68="Catastrófico"),CONCATENATE("R2C",'Mapa final'!$S$68),"")</f>
        <v/>
      </c>
      <c r="AL50" s="42" t="str">
        <f>IF(AND('Mapa final'!$AJ$69="Baja",'Mapa final'!$AL$69="Catastrófico"),CONCATENATE("R2C",'Mapa final'!$S$69),"")</f>
        <v/>
      </c>
      <c r="AM50" s="42" t="str">
        <f>IF(AND('Mapa final'!$AJ$70="Baja",'Mapa final'!$AL$70="Catastrófico"),CONCATENATE("R2C",'Mapa final'!$S$70),"")</f>
        <v/>
      </c>
      <c r="AN50" s="43" t="str">
        <f>IF(AND('Mapa final'!$AJ$71="Baja",'Mapa final'!$AL$71="Catastrófico"),CONCATENATE("R2C",'Mapa final'!$S$71),"")</f>
        <v/>
      </c>
      <c r="AO50" s="69"/>
      <c r="AP50" s="487"/>
      <c r="AQ50" s="488"/>
      <c r="AR50" s="488"/>
      <c r="AS50" s="488"/>
      <c r="AT50" s="488"/>
      <c r="AU50" s="48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60"/>
      <c r="D51" s="360"/>
      <c r="E51" s="361"/>
      <c r="F51" s="458"/>
      <c r="G51" s="459"/>
      <c r="H51" s="459"/>
      <c r="I51" s="459"/>
      <c r="J51" s="459"/>
      <c r="K51" s="65" t="str">
        <f>IF(AND('Mapa final'!$AJ$72="Baja",'Mapa final'!$AL$72="Leve"),CONCATENATE("R2C",'Mapa final'!$S$72),"")</f>
        <v/>
      </c>
      <c r="L51" s="66" t="str">
        <f>IF(AND('Mapa final'!$AJ$73="Baja",'Mapa final'!$AL$73="Leve"),CONCATENATE("R2C",'Mapa final'!$S$73),"")</f>
        <v/>
      </c>
      <c r="M51" s="66" t="str">
        <f>IF(AND('Mapa final'!$AJ$74="Baja",'Mapa final'!$AL$74="Leve"),CONCATENATE("R2C",'Mapa final'!$S$74),"")</f>
        <v/>
      </c>
      <c r="N51" s="66" t="str">
        <f>IF(AND('Mapa final'!$AJ$75="Baja",'Mapa final'!$AL$75="Leve"),CONCATENATE("R2C",'Mapa final'!$S$75),"")</f>
        <v/>
      </c>
      <c r="O51" s="66" t="str">
        <f>IF(AND('Mapa final'!$AJ$77="Baja",'Mapa final'!$AL$77="Leve"),CONCATENATE("R2C",'Mapa final'!$S$77),"")</f>
        <v/>
      </c>
      <c r="P51" s="67" t="str">
        <f>IF(AND('Mapa final'!$AJ$78="Baja",'Mapa final'!$AL$78="Leve"),CONCATENATE("R2C",'Mapa final'!$S$78),"")</f>
        <v/>
      </c>
      <c r="Q51" s="53" t="str">
        <f>IF(AND('Mapa final'!$AJ$72="Baja",'Mapa final'!$AL$72="Menor"),CONCATENATE("R2C",'Mapa final'!$S$72),"")</f>
        <v/>
      </c>
      <c r="R51" s="54" t="str">
        <f>IF(AND('Mapa final'!$AJ$73="Baja",'Mapa final'!$AL$73="Menor"),CONCATENATE("R2C",'Mapa final'!$S$73),"")</f>
        <v/>
      </c>
      <c r="S51" s="54" t="str">
        <f>IF(AND('Mapa final'!$AJ$74="Baja",'Mapa final'!$AL$74="Menor"),CONCATENATE("R2C",'Mapa final'!$S$74),"")</f>
        <v/>
      </c>
      <c r="T51" s="54" t="str">
        <f>IF(AND('Mapa final'!$AJ$75="Baja",'Mapa final'!$AL$75="Menor"),CONCATENATE("R2C",'Mapa final'!$S$75),"")</f>
        <v/>
      </c>
      <c r="U51" s="54" t="str">
        <f>IF(AND('Mapa final'!$AJ$77="Baja",'Mapa final'!$AL$77="Menor"),CONCATENATE("R2C",'Mapa final'!$S$77),"")</f>
        <v/>
      </c>
      <c r="V51" s="55" t="str">
        <f>IF(AND('Mapa final'!$AJ$78="Baja",'Mapa final'!$AL$78="Menor"),CONCATENATE("R2C",'Mapa final'!$S$78),"")</f>
        <v/>
      </c>
      <c r="W51" s="56" t="str">
        <f>IF(AND('Mapa final'!$AJ$72="Baja",'Mapa final'!$AL$72="Moderado"),CONCATENATE("R2C",'Mapa final'!$S$72),"")</f>
        <v/>
      </c>
      <c r="X51" s="57" t="str">
        <f>IF(AND('Mapa final'!$AJ$73="Baja",'Mapa final'!$AL$73="Moderado"),CONCATENATE("R2C",'Mapa final'!$S$73),"")</f>
        <v/>
      </c>
      <c r="Y51" s="57" t="str">
        <f>IF(AND('Mapa final'!$AJ$74="Baja",'Mapa final'!$AL$74="Moderado"),CONCATENATE("R2C",'Mapa final'!$S$74),"")</f>
        <v/>
      </c>
      <c r="Z51" s="57" t="str">
        <f>IF(AND('Mapa final'!$AJ$75="Baja",'Mapa final'!$AL$75="Moderado"),CONCATENATE("R2C",'Mapa final'!$S$75),"")</f>
        <v/>
      </c>
      <c r="AA51" s="57" t="str">
        <f>IF(AND('Mapa final'!$AJ$77="Baja",'Mapa final'!$AL$77="Moderado"),CONCATENATE("R2C",'Mapa final'!$S$77),"")</f>
        <v/>
      </c>
      <c r="AB51" s="58" t="str">
        <f>IF(AND('Mapa final'!$AJ$78="Baja",'Mapa final'!$AL$78="Moderado"),CONCATENATE("R2C",'Mapa final'!$S$78),"")</f>
        <v/>
      </c>
      <c r="AC51" s="44" t="str">
        <f>IF(AND('Mapa final'!$AJ$72="Baja",'Mapa final'!$AL$72="Mayor"),CONCATENATE("R2C",'Mapa final'!$S$72),"")</f>
        <v/>
      </c>
      <c r="AD51" s="45" t="str">
        <f>IF(AND('Mapa final'!$AJ$73="Baja",'Mapa final'!$AL$73="Mayor"),CONCATENATE("R2C",'Mapa final'!$S$73),"")</f>
        <v/>
      </c>
      <c r="AE51" s="45" t="str">
        <f>IF(AND('Mapa final'!$AJ$74="Baja",'Mapa final'!$AL$74="Mayor"),CONCATENATE("R2C",'Mapa final'!$S$74),"")</f>
        <v/>
      </c>
      <c r="AF51" s="45" t="str">
        <f>IF(AND('Mapa final'!$AJ$75="Baja",'Mapa final'!$AL$75="Mayor"),CONCATENATE("R2C",'Mapa final'!$S$75),"")</f>
        <v/>
      </c>
      <c r="AG51" s="45" t="str">
        <f>IF(AND('Mapa final'!$AJ$77="Baja",'Mapa final'!$AL$77="Mayor"),CONCATENATE("R2C",'Mapa final'!$S$77),"")</f>
        <v/>
      </c>
      <c r="AH51" s="46" t="str">
        <f>IF(AND('Mapa final'!$AJ$78="Baja",'Mapa final'!$AL$78="Mayor"),CONCATENATE("R2C",'Mapa final'!$S$78),"")</f>
        <v/>
      </c>
      <c r="AI51" s="47" t="str">
        <f>IF(AND('Mapa final'!$AJ$72="Baja",'Mapa final'!$AL$72="Catastrófico"),CONCATENATE("R2C",'Mapa final'!$S$72),"")</f>
        <v/>
      </c>
      <c r="AJ51" s="48" t="str">
        <f>IF(AND('Mapa final'!$AJ$73="Baja",'Mapa final'!$AL$73="Catastrófico"),CONCATENATE("R2C",'Mapa final'!$S$73),"")</f>
        <v/>
      </c>
      <c r="AK51" s="48" t="str">
        <f>IF(AND('Mapa final'!$AJ$74="Baja",'Mapa final'!$AL$74="Catastrófico"),CONCATENATE("R2C",'Mapa final'!$S$74),"")</f>
        <v/>
      </c>
      <c r="AL51" s="48" t="str">
        <f>IF(AND('Mapa final'!$AJ$75="Baja",'Mapa final'!$AL$75="Catastrófico"),CONCATENATE("R2C",'Mapa final'!$S$75),"")</f>
        <v/>
      </c>
      <c r="AM51" s="48" t="str">
        <f>IF(AND('Mapa final'!$AJ$77="Baja",'Mapa final'!$AL$77="Catastrófico"),CONCATENATE("R2C",'Mapa final'!$S$77),"")</f>
        <v/>
      </c>
      <c r="AN51" s="49" t="str">
        <f>IF(AND('Mapa final'!$AJ$78="Baja",'Mapa final'!$AL$78="Catastrófico"),CONCATENATE("R2C",'Mapa final'!$S$78),"")</f>
        <v/>
      </c>
      <c r="AO51" s="69"/>
      <c r="AP51" s="490"/>
      <c r="AQ51" s="491"/>
      <c r="AR51" s="491"/>
      <c r="AS51" s="491"/>
      <c r="AT51" s="491"/>
      <c r="AU51" s="492"/>
    </row>
    <row r="52" spans="2:81" ht="41.25" customHeight="1" x14ac:dyDescent="0.35">
      <c r="B52" s="69"/>
      <c r="C52" s="360"/>
      <c r="D52" s="360"/>
      <c r="E52" s="361"/>
      <c r="F52" s="452" t="s">
        <v>112</v>
      </c>
      <c r="G52" s="453"/>
      <c r="H52" s="453"/>
      <c r="I52" s="453"/>
      <c r="J52" s="454"/>
      <c r="K52" s="59" t="str">
        <f ca="1">IF(AND('Mapa final'!$AJ$15="Muy Baja",'Mapa final'!$AL$15="Leve"),CONCATENATE("R2C",'Mapa final'!$S$15),"")</f>
        <v/>
      </c>
      <c r="L52" s="60" t="str">
        <f ca="1">IF(AND('Mapa final'!$AJ$16="Muy Baja",'Mapa final'!$AL$16="Leve"),CONCATENATE("R2C",'Mapa final'!$D$16),"")</f>
        <v/>
      </c>
      <c r="M52" s="60" t="str">
        <f ca="1">IF(AND('Mapa final'!$AJ$19="Muy Baja",'Mapa final'!$AL$19="Leve"),CONCATENATE("R2C",'Mapa final'!$D$19),"")</f>
        <v/>
      </c>
      <c r="N52" s="60" t="str">
        <f ca="1">IF(AND('Mapa final'!$AJ$20="Muy Baja",'Mapa final'!$AL$20="Leve"),CONCATENATE("R2C",'Mapa final'!$S$20),"")</f>
        <v/>
      </c>
      <c r="O52" s="60" t="str">
        <f ca="1">IF(AND('Mapa final'!$AJ$22="Muy Baja",'Mapa final'!$AL$22="Leve"),CONCATENATE("R2C",'Mapa final'!$S$22),"")</f>
        <v/>
      </c>
      <c r="P52" s="61" t="str">
        <f ca="1">IF(AND('Mapa final'!$AJ$23="Muy Baja",'Mapa final'!$AL$23="Leve"),CONCATENATE("R2C",'Mapa final'!$S$23),"")</f>
        <v/>
      </c>
      <c r="Q52" s="59" t="str">
        <f ca="1">IF(AND('Mapa final'!$AJ$15="Muy Baja",'Mapa final'!$AL$15="Menor"),CONCATENATE("R2C",'Mapa final'!$S$15),"")</f>
        <v/>
      </c>
      <c r="R52" s="60" t="str">
        <f ca="1">IF(AND('Mapa final'!$AJ$16="Muy Baja",'Mapa final'!$AL$16="Menore"),CONCATENATE("R2C",'Mapa final'!$S$16),"")</f>
        <v/>
      </c>
      <c r="S52" s="60" t="str">
        <f ca="1">IF(AND('Mapa final'!$AJ$19="Muy Baja",'Mapa final'!$AL$19="Menor"),CONCATENATE("R2C",'Mapa final'!$D$19),"")</f>
        <v/>
      </c>
      <c r="T52" s="60" t="str">
        <f ca="1">IF(AND('Mapa final'!$AJ$20="Muy Baja",'Mapa final'!$AL$20="Menor"),CONCATENATE("R2C",'Mapa final'!$S$20),"")</f>
        <v/>
      </c>
      <c r="U52" s="60" t="str">
        <f ca="1">IF(AND('Mapa final'!$AJ$22="Muy Baja",'Mapa final'!$AL$22="Menor"),CONCATENATE("R2C",'Mapa final'!$S$22),"")</f>
        <v/>
      </c>
      <c r="V52" s="61" t="str">
        <f ca="1">IF(AND('Mapa final'!$AJ$23="Muy Baja",'Mapa final'!$AL$23="Menor"),CONCATENATE("R2C",'Mapa final'!$S$23),"")</f>
        <v/>
      </c>
      <c r="W52" s="50" t="str">
        <f ca="1">IF(AND('Mapa final'!$AJ$15="Muy Baja",'Mapa final'!$AL$15="Moderado"),CONCATENATE("R2C",'Mapa final'!$S$15),"")</f>
        <v/>
      </c>
      <c r="X52" s="68" t="str">
        <f ca="1">IF(AND('Mapa final'!$AJ$16="Muy Baja",'Mapa final'!$AL$16="Moderado"),CONCATENATE("R2C",'Mapa final'!$S$16),"")</f>
        <v/>
      </c>
      <c r="Y52" s="51"/>
      <c r="Z52" s="51" t="str">
        <f ca="1">IF(AND('Mapa final'!$AJ$20="Muy Baja",'Mapa final'!$AL$20="Moderado"),CONCATENATE("R2C",'Mapa final'!$S$20),"")</f>
        <v/>
      </c>
      <c r="AA52" s="51" t="str">
        <f ca="1">IF(AND('Mapa final'!$AJ$22="Muy Baja",'Mapa final'!$AL$22="Moderado"),CONCATENATE("R2C",'Mapa final'!$S$22),"")</f>
        <v/>
      </c>
      <c r="AB52" s="52" t="str">
        <f ca="1">IF(AND('Mapa final'!$AJ$23="Muy Baja",'Mapa final'!$AL$23="Moderado"),CONCATENATE("R2C",'Mapa final'!$S$23),"")</f>
        <v/>
      </c>
      <c r="AC52" s="32" t="str">
        <f ca="1">IF(AND('Mapa final'!$AJ$15="Muy Baja",'Mapa final'!$AL$15="Mayor"),CONCATENATE("R2C",'Mapa final'!$S$15),"")</f>
        <v/>
      </c>
      <c r="AD52" s="33" t="str">
        <f ca="1">IF(AND('Mapa final'!$AJ$16="Muy Baja",'Mapa final'!$AL$16="Mayor"),CONCATENATE("R2C",'Mapa final'!$S$16),"")</f>
        <v/>
      </c>
      <c r="AE52" s="33" t="str">
        <f ca="1">IF(AND('Mapa final'!$AJ$19="Muy Baja",'Mapa final'!$AL$19="Mayor"),CONCATENATE("R2C",'Mapa final'!$S$19),"")</f>
        <v/>
      </c>
      <c r="AF52" s="33" t="str">
        <f ca="1">IF(AND('Mapa final'!$AJ$20="Muy Baja",'Mapa final'!$AL$20="Mayor"),CONCATENATE("R2C",'Mapa final'!$S$20),"")</f>
        <v/>
      </c>
      <c r="AG52" s="33" t="str">
        <f ca="1">IF(AND('Mapa final'!$AJ$22="Muy Baja",'Mapa final'!$AL$22="Mayor"),CONCATENATE("R2C",'Mapa final'!$S$22),"")</f>
        <v/>
      </c>
      <c r="AH52" s="34" t="str">
        <f ca="1">IF(AND('Mapa final'!$AJ$23="Muy Baja",'Mapa final'!$AL$23="Mayor"),CONCATENATE("R2C",'Mapa final'!$S$23),"")</f>
        <v/>
      </c>
      <c r="AI52" s="35" t="str">
        <f ca="1">IF(AND('Mapa final'!$AJ$15="Muy Baja",'Mapa final'!$AL$15="Catastrófico"),CONCATENATE("R2C",'Mapa final'!$S$15),"")</f>
        <v/>
      </c>
      <c r="AJ52" s="36" t="str">
        <f ca="1">IF(AND('Mapa final'!$AJ$16="Muy Baja",'Mapa final'!$AL$16="Catastrófico"),CONCATENATE("R2C",'Mapa final'!$S$16),"")</f>
        <v/>
      </c>
      <c r="AK52" s="36" t="str">
        <f ca="1">IF(AND('Mapa final'!$AJ$19="Muy Baja",'Mapa final'!$AL$19="Catastrófico"),CONCATENATE("R2C",'Mapa final'!$S$19),"")</f>
        <v/>
      </c>
      <c r="AL52" s="36" t="str">
        <f ca="1">IF(AND('Mapa final'!$AJ$20="Muy Baja",'Mapa final'!$AL$20="Catastrófico"),CONCATENATE("R2C",'Mapa final'!$S$20),"")</f>
        <v/>
      </c>
      <c r="AM52" s="36" t="str">
        <f ca="1">IF(AND('Mapa final'!$AJ$22="Muy Baja",'Mapa final'!$AL$22="Catastrófico"),CONCATENATE("R2C",'Mapa final'!$S$22),"")</f>
        <v/>
      </c>
      <c r="AN52" s="37" t="str">
        <f ca="1">IF(AND('Mapa final'!$AJ$23="Muy Baja",'Mapa final'!$AL$23="Catastrófico"),CONCATENATE("R2C",'Mapa final'!$S$23),"")</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60"/>
      <c r="D53" s="360"/>
      <c r="E53" s="361"/>
      <c r="F53" s="470"/>
      <c r="G53" s="456"/>
      <c r="H53" s="456"/>
      <c r="I53" s="456"/>
      <c r="J53" s="457"/>
      <c r="K53" s="62" t="str">
        <f ca="1">IF(AND('Mapa final'!$AJ$24="Muy Baja",'Mapa final'!$AL$24="Leve"),CONCATENATE("R2C",'Mapa final'!$S$24),"")</f>
        <v/>
      </c>
      <c r="L53" s="63" t="str">
        <f ca="1">IF(AND('Mapa final'!$AJ$25="Muy Baja",'Mapa final'!$AL$25="Leve"),CONCATENATE("R2C",'Mapa final'!$S$25),"")</f>
        <v/>
      </c>
      <c r="M53" s="63" t="str">
        <f>IF(AND('Mapa final'!$AJ$26="Muy Baja",'Mapa final'!$AL$26="Leve"),CONCATENATE("R2C",'Mapa final'!$S$26),"")</f>
        <v/>
      </c>
      <c r="N53" s="63" t="str">
        <f>IF(AND('Mapa final'!$AJ$27="Muy Baja",'Mapa final'!$AL$27="Leve"),CONCATENATE("R2C",'Mapa final'!$S$27),"")</f>
        <v/>
      </c>
      <c r="O53" s="63" t="str">
        <f>IF(AND('Mapa final'!$AJ$28="Muy Baja",'Mapa final'!$AL$28="Leve"),CONCATENATE("R2C",'Mapa final'!$S$28),"")</f>
        <v/>
      </c>
      <c r="P53" s="64" t="str">
        <f>IF(AND('Mapa final'!$AJ$29="Muy Baja",'Mapa final'!$AL$29="Leve"),CONCATENATE("R2C",'Mapa final'!$S$29),"")</f>
        <v/>
      </c>
      <c r="Q53" s="62" t="str">
        <f ca="1">IF(AND('Mapa final'!$AJ$24="Muy Baja",'Mapa final'!$AL$24="Menor"),CONCATENATE("R2C",'Mapa final'!$S$24),"")</f>
        <v/>
      </c>
      <c r="R53" s="63" t="str">
        <f ca="1">IF(AND('Mapa final'!$AJ$25="Muy Baja",'Mapa final'!$AL$25="Menor"),CONCATENATE("R2C",'Mapa final'!$S$25),"")</f>
        <v/>
      </c>
      <c r="S53" s="63" t="str">
        <f>IF(AND('Mapa final'!$AJ$26="Muy Baja",'Mapa final'!$AL$26="Menor"),CONCATENATE("R2C",'Mapa final'!$S$26),"")</f>
        <v/>
      </c>
      <c r="T53" s="63" t="str">
        <f>IF(AND('Mapa final'!$AJ$27="Muy Baja",'Mapa final'!$AL$27="Menor"),CONCATENATE("R2C",'Mapa final'!$S$27),"")</f>
        <v/>
      </c>
      <c r="U53" s="63" t="str">
        <f>IF(AND('Mapa final'!$AJ$28="Muy Baja",'Mapa final'!$AL$28="Menor"),CONCATENATE("R2C",'Mapa final'!$S$28),"")</f>
        <v/>
      </c>
      <c r="V53" s="64" t="str">
        <f>IF(AND('Mapa final'!$AJ$29="Muy Baja",'Mapa final'!$AL$29="Menor"),CONCATENATE("R2C",'Mapa final'!$S$29),"")</f>
        <v/>
      </c>
      <c r="W53" s="53" t="str">
        <f ca="1">IF(AND('Mapa final'!$AJ$24="Muy Baja",'Mapa final'!$AL$24="Moderado"),CONCATENATE("R2C",'Mapa final'!$S$24),"")</f>
        <v/>
      </c>
      <c r="X53" s="54" t="str">
        <f ca="1">IF(AND('Mapa final'!$AJ$25="Muy Baja",'Mapa final'!$AL$25="Moderado"),CONCATENATE("R2C",'Mapa final'!$S$25),"")</f>
        <v/>
      </c>
      <c r="Y53" s="54" t="str">
        <f>IF(AND('Mapa final'!$AJ$26="Muy Baja",'Mapa final'!$AL$26="Moderado"),CONCATENATE("R2C",'Mapa final'!$S$26),"")</f>
        <v/>
      </c>
      <c r="Z53" s="54" t="str">
        <f>IF(AND('Mapa final'!$AJ$27="Muy Baja",'Mapa final'!$AL$27="Moderado"),CONCATENATE("R2C",'Mapa final'!$S$27),"")</f>
        <v/>
      </c>
      <c r="AA53" s="54" t="str">
        <f>IF(AND('Mapa final'!$AJ$28="Muy Baja",'Mapa final'!$AL$28="Moderado"),CONCATENATE("R2C",'Mapa final'!$S$28),"")</f>
        <v/>
      </c>
      <c r="AB53" s="55" t="str">
        <f>IF(AND('Mapa final'!$AJ$29="Muy Baja",'Mapa final'!$AL$29="Moderado"),CONCATENATE("R2C",'Mapa final'!$S$29),"")</f>
        <v/>
      </c>
      <c r="AC53" s="38" t="str">
        <f ca="1">IF(AND('Mapa final'!$AJ$24="Muy Baja",'Mapa final'!$AL$24="Mayor"),CONCATENATE("R2C",'Mapa final'!$S$24),"")</f>
        <v/>
      </c>
      <c r="AD53" s="39" t="str">
        <f ca="1">IF(AND('Mapa final'!$AJ$25="Muy Baja",'Mapa final'!$AL$25="Mayor"),CONCATENATE("R2C",'Mapa final'!$S$25),"")</f>
        <v/>
      </c>
      <c r="AE53" s="39" t="str">
        <f>IF(AND('Mapa final'!$AJ$26="Muy Baja",'Mapa final'!$AL$26="Mayor"),CONCATENATE("R2C",'Mapa final'!$S$26),"")</f>
        <v/>
      </c>
      <c r="AF53" s="39" t="str">
        <f>IF(AND('Mapa final'!$AJ$27="Muy Baja",'Mapa final'!$AL$27="Mayor"),CONCATENATE("R2C",'Mapa final'!$S$27),"")</f>
        <v/>
      </c>
      <c r="AG53" s="39" t="str">
        <f>IF(AND('Mapa final'!$AJ$28="Muy Baja",'Mapa final'!$AL$28="Mayor"),CONCATENATE("R2C",'Mapa final'!$S$28),"")</f>
        <v/>
      </c>
      <c r="AH53" s="40" t="str">
        <f>IF(AND('Mapa final'!$AJ$29="Muy Baja",'Mapa final'!$AL$29="Mayor"),CONCATENATE("R2C",'Mapa final'!$S$29),"")</f>
        <v/>
      </c>
      <c r="AI53" s="41" t="str">
        <f ca="1">IF(AND('Mapa final'!$AJ$24="Muy Baja",'Mapa final'!$AL$24="Catastrófico"),CONCATENATE("R2C",'Mapa final'!$S$24),"")</f>
        <v/>
      </c>
      <c r="AJ53" s="42" t="str">
        <f ca="1">IF(AND('Mapa final'!$AJ$25="Muy Baja",'Mapa final'!$AL$25="Catastrófico"),CONCATENATE("R2C",'Mapa final'!$S$25),"")</f>
        <v/>
      </c>
      <c r="AK53" s="42" t="str">
        <f>IF(AND('Mapa final'!$AJ$26="Muy Baja",'Mapa final'!$AL$26="Catastrófico"),CONCATENATE("R2C",'Mapa final'!$S$26),"")</f>
        <v/>
      </c>
      <c r="AL53" s="42" t="str">
        <f>IF(AND('Mapa final'!$AJ$27="Muy Baja",'Mapa final'!$AL$27="Catastrófico"),CONCATENATE("R2C",'Mapa final'!$S$27),"")</f>
        <v/>
      </c>
      <c r="AM53" s="42" t="str">
        <f>IF(AND('Mapa final'!$AJ$28="Muy Baja",'Mapa final'!$AL$28="Catastrófico"),CONCATENATE("R2C",'Mapa final'!$S$28),"")</f>
        <v/>
      </c>
      <c r="AN53" s="43" t="str">
        <f>IF(AND('Mapa final'!$AJ$29="Muy Baja",'Mapa final'!$AL$29="Catastrófico"),CONCATENATE("R2C",'Mapa final'!$S$29),"")</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60"/>
      <c r="D54" s="360"/>
      <c r="E54" s="361"/>
      <c r="F54" s="470"/>
      <c r="G54" s="456"/>
      <c r="H54" s="456"/>
      <c r="I54" s="456"/>
      <c r="J54" s="457"/>
      <c r="K54" s="62" t="str">
        <f>IF(AND('Mapa final'!$AJ$30="Muy Baja",'Mapa final'!$AL$30="Leve"),CONCATENATE("R2C",'Mapa final'!$S$30),"")</f>
        <v/>
      </c>
      <c r="L54" s="63" t="str">
        <f>IF(AND('Mapa final'!$AJ$31="Muy Baja",'Mapa final'!$AL$31="Leve"),CONCATENATE("R2C",'Mapa final'!$S$31),"")</f>
        <v/>
      </c>
      <c r="M54" s="63" t="str">
        <f>IF(AND('Mapa final'!$AJ$32="Muy Baja",'Mapa final'!$AL$32="Leve"),CONCATENATE("R2C",'Mapa final'!$S$32),"")</f>
        <v/>
      </c>
      <c r="N54" s="63" t="str">
        <f>IF(AND('Mapa final'!$AJ$33="Muy Baja",'Mapa final'!$AL$33="Leve"),CONCATENATE("R2C",'Mapa final'!$S$33),"")</f>
        <v/>
      </c>
      <c r="O54" s="63" t="str">
        <f>IF(AND('Mapa final'!$AJ$34="Muy Baja",'Mapa final'!$AL$34="Leve"),CONCATENATE("R2C",'Mapa final'!$S$34),"")</f>
        <v/>
      </c>
      <c r="P54" s="64" t="str">
        <f>IF(AND('Mapa final'!$AJ$35="Muy Baja",'Mapa final'!$AL$35="Leve"),CONCATENATE("R2C",'Mapa final'!$S$35),"")</f>
        <v/>
      </c>
      <c r="Q54" s="62" t="str">
        <f>IF(AND('Mapa final'!$AJ$30="Muy Baja",'Mapa final'!$AL$30="Menor"),CONCATENATE("R2C",'Mapa final'!$S$30),"")</f>
        <v/>
      </c>
      <c r="R54" s="63" t="str">
        <f>IF(AND('Mapa final'!$AJ$31="Muy Baja",'Mapa final'!$AL$31="Menor"),CONCATENATE("R2C",'Mapa final'!$S$31),"")</f>
        <v/>
      </c>
      <c r="S54" s="63" t="str">
        <f>IF(AND('Mapa final'!$AJ$32="Muy Baja",'Mapa final'!$AL$32="Menor"),CONCATENATE("R2C",'Mapa final'!$S$32),"")</f>
        <v/>
      </c>
      <c r="T54" s="63" t="str">
        <f>IF(AND('Mapa final'!$AJ$33="Muy Baja",'Mapa final'!$AL$33="Menor"),CONCATENATE("R2C",'Mapa final'!$S$33),"")</f>
        <v/>
      </c>
      <c r="U54" s="63" t="str">
        <f>IF(AND('Mapa final'!$AJ$34="Muy Baja",'Mapa final'!$AL$34="Menor"),CONCATENATE("R2C",'Mapa final'!$S$34),"")</f>
        <v/>
      </c>
      <c r="V54" s="64" t="str">
        <f>IF(AND('Mapa final'!$AJ$35="Muy Baja",'Mapa final'!$AL$35="Menor"),CONCATENATE("R2C",'Mapa final'!$S$35),"")</f>
        <v/>
      </c>
      <c r="W54" s="53" t="str">
        <f>IF(AND('Mapa final'!$AJ$30="Muy Baja",'Mapa final'!$AL$30="Moderado"),CONCATENATE("R2C",'Mapa final'!$S$30),"")</f>
        <v/>
      </c>
      <c r="X54" s="54" t="str">
        <f>IF(AND('Mapa final'!$AJ$31="Muy Baja",'Mapa final'!$AL$31="Moderado"),CONCATENATE("R2C",'Mapa final'!$S$31),"")</f>
        <v/>
      </c>
      <c r="Y54" s="54" t="str">
        <f>IF(AND('Mapa final'!$AJ$32="Muy Baja",'Mapa final'!$AL$32="Moderado"),CONCATENATE("R2C",'Mapa final'!$S$32),"")</f>
        <v/>
      </c>
      <c r="Z54" s="54" t="str">
        <f>IF(AND('Mapa final'!$AJ$33="Muy Baja",'Mapa final'!$AL$33="Moderado"),CONCATENATE("R2C",'Mapa final'!$S$33),"")</f>
        <v/>
      </c>
      <c r="AA54" s="54" t="str">
        <f>IF(AND('Mapa final'!$AJ$34="Muy Baja",'Mapa final'!$AL$34="Moderado"),CONCATENATE("R2C",'Mapa final'!$S$34),"")</f>
        <v/>
      </c>
      <c r="AB54" s="55" t="str">
        <f>IF(AND('Mapa final'!$AJ$35="Muy Baja",'Mapa final'!$AL$35="Moderado"),CONCATENATE("R2C",'Mapa final'!$S$35),"")</f>
        <v/>
      </c>
      <c r="AC54" s="38" t="str">
        <f>IF(AND('Mapa final'!$AJ$30="Muy Baja",'Mapa final'!$AL$30="Mayor"),CONCATENATE("R2C",'Mapa final'!$S$30),"")</f>
        <v/>
      </c>
      <c r="AD54" s="39" t="str">
        <f>IF(AND('Mapa final'!$AJ$31="Muy Baja",'Mapa final'!$AL$31="Mayor"),CONCATENATE("R2C",'Mapa final'!$S$31),"")</f>
        <v/>
      </c>
      <c r="AE54" s="39" t="str">
        <f>IF(AND('Mapa final'!$AJ$32="Muy Baja",'Mapa final'!$AL$32="Mayor"),CONCATENATE("R2C",'Mapa final'!$S$32),"")</f>
        <v/>
      </c>
      <c r="AF54" s="39" t="str">
        <f>IF(AND('Mapa final'!$AJ$33="Muy Baja",'Mapa final'!$AL$33="Mayor"),CONCATENATE("R2C",'Mapa final'!$S$33),"")</f>
        <v/>
      </c>
      <c r="AG54" s="39" t="str">
        <f>IF(AND('Mapa final'!$AJ$34="Muy Baja",'Mapa final'!$AL$34="Mayor"),CONCATENATE("R2C",'Mapa final'!$S$34),"")</f>
        <v/>
      </c>
      <c r="AH54" s="40" t="str">
        <f>IF(AND('Mapa final'!$AJ$35="Muy Baja",'Mapa final'!$AL$35="Mayor"),CONCATENATE("R2C",'Mapa final'!$S$35),"")</f>
        <v/>
      </c>
      <c r="AI54" s="41" t="str">
        <f>IF(AND('Mapa final'!$AJ$30="Muy Baja",'Mapa final'!$AL$30="Catastrófico"),CONCATENATE("R2C",'Mapa final'!$S$30),"")</f>
        <v/>
      </c>
      <c r="AJ54" s="42" t="str">
        <f>IF(AND('Mapa final'!$AJ$31="Muy Baja",'Mapa final'!$AL$31="Catastrófico"),CONCATENATE("R2C",'Mapa final'!$S$31),"")</f>
        <v/>
      </c>
      <c r="AK54" s="42" t="str">
        <f>IF(AND('Mapa final'!$AJ$32="Muy Baja",'Mapa final'!$AL$32="Catastrófico"),CONCATENATE("R2C",'Mapa final'!$S$32),"")</f>
        <v/>
      </c>
      <c r="AL54" s="42" t="str">
        <f>IF(AND('Mapa final'!$AJ$33="Muy Baja",'Mapa final'!$AL$33="Catastrófico"),CONCATENATE("R2C",'Mapa final'!$S$33),"")</f>
        <v/>
      </c>
      <c r="AM54" s="42" t="str">
        <f>IF(AND('Mapa final'!$AJ$34="Muy Baja",'Mapa final'!$AL$34="Catastrófico"),CONCATENATE("R2C",'Mapa final'!$S$34),"")</f>
        <v/>
      </c>
      <c r="AN54" s="43" t="str">
        <f>IF(AND('Mapa final'!$AJ$35="Muy Baja",'Mapa final'!$AL$35="Catastrófico"),CONCATENATE("R2C",'Mapa final'!$S$35),"")</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60"/>
      <c r="D55" s="360"/>
      <c r="E55" s="361"/>
      <c r="F55" s="455"/>
      <c r="G55" s="456"/>
      <c r="H55" s="456"/>
      <c r="I55" s="456"/>
      <c r="J55" s="457"/>
      <c r="K55" s="62" t="str">
        <f>IF(AND('Mapa final'!$AJ$36="Muy Baja",'Mapa final'!$AL$36="Leve"),CONCATENATE("R2C",'Mapa final'!$S$36),"")</f>
        <v/>
      </c>
      <c r="L55" s="63" t="str">
        <f>IF(AND('Mapa final'!$AJ$37="Muy Baja",'Mapa final'!$AL$37="Leve"),CONCATENATE("R2C",'Mapa final'!$S$37),"")</f>
        <v/>
      </c>
      <c r="M55" s="63" t="str">
        <f>IF(AND('Mapa final'!$AJ$38="Muy Baja",'Mapa final'!$AL$38="Leve"),CONCATENATE("R2C",'Mapa final'!$S$38),"")</f>
        <v/>
      </c>
      <c r="N55" s="63" t="str">
        <f>IF(AND('Mapa final'!$AJ$39="Muy Baja",'Mapa final'!$AL$39="Leve"),CONCATENATE("R2C",'Mapa final'!$S$39),"")</f>
        <v/>
      </c>
      <c r="O55" s="63" t="str">
        <f>IF(AND('Mapa final'!$AJ$40="Muy Baja",'Mapa final'!$AL$40="Leve"),CONCATENATE("R2C",'Mapa final'!$S$40),"")</f>
        <v/>
      </c>
      <c r="P55" s="64" t="str">
        <f>IF(AND('Mapa final'!$AJ$41="Muy Baja",'Mapa final'!$AL$41="Leve"),CONCATENATE("R2C",'Mapa final'!$S$41),"")</f>
        <v/>
      </c>
      <c r="Q55" s="62" t="str">
        <f>IF(AND('Mapa final'!$AJ$36="Muy Baja",'Mapa final'!$AL$36="Menor"),CONCATENATE("R2C",'Mapa final'!$S$36),"")</f>
        <v/>
      </c>
      <c r="R55" s="63" t="str">
        <f>IF(AND('Mapa final'!$AJ$37="Muy Baja",'Mapa final'!$AL$37="Menor"),CONCATENATE("R2C",'Mapa final'!$S$37),"")</f>
        <v/>
      </c>
      <c r="S55" s="63" t="str">
        <f>IF(AND('Mapa final'!$AJ$38="Muy Baja",'Mapa final'!$AL$38="Menor"),CONCATENATE("R2C",'Mapa final'!$S$38),"")</f>
        <v/>
      </c>
      <c r="T55" s="63" t="str">
        <f>IF(AND('Mapa final'!$AJ$39="Muy Baja",'Mapa final'!$AL$39="Menor"),CONCATENATE("R2C",'Mapa final'!$S$39),"")</f>
        <v/>
      </c>
      <c r="U55" s="63" t="str">
        <f>IF(AND('Mapa final'!$AJ$40="Muy Baja",'Mapa final'!$AL$40="LMenor"),CONCATENATE("R2C",'Mapa final'!$S$40),"")</f>
        <v/>
      </c>
      <c r="V55" s="64" t="str">
        <f>IF(AND('Mapa final'!$AJ$41="Muy Baja",'Mapa final'!$AL$41="Menor"),CONCATENATE("R2C",'Mapa final'!$S$41),"")</f>
        <v/>
      </c>
      <c r="W55" s="53" t="str">
        <f>IF(AND('Mapa final'!$AJ$36="Muy Baja",'Mapa final'!$AL$36="Moderado"),CONCATENATE("R2C",'Mapa final'!$S$36),"")</f>
        <v/>
      </c>
      <c r="X55" s="54" t="str">
        <f>IF(AND('Mapa final'!$AJ$37="Muy Baja",'Mapa final'!$AL$37="Moderado"),CONCATENATE("R2C",'Mapa final'!$S$37),"")</f>
        <v/>
      </c>
      <c r="Y55" s="54" t="str">
        <f>IF(AND('Mapa final'!$AJ$38="Muy Baja",'Mapa final'!$AL$38="Moderado"),CONCATENATE("R2C",'Mapa final'!$S$38),"")</f>
        <v/>
      </c>
      <c r="Z55" s="54" t="str">
        <f>IF(AND('Mapa final'!$AJ$39="Muy Baja",'Mapa final'!$AL$39="Moderado"),CONCATENATE("R2C",'Mapa final'!$S$39),"")</f>
        <v/>
      </c>
      <c r="AA55" s="54" t="str">
        <f>IF(AND('Mapa final'!$AJ$40="Muy Baja",'Mapa final'!$AL$40="Moderado"),CONCATENATE("R2C",'Mapa final'!$S$40),"")</f>
        <v/>
      </c>
      <c r="AB55" s="55" t="str">
        <f>IF(AND('Mapa final'!$AJ$41="Muy Baja",'Mapa final'!$AL$41="Moderado"),CONCATENATE("R2C",'Mapa final'!$S$41),"")</f>
        <v/>
      </c>
      <c r="AC55" s="38" t="str">
        <f>IF(AND('Mapa final'!$AJ$36="Muy Baja",'Mapa final'!$AL$36="Mayor"),CONCATENATE("R2C",'Mapa final'!$S$36),"")</f>
        <v/>
      </c>
      <c r="AD55" s="39" t="str">
        <f>IF(AND('Mapa final'!$AJ$37="Muy Baja",'Mapa final'!$AL$37="Mayor"),CONCATENATE("R2C",'Mapa final'!$S$37),"")</f>
        <v/>
      </c>
      <c r="AE55" s="39" t="str">
        <f>IF(AND('Mapa final'!$AJ$38="Muy Baja",'Mapa final'!$AL$38="Mayor"),CONCATENATE("R2C",'Mapa final'!$S$38),"")</f>
        <v/>
      </c>
      <c r="AF55" s="39" t="str">
        <f>IF(AND('Mapa final'!$AJ$39="Muy Baja",'Mapa final'!$AL$39="Mayor"),CONCATENATE("R2C",'Mapa final'!$S$39),"")</f>
        <v/>
      </c>
      <c r="AG55" s="39" t="str">
        <f>IF(AND('Mapa final'!$AJ$40="Muy Baja",'Mapa final'!$AL$40="Mayor"),CONCATENATE("R2C",'Mapa final'!$S$40),"")</f>
        <v/>
      </c>
      <c r="AH55" s="40" t="str">
        <f>IF(AND('Mapa final'!$AJ$41="Muy Baja",'Mapa final'!$AL$41="Mayor"),CONCATENATE("R2C",'Mapa final'!$S$41),"")</f>
        <v/>
      </c>
      <c r="AI55" s="41" t="str">
        <f>IF(AND('Mapa final'!$AJ$36="Muy Baja",'Mapa final'!$AL$36="Catastrófico"),CONCATENATE("R2C",'Mapa final'!$S$36),"")</f>
        <v/>
      </c>
      <c r="AJ55" s="42" t="str">
        <f>IF(AND('Mapa final'!$AJ$37="Muy Baja",'Mapa final'!$AL$37="Catastrófico"),CONCATENATE("R2C",'Mapa final'!$S$37),"")</f>
        <v/>
      </c>
      <c r="AK55" s="42" t="str">
        <f>IF(AND('Mapa final'!$AJ$38="Muy Baja",'Mapa final'!$AL$38="Catastrófico"),CONCATENATE("R2C",'Mapa final'!$S$38),"")</f>
        <v/>
      </c>
      <c r="AL55" s="42" t="str">
        <f>IF(AND('Mapa final'!$AJ$39="Muy Baja",'Mapa final'!$AL$39="Catastrófico"),CONCATENATE("R2C",'Mapa final'!$S$39),"")</f>
        <v/>
      </c>
      <c r="AM55" s="42" t="str">
        <f>IF(AND('Mapa final'!$AJ$40="Muy Baja",'Mapa final'!$AL$40="LCatastrófico"),CONCATENATE("R2C",'Mapa final'!$S$40),"")</f>
        <v/>
      </c>
      <c r="AN55" s="43" t="str">
        <f>IF(AND('Mapa final'!$AJ$41="Muy Baja",'Mapa final'!$AL$41="Catastrófico"),CONCATENATE("R2C",'Mapa final'!$S$41),"")</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60"/>
      <c r="D56" s="360"/>
      <c r="E56" s="361"/>
      <c r="F56" s="455"/>
      <c r="G56" s="456"/>
      <c r="H56" s="456"/>
      <c r="I56" s="456"/>
      <c r="J56" s="457"/>
      <c r="K56" s="62" t="str">
        <f>IF(AND('Mapa final'!$AJ$42="Muy Baja",'Mapa final'!$AL$42="Leve"),CONCATENATE("R2C",'Mapa final'!$S$42),"")</f>
        <v/>
      </c>
      <c r="L56" s="63" t="str">
        <f>IF(AND('Mapa final'!$AJ$43="Muy Baja",'Mapa final'!$AL$43="Leve"),CONCATENATE("R2C",'Mapa final'!$S$43),"")</f>
        <v/>
      </c>
      <c r="M56" s="63" t="str">
        <f>IF(AND('Mapa final'!$AJ$44="Muy Baja",'Mapa final'!$AL$44="Leve"),CONCATENATE("R2C",'Mapa final'!$S$44),"")</f>
        <v/>
      </c>
      <c r="N56" s="63" t="str">
        <f>IF(AND('Mapa final'!$AJ$45="Muy Baja",'Mapa final'!$AL$45="Leve"),CONCATENATE("R2C",'Mapa final'!$S$45),"")</f>
        <v/>
      </c>
      <c r="O56" s="63" t="str">
        <f>IF(AND('Mapa final'!$AJ$46="Muy Baja",'Mapa final'!$AL$46="Leve"),CONCATENATE("R2C",'Mapa final'!$S$46),"")</f>
        <v/>
      </c>
      <c r="P56" s="64" t="str">
        <f>IF(AND('Mapa final'!$AJ$47="Muy Baja",'Mapa final'!$AL$47="Leve"),CONCATENATE("R2C",'Mapa final'!$S$47),"")</f>
        <v/>
      </c>
      <c r="Q56" s="62" t="str">
        <f>IF(AND('Mapa final'!$AJ$42="Muy Baja",'Mapa final'!$AL$42="Menor"),CONCATENATE("R2C",'Mapa final'!$S$42),"")</f>
        <v/>
      </c>
      <c r="R56" s="63" t="str">
        <f>IF(AND('Mapa final'!$AJ$43="Muy Baja",'Mapa final'!$AL$43="Menor"),CONCATENATE("R2C",'Mapa final'!$S$43),"")</f>
        <v/>
      </c>
      <c r="S56" s="63" t="str">
        <f>IF(AND('Mapa final'!$AJ$44="Muy Baja",'Mapa final'!$AL$44="Menor"),CONCATENATE("R2C",'Mapa final'!$S$44),"")</f>
        <v/>
      </c>
      <c r="T56" s="63" t="str">
        <f>IF(AND('Mapa final'!$AJ$45="Muy Baja",'Mapa final'!$AL$45="Menor"),CONCATENATE("R2C",'Mapa final'!$S$45),"")</f>
        <v/>
      </c>
      <c r="U56" s="63" t="str">
        <f>IF(AND('Mapa final'!$AJ$46="Muy Baja",'Mapa final'!$AL$46="Menor"),CONCATENATE("R2C",'Mapa final'!$S$46),"")</f>
        <v/>
      </c>
      <c r="V56" s="64" t="str">
        <f>IF(AND('Mapa final'!$AJ$47="Muy Baja",'Mapa final'!$AL$47="Menor"),CONCATENATE("R2C",'Mapa final'!$S$47),"")</f>
        <v/>
      </c>
      <c r="W56" s="53" t="str">
        <f>IF(AND('Mapa final'!$AJ$42="Muy Baja",'Mapa final'!$AL$42="Moderado"),CONCATENATE("R2C",'Mapa final'!$S$42),"")</f>
        <v/>
      </c>
      <c r="X56" s="54" t="str">
        <f>IF(AND('Mapa final'!$AJ$43="Muy Baja",'Mapa final'!$AL$43="Moderado"),CONCATENATE("R2C",'Mapa final'!$S$43),"")</f>
        <v/>
      </c>
      <c r="Y56" s="54" t="str">
        <f>IF(AND('Mapa final'!$AJ$44="Muy Baja",'Mapa final'!$AL$44="Moderado"),CONCATENATE("R2C",'Mapa final'!$S$44),"")</f>
        <v/>
      </c>
      <c r="Z56" s="54" t="str">
        <f>IF(AND('Mapa final'!$AJ$45="Muy Baja",'Mapa final'!$AL$45="Moderado"),CONCATENATE("R2C",'Mapa final'!$S$45),"")</f>
        <v/>
      </c>
      <c r="AA56" s="54" t="str">
        <f>IF(AND('Mapa final'!$AJ$46="Muy Baja",'Mapa final'!$AL$46="Moderado"),CONCATENATE("R2C",'Mapa final'!$S$46),"")</f>
        <v/>
      </c>
      <c r="AB56" s="55" t="str">
        <f>IF(AND('Mapa final'!$AJ$47="Muy Baja",'Mapa final'!$AL$47="Moderado"),CONCATENATE("R2C",'Mapa final'!$S$47),"")</f>
        <v/>
      </c>
      <c r="AC56" s="38" t="str">
        <f>IF(AND('Mapa final'!$AJ$42="Muy Baja",'Mapa final'!$AL$42="Mayor"),CONCATENATE("R2C",'Mapa final'!$S$42),"")</f>
        <v/>
      </c>
      <c r="AD56" s="39" t="str">
        <f>IF(AND('Mapa final'!$AJ$43="Muy Baja",'Mapa final'!$AL$43="Mayor"),CONCATENATE("R2C",'Mapa final'!$S$43),"")</f>
        <v/>
      </c>
      <c r="AE56" s="39" t="str">
        <f>IF(AND('Mapa final'!$AJ$44="Muy Baja",'Mapa final'!$AL$44="Mayor"),CONCATENATE("R2C",'Mapa final'!$S$44),"")</f>
        <v/>
      </c>
      <c r="AF56" s="39" t="str">
        <f>IF(AND('Mapa final'!$AJ$45="Muy Baja",'Mapa final'!$AL$45="Mayor"),CONCATENATE("R2C",'Mapa final'!$S$45),"")</f>
        <v/>
      </c>
      <c r="AG56" s="39" t="str">
        <f>IF(AND('Mapa final'!$AJ$46="Muy Baja",'Mapa final'!$AL$46="Mayor"),CONCATENATE("R2C",'Mapa final'!$S$46),"")</f>
        <v/>
      </c>
      <c r="AH56" s="40" t="str">
        <f>IF(AND('Mapa final'!$AJ$47="Muy Baja",'Mapa final'!$AL$47="Mayor"),CONCATENATE("R2C",'Mapa final'!$S$47),"")</f>
        <v/>
      </c>
      <c r="AI56" s="41" t="str">
        <f>IF(AND('Mapa final'!$AJ$42="Muy Baja",'Mapa final'!$AL$42="Catastrófico"),CONCATENATE("R2C",'Mapa final'!$S$42),"")</f>
        <v/>
      </c>
      <c r="AJ56" s="42" t="str">
        <f>IF(AND('Mapa final'!$AJ$43="Muy Baja",'Mapa final'!$AL$43="Catastrófico"),CONCATENATE("R2C",'Mapa final'!$S$43),"")</f>
        <v/>
      </c>
      <c r="AK56" s="42" t="str">
        <f>IF(AND('Mapa final'!$AJ$44="Muy Baja",'Mapa final'!$AL$44="Catastrófico"),CONCATENATE("R2C",'Mapa final'!$S$44),"")</f>
        <v/>
      </c>
      <c r="AL56" s="42" t="str">
        <f>IF(AND('Mapa final'!$AJ$45="Muy Baja",'Mapa final'!$AL$45="Catastrófico"),CONCATENATE("R2C",'Mapa final'!$S$45),"")</f>
        <v/>
      </c>
      <c r="AM56" s="42" t="str">
        <f>IF(AND('Mapa final'!$AJ$46="Muy Baja",'Mapa final'!$AL$46="Catastrófico"),CONCATENATE("R2C",'Mapa final'!$S$46),"")</f>
        <v/>
      </c>
      <c r="AN56" s="43" t="str">
        <f>IF(AND('Mapa final'!$AJ$47="Muy Baja",'Mapa final'!$AL$47="Catastrófico"),CONCATENATE("R2C",'Mapa final'!$S$47),"")</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60"/>
      <c r="D57" s="360"/>
      <c r="E57" s="361"/>
      <c r="F57" s="455"/>
      <c r="G57" s="456"/>
      <c r="H57" s="456"/>
      <c r="I57" s="456"/>
      <c r="J57" s="457"/>
      <c r="K57" s="62" t="str">
        <f>IF(AND('Mapa final'!$AJ$48="Muy Baja",'Mapa final'!$AL$48="Leve"),CONCATENATE("R2C",'Mapa final'!$S$48),"")</f>
        <v/>
      </c>
      <c r="L57" s="63" t="str">
        <f>IF(AND('Mapa final'!$AJ$49="Muy Baja",'Mapa final'!$AL$49="Leve"),CONCATENATE("R2C",'Mapa final'!$S$49),"")</f>
        <v/>
      </c>
      <c r="M57" s="63" t="str">
        <f>IF(AND('Mapa final'!$AJ$50="Muy Baja",'Mapa final'!$AL$50="Leve"),CONCATENATE("R2C",'Mapa final'!$S$50),"")</f>
        <v/>
      </c>
      <c r="N57" s="63" t="str">
        <f>IF(AND('Mapa final'!$AJ$51="Muy Baja",'Mapa final'!$AL$51="Leve"),CONCATENATE("R2C",'Mapa final'!$S$51),"")</f>
        <v/>
      </c>
      <c r="O57" s="63" t="str">
        <f>IF(AND('Mapa final'!$AJ$52="Muy Baja",'Mapa final'!$AL$52="Leve"),CONCATENATE("R2C",'Mapa final'!$S$52),"")</f>
        <v/>
      </c>
      <c r="P57" s="64" t="str">
        <f>IF(AND('Mapa final'!$AJ$63="Muy Baja",'Mapa final'!$AL$53="Leve"),CONCATENATE("R2C",'Mapa final'!$S$53),"")</f>
        <v/>
      </c>
      <c r="Q57" s="62" t="str">
        <f>IF(AND('Mapa final'!$AJ$48="Muy Baja",'Mapa final'!$AL$48="Menor"),CONCATENATE("R2C",'Mapa final'!$S$48),"")</f>
        <v/>
      </c>
      <c r="R57" s="63" t="str">
        <f>IF(AND('Mapa final'!$AJ$49="Muy Baja",'Mapa final'!$AL$49="Menor"),CONCATENATE("R2C",'Mapa final'!$S$49),"")</f>
        <v/>
      </c>
      <c r="S57" s="63" t="str">
        <f>IF(AND('Mapa final'!$AJ$50="Muy Baja",'Mapa final'!$AL$50="Menor"),CONCATENATE("R2C",'Mapa final'!$S$50),"")</f>
        <v/>
      </c>
      <c r="T57" s="63" t="str">
        <f>IF(AND('Mapa final'!$AJ$51="Muy Baja",'Mapa final'!$AL$51="Menor"),CONCATENATE("R2C",'Mapa final'!$S$51),"")</f>
        <v/>
      </c>
      <c r="U57" s="63" t="str">
        <f>IF(AND('Mapa final'!$AJ$52="Muy Baja",'Mapa final'!$AL$52="Menor"),CONCATENATE("R2C",'Mapa final'!$S$52),"")</f>
        <v/>
      </c>
      <c r="V57" s="64" t="str">
        <f>IF(AND('Mapa final'!$AJ$63="Muy Baja",'Mapa final'!$AL$53="Menor"),CONCATENATE("R2C",'Mapa final'!$S$53),"")</f>
        <v/>
      </c>
      <c r="W57" s="53" t="str">
        <f>IF(AND('Mapa final'!$AJ$48="Muy Baja",'Mapa final'!$AL$48="Moderado"),CONCATENATE("R2C",'Mapa final'!$S$48),"")</f>
        <v/>
      </c>
      <c r="X57" s="54" t="str">
        <f>IF(AND('Mapa final'!$AJ$49="Muy Baja",'Mapa final'!$AL$49="Moderado"),CONCATENATE("R2C",'Mapa final'!$S$49),"")</f>
        <v/>
      </c>
      <c r="Y57" s="54" t="str">
        <f>IF(AND('Mapa final'!$AJ$50="Muy Baja",'Mapa final'!$AL$50="Moderado"),CONCATENATE("R2C",'Mapa final'!$S$50),"")</f>
        <v/>
      </c>
      <c r="Z57" s="54" t="str">
        <f>IF(AND('Mapa final'!$AJ$51="Muy Baja",'Mapa final'!$AL$51="Moderado"),CONCATENATE("R2C",'Mapa final'!$S$51),"")</f>
        <v/>
      </c>
      <c r="AA57" s="54" t="str">
        <f>IF(AND('Mapa final'!$AJ$52="Muy Baja",'Mapa final'!$AL$52="Moderado"),CONCATENATE("R2C",'Mapa final'!$S$52),"")</f>
        <v/>
      </c>
      <c r="AB57" s="55" t="str">
        <f>IF(AND('Mapa final'!$AJ$63="Muy Baja",'Mapa final'!$AL$53="Moderado"),CONCATENATE("R2C",'Mapa final'!$S$53),"")</f>
        <v/>
      </c>
      <c r="AC57" s="38" t="str">
        <f>IF(AND('Mapa final'!$AJ$48="Muy Baja",'Mapa final'!$AL$48="Mayor"),CONCATENATE("R2C",'Mapa final'!$S$48),"")</f>
        <v/>
      </c>
      <c r="AD57" s="39" t="str">
        <f>IF(AND('Mapa final'!$AJ$49="Muy Baja",'Mapa final'!$AL$49="Mayor"),CONCATENATE("R2C",'Mapa final'!$S$49),"")</f>
        <v/>
      </c>
      <c r="AE57" s="39" t="str">
        <f>IF(AND('Mapa final'!$AJ$50="Muy Baja",'Mapa final'!$AL$50="Mayor"),CONCATENATE("R2C",'Mapa final'!$S$50),"")</f>
        <v/>
      </c>
      <c r="AF57" s="39" t="str">
        <f>IF(AND('Mapa final'!$AJ$51="Muy Baja",'Mapa final'!$AL$51="Mayor"),CONCATENATE("R2C",'Mapa final'!$S$51),"")</f>
        <v/>
      </c>
      <c r="AG57" s="39" t="str">
        <f>IF(AND('Mapa final'!$AJ$52="Muy Baja",'Mapa final'!$AL$52="Mayor"),CONCATENATE("R2C",'Mapa final'!$S$52),"")</f>
        <v/>
      </c>
      <c r="AH57" s="40" t="str">
        <f>IF(AND('Mapa final'!$AJ$63="Muy Baja",'Mapa final'!$AL$53="Mayor"),CONCATENATE("R2C",'Mapa final'!$S$53),"")</f>
        <v/>
      </c>
      <c r="AI57" s="41" t="str">
        <f>IF(AND('Mapa final'!$AJ$48="Muy Baja",'Mapa final'!$AL$48="Catastrófico"),CONCATENATE("R2C",'Mapa final'!$S$48),"")</f>
        <v/>
      </c>
      <c r="AJ57" s="42" t="str">
        <f>IF(AND('Mapa final'!$AJ$49="Muy Baja",'Mapa final'!$AL$49="Catastrófico"),CONCATENATE("R2C",'Mapa final'!$S$49),"")</f>
        <v/>
      </c>
      <c r="AK57" s="42" t="str">
        <f>IF(AND('Mapa final'!$AJ$50="Muy Baja",'Mapa final'!$AL$50="Catastrófico"),CONCATENATE("R2C",'Mapa final'!$S$50),"")</f>
        <v/>
      </c>
      <c r="AL57" s="42" t="str">
        <f>IF(AND('Mapa final'!$AJ$51="Muy Baja",'Mapa final'!$AL$51="Catastrófico"),CONCATENATE("R2C",'Mapa final'!$S$51),"")</f>
        <v/>
      </c>
      <c r="AM57" s="42" t="str">
        <f>IF(AND('Mapa final'!$AJ$52="Muy Baja",'Mapa final'!$AL$52="Catastrófico"),CONCATENATE("R2C",'Mapa final'!$S$52),"")</f>
        <v/>
      </c>
      <c r="AN57" s="43" t="str">
        <f>IF(AND('Mapa final'!$AJ$63="Muy Baja",'Mapa final'!$AL$53="Catastrófico"),CONCATENATE("R2C",'Mapa final'!$S$53),"")</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60"/>
      <c r="D58" s="360"/>
      <c r="E58" s="361"/>
      <c r="F58" s="455"/>
      <c r="G58" s="456"/>
      <c r="H58" s="456"/>
      <c r="I58" s="456"/>
      <c r="J58" s="457"/>
      <c r="K58" s="62" t="str">
        <f>IF(AND('Mapa final'!$AJ$54="Muy Baja",'Mapa final'!$AL$54="Leve"),CONCATENATE("R2C",'Mapa final'!$S$54),"")</f>
        <v/>
      </c>
      <c r="L58" s="63" t="str">
        <f>IF(AND('Mapa final'!$AJ$55="Muy Baja",'Mapa final'!$AL$55="Leve"),CONCATENATE("R2C",'Mapa final'!$S$55),"")</f>
        <v/>
      </c>
      <c r="M58" s="63" t="str">
        <f>IF(AND('Mapa final'!$AJ$56="Muy Baja",'Mapa final'!$AL$56="Leve"),CONCATENATE("R2C",'Mapa final'!$S$56),"")</f>
        <v/>
      </c>
      <c r="N58" s="63" t="str">
        <f>IF(AND('Mapa final'!$AJ$57="Muy Baja",'Mapa final'!$AL$57="Leve"),CONCATENATE("R2C",'Mapa final'!$S$57),"")</f>
        <v/>
      </c>
      <c r="O58" s="63" t="str">
        <f>IF(AND('Mapa final'!$AJ$58="Muy Baja",'Mapa final'!$AL$58="Leve"),CONCATENATE("R2C",'Mapa final'!$S$58),"")</f>
        <v/>
      </c>
      <c r="P58" s="64" t="str">
        <f>IF(AND('Mapa final'!$AJ$59="Muy Baja",'Mapa final'!$AL$59="Leve"),CONCATENATE("R2C",'Mapa final'!$S$59),"")</f>
        <v/>
      </c>
      <c r="Q58" s="62" t="str">
        <f>IF(AND('Mapa final'!$AJ$54="Muy Baja",'Mapa final'!$AL$54="Menor"),CONCATENATE("R2C",'Mapa final'!$S$54),"")</f>
        <v/>
      </c>
      <c r="R58" s="63" t="str">
        <f>IF(AND('Mapa final'!$AJ$55="Muy Baja",'Mapa final'!$AL$55="Menor"),CONCATENATE("R2C",'Mapa final'!$S$55),"")</f>
        <v/>
      </c>
      <c r="S58" s="63" t="str">
        <f>IF(AND('Mapa final'!$AJ$56="Muy Baja",'Mapa final'!$AL$56="Menor"),CONCATENATE("R2C",'Mapa final'!$S$56),"")</f>
        <v/>
      </c>
      <c r="T58" s="63" t="str">
        <f>IF(AND('Mapa final'!$AJ$57="Muy Baja",'Mapa final'!$AL$57="Menor"),CONCATENATE("R2C",'Mapa final'!$S$57),"")</f>
        <v/>
      </c>
      <c r="U58" s="63" t="str">
        <f>IF(AND('Mapa final'!$AJ$58="Muy Baja",'Mapa final'!$AL$58="Menor"),CONCATENATE("R2C",'Mapa final'!$S$58),"")</f>
        <v/>
      </c>
      <c r="V58" s="64" t="str">
        <f>IF(AND('Mapa final'!$AJ$59="Muy Baja",'Mapa final'!$AL$59="Menor"),CONCATENATE("R2C",'Mapa final'!$S$59),"")</f>
        <v/>
      </c>
      <c r="W58" s="53" t="str">
        <f>IF(AND('Mapa final'!$AJ$54="Muy Baja",'Mapa final'!$AL$54="Moderado"),CONCATENATE("R2C",'Mapa final'!$S$54),"")</f>
        <v/>
      </c>
      <c r="X58" s="54" t="str">
        <f>IF(AND('Mapa final'!$AJ$55="Muy Baja",'Mapa final'!$AL$55="Moderado"),CONCATENATE("R2C",'Mapa final'!$S$55),"")</f>
        <v/>
      </c>
      <c r="Y58" s="54" t="str">
        <f>IF(AND('Mapa final'!$AJ$56="Muy Baja",'Mapa final'!$AL$56="Moderado"),CONCATENATE("R2C",'Mapa final'!$S$56),"")</f>
        <v/>
      </c>
      <c r="Z58" s="54" t="str">
        <f>IF(AND('Mapa final'!$AJ$57="Muy Baja",'Mapa final'!$AL$57="Moderado"),CONCATENATE("R2C",'Mapa final'!$S$57),"")</f>
        <v/>
      </c>
      <c r="AA58" s="54" t="str">
        <f>IF(AND('Mapa final'!$AJ$58="Muy Baja",'Mapa final'!$AL$58="Moderado"),CONCATENATE("R2C",'Mapa final'!$S$58),"")</f>
        <v/>
      </c>
      <c r="AB58" s="55" t="str">
        <f>IF(AND('Mapa final'!$AJ$59="Muy Baja",'Mapa final'!$AL$59="Moderado"),CONCATENATE("R2C",'Mapa final'!$S$59),"")</f>
        <v/>
      </c>
      <c r="AC58" s="38" t="str">
        <f>IF(AND('Mapa final'!$AJ$54="Muy Baja",'Mapa final'!$AL$54="Mayor"),CONCATENATE("R2C",'Mapa final'!$S$54),"")</f>
        <v/>
      </c>
      <c r="AD58" s="39" t="str">
        <f>IF(AND('Mapa final'!$AJ$55="Muy Baja",'Mapa final'!$AL$55="Mayor"),CONCATENATE("R2C",'Mapa final'!$S$55),"")</f>
        <v/>
      </c>
      <c r="AE58" s="39" t="str">
        <f>IF(AND('Mapa final'!$AJ$56="Muy Baja",'Mapa final'!$AL$56="Mayor"),CONCATENATE("R2C",'Mapa final'!$S$56),"")</f>
        <v/>
      </c>
      <c r="AF58" s="39" t="str">
        <f>IF(AND('Mapa final'!$AJ$57="Muy Baja",'Mapa final'!$AL$57="Mayor"),CONCATENATE("R2C",'Mapa final'!$S$57),"")</f>
        <v/>
      </c>
      <c r="AG58" s="39" t="str">
        <f>IF(AND('Mapa final'!$AJ$58="Muy Baja",'Mapa final'!$AL$58="Mayor"),CONCATENATE("R2C",'Mapa final'!$S$58),"")</f>
        <v/>
      </c>
      <c r="AH58" s="40" t="str">
        <f>IF(AND('Mapa final'!$AJ$59="Muy Baja",'Mapa final'!$AL$59="Mayor"),CONCATENATE("R2C",'Mapa final'!$S$59),"")</f>
        <v/>
      </c>
      <c r="AI58" s="41" t="str">
        <f>IF(AND('Mapa final'!$AJ$54="Muy Baja",'Mapa final'!$AL$54="Catastrófico"),CONCATENATE("R2C",'Mapa final'!$S$54),"")</f>
        <v/>
      </c>
      <c r="AJ58" s="42" t="str">
        <f>IF(AND('Mapa final'!$AJ$55="Muy Baja",'Mapa final'!$AL$55="Catastrófico"),CONCATENATE("R2C",'Mapa final'!$S$55),"")</f>
        <v/>
      </c>
      <c r="AK58" s="42" t="str">
        <f>IF(AND('Mapa final'!$AJ$56="Muy Baja",'Mapa final'!$AL$56="Catastrófico"),CONCATENATE("R2C",'Mapa final'!$S$56),"")</f>
        <v/>
      </c>
      <c r="AL58" s="42" t="str">
        <f>IF(AND('Mapa final'!$AJ$57="Muy Baja",'Mapa final'!$AL$57="Catastrófico"),CONCATENATE("R2C",'Mapa final'!$S$57),"")</f>
        <v/>
      </c>
      <c r="AM58" s="42" t="str">
        <f>IF(AND('Mapa final'!$AJ$58="Muy Baja",'Mapa final'!$AL$58="Catastrófico"),CONCATENATE("R2C",'Mapa final'!$S$58),"")</f>
        <v/>
      </c>
      <c r="AN58" s="43" t="str">
        <f>IF(AND('Mapa final'!$AJ$59="Muy Baja",'Mapa final'!$AL$59="Catastrófico"),CONCATENATE("R2C",'Mapa final'!$S$59),"")</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60"/>
      <c r="D59" s="360"/>
      <c r="E59" s="361"/>
      <c r="F59" s="455"/>
      <c r="G59" s="456"/>
      <c r="H59" s="456"/>
      <c r="I59" s="456"/>
      <c r="J59" s="457"/>
      <c r="K59" s="62" t="str">
        <f>IF(AND('Mapa final'!$AJ$60="Muy Baja",'Mapa final'!$AL$60="Leve"),CONCATENATE("R2C",'Mapa final'!$S$60),"")</f>
        <v/>
      </c>
      <c r="L59" s="63" t="str">
        <f>IF(AND('Mapa final'!$AJ$61="Muy Baja",'Mapa final'!$AL$61="Leve"),CONCATENATE("R2C",'Mapa final'!$S$61),"")</f>
        <v/>
      </c>
      <c r="M59" s="63" t="str">
        <f>IF(AND('Mapa final'!$AJ$62="Muy Baja",'Mapa final'!$AL$62="Leve"),CONCATENATE("R2C",'Mapa final'!$S$62),"")</f>
        <v/>
      </c>
      <c r="N59" s="63" t="str">
        <f>IF(AND('Mapa final'!$AJ$63="Muy Baja",'Mapa final'!$AL$63="Leve"),CONCATENATE("R2C",'Mapa final'!$S$63),"")</f>
        <v/>
      </c>
      <c r="O59" s="63" t="str">
        <f>IF(AND('Mapa final'!$AJ$64="Muy Baja",'Mapa final'!$AL$64="Leve"),CONCATENATE("R2C",'Mapa final'!$S$64),"")</f>
        <v/>
      </c>
      <c r="P59" s="64" t="str">
        <f>IF(AND('Mapa final'!$AJ$65="Muy Baja",'Mapa final'!$AL$65="Leve"),CONCATENATE("R2C",'Mapa final'!$S$65),"")</f>
        <v/>
      </c>
      <c r="Q59" s="62" t="str">
        <f>IF(AND('Mapa final'!$AJ$60="Muy Baja",'Mapa final'!$AL$60="Menor"),CONCATENATE("R2C",'Mapa final'!$S$60),"")</f>
        <v/>
      </c>
      <c r="R59" s="63" t="str">
        <f>IF(AND('Mapa final'!$AJ$61="Muy Baja",'Mapa final'!$AL$61="Menor"),CONCATENATE("R2C",'Mapa final'!$S$61),"")</f>
        <v/>
      </c>
      <c r="S59" s="63" t="str">
        <f>IF(AND('Mapa final'!$AJ$62="Muy Baja",'Mapa final'!$AL$62="Menor"),CONCATENATE("R2C",'Mapa final'!$S$62),"")</f>
        <v/>
      </c>
      <c r="T59" s="63" t="str">
        <f>IF(AND('Mapa final'!$AJ$63="Muy Baja",'Mapa final'!$AL$63="Menor"),CONCATENATE("R2C",'Mapa final'!$S$63),"")</f>
        <v/>
      </c>
      <c r="U59" s="63" t="str">
        <f>IF(AND('Mapa final'!$AJ$64="Muy Baja",'Mapa final'!$AL$64="Menor"),CONCATENATE("R2C",'Mapa final'!$S$64),"")</f>
        <v/>
      </c>
      <c r="V59" s="64" t="str">
        <f>IF(AND('Mapa final'!$AJ$65="Muy Baja",'Mapa final'!$AL$65="Menor"),CONCATENATE("R2C",'Mapa final'!$S$65),"")</f>
        <v/>
      </c>
      <c r="W59" s="53" t="str">
        <f>IF(AND('Mapa final'!$AJ$60="Muy Baja",'Mapa final'!$AL$60="Moderado"),CONCATENATE("R2C",'Mapa final'!$S$60),"")</f>
        <v/>
      </c>
      <c r="X59" s="54" t="str">
        <f>IF(AND('Mapa final'!$AJ$61="Muy Baja",'Mapa final'!$AL$61="Moderado"),CONCATENATE("R2C",'Mapa final'!$S$61),"")</f>
        <v/>
      </c>
      <c r="Y59" s="54" t="str">
        <f>IF(AND('Mapa final'!$AJ$62="Muy Baja",'Mapa final'!$AL$62="Moderado"),CONCATENATE("R2C",'Mapa final'!$S$62),"")</f>
        <v/>
      </c>
      <c r="Z59" s="54" t="str">
        <f>IF(AND('Mapa final'!$AJ$63="Muy Baja",'Mapa final'!$AL$63="Moderado"),CONCATENATE("R2C",'Mapa final'!$S$63),"")</f>
        <v/>
      </c>
      <c r="AA59" s="54" t="str">
        <f>IF(AND('Mapa final'!$AJ$64="Muy Baja",'Mapa final'!$AL$64="Moderado"),CONCATENATE("R2C",'Mapa final'!$S$64),"")</f>
        <v/>
      </c>
      <c r="AB59" s="55" t="str">
        <f>IF(AND('Mapa final'!$AJ$65="Muy Baja",'Mapa final'!$AL$65="Moderado"),CONCATENATE("R2C",'Mapa final'!$S$65),"")</f>
        <v/>
      </c>
      <c r="AC59" s="38" t="str">
        <f>IF(AND('Mapa final'!$AJ$60="Muy Baja",'Mapa final'!$AL$60="Mayor"),CONCATENATE("R2C",'Mapa final'!$S$60),"")</f>
        <v/>
      </c>
      <c r="AD59" s="39" t="str">
        <f>IF(AND('Mapa final'!$AJ$61="Muy Baja",'Mapa final'!$AL$61="Mayor"),CONCATENATE("R2C",'Mapa final'!$S$61),"")</f>
        <v/>
      </c>
      <c r="AE59" s="39" t="str">
        <f>IF(AND('Mapa final'!$AJ$62="Muy Baja",'Mapa final'!$AL$62="Mayor"),CONCATENATE("R2C",'Mapa final'!$S$62),"")</f>
        <v/>
      </c>
      <c r="AF59" s="39" t="str">
        <f>IF(AND('Mapa final'!$AJ$63="Muy Baja",'Mapa final'!$AL$63="Mayor"),CONCATENATE("R2C",'Mapa final'!$S$63),"")</f>
        <v/>
      </c>
      <c r="AG59" s="39" t="str">
        <f>IF(AND('Mapa final'!$AJ$64="Muy Baja",'Mapa final'!$AL$64="Mayor"),CONCATENATE("R2C",'Mapa final'!$S$64),"")</f>
        <v/>
      </c>
      <c r="AH59" s="40" t="str">
        <f>IF(AND('Mapa final'!$AJ$65="Muy Baja",'Mapa final'!$AL$65="Mayor"),CONCATENATE("R2C",'Mapa final'!$S$65),"")</f>
        <v/>
      </c>
      <c r="AI59" s="41" t="str">
        <f>IF(AND('Mapa final'!$AJ$60="Muy Baja",'Mapa final'!$AL$60="Catastrófico"),CONCATENATE("R2C",'Mapa final'!$S$60),"")</f>
        <v/>
      </c>
      <c r="AJ59" s="42" t="str">
        <f>IF(AND('Mapa final'!$AJ$61="Muy Baja",'Mapa final'!$AL$61="Catastrófico"),CONCATENATE("R2C",'Mapa final'!$S$61),"")</f>
        <v/>
      </c>
      <c r="AK59" s="42" t="str">
        <f>IF(AND('Mapa final'!$AJ$62="Muy Baja",'Mapa final'!$AL$62="Catastrófico"),CONCATENATE("R2C",'Mapa final'!$S$62),"")</f>
        <v/>
      </c>
      <c r="AL59" s="42" t="str">
        <f>IF(AND('Mapa final'!$AJ$63="Muy Baja",'Mapa final'!$AL$63="Catastrófico"),CONCATENATE("R2C",'Mapa final'!$S$63),"")</f>
        <v/>
      </c>
      <c r="AM59" s="42" t="str">
        <f>IF(AND('Mapa final'!$AJ$64="Muy Baja",'Mapa final'!$AL$64="Catastrófico"),CONCATENATE("R2C",'Mapa final'!$S$64),"")</f>
        <v/>
      </c>
      <c r="AN59" s="43" t="str">
        <f>IF(AND('Mapa final'!$AJ$65="Muy Baja",'Mapa final'!$AL$65="Catastrófico"),CONCATENATE("R2C",'Mapa final'!$S$65),"")</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60"/>
      <c r="D60" s="360"/>
      <c r="E60" s="361"/>
      <c r="F60" s="455"/>
      <c r="G60" s="456"/>
      <c r="H60" s="456"/>
      <c r="I60" s="456"/>
      <c r="J60" s="457"/>
      <c r="K60" s="62" t="str">
        <f>IF(AND('Mapa final'!$AJ$66="Muy Baja",'Mapa final'!$AL$66="Leve"),CONCATENATE("R2C",'Mapa final'!$S$66),"")</f>
        <v/>
      </c>
      <c r="L60" s="63" t="str">
        <f>IF(AND('Mapa final'!$AJ$67="Muy Baja",'Mapa final'!$AL$67="Leve"),CONCATENATE("R2C",'Mapa final'!$S$67),"")</f>
        <v/>
      </c>
      <c r="M60" s="63" t="str">
        <f>IF(AND('Mapa final'!$AJ$68="Muy Baja",'Mapa final'!$AL$68="Leve"),CONCATENATE("R2C",'Mapa final'!$S$68),"")</f>
        <v/>
      </c>
      <c r="N60" s="63" t="str">
        <f>IF(AND('Mapa final'!$AJ$69="Muy Baja",'Mapa final'!$AL$69="Leve"),CONCATENATE("R2C",'Mapa final'!$S$69),"")</f>
        <v/>
      </c>
      <c r="O60" s="63" t="str">
        <f>IF(AND('Mapa final'!$AJ$70="Muy Baja",'Mapa final'!$AL$70="Leve"),CONCATENATE("R2C",'Mapa final'!$S$70),"")</f>
        <v/>
      </c>
      <c r="P60" s="64" t="str">
        <f>IF(AND('Mapa final'!$AJ$71="Muy Baja",'Mapa final'!$AL$71="Leve"),CONCATENATE("R2C",'Mapa final'!$S$71),"")</f>
        <v/>
      </c>
      <c r="Q60" s="62" t="str">
        <f>IF(AND('Mapa final'!$AJ$66="Muy Baja",'Mapa final'!$AL$66="Menor"),CONCATENATE("R2C",'Mapa final'!$S$66),"")</f>
        <v/>
      </c>
      <c r="R60" s="63" t="str">
        <f>IF(AND('Mapa final'!$AJ$67="Muy Baja",'Mapa final'!$AL$67="Menor"),CONCATENATE("R2C",'Mapa final'!$S$67),"")</f>
        <v/>
      </c>
      <c r="S60" s="63" t="str">
        <f>IF(AND('Mapa final'!$AJ$68="Muy Baja",'Mapa final'!$AL$68="Menor"),CONCATENATE("R2C",'Mapa final'!$S$68),"")</f>
        <v/>
      </c>
      <c r="T60" s="63" t="str">
        <f>IF(AND('Mapa final'!$AJ$69="Muy Baja",'Mapa final'!$AL$69="Menor"),CONCATENATE("R2C",'Mapa final'!$S$69),"")</f>
        <v/>
      </c>
      <c r="U60" s="63" t="str">
        <f>IF(AND('Mapa final'!$AJ$70="Muy Baja",'Mapa final'!$AL$70="Menor"),CONCATENATE("R2C",'Mapa final'!$S$70),"")</f>
        <v/>
      </c>
      <c r="V60" s="64" t="str">
        <f>IF(AND('Mapa final'!$AJ$71="Muy Baja",'Mapa final'!$AL$71="Menor"),CONCATENATE("R2C",'Mapa final'!$S$71),"")</f>
        <v/>
      </c>
      <c r="W60" s="53" t="str">
        <f>IF(AND('Mapa final'!$AJ$66="Muy Baja",'Mapa final'!$AL$66="Moderado"),CONCATENATE("R2C",'Mapa final'!$S$66),"")</f>
        <v/>
      </c>
      <c r="X60" s="54" t="str">
        <f>IF(AND('Mapa final'!$AJ$67="Muy Baja",'Mapa final'!$AL$67="Moderado"),CONCATENATE("R2C",'Mapa final'!$S$67),"")</f>
        <v/>
      </c>
      <c r="Y60" s="54" t="str">
        <f>IF(AND('Mapa final'!$AJ$68="Muy Baja",'Mapa final'!$AL$68="Moderado"),CONCATENATE("R2C",'Mapa final'!$S$68),"")</f>
        <v/>
      </c>
      <c r="Z60" s="54" t="str">
        <f>IF(AND('Mapa final'!$AJ$69="Muy Baja",'Mapa final'!$AL$69="Moderado"),CONCATENATE("R2C",'Mapa final'!$S$69),"")</f>
        <v/>
      </c>
      <c r="AA60" s="54" t="str">
        <f>IF(AND('Mapa final'!$AJ$70="Muy Baja",'Mapa final'!$AL$70="Moderado"),CONCATENATE("R2C",'Mapa final'!$S$70),"")</f>
        <v/>
      </c>
      <c r="AB60" s="55" t="str">
        <f>IF(AND('Mapa final'!$AJ$71="Muy Baja",'Mapa final'!$AL$71="Moderado"),CONCATENATE("R2C",'Mapa final'!$S$71),"")</f>
        <v/>
      </c>
      <c r="AC60" s="38" t="str">
        <f>IF(AND('Mapa final'!$AJ$66="Muy Baja",'Mapa final'!$AL$66="Mayor"),CONCATENATE("R2C",'Mapa final'!$S$66),"")</f>
        <v/>
      </c>
      <c r="AD60" s="39" t="str">
        <f>IF(AND('Mapa final'!$AJ$67="Muy Baja",'Mapa final'!$AL$67="Mayor"),CONCATENATE("R2C",'Mapa final'!$S$67),"")</f>
        <v/>
      </c>
      <c r="AE60" s="39" t="str">
        <f>IF(AND('Mapa final'!$AJ$68="Muy Baja",'Mapa final'!$AL$68="Mayor"),CONCATENATE("R2C",'Mapa final'!$S$68),"")</f>
        <v/>
      </c>
      <c r="AF60" s="39" t="str">
        <f>IF(AND('Mapa final'!$AJ$69="Muy Baja",'Mapa final'!$AL$69="Mayor"),CONCATENATE("R2C",'Mapa final'!$S$69),"")</f>
        <v/>
      </c>
      <c r="AG60" s="39" t="str">
        <f>IF(AND('Mapa final'!$AJ$70="Muy Baja",'Mapa final'!$AL$70="Mayor"),CONCATENATE("R2C",'Mapa final'!$S$70),"")</f>
        <v/>
      </c>
      <c r="AH60" s="40" t="str">
        <f>IF(AND('Mapa final'!$AJ$71="Muy Baja",'Mapa final'!$AL$71="Mayor"),CONCATENATE("R2C",'Mapa final'!$S$71),"")</f>
        <v/>
      </c>
      <c r="AI60" s="41" t="str">
        <f>IF(AND('Mapa final'!$AJ$66="Muy Baja",'Mapa final'!$AL$66="Catastrófico"),CONCATENATE("R2C",'Mapa final'!$S$66),"")</f>
        <v/>
      </c>
      <c r="AJ60" s="42" t="str">
        <f>IF(AND('Mapa final'!$AJ$67="Muy Baja",'Mapa final'!$AL$67="Catastrófico"),CONCATENATE("R2C",'Mapa final'!$S$67),"")</f>
        <v/>
      </c>
      <c r="AK60" s="42" t="str">
        <f>IF(AND('Mapa final'!$AJ$68="Muy Baja",'Mapa final'!$AL$68="Catastrófico"),CONCATENATE("R2C",'Mapa final'!$S$68),"")</f>
        <v/>
      </c>
      <c r="AL60" s="42" t="str">
        <f>IF(AND('Mapa final'!$AJ$69="Muy Baja",'Mapa final'!$AL$69="Catastrófico"),CONCATENATE("R2C",'Mapa final'!$S$69),"")</f>
        <v/>
      </c>
      <c r="AM60" s="42" t="str">
        <f>IF(AND('Mapa final'!$AJ$70="Muy Baja",'Mapa final'!$AL$70="Catastrófico"),CONCATENATE("R2C",'Mapa final'!$S$70),"")</f>
        <v/>
      </c>
      <c r="AN60" s="43" t="str">
        <f>IF(AND('Mapa final'!$AJ$71="Muy Baja",'Mapa final'!$AL$71="Catastrófico"),CONCATENATE("R2C",'Mapa final'!$S$71),"")</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60"/>
      <c r="D61" s="360"/>
      <c r="E61" s="361"/>
      <c r="F61" s="458"/>
      <c r="G61" s="459"/>
      <c r="H61" s="459"/>
      <c r="I61" s="459"/>
      <c r="J61" s="460"/>
      <c r="K61" s="65" t="str">
        <f>IF(AND('Mapa final'!$AJ$72="Muy Baja",'Mapa final'!$AL$72="Leve"),CONCATENATE("R2C",'Mapa final'!$S$72),"")</f>
        <v/>
      </c>
      <c r="L61" s="66" t="str">
        <f>IF(AND('Mapa final'!$AJ$73="Muy Baja",'Mapa final'!$AL$73="Leve"),CONCATENATE("R2C",'Mapa final'!$S$73),"")</f>
        <v/>
      </c>
      <c r="M61" s="66" t="str">
        <f>IF(AND('Mapa final'!$AJ$74="Muy Baja",'Mapa final'!$AL$74="Leve"),CONCATENATE("R2C",'Mapa final'!$S$74),"")</f>
        <v/>
      </c>
      <c r="N61" s="66" t="str">
        <f>IF(AND('Mapa final'!$AJ$75="Muy Baja",'Mapa final'!$AL$75="Leve"),CONCATENATE("R2C",'Mapa final'!$S$75),"")</f>
        <v/>
      </c>
      <c r="O61" s="66" t="str">
        <f>IF(AND('Mapa final'!$AJ$77="Muy Baja",'Mapa final'!$AL$77="Leve"),CONCATENATE("R2C",'Mapa final'!$S$77),"")</f>
        <v/>
      </c>
      <c r="P61" s="67" t="str">
        <f>IF(AND('Mapa final'!$AJ$78="Muy Baja",'Mapa final'!$AL$78="Leve"),CONCATENATE("R2C",'Mapa final'!$S$78),"")</f>
        <v/>
      </c>
      <c r="Q61" s="65" t="str">
        <f>IF(AND('Mapa final'!$AJ$72="Muy Baja",'Mapa final'!$AL$72="Menor"),CONCATENATE("R2C",'Mapa final'!$S$72),"")</f>
        <v/>
      </c>
      <c r="R61" s="66" t="str">
        <f>IF(AND('Mapa final'!$AJ$73="Muy Baja",'Mapa final'!$AL$73="Menor"),CONCATENATE("R2C",'Mapa final'!$S$73),"")</f>
        <v/>
      </c>
      <c r="S61" s="66" t="str">
        <f>IF(AND('Mapa final'!$AJ$74="Muy Baja",'Mapa final'!$AL$74="Menor"),CONCATENATE("R2C",'Mapa final'!$S$74),"")</f>
        <v/>
      </c>
      <c r="T61" s="66" t="str">
        <f>IF(AND('Mapa final'!$AJ$75="Muy Baja",'Mapa final'!$AL$75="Menor"),CONCATENATE("R2C",'Mapa final'!$S$75),"")</f>
        <v/>
      </c>
      <c r="U61" s="66" t="str">
        <f>IF(AND('Mapa final'!$AJ$77="Muy Baja",'Mapa final'!$AL$77="Menor"),CONCATENATE("R2C",'Mapa final'!$S$77),"")</f>
        <v/>
      </c>
      <c r="V61" s="67" t="str">
        <f>IF(AND('Mapa final'!$AJ$78="Muy Baja",'Mapa final'!$AL$78="Menor"),CONCATENATE("R2C",'Mapa final'!$S$78),"")</f>
        <v/>
      </c>
      <c r="W61" s="56" t="str">
        <f>IF(AND('Mapa final'!$AJ$72="Muy Baja",'Mapa final'!$AL$72="Moderado"),CONCATENATE("R2C",'Mapa final'!$S$72),"")</f>
        <v/>
      </c>
      <c r="X61" s="57" t="str">
        <f>IF(AND('Mapa final'!$AJ$73="Muy Baja",'Mapa final'!$AL$73="Moderado"),CONCATENATE("R2C",'Mapa final'!$S$73),"")</f>
        <v/>
      </c>
      <c r="Y61" s="57" t="str">
        <f>IF(AND('Mapa final'!$AJ$74="Muy Baja",'Mapa final'!$AL$74="Moderado"),CONCATENATE("R2C",'Mapa final'!$S$74),"")</f>
        <v/>
      </c>
      <c r="Z61" s="57" t="str">
        <f>IF(AND('Mapa final'!$AJ$75="Muy Baja",'Mapa final'!$AL$75="Moderado"),CONCATENATE("R2C",'Mapa final'!$S$75),"")</f>
        <v/>
      </c>
      <c r="AA61" s="57" t="str">
        <f>IF(AND('Mapa final'!$AJ$77="Muy Baja",'Mapa final'!$AL$77="Moderado"),CONCATENATE("R2C",'Mapa final'!$S$77),"")</f>
        <v/>
      </c>
      <c r="AB61" s="58" t="str">
        <f>IF(AND('Mapa final'!$AJ$78="Muy Baja",'Mapa final'!$AL$78="Moderado"),CONCATENATE("R2C",'Mapa final'!$S$78),"")</f>
        <v/>
      </c>
      <c r="AC61" s="44" t="str">
        <f>IF(AND('Mapa final'!$AJ$72="Muy Baja",'Mapa final'!$AL$72="Mayor"),CONCATENATE("R2C",'Mapa final'!$S$72),"")</f>
        <v/>
      </c>
      <c r="AD61" s="45" t="str">
        <f>IF(AND('Mapa final'!$AJ$73="Muy Baja",'Mapa final'!$AL$73="Mayor"),CONCATENATE("R2C",'Mapa final'!$S$73),"")</f>
        <v/>
      </c>
      <c r="AE61" s="45" t="str">
        <f>IF(AND('Mapa final'!$AJ$74="Muy Baja",'Mapa final'!$AL$74="Mayor"),CONCATENATE("R2C",'Mapa final'!$S$74),"")</f>
        <v/>
      </c>
      <c r="AF61" s="45" t="str">
        <f>IF(AND('Mapa final'!$AJ$75="Muy Baja",'Mapa final'!$AL$75="Mayor"),CONCATENATE("R2C",'Mapa final'!$S$75),"")</f>
        <v/>
      </c>
      <c r="AG61" s="45" t="str">
        <f>IF(AND('Mapa final'!$AJ$77="Muy Baja",'Mapa final'!$AL$77="Mayor"),CONCATENATE("R2C",'Mapa final'!$S$77),"")</f>
        <v/>
      </c>
      <c r="AH61" s="46" t="str">
        <f>IF(AND('Mapa final'!$AJ$78="Muy Baja",'Mapa final'!$AL$78="Mayor"),CONCATENATE("R2C",'Mapa final'!$S$78),"")</f>
        <v/>
      </c>
      <c r="AI61" s="47" t="str">
        <f>IF(AND('Mapa final'!$AJ$72="Muy Baja",'Mapa final'!$AL$72="Catastrófico"),CONCATENATE("R2C",'Mapa final'!$S$72),"")</f>
        <v/>
      </c>
      <c r="AJ61" s="48" t="str">
        <f>IF(AND('Mapa final'!$AJ$73="Muy Baja",'Mapa final'!$AL$73="Catastrófico"),CONCATENATE("R2C",'Mapa final'!$S$73),"")</f>
        <v/>
      </c>
      <c r="AK61" s="48" t="str">
        <f>IF(AND('Mapa final'!$AJ$74="Muy Baja",'Mapa final'!$AL$74="Catastrófico"),CONCATENATE("R2C",'Mapa final'!$S$74),"")</f>
        <v/>
      </c>
      <c r="AL61" s="48" t="str">
        <f>IF(AND('Mapa final'!$AJ$75="Muy Baja",'Mapa final'!$AL$75="Catastrófico"),CONCATENATE("R2C",'Mapa final'!$S$75),"")</f>
        <v/>
      </c>
      <c r="AM61" s="48" t="str">
        <f>IF(AND('Mapa final'!$AJ$77="Muy Baja",'Mapa final'!$AL$77="Catastrófico"),CONCATENATE("R2C",'Mapa final'!$S$77),"")</f>
        <v/>
      </c>
      <c r="AN61" s="49" t="str">
        <f>IF(AND('Mapa final'!$AJ$78="Muy Baja",'Mapa final'!$AL$78="Catastrófico"),CONCATENATE("R2C",'Mapa final'!$S$78),"")</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52" t="s">
        <v>111</v>
      </c>
      <c r="L62" s="453"/>
      <c r="M62" s="453"/>
      <c r="N62" s="453"/>
      <c r="O62" s="453"/>
      <c r="P62" s="454"/>
      <c r="Q62" s="452" t="s">
        <v>110</v>
      </c>
      <c r="R62" s="453"/>
      <c r="S62" s="453"/>
      <c r="T62" s="453"/>
      <c r="U62" s="453"/>
      <c r="V62" s="454"/>
      <c r="W62" s="452" t="s">
        <v>109</v>
      </c>
      <c r="X62" s="453"/>
      <c r="Y62" s="453"/>
      <c r="Z62" s="453"/>
      <c r="AA62" s="453"/>
      <c r="AB62" s="454"/>
      <c r="AC62" s="452" t="s">
        <v>108</v>
      </c>
      <c r="AD62" s="503"/>
      <c r="AE62" s="453"/>
      <c r="AF62" s="453"/>
      <c r="AG62" s="453"/>
      <c r="AH62" s="454"/>
      <c r="AI62" s="452" t="s">
        <v>107</v>
      </c>
      <c r="AJ62" s="453"/>
      <c r="AK62" s="453"/>
      <c r="AL62" s="453"/>
      <c r="AM62" s="453"/>
      <c r="AN62" s="454"/>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55"/>
      <c r="L63" s="456"/>
      <c r="M63" s="456"/>
      <c r="N63" s="456"/>
      <c r="O63" s="456"/>
      <c r="P63" s="457"/>
      <c r="Q63" s="455"/>
      <c r="R63" s="456"/>
      <c r="S63" s="456"/>
      <c r="T63" s="456"/>
      <c r="U63" s="456"/>
      <c r="V63" s="457"/>
      <c r="W63" s="455"/>
      <c r="X63" s="456"/>
      <c r="Y63" s="456"/>
      <c r="Z63" s="456"/>
      <c r="AA63" s="456"/>
      <c r="AB63" s="457"/>
      <c r="AC63" s="455"/>
      <c r="AD63" s="456"/>
      <c r="AE63" s="456"/>
      <c r="AF63" s="456"/>
      <c r="AG63" s="456"/>
      <c r="AH63" s="457"/>
      <c r="AI63" s="455"/>
      <c r="AJ63" s="456"/>
      <c r="AK63" s="456"/>
      <c r="AL63" s="456"/>
      <c r="AM63" s="456"/>
      <c r="AN63" s="457"/>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55"/>
      <c r="L64" s="456"/>
      <c r="M64" s="456"/>
      <c r="N64" s="456"/>
      <c r="O64" s="456"/>
      <c r="P64" s="457"/>
      <c r="Q64" s="455"/>
      <c r="R64" s="456"/>
      <c r="S64" s="456"/>
      <c r="T64" s="456"/>
      <c r="U64" s="456"/>
      <c r="V64" s="457"/>
      <c r="W64" s="455"/>
      <c r="X64" s="456"/>
      <c r="Y64" s="456"/>
      <c r="Z64" s="456"/>
      <c r="AA64" s="456"/>
      <c r="AB64" s="457"/>
      <c r="AC64" s="455"/>
      <c r="AD64" s="456"/>
      <c r="AE64" s="456"/>
      <c r="AF64" s="456"/>
      <c r="AG64" s="456"/>
      <c r="AH64" s="457"/>
      <c r="AI64" s="455"/>
      <c r="AJ64" s="456"/>
      <c r="AK64" s="456"/>
      <c r="AL64" s="456"/>
      <c r="AM64" s="456"/>
      <c r="AN64" s="457"/>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55"/>
      <c r="L65" s="456"/>
      <c r="M65" s="456"/>
      <c r="N65" s="456"/>
      <c r="O65" s="456"/>
      <c r="P65" s="457"/>
      <c r="Q65" s="455"/>
      <c r="R65" s="456"/>
      <c r="S65" s="456"/>
      <c r="T65" s="456"/>
      <c r="U65" s="456"/>
      <c r="V65" s="457"/>
      <c r="W65" s="455"/>
      <c r="X65" s="456"/>
      <c r="Y65" s="456"/>
      <c r="Z65" s="456"/>
      <c r="AA65" s="456"/>
      <c r="AB65" s="457"/>
      <c r="AC65" s="455"/>
      <c r="AD65" s="456"/>
      <c r="AE65" s="456"/>
      <c r="AF65" s="456"/>
      <c r="AG65" s="456"/>
      <c r="AH65" s="457"/>
      <c r="AI65" s="455"/>
      <c r="AJ65" s="456"/>
      <c r="AK65" s="456"/>
      <c r="AL65" s="456"/>
      <c r="AM65" s="456"/>
      <c r="AN65" s="457"/>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55"/>
      <c r="L66" s="456"/>
      <c r="M66" s="456"/>
      <c r="N66" s="456"/>
      <c r="O66" s="456"/>
      <c r="P66" s="457"/>
      <c r="Q66" s="455"/>
      <c r="R66" s="456"/>
      <c r="S66" s="456"/>
      <c r="T66" s="456"/>
      <c r="U66" s="456"/>
      <c r="V66" s="457"/>
      <c r="W66" s="455"/>
      <c r="X66" s="456"/>
      <c r="Y66" s="456"/>
      <c r="Z66" s="456"/>
      <c r="AA66" s="456"/>
      <c r="AB66" s="457"/>
      <c r="AC66" s="455"/>
      <c r="AD66" s="456"/>
      <c r="AE66" s="456"/>
      <c r="AF66" s="456"/>
      <c r="AG66" s="456"/>
      <c r="AH66" s="457"/>
      <c r="AI66" s="455"/>
      <c r="AJ66" s="456"/>
      <c r="AK66" s="456"/>
      <c r="AL66" s="456"/>
      <c r="AM66" s="456"/>
      <c r="AN66" s="457"/>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58"/>
      <c r="L67" s="459"/>
      <c r="M67" s="459"/>
      <c r="N67" s="459"/>
      <c r="O67" s="459"/>
      <c r="P67" s="460"/>
      <c r="Q67" s="458"/>
      <c r="R67" s="459"/>
      <c r="S67" s="459"/>
      <c r="T67" s="459"/>
      <c r="U67" s="459"/>
      <c r="V67" s="460"/>
      <c r="W67" s="458"/>
      <c r="X67" s="459"/>
      <c r="Y67" s="459"/>
      <c r="Z67" s="459"/>
      <c r="AA67" s="459"/>
      <c r="AB67" s="460"/>
      <c r="AC67" s="458"/>
      <c r="AD67" s="459"/>
      <c r="AE67" s="459"/>
      <c r="AF67" s="459"/>
      <c r="AG67" s="459"/>
      <c r="AH67" s="460"/>
      <c r="AI67" s="458"/>
      <c r="AJ67" s="459"/>
      <c r="AK67" s="459"/>
      <c r="AL67" s="459"/>
      <c r="AM67" s="459"/>
      <c r="AN67" s="460"/>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04" t="s">
        <v>244</v>
      </c>
      <c r="C2" s="507" t="s">
        <v>205</v>
      </c>
      <c r="D2" s="508"/>
      <c r="E2" s="124" t="s">
        <v>390</v>
      </c>
      <c r="F2" s="125"/>
    </row>
    <row r="3" spans="1:6" ht="15.75" customHeight="1" x14ac:dyDescent="0.25">
      <c r="B3" s="505"/>
      <c r="C3" s="234"/>
      <c r="D3" s="236"/>
      <c r="E3" s="124" t="s">
        <v>264</v>
      </c>
      <c r="F3" s="125"/>
    </row>
    <row r="4" spans="1:6" ht="16.5" customHeight="1" x14ac:dyDescent="0.25">
      <c r="B4" s="505"/>
      <c r="C4" s="234"/>
      <c r="D4" s="236"/>
      <c r="E4" s="124" t="s">
        <v>389</v>
      </c>
      <c r="F4" s="125"/>
    </row>
    <row r="5" spans="1:6" ht="15" customHeight="1" thickBot="1" x14ac:dyDescent="0.3">
      <c r="B5" s="506"/>
      <c r="C5" s="509"/>
      <c r="D5" s="510"/>
      <c r="E5" s="124" t="s">
        <v>245</v>
      </c>
      <c r="F5" s="125"/>
    </row>
    <row r="7" spans="1:6" x14ac:dyDescent="0.25">
      <c r="A7" s="511" t="s">
        <v>266</v>
      </c>
      <c r="B7" s="142" t="s">
        <v>246</v>
      </c>
      <c r="C7" s="143" t="s">
        <v>247</v>
      </c>
      <c r="D7" s="143" t="s">
        <v>248</v>
      </c>
      <c r="E7" s="143" t="s">
        <v>249</v>
      </c>
    </row>
    <row r="8" spans="1:6" ht="28.5" x14ac:dyDescent="0.25">
      <c r="A8" s="511"/>
      <c r="B8" s="126">
        <v>45687</v>
      </c>
      <c r="C8" s="127" t="s">
        <v>397</v>
      </c>
      <c r="D8" s="128" t="s">
        <v>462</v>
      </c>
      <c r="E8" s="128" t="s">
        <v>396</v>
      </c>
    </row>
    <row r="9" spans="1:6" x14ac:dyDescent="0.25">
      <c r="A9" s="511"/>
      <c r="B9" s="126"/>
      <c r="C9" s="127"/>
      <c r="D9" s="128"/>
      <c r="E9" s="128"/>
    </row>
    <row r="10" spans="1:6" x14ac:dyDescent="0.25">
      <c r="A10" s="511"/>
      <c r="B10" s="126"/>
      <c r="C10" s="127"/>
      <c r="D10" s="128"/>
      <c r="E10" s="128"/>
    </row>
    <row r="11" spans="1:6" x14ac:dyDescent="0.25">
      <c r="A11" s="511"/>
      <c r="B11" s="126"/>
      <c r="C11" s="127"/>
      <c r="D11" s="128"/>
      <c r="E11" s="128"/>
    </row>
    <row r="12" spans="1:6" x14ac:dyDescent="0.25">
      <c r="A12" s="511"/>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2025-01-31T22:50:59Z</dcterms:modified>
</cp:coreProperties>
</file>