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1.xml" ContentType="application/vnd.openxmlformats-officedocument.spreadsheetml.pivot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hidePivotFieldList="1" defaultThemeVersion="124226"/>
  <mc:AlternateContent xmlns:mc="http://schemas.openxmlformats.org/markup-compatibility/2006">
    <mc:Choice Requires="x15">
      <x15ac:absPath xmlns:x15ac="http://schemas.microsoft.com/office/spreadsheetml/2010/11/ac" url="C:\Users\PLANEACION2\Downloads\"/>
    </mc:Choice>
  </mc:AlternateContent>
  <xr:revisionPtr revIDLastSave="0" documentId="13_ncr:1_{B65FF532-A755-4C3D-A45D-83598DB41000}" xr6:coauthVersionLast="47" xr6:coauthVersionMax="47" xr10:uidLastSave="{00000000-0000-0000-0000-000000000000}"/>
  <bookViews>
    <workbookView xWindow="-120" yWindow="-120" windowWidth="29040" windowHeight="15720" tabRatio="882" activeTab="1" xr2:uid="{00000000-000D-0000-FFFF-FFFF00000000}"/>
  </bookViews>
  <sheets>
    <sheet name="PORTADA " sheetId="22" r:id="rId1"/>
    <sheet name="Mapa final" sheetId="1" r:id="rId2"/>
    <sheet name="Datos" sheetId="32" state="hidden" r:id="rId3"/>
    <sheet name="Formulas" sheetId="28" state="hidden" r:id="rId4"/>
    <sheet name="CRITERIOS R CORRUPCION" sheetId="27" r:id="rId5"/>
    <sheet name="Apayo Visual " sheetId="31" r:id="rId6"/>
    <sheet name="eliminar" sheetId="30" state="hidden" r:id="rId7"/>
    <sheet name="Matriz Calor Inherente" sheetId="18" r:id="rId8"/>
    <sheet name="Matriz Calor Residual" sheetId="19" r:id="rId9"/>
    <sheet name="CAMBIOS REGISTRO" sheetId="25" state="hidden" r:id="rId10"/>
    <sheet name="SGI" sheetId="24" state="hidden" r:id="rId11"/>
    <sheet name="Intructivo" sheetId="20" r:id="rId12"/>
    <sheet name="CONTROL DE CAMBIOS REGISTRO " sheetId="23" state="hidden" r:id="rId13"/>
    <sheet name="Listas" sheetId="21" state="hidden" r:id="rId14"/>
    <sheet name="Hoja3" sheetId="29" state="hidden" r:id="rId15"/>
    <sheet name="Control de Cambios FORMATO " sheetId="26" r:id="rId16"/>
    <sheet name="Tabla probabilidad" sheetId="12" r:id="rId17"/>
    <sheet name="Tabla Impacto" sheetId="13" r:id="rId18"/>
    <sheet name="Tabla Valoración controles" sheetId="15" r:id="rId19"/>
    <sheet name="Hoja4" sheetId="34" r:id="rId20"/>
    <sheet name="Hoja2" sheetId="33" state="hidden" r:id="rId21"/>
    <sheet name="Opciones Tratamiento" sheetId="16" state="hidden" r:id="rId22"/>
    <sheet name="Hoja1" sheetId="11" state="hidden" r:id="rId23"/>
  </sheets>
  <definedNames>
    <definedName name="A_Obj1" localSheetId="9">OFFSET(#REF!,0,0,COUNTA(#REF!)-1,1)</definedName>
    <definedName name="A_Obj1" localSheetId="15">OFFSET(#REF!,0,0,COUNTA(#REF!)-1,1)</definedName>
    <definedName name="A_Obj1">OFFSET(#REF!,0,0,COUNTA(#REF!)-1,1)</definedName>
    <definedName name="A_Obj2" localSheetId="9">OFFSET(#REF!,0,0,COUNTA(#REF!)-1,1)</definedName>
    <definedName name="A_Obj2" localSheetId="15">OFFSET(#REF!,0,0,COUNTA(#REF!)-1,1)</definedName>
    <definedName name="A_Obj2">OFFSET(#REF!,0,0,COUNTA(#REF!)-1,1)</definedName>
    <definedName name="A_Obj3" localSheetId="9">OFFSET(#REF!,0,0,COUNTA(#REF!)-1,1)</definedName>
    <definedName name="A_Obj3" localSheetId="15">OFFSET(#REF!,0,0,COUNTA(#REF!)-1,1)</definedName>
    <definedName name="A_Obj3">OFFSET(#REF!,0,0,COUNTA(#REF!)-1,1)</definedName>
    <definedName name="A_Obj4" localSheetId="9">OFFSET(#REF!,0,0,COUNTA(#REF!)-1,1)</definedName>
    <definedName name="A_Obj4" localSheetId="15">OFFSET(#REF!,0,0,COUNTA(#REF!)-1,1)</definedName>
    <definedName name="A_Obj4">OFFSET(#REF!,0,0,COUNTA(#REF!)-1,1)</definedName>
    <definedName name="Acc_1" localSheetId="9">#REF!</definedName>
    <definedName name="Acc_1" localSheetId="15">#REF!</definedName>
    <definedName name="Acc_1">#REF!</definedName>
    <definedName name="Acc_2" localSheetId="9">#REF!</definedName>
    <definedName name="Acc_2" localSheetId="15">#REF!</definedName>
    <definedName name="Acc_2">#REF!</definedName>
    <definedName name="Acc_3" localSheetId="9">#REF!</definedName>
    <definedName name="Acc_3" localSheetId="15">#REF!</definedName>
    <definedName name="Acc_3">#REF!</definedName>
    <definedName name="Acc_4" localSheetId="9">#REF!</definedName>
    <definedName name="Acc_4" localSheetId="15">#REF!</definedName>
    <definedName name="Acc_4">#REF!</definedName>
    <definedName name="Acc_5" localSheetId="9">#REF!</definedName>
    <definedName name="Acc_5" localSheetId="15">#REF!</definedName>
    <definedName name="Acc_5">#REF!</definedName>
    <definedName name="Acc_6" localSheetId="9">#REF!</definedName>
    <definedName name="Acc_6" localSheetId="15">#REF!</definedName>
    <definedName name="Acc_6">#REF!</definedName>
    <definedName name="Acc_7" localSheetId="9">#REF!</definedName>
    <definedName name="Acc_7" localSheetId="15">#REF!</definedName>
    <definedName name="Acc_7">#REF!</definedName>
    <definedName name="Acc_8" localSheetId="9">#REF!</definedName>
    <definedName name="Acc_8" localSheetId="15">#REF!</definedName>
    <definedName name="Acc_8">#REF!</definedName>
    <definedName name="Acc_9" localSheetId="9">#REF!</definedName>
    <definedName name="Acc_9" localSheetId="15">#REF!</definedName>
    <definedName name="Acc_9">#REF!</definedName>
    <definedName name="_xlnm.Print_Area" localSheetId="9">'CAMBIOS REGISTRO'!$A$1:$E$23</definedName>
    <definedName name="_xlnm.Print_Area" localSheetId="15">'Control de Cambios FORMATO '!$A$1:$L$27</definedName>
    <definedName name="Causafactor3">#REF!</definedName>
    <definedName name="ControlTipo">#REF!</definedName>
    <definedName name="Criterios_Impacto">Criterios[Criterios_Impacto]</definedName>
    <definedName name="Departamentos" localSheetId="9">#REF!</definedName>
    <definedName name="Departamentos" localSheetId="15">#REF!</definedName>
    <definedName name="Departamentos">#REF!</definedName>
    <definedName name="Fuentes" localSheetId="9">#REF!</definedName>
    <definedName name="Fuentes" localSheetId="15">#REF!</definedName>
    <definedName name="Fuentes">#REF!</definedName>
    <definedName name="Indicadores" localSheetId="9">#REF!</definedName>
    <definedName name="Indicadores" localSheetId="15">#REF!</definedName>
    <definedName name="Indicadores">#REF!</definedName>
    <definedName name="No_aplica" localSheetId="15">#REF!</definedName>
    <definedName name="No_aplica">#REF!</definedName>
    <definedName name="Objetivos" localSheetId="9">OFFSET(#REF!,0,0,COUNTA(#REF!)-1,1)</definedName>
    <definedName name="Objetivos" localSheetId="15">OFFSET(#REF!,0,0,COUNTA(#REF!)-1,1)</definedName>
    <definedName name="Objetivos">OFFSET(#REF!,0,0,COUNTA(#REF!)-1,1)</definedName>
    <definedName name="OLE_LINK2" localSheetId="9">'CAMBIOS REGISTRO'!$A$1</definedName>
    <definedName name="Posibilidad">#REF!</definedName>
    <definedName name="RiesgoClase3">#REF!</definedName>
    <definedName name="SiNo">#REF!</definedName>
  </definedNames>
  <calcPr calcId="191028"/>
  <pivotCaches>
    <pivotCache cacheId="0"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17" i="1" l="1"/>
  <c r="Y17" i="1"/>
  <c r="Y18" i="1"/>
  <c r="Y16" i="1"/>
  <c r="Y15" i="1"/>
  <c r="AG17" i="1" l="1"/>
  <c r="AI17" i="1" s="1"/>
  <c r="AK17" i="1"/>
  <c r="AJ17" i="1" s="1"/>
  <c r="AH17" i="1" l="1"/>
  <c r="AL17" i="1" s="1"/>
  <c r="AK16" i="1" l="1"/>
  <c r="AJ16" i="1" s="1"/>
  <c r="AB16" i="1"/>
  <c r="AG16" i="1" l="1"/>
  <c r="AI16" i="1" s="1"/>
  <c r="AH16" i="1" l="1"/>
  <c r="AL16" i="1" s="1"/>
  <c r="P21" i="1"/>
  <c r="P19" i="1"/>
  <c r="P15" i="1"/>
  <c r="S19" i="1"/>
  <c r="T19" i="1" s="1"/>
  <c r="S21" i="1"/>
  <c r="T21" i="1" s="1"/>
  <c r="S15" i="1"/>
  <c r="AB15" i="1"/>
  <c r="AB18" i="1"/>
  <c r="AB19" i="1"/>
  <c r="AB20" i="1"/>
  <c r="AB21" i="1"/>
  <c r="Y19" i="1"/>
  <c r="Y20" i="1"/>
  <c r="Y21" i="1"/>
  <c r="AK21" i="1" l="1"/>
  <c r="AJ21" i="1" s="1"/>
  <c r="U21" i="1"/>
  <c r="Q21" i="1"/>
  <c r="AE51" i="19"/>
  <c r="AG21" i="1" l="1"/>
  <c r="AH21" i="1" s="1"/>
  <c r="AL21" i="1" s="1"/>
  <c r="AI21" i="1" l="1"/>
  <c r="Q15" i="1"/>
  <c r="AG15" i="1" s="1"/>
  <c r="U15" i="1"/>
  <c r="Q19" i="1"/>
  <c r="AN61" i="19"/>
  <c r="AM61" i="19"/>
  <c r="AL61" i="19"/>
  <c r="AK61" i="19"/>
  <c r="AJ61" i="19"/>
  <c r="AI61" i="19"/>
  <c r="AH61" i="19"/>
  <c r="AG61" i="19"/>
  <c r="AF61" i="19"/>
  <c r="AE61" i="19"/>
  <c r="AD61" i="19"/>
  <c r="AC61" i="19"/>
  <c r="AB61" i="19"/>
  <c r="AA61" i="19"/>
  <c r="Z61" i="19"/>
  <c r="Y61" i="19"/>
  <c r="X61" i="19"/>
  <c r="W61" i="19"/>
  <c r="V61" i="19"/>
  <c r="U61" i="19"/>
  <c r="T61" i="19"/>
  <c r="S61" i="19"/>
  <c r="R61" i="19"/>
  <c r="Q61" i="19"/>
  <c r="P61" i="19"/>
  <c r="O61" i="19"/>
  <c r="N61" i="19"/>
  <c r="M61" i="19"/>
  <c r="L61" i="19"/>
  <c r="K61" i="19"/>
  <c r="AN60" i="19"/>
  <c r="AM60" i="19"/>
  <c r="AL60" i="19"/>
  <c r="AK60" i="19"/>
  <c r="AJ60" i="19"/>
  <c r="AI60" i="19"/>
  <c r="AH60" i="19"/>
  <c r="AG60" i="19"/>
  <c r="AF60" i="19"/>
  <c r="AE60" i="19"/>
  <c r="AD60" i="19"/>
  <c r="AC60" i="19"/>
  <c r="AB60" i="19"/>
  <c r="AA60" i="19"/>
  <c r="Z60" i="19"/>
  <c r="Y60" i="19"/>
  <c r="X60" i="19"/>
  <c r="W60" i="19"/>
  <c r="V60" i="19"/>
  <c r="U60" i="19"/>
  <c r="T60" i="19"/>
  <c r="S60" i="19"/>
  <c r="R60" i="19"/>
  <c r="Q60" i="19"/>
  <c r="P60" i="19"/>
  <c r="O60" i="19"/>
  <c r="N60" i="19"/>
  <c r="M60" i="19"/>
  <c r="L60" i="19"/>
  <c r="K60" i="19"/>
  <c r="AN59" i="19"/>
  <c r="AM59" i="19"/>
  <c r="AL59" i="19"/>
  <c r="AK59" i="19"/>
  <c r="AJ59" i="19"/>
  <c r="AI59" i="19"/>
  <c r="AH59" i="19"/>
  <c r="AG59" i="19"/>
  <c r="AF59" i="19"/>
  <c r="AE59" i="19"/>
  <c r="AD59" i="19"/>
  <c r="AC59" i="19"/>
  <c r="AB59" i="19"/>
  <c r="AA59" i="19"/>
  <c r="Z59" i="19"/>
  <c r="Y59" i="19"/>
  <c r="X59" i="19"/>
  <c r="W59" i="19"/>
  <c r="V59" i="19"/>
  <c r="U59" i="19"/>
  <c r="T59" i="19"/>
  <c r="S59" i="19"/>
  <c r="R59" i="19"/>
  <c r="Q59" i="19"/>
  <c r="P59" i="19"/>
  <c r="O59" i="19"/>
  <c r="N59" i="19"/>
  <c r="M59" i="19"/>
  <c r="L59" i="19"/>
  <c r="K59" i="19"/>
  <c r="AN58" i="19"/>
  <c r="AM58" i="19"/>
  <c r="AL58" i="19"/>
  <c r="AK58" i="19"/>
  <c r="AJ58" i="19"/>
  <c r="AI58" i="19"/>
  <c r="AH58" i="19"/>
  <c r="AG58" i="19"/>
  <c r="AF58" i="19"/>
  <c r="AE58" i="19"/>
  <c r="AD58" i="19"/>
  <c r="AC58" i="19"/>
  <c r="AB58" i="19"/>
  <c r="AA58" i="19"/>
  <c r="Z58" i="19"/>
  <c r="Y58" i="19"/>
  <c r="X58" i="19"/>
  <c r="W58" i="19"/>
  <c r="V58" i="19"/>
  <c r="U58" i="19"/>
  <c r="T58" i="19"/>
  <c r="S58" i="19"/>
  <c r="R58" i="19"/>
  <c r="Q58" i="19"/>
  <c r="P58" i="19"/>
  <c r="O58" i="19"/>
  <c r="N58" i="19"/>
  <c r="M58" i="19"/>
  <c r="L58" i="19"/>
  <c r="K58" i="19"/>
  <c r="AN57" i="19"/>
  <c r="AM57" i="19"/>
  <c r="AL57" i="19"/>
  <c r="AK57" i="19"/>
  <c r="AJ57" i="19"/>
  <c r="AI57" i="19"/>
  <c r="AH57" i="19"/>
  <c r="AG57" i="19"/>
  <c r="AF57" i="19"/>
  <c r="AE57" i="19"/>
  <c r="AD57" i="19"/>
  <c r="AC57" i="19"/>
  <c r="AB57" i="19"/>
  <c r="AA57" i="19"/>
  <c r="Z57" i="19"/>
  <c r="Y57" i="19"/>
  <c r="X57" i="19"/>
  <c r="W57" i="19"/>
  <c r="V57" i="19"/>
  <c r="U57" i="19"/>
  <c r="T57" i="19"/>
  <c r="S57" i="19"/>
  <c r="R57" i="19"/>
  <c r="Q57" i="19"/>
  <c r="P57" i="19"/>
  <c r="O57" i="19"/>
  <c r="N57" i="19"/>
  <c r="M57" i="19"/>
  <c r="L57" i="19"/>
  <c r="K57" i="19"/>
  <c r="AN56" i="19"/>
  <c r="AM56" i="19"/>
  <c r="AL56" i="19"/>
  <c r="AK56" i="19"/>
  <c r="AJ56" i="19"/>
  <c r="AI56" i="19"/>
  <c r="AH56" i="19"/>
  <c r="AG56" i="19"/>
  <c r="AF56" i="19"/>
  <c r="AE56" i="19"/>
  <c r="AD56" i="19"/>
  <c r="AC56" i="19"/>
  <c r="AB56" i="19"/>
  <c r="AA56" i="19"/>
  <c r="Z56" i="19"/>
  <c r="Y56" i="19"/>
  <c r="X56" i="19"/>
  <c r="W56" i="19"/>
  <c r="V56" i="19"/>
  <c r="U56" i="19"/>
  <c r="T56" i="19"/>
  <c r="S56" i="19"/>
  <c r="R56" i="19"/>
  <c r="Q56" i="19"/>
  <c r="P56" i="19"/>
  <c r="O56" i="19"/>
  <c r="N56" i="19"/>
  <c r="M56" i="19"/>
  <c r="L56" i="19"/>
  <c r="K56" i="19"/>
  <c r="AN55" i="19"/>
  <c r="AM55" i="19"/>
  <c r="AL55" i="19"/>
  <c r="AK55" i="19"/>
  <c r="AJ55" i="19"/>
  <c r="AI55" i="19"/>
  <c r="AH55" i="19"/>
  <c r="AG55" i="19"/>
  <c r="AF55" i="19"/>
  <c r="AE55" i="19"/>
  <c r="AD55" i="19"/>
  <c r="AC55" i="19"/>
  <c r="AB55" i="19"/>
  <c r="AA55" i="19"/>
  <c r="Z55" i="19"/>
  <c r="Y55" i="19"/>
  <c r="X55" i="19"/>
  <c r="W55" i="19"/>
  <c r="V55" i="19"/>
  <c r="U55" i="19"/>
  <c r="T55" i="19"/>
  <c r="S55" i="19"/>
  <c r="R55" i="19"/>
  <c r="Q55" i="19"/>
  <c r="P55" i="19"/>
  <c r="O55" i="19"/>
  <c r="N55" i="19"/>
  <c r="M55" i="19"/>
  <c r="L55" i="19"/>
  <c r="K55" i="19"/>
  <c r="AN54" i="19"/>
  <c r="AM54" i="19"/>
  <c r="AL54" i="19"/>
  <c r="AK54" i="19"/>
  <c r="AJ54" i="19"/>
  <c r="AI54" i="19"/>
  <c r="AH54" i="19"/>
  <c r="AG54" i="19"/>
  <c r="AF54" i="19"/>
  <c r="AE54" i="19"/>
  <c r="AD54" i="19"/>
  <c r="AC54" i="19"/>
  <c r="AB54" i="19"/>
  <c r="AA54" i="19"/>
  <c r="Z54" i="19"/>
  <c r="Y54" i="19"/>
  <c r="X54" i="19"/>
  <c r="W54" i="19"/>
  <c r="V54" i="19"/>
  <c r="U54" i="19"/>
  <c r="T54" i="19"/>
  <c r="S54" i="19"/>
  <c r="R54" i="19"/>
  <c r="Q54" i="19"/>
  <c r="P54" i="19"/>
  <c r="O54" i="19"/>
  <c r="N54" i="19"/>
  <c r="M54" i="19"/>
  <c r="L54" i="19"/>
  <c r="K54" i="19"/>
  <c r="AN53" i="19"/>
  <c r="AM53" i="19"/>
  <c r="AL53" i="19"/>
  <c r="AK53" i="19"/>
  <c r="AH53" i="19"/>
  <c r="AG53" i="19"/>
  <c r="AF53" i="19"/>
  <c r="AE53" i="19"/>
  <c r="AB53" i="19"/>
  <c r="AA53" i="19"/>
  <c r="Z53" i="19"/>
  <c r="Y53" i="19"/>
  <c r="V53" i="19"/>
  <c r="U53" i="19"/>
  <c r="T53" i="19"/>
  <c r="S53" i="19"/>
  <c r="P53" i="19"/>
  <c r="O53" i="19"/>
  <c r="N53" i="19"/>
  <c r="M53" i="19"/>
  <c r="AN51" i="19"/>
  <c r="AM51" i="19"/>
  <c r="AL51" i="19"/>
  <c r="AK51" i="19"/>
  <c r="AJ51" i="19"/>
  <c r="AI51" i="19"/>
  <c r="AH51" i="19"/>
  <c r="AG51" i="19"/>
  <c r="AF51" i="19"/>
  <c r="AD51" i="19"/>
  <c r="AC51" i="19"/>
  <c r="AB51" i="19"/>
  <c r="AA51" i="19"/>
  <c r="Z51" i="19"/>
  <c r="Y51" i="19"/>
  <c r="X51" i="19"/>
  <c r="W51" i="19"/>
  <c r="V51" i="19"/>
  <c r="U51" i="19"/>
  <c r="T51" i="19"/>
  <c r="S51" i="19"/>
  <c r="R51" i="19"/>
  <c r="Q51" i="19"/>
  <c r="P51" i="19"/>
  <c r="O51" i="19"/>
  <c r="N51" i="19"/>
  <c r="M51" i="19"/>
  <c r="L51" i="19"/>
  <c r="K51" i="19"/>
  <c r="AN50" i="19"/>
  <c r="AM50" i="19"/>
  <c r="AL50" i="19"/>
  <c r="AK50" i="19"/>
  <c r="AJ50" i="19"/>
  <c r="AI50" i="19"/>
  <c r="AH50" i="19"/>
  <c r="AG50" i="19"/>
  <c r="AF50" i="19"/>
  <c r="AE50" i="19"/>
  <c r="AD50" i="19"/>
  <c r="AC50" i="19"/>
  <c r="AB50" i="19"/>
  <c r="AA50" i="19"/>
  <c r="Z50" i="19"/>
  <c r="Y50" i="19"/>
  <c r="X50" i="19"/>
  <c r="W50" i="19"/>
  <c r="V50" i="19"/>
  <c r="U50" i="19"/>
  <c r="T50" i="19"/>
  <c r="S50" i="19"/>
  <c r="R50" i="19"/>
  <c r="Q50" i="19"/>
  <c r="P50" i="19"/>
  <c r="O50" i="19"/>
  <c r="N50" i="19"/>
  <c r="M50" i="19"/>
  <c r="L50" i="19"/>
  <c r="K50" i="19"/>
  <c r="AN49" i="19"/>
  <c r="AM49" i="19"/>
  <c r="AL49" i="19"/>
  <c r="AK49" i="19"/>
  <c r="AJ49" i="19"/>
  <c r="AI49" i="19"/>
  <c r="AH49" i="19"/>
  <c r="AG49" i="19"/>
  <c r="AF49" i="19"/>
  <c r="AE49" i="19"/>
  <c r="AD49" i="19"/>
  <c r="AC49" i="19"/>
  <c r="AB49" i="19"/>
  <c r="AA49" i="19"/>
  <c r="Z49" i="19"/>
  <c r="Y49" i="19"/>
  <c r="X49" i="19"/>
  <c r="W49" i="19"/>
  <c r="V49" i="19"/>
  <c r="U49" i="19"/>
  <c r="T49" i="19"/>
  <c r="S49" i="19"/>
  <c r="R49" i="19"/>
  <c r="Q49" i="19"/>
  <c r="P49" i="19"/>
  <c r="O49" i="19"/>
  <c r="N49" i="19"/>
  <c r="M49" i="19"/>
  <c r="L49" i="19"/>
  <c r="K49" i="19"/>
  <c r="AN48" i="19"/>
  <c r="AM48" i="19"/>
  <c r="AL48" i="19"/>
  <c r="AK48" i="19"/>
  <c r="AJ48" i="19"/>
  <c r="AI48" i="19"/>
  <c r="AH48" i="19"/>
  <c r="AG48" i="19"/>
  <c r="AF48" i="19"/>
  <c r="AE48" i="19"/>
  <c r="AD48" i="19"/>
  <c r="AC48" i="19"/>
  <c r="AB48" i="19"/>
  <c r="AA48" i="19"/>
  <c r="Z48" i="19"/>
  <c r="Y48" i="19"/>
  <c r="X48" i="19"/>
  <c r="W48" i="19"/>
  <c r="V48" i="19"/>
  <c r="U48" i="19"/>
  <c r="T48" i="19"/>
  <c r="S48" i="19"/>
  <c r="R48" i="19"/>
  <c r="Q48" i="19"/>
  <c r="P48" i="19"/>
  <c r="O48" i="19"/>
  <c r="N48" i="19"/>
  <c r="M48" i="19"/>
  <c r="L48" i="19"/>
  <c r="K48" i="19"/>
  <c r="AN47" i="19"/>
  <c r="AM47" i="19"/>
  <c r="AL47" i="19"/>
  <c r="AK47" i="19"/>
  <c r="AJ47" i="19"/>
  <c r="AI47" i="19"/>
  <c r="AH47" i="19"/>
  <c r="AG47" i="19"/>
  <c r="AF47" i="19"/>
  <c r="AE47" i="19"/>
  <c r="AD47" i="19"/>
  <c r="AC47" i="19"/>
  <c r="AB47" i="19"/>
  <c r="AA47" i="19"/>
  <c r="Z47" i="19"/>
  <c r="Y47" i="19"/>
  <c r="X47" i="19"/>
  <c r="W47" i="19"/>
  <c r="V47" i="19"/>
  <c r="U47" i="19"/>
  <c r="T47" i="19"/>
  <c r="S47" i="19"/>
  <c r="R47" i="19"/>
  <c r="Q47" i="19"/>
  <c r="P47" i="19"/>
  <c r="O47" i="19"/>
  <c r="N47" i="19"/>
  <c r="M47" i="19"/>
  <c r="L47" i="19"/>
  <c r="K47" i="19"/>
  <c r="AN46" i="19"/>
  <c r="AM46" i="19"/>
  <c r="AL46" i="19"/>
  <c r="AK46" i="19"/>
  <c r="AJ46" i="19"/>
  <c r="AI46" i="19"/>
  <c r="AH46" i="19"/>
  <c r="AG46" i="19"/>
  <c r="AF46" i="19"/>
  <c r="AE46" i="19"/>
  <c r="AD46" i="19"/>
  <c r="AC46" i="19"/>
  <c r="AB46" i="19"/>
  <c r="AA46" i="19"/>
  <c r="Z46" i="19"/>
  <c r="Y46" i="19"/>
  <c r="X46" i="19"/>
  <c r="W46" i="19"/>
  <c r="V46" i="19"/>
  <c r="U46" i="19"/>
  <c r="T46" i="19"/>
  <c r="S46" i="19"/>
  <c r="R46" i="19"/>
  <c r="Q46" i="19"/>
  <c r="P46" i="19"/>
  <c r="O46" i="19"/>
  <c r="N46" i="19"/>
  <c r="M46" i="19"/>
  <c r="L46" i="19"/>
  <c r="K46" i="19"/>
  <c r="AN45" i="19"/>
  <c r="AM45" i="19"/>
  <c r="AL45" i="19"/>
  <c r="AK45" i="19"/>
  <c r="AJ45" i="19"/>
  <c r="AI45" i="19"/>
  <c r="AH45" i="19"/>
  <c r="AG45" i="19"/>
  <c r="AF45" i="19"/>
  <c r="AE45" i="19"/>
  <c r="AD45" i="19"/>
  <c r="AC45" i="19"/>
  <c r="AB45" i="19"/>
  <c r="AA45" i="19"/>
  <c r="Z45" i="19"/>
  <c r="Y45" i="19"/>
  <c r="X45" i="19"/>
  <c r="W45" i="19"/>
  <c r="V45" i="19"/>
  <c r="U45" i="19"/>
  <c r="T45" i="19"/>
  <c r="S45" i="19"/>
  <c r="R45" i="19"/>
  <c r="Q45" i="19"/>
  <c r="P45" i="19"/>
  <c r="O45" i="19"/>
  <c r="N45" i="19"/>
  <c r="M45" i="19"/>
  <c r="L45" i="19"/>
  <c r="K45" i="19"/>
  <c r="AN44" i="19"/>
  <c r="AM44" i="19"/>
  <c r="AL44" i="19"/>
  <c r="AK44" i="19"/>
  <c r="AJ44" i="19"/>
  <c r="AI44" i="19"/>
  <c r="AH44" i="19"/>
  <c r="AG44" i="19"/>
  <c r="AF44" i="19"/>
  <c r="AE44" i="19"/>
  <c r="AD44" i="19"/>
  <c r="AC44" i="19"/>
  <c r="AB44" i="19"/>
  <c r="AA44" i="19"/>
  <c r="Z44" i="19"/>
  <c r="Y44" i="19"/>
  <c r="X44" i="19"/>
  <c r="W44" i="19"/>
  <c r="V44" i="19"/>
  <c r="U44" i="19"/>
  <c r="T44" i="19"/>
  <c r="S44" i="19"/>
  <c r="R44" i="19"/>
  <c r="Q44" i="19"/>
  <c r="P44" i="19"/>
  <c r="O44" i="19"/>
  <c r="N44" i="19"/>
  <c r="M44" i="19"/>
  <c r="L44" i="19"/>
  <c r="K44" i="19"/>
  <c r="AN43" i="19"/>
  <c r="AM43" i="19"/>
  <c r="AL43" i="19"/>
  <c r="AK43" i="19"/>
  <c r="AH43" i="19"/>
  <c r="AG43" i="19"/>
  <c r="AF43" i="19"/>
  <c r="AE43" i="19"/>
  <c r="AB43" i="19"/>
  <c r="AA43" i="19"/>
  <c r="Z43" i="19"/>
  <c r="Y43" i="19"/>
  <c r="V43" i="19"/>
  <c r="U43" i="19"/>
  <c r="T43" i="19"/>
  <c r="S43" i="19"/>
  <c r="P43" i="19"/>
  <c r="O43" i="19"/>
  <c r="N43" i="19"/>
  <c r="M43" i="19"/>
  <c r="AM41" i="19"/>
  <c r="AL41" i="19"/>
  <c r="AK41" i="19"/>
  <c r="AJ41" i="19"/>
  <c r="AI41" i="19"/>
  <c r="AH41" i="19"/>
  <c r="AG41" i="19"/>
  <c r="AF41" i="19"/>
  <c r="AE41" i="19"/>
  <c r="AD41" i="19"/>
  <c r="AC41" i="19"/>
  <c r="AB41" i="19"/>
  <c r="AA41" i="19"/>
  <c r="Z41" i="19"/>
  <c r="Y41" i="19"/>
  <c r="X41" i="19"/>
  <c r="W41" i="19"/>
  <c r="V41" i="19"/>
  <c r="U41" i="19"/>
  <c r="T41" i="19"/>
  <c r="S41" i="19"/>
  <c r="R41" i="19"/>
  <c r="Q41" i="19"/>
  <c r="P41" i="19"/>
  <c r="O41" i="19"/>
  <c r="N41" i="19"/>
  <c r="M41" i="19"/>
  <c r="L41" i="19"/>
  <c r="K41" i="19"/>
  <c r="AN40" i="19"/>
  <c r="AM40" i="19"/>
  <c r="AL40" i="19"/>
  <c r="AK40" i="19"/>
  <c r="AJ40" i="19"/>
  <c r="AI40" i="19"/>
  <c r="AH40" i="19"/>
  <c r="AG40" i="19"/>
  <c r="AF40" i="19"/>
  <c r="AE40" i="19"/>
  <c r="AD40" i="19"/>
  <c r="AC40" i="19"/>
  <c r="AB40" i="19"/>
  <c r="AA40" i="19"/>
  <c r="Z40" i="19"/>
  <c r="Y40" i="19"/>
  <c r="X40" i="19"/>
  <c r="W40" i="19"/>
  <c r="V40" i="19"/>
  <c r="U40" i="19"/>
  <c r="T40" i="19"/>
  <c r="S40" i="19"/>
  <c r="R40" i="19"/>
  <c r="Q40" i="19"/>
  <c r="P40" i="19"/>
  <c r="O40" i="19"/>
  <c r="N40" i="19"/>
  <c r="M40" i="19"/>
  <c r="L40" i="19"/>
  <c r="K40" i="19"/>
  <c r="AN39" i="19"/>
  <c r="AM39" i="19"/>
  <c r="AL39" i="19"/>
  <c r="AK39" i="19"/>
  <c r="AJ39" i="19"/>
  <c r="AI39" i="19"/>
  <c r="AH39" i="19"/>
  <c r="AG39" i="19"/>
  <c r="AF39" i="19"/>
  <c r="AE39" i="19"/>
  <c r="AD39" i="19"/>
  <c r="AC39" i="19"/>
  <c r="AB39" i="19"/>
  <c r="AA39" i="19"/>
  <c r="Z39" i="19"/>
  <c r="Y39" i="19"/>
  <c r="X39" i="19"/>
  <c r="W39" i="19"/>
  <c r="V39" i="19"/>
  <c r="U39" i="19"/>
  <c r="T39" i="19"/>
  <c r="S39" i="19"/>
  <c r="R39" i="19"/>
  <c r="Q39" i="19"/>
  <c r="P39" i="19"/>
  <c r="O39" i="19"/>
  <c r="N39" i="19"/>
  <c r="M39" i="19"/>
  <c r="L39" i="19"/>
  <c r="K39" i="19"/>
  <c r="AN38" i="19"/>
  <c r="AM38" i="19"/>
  <c r="AL38" i="19"/>
  <c r="AK38" i="19"/>
  <c r="AJ38" i="19"/>
  <c r="AI38" i="19"/>
  <c r="AH38" i="19"/>
  <c r="AG38" i="19"/>
  <c r="AF38" i="19"/>
  <c r="AE38" i="19"/>
  <c r="AD38" i="19"/>
  <c r="AC38" i="19"/>
  <c r="AB38" i="19"/>
  <c r="AA38" i="19"/>
  <c r="Z38" i="19"/>
  <c r="Y38" i="19"/>
  <c r="X38" i="19"/>
  <c r="W38" i="19"/>
  <c r="V38" i="19"/>
  <c r="U38" i="19"/>
  <c r="T38" i="19"/>
  <c r="S38" i="19"/>
  <c r="R38" i="19"/>
  <c r="Q38" i="19"/>
  <c r="P38" i="19"/>
  <c r="O38" i="19"/>
  <c r="N38" i="19"/>
  <c r="M38" i="19"/>
  <c r="L38" i="19"/>
  <c r="K38" i="19"/>
  <c r="AN37" i="19"/>
  <c r="AM37" i="19"/>
  <c r="AL37" i="19"/>
  <c r="AK37" i="19"/>
  <c r="AJ37" i="19"/>
  <c r="AI37" i="19"/>
  <c r="AH37" i="19"/>
  <c r="AG37" i="19"/>
  <c r="AF37" i="19"/>
  <c r="AE37" i="19"/>
  <c r="AD37" i="19"/>
  <c r="AC37" i="19"/>
  <c r="AB37" i="19"/>
  <c r="AA37" i="19"/>
  <c r="Z37" i="19"/>
  <c r="Y37" i="19"/>
  <c r="X37" i="19"/>
  <c r="W37" i="19"/>
  <c r="V37" i="19"/>
  <c r="U37" i="19"/>
  <c r="T37" i="19"/>
  <c r="S37" i="19"/>
  <c r="R37" i="19"/>
  <c r="Q37" i="19"/>
  <c r="P37" i="19"/>
  <c r="O37" i="19"/>
  <c r="N37" i="19"/>
  <c r="M37" i="19"/>
  <c r="L37" i="19"/>
  <c r="K37" i="19"/>
  <c r="AN36" i="19"/>
  <c r="AM36" i="19"/>
  <c r="AL36" i="19"/>
  <c r="AK36" i="19"/>
  <c r="AJ36" i="19"/>
  <c r="AI36" i="19"/>
  <c r="AH36" i="19"/>
  <c r="AG36" i="19"/>
  <c r="AF36" i="19"/>
  <c r="AE36" i="19"/>
  <c r="AD36" i="19"/>
  <c r="AC36" i="19"/>
  <c r="AB36" i="19"/>
  <c r="AA36" i="19"/>
  <c r="Z36" i="19"/>
  <c r="Y36" i="19"/>
  <c r="X36" i="19"/>
  <c r="W36" i="19"/>
  <c r="V36" i="19"/>
  <c r="U36" i="19"/>
  <c r="T36" i="19"/>
  <c r="S36" i="19"/>
  <c r="R36" i="19"/>
  <c r="Q36" i="19"/>
  <c r="P36" i="19"/>
  <c r="O36" i="19"/>
  <c r="N36" i="19"/>
  <c r="M36" i="19"/>
  <c r="L36" i="19"/>
  <c r="K36" i="19"/>
  <c r="AN35" i="19"/>
  <c r="AM35" i="19"/>
  <c r="AL35" i="19"/>
  <c r="AK35" i="19"/>
  <c r="AJ35" i="19"/>
  <c r="AI35" i="19"/>
  <c r="AH35" i="19"/>
  <c r="AG35" i="19"/>
  <c r="AF35" i="19"/>
  <c r="AE35" i="19"/>
  <c r="AD35" i="19"/>
  <c r="AC35" i="19"/>
  <c r="AB35" i="19"/>
  <c r="AA35" i="19"/>
  <c r="Z35" i="19"/>
  <c r="Y35" i="19"/>
  <c r="X35" i="19"/>
  <c r="W35" i="19"/>
  <c r="V35" i="19"/>
  <c r="U35" i="19"/>
  <c r="T35" i="19"/>
  <c r="S35" i="19"/>
  <c r="R35" i="19"/>
  <c r="Q35" i="19"/>
  <c r="P35" i="19"/>
  <c r="O35" i="19"/>
  <c r="N35" i="19"/>
  <c r="M35" i="19"/>
  <c r="L35" i="19"/>
  <c r="K35" i="19"/>
  <c r="AN34" i="19"/>
  <c r="AM34" i="19"/>
  <c r="AL34" i="19"/>
  <c r="AK34" i="19"/>
  <c r="AJ34" i="19"/>
  <c r="AI34" i="19"/>
  <c r="AH34" i="19"/>
  <c r="AG34" i="19"/>
  <c r="AF34" i="19"/>
  <c r="AE34" i="19"/>
  <c r="AD34" i="19"/>
  <c r="AC34" i="19"/>
  <c r="AB34" i="19"/>
  <c r="AA34" i="19"/>
  <c r="Z34" i="19"/>
  <c r="Y34" i="19"/>
  <c r="X34" i="19"/>
  <c r="W34" i="19"/>
  <c r="V34" i="19"/>
  <c r="U34" i="19"/>
  <c r="T34" i="19"/>
  <c r="S34" i="19"/>
  <c r="R34" i="19"/>
  <c r="Q34" i="19"/>
  <c r="P34" i="19"/>
  <c r="O34" i="19"/>
  <c r="N34" i="19"/>
  <c r="M34" i="19"/>
  <c r="L34" i="19"/>
  <c r="K34" i="19"/>
  <c r="AN33" i="19"/>
  <c r="AM33" i="19"/>
  <c r="AL33" i="19"/>
  <c r="AK33" i="19"/>
  <c r="AH33" i="19"/>
  <c r="AG33" i="19"/>
  <c r="AF33" i="19"/>
  <c r="AE33" i="19"/>
  <c r="AB33" i="19"/>
  <c r="AA33" i="19"/>
  <c r="Z33" i="19"/>
  <c r="Y33" i="19"/>
  <c r="V33" i="19"/>
  <c r="U33" i="19"/>
  <c r="T33" i="19"/>
  <c r="S33" i="19"/>
  <c r="P33" i="19"/>
  <c r="O33" i="19"/>
  <c r="N33" i="19"/>
  <c r="M33" i="19"/>
  <c r="AM31" i="19"/>
  <c r="AL31" i="19"/>
  <c r="AK31" i="19"/>
  <c r="AJ31" i="19"/>
  <c r="AI31" i="19"/>
  <c r="AH31" i="19"/>
  <c r="AG31" i="19"/>
  <c r="AF31" i="19"/>
  <c r="AE31" i="19"/>
  <c r="AD31" i="19"/>
  <c r="AC31" i="19"/>
  <c r="AB31" i="19"/>
  <c r="AA31" i="19"/>
  <c r="Z31" i="19"/>
  <c r="Y31" i="19"/>
  <c r="X31" i="19"/>
  <c r="W31" i="19"/>
  <c r="V31" i="19"/>
  <c r="U31" i="19"/>
  <c r="T31" i="19"/>
  <c r="S31" i="19"/>
  <c r="R31" i="19"/>
  <c r="Q31" i="19"/>
  <c r="P31" i="19"/>
  <c r="O31" i="19"/>
  <c r="N31" i="19"/>
  <c r="M31" i="19"/>
  <c r="L31" i="19"/>
  <c r="K31" i="19"/>
  <c r="AN30" i="19"/>
  <c r="AM30" i="19"/>
  <c r="AL30" i="19"/>
  <c r="AK30" i="19"/>
  <c r="AJ30" i="19"/>
  <c r="AI30" i="19"/>
  <c r="AH30" i="19"/>
  <c r="AG30" i="19"/>
  <c r="AF30" i="19"/>
  <c r="AE30" i="19"/>
  <c r="AD30" i="19"/>
  <c r="AC30" i="19"/>
  <c r="AB30" i="19"/>
  <c r="AA30" i="19"/>
  <c r="Z30" i="19"/>
  <c r="Y30" i="19"/>
  <c r="X30" i="19"/>
  <c r="W30" i="19"/>
  <c r="V30" i="19"/>
  <c r="U30" i="19"/>
  <c r="T30" i="19"/>
  <c r="S30" i="19"/>
  <c r="R30" i="19"/>
  <c r="Q30" i="19"/>
  <c r="P30" i="19"/>
  <c r="O30" i="19"/>
  <c r="N30" i="19"/>
  <c r="M30" i="19"/>
  <c r="L30" i="19"/>
  <c r="K30" i="19"/>
  <c r="AN29" i="19"/>
  <c r="AM29" i="19"/>
  <c r="AL29" i="19"/>
  <c r="AK29" i="19"/>
  <c r="AJ29" i="19"/>
  <c r="AI29" i="19"/>
  <c r="AH29" i="19"/>
  <c r="AG29" i="19"/>
  <c r="AF29" i="19"/>
  <c r="AE29" i="19"/>
  <c r="AD29" i="19"/>
  <c r="AC29" i="19"/>
  <c r="AB29" i="19"/>
  <c r="AA29" i="19"/>
  <c r="Z29" i="19"/>
  <c r="Y29" i="19"/>
  <c r="X29" i="19"/>
  <c r="W29" i="19"/>
  <c r="V29" i="19"/>
  <c r="U29" i="19"/>
  <c r="T29" i="19"/>
  <c r="S29" i="19"/>
  <c r="R29" i="19"/>
  <c r="Q29" i="19"/>
  <c r="P29" i="19"/>
  <c r="O29" i="19"/>
  <c r="N29" i="19"/>
  <c r="M29" i="19"/>
  <c r="L29" i="19"/>
  <c r="K29" i="19"/>
  <c r="AN28" i="19"/>
  <c r="AM28" i="19"/>
  <c r="AL28" i="19"/>
  <c r="AK28" i="19"/>
  <c r="AJ28" i="19"/>
  <c r="AI28" i="19"/>
  <c r="AH28" i="19"/>
  <c r="AG28" i="19"/>
  <c r="AF28" i="19"/>
  <c r="AE28" i="19"/>
  <c r="AD28" i="19"/>
  <c r="AC28" i="19"/>
  <c r="AB28" i="19"/>
  <c r="AA28" i="19"/>
  <c r="Z28" i="19"/>
  <c r="Y28" i="19"/>
  <c r="X28" i="19"/>
  <c r="W28" i="19"/>
  <c r="V28" i="19"/>
  <c r="U28" i="19"/>
  <c r="T28" i="19"/>
  <c r="S28" i="19"/>
  <c r="R28" i="19"/>
  <c r="Q28" i="19"/>
  <c r="P28" i="19"/>
  <c r="O28" i="19"/>
  <c r="N28" i="19"/>
  <c r="M28" i="19"/>
  <c r="L28" i="19"/>
  <c r="K28" i="19"/>
  <c r="AN27" i="19"/>
  <c r="AM27" i="19"/>
  <c r="AL27" i="19"/>
  <c r="AK27" i="19"/>
  <c r="AJ27" i="19"/>
  <c r="AI27" i="19"/>
  <c r="AH27" i="19"/>
  <c r="AG27" i="19"/>
  <c r="AF27" i="19"/>
  <c r="AE27" i="19"/>
  <c r="AD27" i="19"/>
  <c r="AC27" i="19"/>
  <c r="AB27" i="19"/>
  <c r="AA27" i="19"/>
  <c r="Z27" i="19"/>
  <c r="Y27" i="19"/>
  <c r="X27" i="19"/>
  <c r="W27" i="19"/>
  <c r="V27" i="19"/>
  <c r="U27" i="19"/>
  <c r="T27" i="19"/>
  <c r="S27" i="19"/>
  <c r="R27" i="19"/>
  <c r="Q27" i="19"/>
  <c r="P27" i="19"/>
  <c r="O27" i="19"/>
  <c r="N27" i="19"/>
  <c r="M27" i="19"/>
  <c r="L27" i="19"/>
  <c r="K27" i="19"/>
  <c r="AN26" i="19"/>
  <c r="AM26" i="19"/>
  <c r="AL26" i="19"/>
  <c r="AK26" i="19"/>
  <c r="AJ26" i="19"/>
  <c r="AI26" i="19"/>
  <c r="AH26" i="19"/>
  <c r="AG26" i="19"/>
  <c r="AF26" i="19"/>
  <c r="AE26" i="19"/>
  <c r="AD26" i="19"/>
  <c r="AC26" i="19"/>
  <c r="AB26" i="19"/>
  <c r="AA26" i="19"/>
  <c r="Z26" i="19"/>
  <c r="Y26" i="19"/>
  <c r="X26" i="19"/>
  <c r="W26" i="19"/>
  <c r="V26" i="19"/>
  <c r="U26" i="19"/>
  <c r="T26" i="19"/>
  <c r="S26" i="19"/>
  <c r="R26" i="19"/>
  <c r="Q26" i="19"/>
  <c r="P26" i="19"/>
  <c r="O26" i="19"/>
  <c r="N26" i="19"/>
  <c r="M26" i="19"/>
  <c r="L26" i="19"/>
  <c r="K26" i="19"/>
  <c r="AN25" i="19"/>
  <c r="AM25" i="19"/>
  <c r="AL25" i="19"/>
  <c r="AK25" i="19"/>
  <c r="AJ25" i="19"/>
  <c r="AI25" i="19"/>
  <c r="AH25" i="19"/>
  <c r="AG25" i="19"/>
  <c r="AF25" i="19"/>
  <c r="AE25" i="19"/>
  <c r="AD25" i="19"/>
  <c r="AC25" i="19"/>
  <c r="AB25" i="19"/>
  <c r="AA25" i="19"/>
  <c r="Z25" i="19"/>
  <c r="Y25" i="19"/>
  <c r="X25" i="19"/>
  <c r="W25" i="19"/>
  <c r="V25" i="19"/>
  <c r="U25" i="19"/>
  <c r="T25" i="19"/>
  <c r="S25" i="19"/>
  <c r="R25" i="19"/>
  <c r="Q25" i="19"/>
  <c r="P25" i="19"/>
  <c r="O25" i="19"/>
  <c r="N25" i="19"/>
  <c r="M25" i="19"/>
  <c r="L25" i="19"/>
  <c r="K25" i="19"/>
  <c r="AN24" i="19"/>
  <c r="AM24" i="19"/>
  <c r="AL24" i="19"/>
  <c r="AK24" i="19"/>
  <c r="AJ24" i="19"/>
  <c r="AI24" i="19"/>
  <c r="AH24" i="19"/>
  <c r="AG24" i="19"/>
  <c r="AF24" i="19"/>
  <c r="AE24" i="19"/>
  <c r="AD24" i="19"/>
  <c r="AC24" i="19"/>
  <c r="AB24" i="19"/>
  <c r="AA24" i="19"/>
  <c r="Z24" i="19"/>
  <c r="Y24" i="19"/>
  <c r="X24" i="19"/>
  <c r="W24" i="19"/>
  <c r="V24" i="19"/>
  <c r="U24" i="19"/>
  <c r="T24" i="19"/>
  <c r="S24" i="19"/>
  <c r="R24" i="19"/>
  <c r="Q24" i="19"/>
  <c r="P24" i="19"/>
  <c r="O24" i="19"/>
  <c r="N24" i="19"/>
  <c r="M24" i="19"/>
  <c r="L24" i="19"/>
  <c r="K24" i="19"/>
  <c r="AN23" i="19"/>
  <c r="AM23" i="19"/>
  <c r="AL23" i="19"/>
  <c r="AK23" i="19"/>
  <c r="AH23" i="19"/>
  <c r="AG23" i="19"/>
  <c r="AF23" i="19"/>
  <c r="AE23" i="19"/>
  <c r="AB23" i="19"/>
  <c r="AA23" i="19"/>
  <c r="Z23" i="19"/>
  <c r="Y23" i="19"/>
  <c r="V23" i="19"/>
  <c r="U23" i="19"/>
  <c r="T23" i="19"/>
  <c r="S23" i="19"/>
  <c r="P23" i="19"/>
  <c r="O23" i="19"/>
  <c r="N23" i="19"/>
  <c r="M23" i="19"/>
  <c r="AN41" i="19"/>
  <c r="AN31" i="19"/>
  <c r="AN21" i="19"/>
  <c r="AM21" i="19"/>
  <c r="AL21" i="19"/>
  <c r="AK21" i="19"/>
  <c r="AJ21" i="19"/>
  <c r="AI21" i="19"/>
  <c r="AN20" i="19"/>
  <c r="AM20" i="19"/>
  <c r="AL20" i="19"/>
  <c r="AK20" i="19"/>
  <c r="AJ20" i="19"/>
  <c r="AI20" i="19"/>
  <c r="AN19" i="19"/>
  <c r="AM19" i="19"/>
  <c r="AL19" i="19"/>
  <c r="AK19" i="19"/>
  <c r="AJ19" i="19"/>
  <c r="AI19" i="19"/>
  <c r="AN18" i="19"/>
  <c r="AM18" i="19"/>
  <c r="AL18" i="19"/>
  <c r="AK18" i="19"/>
  <c r="AJ18" i="19"/>
  <c r="AI18" i="19"/>
  <c r="AN17" i="19"/>
  <c r="AM17" i="19"/>
  <c r="AL17" i="19"/>
  <c r="AK17" i="19"/>
  <c r="AJ17" i="19"/>
  <c r="AI17" i="19"/>
  <c r="AN16" i="19"/>
  <c r="AM16" i="19"/>
  <c r="AL16" i="19"/>
  <c r="AK16" i="19"/>
  <c r="AJ16" i="19"/>
  <c r="AI16" i="19"/>
  <c r="AN15" i="19"/>
  <c r="AM15" i="19"/>
  <c r="AL15" i="19"/>
  <c r="AK15" i="19"/>
  <c r="AJ15" i="19"/>
  <c r="AI15" i="19"/>
  <c r="AN14" i="19"/>
  <c r="AM14" i="19"/>
  <c r="AL14" i="19"/>
  <c r="AK14" i="19"/>
  <c r="AJ14" i="19"/>
  <c r="AI14" i="19"/>
  <c r="Q14" i="19"/>
  <c r="AN13" i="19"/>
  <c r="AM13" i="19"/>
  <c r="AL13" i="19"/>
  <c r="AK13" i="19"/>
  <c r="AC14" i="19"/>
  <c r="AD14" i="19"/>
  <c r="AE14" i="19"/>
  <c r="AF14" i="19"/>
  <c r="AH14" i="19"/>
  <c r="AG14" i="19"/>
  <c r="AH21" i="19"/>
  <c r="AF13" i="19"/>
  <c r="AE13" i="19"/>
  <c r="AG15" i="19"/>
  <c r="AG13" i="19"/>
  <c r="AH13" i="19"/>
  <c r="AG21" i="19"/>
  <c r="AF21" i="19"/>
  <c r="AE21" i="19"/>
  <c r="AD21" i="19"/>
  <c r="AC21" i="19"/>
  <c r="AH20" i="19"/>
  <c r="AG20" i="19"/>
  <c r="AF20" i="19"/>
  <c r="AE20" i="19"/>
  <c r="AD20" i="19"/>
  <c r="AC20" i="19"/>
  <c r="AH19" i="19"/>
  <c r="AG19" i="19"/>
  <c r="AF19" i="19"/>
  <c r="AE19" i="19"/>
  <c r="AD19" i="19"/>
  <c r="AC19" i="19"/>
  <c r="AH18" i="19"/>
  <c r="AG18" i="19"/>
  <c r="AF18" i="19"/>
  <c r="AE18" i="19"/>
  <c r="AD18" i="19"/>
  <c r="AC18" i="19"/>
  <c r="AH17" i="19"/>
  <c r="AG17" i="19"/>
  <c r="AF17" i="19"/>
  <c r="AE17" i="19"/>
  <c r="AD17" i="19"/>
  <c r="AC17" i="19"/>
  <c r="AH16" i="19"/>
  <c r="AG16" i="19"/>
  <c r="AF16" i="19"/>
  <c r="AE16" i="19"/>
  <c r="AD16" i="19"/>
  <c r="AC16" i="19"/>
  <c r="AH15" i="19"/>
  <c r="AF15" i="19"/>
  <c r="AE15" i="19"/>
  <c r="AD15" i="19"/>
  <c r="AC15" i="19"/>
  <c r="W21" i="19"/>
  <c r="X21" i="19"/>
  <c r="Y21" i="19"/>
  <c r="Z21" i="19"/>
  <c r="AA21" i="19"/>
  <c r="AB21" i="19"/>
  <c r="AB20" i="19"/>
  <c r="AA20" i="19"/>
  <c r="Z20" i="19"/>
  <c r="Y20" i="19"/>
  <c r="X20" i="19"/>
  <c r="W20" i="19"/>
  <c r="W19" i="19"/>
  <c r="X19" i="19"/>
  <c r="Y19" i="19"/>
  <c r="Z19" i="19"/>
  <c r="AA19" i="19"/>
  <c r="AB19" i="19"/>
  <c r="AB18" i="19"/>
  <c r="AA18" i="19"/>
  <c r="Z18" i="19"/>
  <c r="Y18" i="19"/>
  <c r="X18" i="19"/>
  <c r="W18" i="19"/>
  <c r="W17" i="19"/>
  <c r="X17" i="19"/>
  <c r="Y17" i="19"/>
  <c r="Z17" i="19"/>
  <c r="AA17" i="19"/>
  <c r="AB17" i="19"/>
  <c r="AB16" i="19"/>
  <c r="AA16" i="19"/>
  <c r="Z16" i="19"/>
  <c r="Y16" i="19"/>
  <c r="X16" i="19"/>
  <c r="W16" i="19"/>
  <c r="W15" i="19"/>
  <c r="X15" i="19"/>
  <c r="Y15" i="19"/>
  <c r="Z15" i="19"/>
  <c r="AA15" i="19"/>
  <c r="AB15" i="19"/>
  <c r="AB14" i="19"/>
  <c r="AA14" i="19"/>
  <c r="Z14" i="19"/>
  <c r="Y14" i="19"/>
  <c r="X14" i="19"/>
  <c r="W14" i="19"/>
  <c r="Y13" i="19"/>
  <c r="Z13" i="19"/>
  <c r="AA13" i="19"/>
  <c r="AB13" i="19"/>
  <c r="V21" i="19"/>
  <c r="U21" i="19"/>
  <c r="T21" i="19"/>
  <c r="S21" i="19"/>
  <c r="R21" i="19"/>
  <c r="Q21" i="19"/>
  <c r="Q20" i="19"/>
  <c r="R20" i="19"/>
  <c r="S20" i="19"/>
  <c r="T20" i="19"/>
  <c r="U20" i="19"/>
  <c r="V20" i="19"/>
  <c r="U19" i="19"/>
  <c r="V19" i="19"/>
  <c r="T19" i="19"/>
  <c r="S19" i="19"/>
  <c r="R19" i="19"/>
  <c r="Q19" i="19"/>
  <c r="Q18" i="19"/>
  <c r="R18" i="19"/>
  <c r="S18" i="19"/>
  <c r="T18" i="19"/>
  <c r="U18" i="19"/>
  <c r="V18" i="19"/>
  <c r="V17" i="19"/>
  <c r="U17" i="19"/>
  <c r="T17" i="19"/>
  <c r="S17" i="19"/>
  <c r="R17" i="19"/>
  <c r="Q17" i="19"/>
  <c r="Q16" i="19"/>
  <c r="R16" i="19"/>
  <c r="S16" i="19"/>
  <c r="T16" i="19"/>
  <c r="U16" i="19"/>
  <c r="V16" i="19"/>
  <c r="V15" i="19"/>
  <c r="U15" i="19"/>
  <c r="T15" i="19"/>
  <c r="S15" i="19"/>
  <c r="R15" i="19"/>
  <c r="Q15" i="19"/>
  <c r="V13" i="19"/>
  <c r="V14" i="19"/>
  <c r="U14" i="19"/>
  <c r="T14" i="19"/>
  <c r="S14" i="19"/>
  <c r="R14" i="19"/>
  <c r="S13" i="19"/>
  <c r="T13" i="19"/>
  <c r="U13" i="19"/>
  <c r="P21" i="19"/>
  <c r="O21" i="19"/>
  <c r="N21" i="19"/>
  <c r="M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49" i="18"/>
  <c r="N49" i="18"/>
  <c r="P49" i="18"/>
  <c r="R49" i="18"/>
  <c r="T49" i="18"/>
  <c r="V49" i="18"/>
  <c r="X49" i="18"/>
  <c r="Z49" i="18"/>
  <c r="AB49" i="18"/>
  <c r="AD49" i="18"/>
  <c r="AF49" i="18"/>
  <c r="AH49" i="18"/>
  <c r="AJ49" i="18"/>
  <c r="AL49" i="18"/>
  <c r="AN49" i="18"/>
  <c r="AN47" i="18"/>
  <c r="AH47" i="18"/>
  <c r="AB47" i="18"/>
  <c r="V47" i="18"/>
  <c r="P47" i="18"/>
  <c r="N47" i="18"/>
  <c r="N45" i="18"/>
  <c r="P45" i="18"/>
  <c r="P43" i="18"/>
  <c r="N43" i="18"/>
  <c r="L41" i="18"/>
  <c r="N41" i="18"/>
  <c r="P41" i="18"/>
  <c r="R41" i="18"/>
  <c r="T41" i="18"/>
  <c r="V41" i="18"/>
  <c r="X41" i="18"/>
  <c r="Z41" i="18"/>
  <c r="AB41" i="18"/>
  <c r="AD41" i="18"/>
  <c r="AF41" i="18"/>
  <c r="AH41" i="18"/>
  <c r="AJ41" i="18"/>
  <c r="AL41" i="18"/>
  <c r="AN41" i="18"/>
  <c r="AN39" i="18"/>
  <c r="AH39" i="18"/>
  <c r="AB39" i="18"/>
  <c r="V39" i="18"/>
  <c r="P39" i="18"/>
  <c r="N39" i="18"/>
  <c r="N37" i="18"/>
  <c r="P37" i="18"/>
  <c r="P35" i="18"/>
  <c r="N35" i="18"/>
  <c r="AN33" i="18"/>
  <c r="AL33" i="18"/>
  <c r="AJ33" i="18"/>
  <c r="AH33" i="18"/>
  <c r="AF33" i="18"/>
  <c r="AD33" i="18"/>
  <c r="AB33" i="18"/>
  <c r="Z33" i="18"/>
  <c r="X33" i="18"/>
  <c r="V33" i="18"/>
  <c r="T33" i="18"/>
  <c r="R33" i="18"/>
  <c r="P33" i="18"/>
  <c r="N33" i="18"/>
  <c r="L33" i="18"/>
  <c r="N31" i="18"/>
  <c r="P31" i="18"/>
  <c r="V31" i="18"/>
  <c r="AB31" i="18"/>
  <c r="AH31" i="18"/>
  <c r="AN31" i="18"/>
  <c r="P29" i="18"/>
  <c r="N29" i="18"/>
  <c r="P27" i="18"/>
  <c r="N27" i="18"/>
  <c r="AN25" i="18"/>
  <c r="AL25" i="18"/>
  <c r="AJ25" i="18"/>
  <c r="AN23" i="18"/>
  <c r="AH25" i="18"/>
  <c r="AF25" i="18"/>
  <c r="AD25" i="18"/>
  <c r="AH23" i="18"/>
  <c r="AB25" i="18"/>
  <c r="X25" i="18"/>
  <c r="Z25" i="18"/>
  <c r="AB23" i="18"/>
  <c r="V25" i="18"/>
  <c r="T25" i="18"/>
  <c r="R25" i="18"/>
  <c r="V23" i="18"/>
  <c r="P25" i="18"/>
  <c r="N25" i="18"/>
  <c r="L25" i="18"/>
  <c r="P23" i="18"/>
  <c r="N23" i="18"/>
  <c r="P21" i="18"/>
  <c r="N21" i="18"/>
  <c r="P19" i="18"/>
  <c r="N19" i="18"/>
  <c r="AN17" i="18"/>
  <c r="AL17" i="18"/>
  <c r="AJ17" i="18"/>
  <c r="AN15" i="18"/>
  <c r="AH17" i="18"/>
  <c r="AF17" i="18"/>
  <c r="AD17" i="18"/>
  <c r="AH15" i="18"/>
  <c r="AB17" i="18"/>
  <c r="Z17" i="18"/>
  <c r="X17" i="18"/>
  <c r="AB15" i="18"/>
  <c r="V17" i="18"/>
  <c r="V15" i="18"/>
  <c r="T17" i="18"/>
  <c r="R17" i="18"/>
  <c r="L17" i="18"/>
  <c r="P17" i="18"/>
  <c r="N17" i="18"/>
  <c r="P15" i="18"/>
  <c r="N15" i="18"/>
  <c r="P13" i="18"/>
  <c r="N13" i="18"/>
  <c r="P11" i="18"/>
  <c r="N11" i="18"/>
  <c r="AG18" i="1" l="1"/>
  <c r="AH18" i="1" s="1"/>
  <c r="AH15" i="1"/>
  <c r="AI15" i="1"/>
  <c r="AG19" i="1"/>
  <c r="AI19" i="1" s="1"/>
  <c r="AG20" i="1"/>
  <c r="AI53" i="19"/>
  <c r="AN13" i="18"/>
  <c r="AN29" i="18"/>
  <c r="AN37" i="18"/>
  <c r="AN21" i="18"/>
  <c r="AN45" i="18"/>
  <c r="AI18" i="1" l="1"/>
  <c r="AI20" i="1"/>
  <c r="AH20" i="1"/>
  <c r="AH19" i="1"/>
  <c r="F29" i="27"/>
  <c r="E29" i="27"/>
  <c r="G29" i="27" s="1"/>
  <c r="P26" i="1" l="1"/>
  <c r="F221" i="13" l="1"/>
  <c r="F211" i="13"/>
  <c r="F212" i="13"/>
  <c r="F213" i="13"/>
  <c r="F214" i="13"/>
  <c r="F215" i="13"/>
  <c r="F216" i="13"/>
  <c r="F217" i="13"/>
  <c r="F218" i="13"/>
  <c r="F219" i="13"/>
  <c r="F220" i="13"/>
  <c r="F210" i="13"/>
  <c r="B221" i="13" a="1"/>
  <c r="B221" i="13" l="1"/>
  <c r="B223" i="13" l="1"/>
  <c r="B222" i="13"/>
  <c r="H210" i="13" s="1"/>
  <c r="AD53" i="19" l="1"/>
  <c r="X23" i="19"/>
  <c r="AJ13" i="19"/>
  <c r="X13" i="19"/>
  <c r="R43" i="19"/>
  <c r="R33" i="19"/>
  <c r="R53" i="19"/>
  <c r="R23" i="19"/>
  <c r="AD13" i="19"/>
  <c r="X53" i="19"/>
  <c r="AJ43" i="19"/>
  <c r="L43" i="19"/>
  <c r="L33" i="19"/>
  <c r="L53" i="19"/>
  <c r="AJ33" i="19"/>
  <c r="AJ23" i="19"/>
  <c r="L23" i="19"/>
  <c r="X33" i="19"/>
  <c r="AD43" i="19"/>
  <c r="AD33" i="19"/>
  <c r="AJ53" i="19"/>
  <c r="AD23" i="19"/>
  <c r="X43" i="19"/>
  <c r="R13" i="19"/>
  <c r="L13" i="19"/>
  <c r="AC53" i="19"/>
  <c r="W43" i="19"/>
  <c r="W33" i="19"/>
  <c r="W23" i="19"/>
  <c r="W53" i="19"/>
  <c r="AI13" i="19"/>
  <c r="Q43" i="19"/>
  <c r="Q33" i="19"/>
  <c r="K13" i="19"/>
  <c r="Q53" i="19"/>
  <c r="Q23" i="19"/>
  <c r="AC13" i="19"/>
  <c r="AI43" i="19"/>
  <c r="K43" i="19"/>
  <c r="K33" i="19"/>
  <c r="K23" i="19"/>
  <c r="K53" i="19"/>
  <c r="AI33" i="19"/>
  <c r="AI23" i="19"/>
  <c r="AC23" i="19"/>
  <c r="W13" i="19"/>
  <c r="AC43" i="19"/>
  <c r="AC33" i="19"/>
  <c r="Q13" i="19"/>
  <c r="P52" i="19"/>
  <c r="AH42" i="19"/>
  <c r="AH32" i="19"/>
  <c r="AB12" i="19"/>
  <c r="P12" i="19"/>
  <c r="AH52" i="19"/>
  <c r="P42" i="19"/>
  <c r="P32" i="19"/>
  <c r="AH22" i="19"/>
  <c r="P22" i="19"/>
  <c r="AN12" i="19"/>
  <c r="V22" i="19"/>
  <c r="AB52" i="19"/>
  <c r="AB42" i="19"/>
  <c r="AB32" i="19"/>
  <c r="AB22" i="19"/>
  <c r="AH12" i="19"/>
  <c r="V12" i="19"/>
  <c r="AN42" i="19"/>
  <c r="AN32" i="19"/>
  <c r="AN52" i="19"/>
  <c r="V52" i="19"/>
  <c r="V42" i="19"/>
  <c r="V32" i="19"/>
  <c r="AN22" i="19"/>
  <c r="U52" i="19"/>
  <c r="U22" i="19"/>
  <c r="O12" i="19"/>
  <c r="O52" i="19"/>
  <c r="AG42" i="19"/>
  <c r="AG32" i="19"/>
  <c r="AG52" i="19"/>
  <c r="O42" i="19"/>
  <c r="O32" i="19"/>
  <c r="AG22" i="19"/>
  <c r="U12" i="19"/>
  <c r="AM12" i="19"/>
  <c r="AA22" i="19"/>
  <c r="U32" i="19"/>
  <c r="O22" i="19"/>
  <c r="AA52" i="19"/>
  <c r="AA42" i="19"/>
  <c r="AA32" i="19"/>
  <c r="AG12" i="19"/>
  <c r="U42" i="19"/>
  <c r="AM42" i="19"/>
  <c r="AM32" i="19"/>
  <c r="AA12" i="19"/>
  <c r="AM52" i="19"/>
  <c r="AM22" i="19"/>
  <c r="U19" i="1" l="1"/>
  <c r="L21" i="18"/>
  <c r="L37" i="18"/>
  <c r="R13" i="18"/>
  <c r="R37" i="18"/>
  <c r="AD29" i="18"/>
  <c r="L45" i="18"/>
  <c r="AD45" i="18"/>
  <c r="X13" i="18"/>
  <c r="AJ21" i="18"/>
  <c r="AD37" i="18"/>
  <c r="L13" i="18"/>
  <c r="X21" i="18"/>
  <c r="R21" i="18"/>
  <c r="X37" i="18"/>
  <c r="R29" i="18"/>
  <c r="X29" i="18"/>
  <c r="AJ13" i="18"/>
  <c r="AJ45" i="18"/>
  <c r="X45" i="18"/>
  <c r="R45" i="18"/>
  <c r="AJ29" i="18"/>
  <c r="AD13" i="18"/>
  <c r="L29" i="18"/>
  <c r="AJ37" i="18"/>
  <c r="AD21" i="18"/>
  <c r="Z31" i="18"/>
  <c r="AL23" i="18"/>
  <c r="Z15" i="18"/>
  <c r="Z23" i="18"/>
  <c r="AF39" i="18"/>
  <c r="Z39" i="18"/>
  <c r="AL31" i="18"/>
  <c r="T47" i="18"/>
  <c r="AF15" i="18"/>
  <c r="AL15" i="18"/>
  <c r="T39" i="18"/>
  <c r="AL47" i="18"/>
  <c r="AF23" i="18"/>
  <c r="AL39" i="18"/>
  <c r="T31" i="18"/>
  <c r="T15" i="18"/>
  <c r="AF31" i="18"/>
  <c r="AF47" i="18"/>
  <c r="T23" i="18"/>
  <c r="Z47" i="18"/>
  <c r="Z21" i="18"/>
  <c r="Z29" i="18"/>
  <c r="AL21" i="18"/>
  <c r="AF37" i="18"/>
  <c r="AL29" i="18"/>
  <c r="AF13" i="18"/>
  <c r="T21" i="18"/>
  <c r="AF29" i="18"/>
  <c r="T37" i="18"/>
  <c r="Z37" i="18"/>
  <c r="AL13" i="18"/>
  <c r="T45" i="18"/>
  <c r="T29" i="18"/>
  <c r="AF45" i="18"/>
  <c r="T13" i="18"/>
  <c r="Z45" i="18"/>
  <c r="AL37" i="18"/>
  <c r="AF21" i="18"/>
  <c r="Z13" i="18"/>
  <c r="AL45" i="18"/>
  <c r="R15" i="18"/>
  <c r="AJ23" i="18"/>
  <c r="R39" i="18"/>
  <c r="AJ39" i="18"/>
  <c r="R31" i="18"/>
  <c r="L47" i="18"/>
  <c r="X23" i="18"/>
  <c r="L39" i="18"/>
  <c r="L31" i="18"/>
  <c r="X15" i="18"/>
  <c r="X31" i="18"/>
  <c r="AD39" i="18"/>
  <c r="AJ31" i="18"/>
  <c r="R23" i="18"/>
  <c r="AJ47" i="18"/>
  <c r="AD23" i="18"/>
  <c r="X47" i="18"/>
  <c r="L23" i="18"/>
  <c r="R47" i="18"/>
  <c r="L15" i="18"/>
  <c r="AD31" i="18"/>
  <c r="AD15" i="18"/>
  <c r="AJ15" i="18"/>
  <c r="X39" i="18"/>
  <c r="AD47" i="18"/>
  <c r="AH29" i="18"/>
  <c r="V13" i="18"/>
  <c r="AB45" i="18"/>
  <c r="AH45" i="18"/>
  <c r="AB29" i="18"/>
  <c r="AB13" i="18"/>
  <c r="V29" i="18"/>
  <c r="V37" i="18"/>
  <c r="AH13" i="18"/>
  <c r="AH37" i="18"/>
  <c r="AB37" i="18"/>
  <c r="AB21" i="18"/>
  <c r="V21" i="18"/>
  <c r="V45" i="18"/>
  <c r="AH21" i="18"/>
  <c r="Z19" i="18"/>
  <c r="AL43" i="18"/>
  <c r="AF35" i="18"/>
  <c r="AF11" i="18"/>
  <c r="AN27" i="18"/>
  <c r="AN19" i="18"/>
  <c r="AB43" i="18"/>
  <c r="V27" i="18"/>
  <c r="AN43" i="18"/>
  <c r="AN35" i="18"/>
  <c r="AB19" i="18"/>
  <c r="V11" i="18"/>
  <c r="AN11" i="18"/>
  <c r="AH43" i="18"/>
  <c r="V19" i="18"/>
  <c r="AH35" i="18"/>
  <c r="AH19" i="18"/>
  <c r="AB35" i="18"/>
  <c r="V43" i="18"/>
  <c r="AB11" i="18"/>
  <c r="AH11" i="18"/>
  <c r="AH27" i="18"/>
  <c r="AB27" i="18"/>
  <c r="V35" i="18"/>
  <c r="AK20" i="1" l="1"/>
  <c r="AJ20" i="1" s="1"/>
  <c r="AL20" i="1" s="1"/>
  <c r="AK19" i="1"/>
  <c r="AJ19" i="1" s="1"/>
  <c r="M52" i="19" s="1"/>
  <c r="Z43" i="18"/>
  <c r="T15" i="1"/>
  <c r="AK18" i="1" s="1"/>
  <c r="AJ18" i="1" s="1"/>
  <c r="AL35" i="18"/>
  <c r="AF27" i="18"/>
  <c r="AF19" i="18"/>
  <c r="T11" i="18"/>
  <c r="Z11" i="18"/>
  <c r="Z35" i="18"/>
  <c r="T43" i="18"/>
  <c r="T35" i="18"/>
  <c r="AF43" i="18"/>
  <c r="T19" i="18"/>
  <c r="AL19" i="18"/>
  <c r="AL27" i="18"/>
  <c r="T27" i="18"/>
  <c r="Z27" i="18"/>
  <c r="AL11" i="18"/>
  <c r="AF22" i="19"/>
  <c r="AL22" i="19"/>
  <c r="AF12" i="19"/>
  <c r="Z22" i="19"/>
  <c r="N22" i="19"/>
  <c r="T52" i="19"/>
  <c r="T42" i="19"/>
  <c r="Z32" i="19"/>
  <c r="AL42" i="19"/>
  <c r="Z52" i="19"/>
  <c r="N32" i="19"/>
  <c r="T12" i="19"/>
  <c r="T32" i="19"/>
  <c r="AF32" i="19"/>
  <c r="T22" i="19"/>
  <c r="AF52" i="19"/>
  <c r="N42" i="19"/>
  <c r="AL12" i="19"/>
  <c r="AL32" i="19"/>
  <c r="Z12" i="19"/>
  <c r="N52" i="19"/>
  <c r="AF42" i="19"/>
  <c r="AL52" i="19"/>
  <c r="N12" i="19"/>
  <c r="Z42" i="19"/>
  <c r="AK52" i="19" l="1"/>
  <c r="S42" i="19"/>
  <c r="M42" i="19"/>
  <c r="S32" i="19"/>
  <c r="S22" i="19"/>
  <c r="M32" i="19"/>
  <c r="AE42" i="19"/>
  <c r="AE52" i="19"/>
  <c r="AK32" i="19"/>
  <c r="AK42" i="19"/>
  <c r="M22" i="19"/>
  <c r="AE22" i="19"/>
  <c r="AK22" i="19"/>
  <c r="M12" i="19"/>
  <c r="AE32" i="19"/>
  <c r="AK12" i="19"/>
  <c r="S52" i="19"/>
  <c r="S12" i="19"/>
  <c r="AL19" i="1"/>
  <c r="AE12" i="19"/>
  <c r="AK15" i="1"/>
  <c r="AJ15" i="1" s="1"/>
  <c r="AL15" i="1" s="1"/>
  <c r="R12" i="19"/>
  <c r="X32" i="19"/>
  <c r="AD22" i="19"/>
  <c r="L22" i="19"/>
  <c r="X42" i="19"/>
  <c r="AD12" i="19"/>
  <c r="R52" i="19"/>
  <c r="AJ42" i="19"/>
  <c r="AD32" i="19"/>
  <c r="AJ32" i="19"/>
  <c r="R32" i="19"/>
  <c r="AJ52" i="19"/>
  <c r="AJ22" i="19"/>
  <c r="AJ12" i="19"/>
  <c r="R22" i="19"/>
  <c r="AD52" i="19"/>
  <c r="AD42" i="19"/>
  <c r="L42" i="19"/>
  <c r="L52" i="19"/>
  <c r="R42" i="19"/>
  <c r="L12" i="19"/>
  <c r="X22" i="19"/>
  <c r="X12" i="19"/>
  <c r="L32" i="19"/>
  <c r="X52" i="19" l="1"/>
  <c r="AL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tc={31DE014E-1502-4058-AF14-D12B122223C2}</author>
    <author>tc={7319F458-F751-4993-B913-0ED035E30CF3}</author>
    <author>Calidad ETITC</author>
    <author>tc={1816B48D-01BB-448B-AFCC-2FEDB756BA42}</author>
    <author>tc={8ADAA9EE-5890-4480-85AE-C33717331CF8}</author>
    <author>tc={975DE72D-945A-4BAE-A64E-E42069A0D1CB}</author>
    <author>tc={837D0758-B511-4B9B-885F-44B15625A2B0}</author>
    <author>Stefany Parra</author>
  </authors>
  <commentList>
    <comment ref="F13" authorId="0" shapeId="0" xr:uid="{31DE014E-1502-4058-AF14-D12B122223C2}">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Para el riesgo Fiscal, solo aplica IMPACTO ECONÓMICO</t>
        </r>
      </text>
    </comment>
    <comment ref="G13" authorId="1" shapeId="0" xr:uid="{7319F458-F751-4993-B913-0ED035E30CF3}">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Aplica para Riesgo FISCAL</t>
        </r>
      </text>
    </comment>
    <comment ref="K13" authorId="2" shapeId="0" xr:uid="{00000000-0006-0000-0200-000001000000}">
      <text>
        <r>
          <rPr>
            <sz val="11"/>
            <color rgb="FF000000"/>
            <rFont val="Calibri"/>
            <family val="2"/>
          </rPr>
          <t xml:space="preserve">Inicia con el IMPACTO+ Conector (por) Causa(s) Inmediata(s)+ Conector (debido a) Causa(s) Raíz.
</t>
        </r>
        <r>
          <rPr>
            <sz val="11"/>
            <color rgb="FF000000"/>
            <rFont val="Calibri"/>
            <family val="2"/>
          </rPr>
          <t xml:space="preserve">
</t>
        </r>
        <r>
          <rPr>
            <sz val="11"/>
            <color rgb="FF000000"/>
            <rFont val="Calibri"/>
            <family val="2"/>
          </rPr>
          <t xml:space="preserve">Para el riesgo de Corrupción: se debe tener en cuenta: ACCIÓN U OMISIÓN + USO DEL PODER + DESVIACIÓN DE LA GESTIÓN DE
</t>
        </r>
        <r>
          <rPr>
            <sz val="11"/>
            <color rgb="FF000000"/>
            <rFont val="Calibri"/>
            <family val="2"/>
          </rPr>
          <t xml:space="preserve">LO PÚBLICO + EL BENEFICIO PRIVADO. Es decir tener en cuenta los anteriores criterios.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Aplica para riesgo Gestión/Fiscal/Seguridad de la Información: 
</t>
        </r>
        <r>
          <rPr>
            <sz val="11"/>
            <color rgb="FF000000"/>
            <rFont val="Calibri"/>
            <family val="2"/>
          </rPr>
          <t xml:space="preserve">
</t>
        </r>
        <r>
          <rPr>
            <sz val="11"/>
            <color rgb="FF000000"/>
            <rFont val="Calibri"/>
            <family val="2"/>
          </rPr>
          <t xml:space="preserve">Inicia: IMPACTO+ Conector (por) Causa inmediata+ Conector (debido a) Causa Raíz. 
</t>
        </r>
        <r>
          <rPr>
            <sz val="11"/>
            <color rgb="FF000000"/>
            <rFont val="Calibri"/>
            <family val="2"/>
          </rPr>
          <t xml:space="preserve">
</t>
        </r>
        <r>
          <rPr>
            <sz val="11"/>
            <color rgb="FF000000"/>
            <rFont val="Calibri"/>
            <family val="2"/>
          </rPr>
          <t xml:space="preserve">Riesgos de Corrupción; </t>
        </r>
      </text>
    </comment>
    <comment ref="AU13" authorId="3" shapeId="0" xr:uid="{1816B48D-01BB-448B-AFCC-2FEDB756BA42}">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 Así como las desviaciones presentadas en la aplicación del control. </t>
        </r>
      </text>
    </comment>
    <comment ref="AV13" authorId="4" shapeId="0" xr:uid="{8ADAA9EE-5890-4480-85AE-C33717331CF8}">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r>
      </text>
    </comment>
    <comment ref="AW13" authorId="5" shapeId="0" xr:uid="{975DE72D-945A-4BAE-A64E-E42069A0D1CB}">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t>
        </r>
      </text>
    </comment>
    <comment ref="AX13" authorId="6" shapeId="0" xr:uid="{837D0758-B511-4B9B-885F-44B15625A2B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r>
      </text>
    </comment>
    <comment ref="O19" authorId="7" shapeId="0" xr:uid="{60BDFE1E-6783-D344-B1EE-0A4603080C7A}">
      <text>
        <r>
          <rPr>
            <b/>
            <sz val="10"/>
            <color rgb="FF000000"/>
            <rFont val="Tahoma"/>
            <family val="2"/>
          </rPr>
          <t>Stefany Parra:</t>
        </r>
        <r>
          <rPr>
            <sz val="10"/>
            <color rgb="FF000000"/>
            <rFont val="Tahoma"/>
            <family val="2"/>
          </rPr>
          <t xml:space="preserve">
</t>
        </r>
        <r>
          <rPr>
            <sz val="10"/>
            <color rgb="FF000000"/>
            <rFont val="Calibri"/>
            <family val="2"/>
          </rPr>
          <t>Número de préstamos y consultas documentales realizadas en el 2025</t>
        </r>
      </text>
    </comment>
    <comment ref="O21" authorId="7" shapeId="0" xr:uid="{A028B4C6-F82E-EE4D-BDDC-70E8905F4316}">
      <text>
        <r>
          <rPr>
            <b/>
            <sz val="10"/>
            <color rgb="FF000000"/>
            <rFont val="Tahoma"/>
            <family val="2"/>
          </rPr>
          <t>Stefany Parra:</t>
        </r>
        <r>
          <rPr>
            <sz val="10"/>
            <color rgb="FF000000"/>
            <rFont val="Tahoma"/>
            <family val="2"/>
          </rPr>
          <t xml:space="preserve">
</t>
        </r>
        <r>
          <rPr>
            <sz val="10"/>
            <color rgb="FF000000"/>
            <rFont val="Calibri"/>
            <family val="2"/>
          </rPr>
          <t>Número de préstamos y consultas documentales realizadas en el 2025</t>
        </r>
      </text>
    </comment>
  </commentList>
</comments>
</file>

<file path=xl/sharedStrings.xml><?xml version="1.0" encoding="utf-8"?>
<sst xmlns="http://schemas.openxmlformats.org/spreadsheetml/2006/main" count="788" uniqueCount="469">
  <si>
    <r>
      <rPr>
        <b/>
        <sz val="6"/>
        <color rgb="FF000000"/>
        <rFont val="Arial"/>
        <family val="2"/>
      </rPr>
      <t xml:space="preserve">Escuela Tecnológica Instituto Técnico Central
</t>
    </r>
    <r>
      <rPr>
        <b/>
        <sz val="5"/>
        <color rgb="FF000000"/>
        <rFont val="Arial"/>
        <family val="2"/>
      </rPr>
      <t>Establecimiento Público de Educación Superior</t>
    </r>
  </si>
  <si>
    <t>MAPA Y PLAN DE TRATAMIENTO DE RIESGOS</t>
  </si>
  <si>
    <t>CÓDIGO: GSI- CA-FO-09</t>
  </si>
  <si>
    <t>VERSIÓN: 9</t>
  </si>
  <si>
    <t>VIGENCIA: 2026-04-28</t>
  </si>
  <si>
    <t>PÁGINA:     1 de 1</t>
  </si>
  <si>
    <t xml:space="preserve">PREGUNTAR  RIESGOS DE CORRUPCIÓN </t>
  </si>
  <si>
    <t>CRITERIOS PARA CALIFICAR EL IMPACTO EN RIESGOS DE CORRUPCIÓN</t>
  </si>
  <si>
    <t>CÓDIGO:GSI- CA-FO-09</t>
  </si>
  <si>
    <t>REGRESAR</t>
  </si>
  <si>
    <t>ITEM</t>
  </si>
  <si>
    <t>Criterios para calificar el impacto en riesgos de corrupción</t>
  </si>
  <si>
    <t>MARACAR CON X</t>
  </si>
  <si>
    <t>Pregunta: ¿Si el riesgo de corrupción se materializa podría:</t>
  </si>
  <si>
    <t>SI</t>
  </si>
  <si>
    <t>NO</t>
  </si>
  <si>
    <t>¿Afectar al grupo de funcionarios del proceso?</t>
  </si>
  <si>
    <t>¿Afectar el cumplimiento de metas y objetivos de la dependencia?</t>
  </si>
  <si>
    <t>¿Afectar el cumplimiento de misión de la entidad?</t>
  </si>
  <si>
    <t>¿Afectar el cumplimiento de la misión del sector al que pertenece la entidad?</t>
  </si>
  <si>
    <t>¿Afectar el cumplimiento de misión del sector al que pertenece la entidad?</t>
  </si>
  <si>
    <t>¿Generar perdida de confianza de la entidad , afectando su reputación?</t>
  </si>
  <si>
    <t>¿Generar perdida de recursos económicos?</t>
  </si>
  <si>
    <t>¿Afectar la generación de los productos o la prestación de los servicios?</t>
  </si>
  <si>
    <t>¿Dar lugar al detrimento de la calidad de vida de la comunidad por la perdida del bien, servicio o recursos públicos?</t>
  </si>
  <si>
    <t>¿Generar pérdida de información de la entidad?</t>
  </si>
  <si>
    <t>¿Generar intervención de los órganos de control, de la Fiscalia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</si>
  <si>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</si>
  <si>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</si>
  <si>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</si>
  <si>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</si>
  <si>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</si>
  <si>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</si>
  <si>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</si>
  <si>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</si>
  <si>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</si>
  <si>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Para la calificación del impacto de los riesgos clasificados con tipología de corrupción, se deberá responder las siguientes preguntas, con el fin de determinar el nivel de impacto del riesgo en caso de llegarse a materializar. 
Una vez responda las diecinueve (19) preguntas para cada uno de los riesgos de corrupción, automáticamente la presente hoja se establecerá el nivel de impacto del riesgo que se encuentra valorando, segun los rangos descritos a continuación:</t>
  </si>
  <si>
    <t xml:space="preserve">
Escuela Tecnológica Instituto Técnico Central
Establecimiento Público de Educación Superior</t>
  </si>
  <si>
    <t>MAPA DE RIESGOS</t>
  </si>
  <si>
    <t>VERSIÓN:  9</t>
  </si>
  <si>
    <t>PÁGINA:    1 de 1</t>
  </si>
  <si>
    <t>Proceso:</t>
  </si>
  <si>
    <t>Objetivo:</t>
  </si>
  <si>
    <t>Alcance:</t>
  </si>
  <si>
    <t>PRIMERA LÍNEA DE DEFENSA (Líder del Proceso)</t>
  </si>
  <si>
    <t xml:space="preserve">
PRIMERA LÍNEA DE DEFENSA
MONITOREO  
</t>
  </si>
  <si>
    <t xml:space="preserve">SEGUNDA LÍNEA DE DEFENSA  (Oficina asesora de Planeación) 
</t>
  </si>
  <si>
    <t>TERCERA LÍNEA DE DEFENSA (Control Interno)</t>
  </si>
  <si>
    <t>Identificación del riesgo</t>
  </si>
  <si>
    <t>Análisis del riesgo inherente</t>
  </si>
  <si>
    <t>Evaluación del riesgo - Valoración de los controles</t>
  </si>
  <si>
    <t>Documentación</t>
  </si>
  <si>
    <t>Evaluación del riesgo - Nivel del riesgo residual</t>
  </si>
  <si>
    <t>Plan de Tratamiento</t>
  </si>
  <si>
    <t xml:space="preserve">Referencia </t>
  </si>
  <si>
    <t>Tipo de Riesgo  (Clasificación)</t>
  </si>
  <si>
    <t>Impacto</t>
  </si>
  <si>
    <t>Efecto Dañoso (Riesgo Fiscal)</t>
  </si>
  <si>
    <t>Factor</t>
  </si>
  <si>
    <t xml:space="preserve">Causa Inmediata
</t>
  </si>
  <si>
    <t>Causa Raíz-Amenazas</t>
  </si>
  <si>
    <t xml:space="preserve">Descripción del Riesgo
</t>
  </si>
  <si>
    <t>Clasificación del Riesgo</t>
  </si>
  <si>
    <t xml:space="preserve">Seguridad de la Información </t>
  </si>
  <si>
    <t>Frecuencia con la cual se realiza la actividad</t>
  </si>
  <si>
    <t>Probabilidad Inherente</t>
  </si>
  <si>
    <t>%</t>
  </si>
  <si>
    <t>Criterios de impacto</t>
  </si>
  <si>
    <t>Impacto 
Inherente</t>
  </si>
  <si>
    <t>Zona de Riesgo Inherente</t>
  </si>
  <si>
    <t>No. Control</t>
  </si>
  <si>
    <t>Descripción del Control
Responsable+ Frecuencia+ Propósito+ Desviación</t>
  </si>
  <si>
    <t>Soportes del Control</t>
  </si>
  <si>
    <t>Afectación</t>
  </si>
  <si>
    <t>Atributos</t>
  </si>
  <si>
    <t>Probabilidad Residual</t>
  </si>
  <si>
    <t>Probabilidad Residual Final</t>
  </si>
  <si>
    <t>Impacto Residual Final</t>
  </si>
  <si>
    <t>Zona de Riesgo Final</t>
  </si>
  <si>
    <t>Tratamiento</t>
  </si>
  <si>
    <t>No. Acciones</t>
  </si>
  <si>
    <t xml:space="preserve"> Acción</t>
  </si>
  <si>
    <t>Responsable</t>
  </si>
  <si>
    <t xml:space="preserve"> Evidencia de la Acción</t>
  </si>
  <si>
    <t>Fecha Implementación</t>
  </si>
  <si>
    <t xml:space="preserve">Fecha de Reporte </t>
  </si>
  <si>
    <t>¿El riesgo se materializó?</t>
  </si>
  <si>
    <t xml:space="preserve">
Avance de Ejecución de Control(es)</t>
  </si>
  <si>
    <t xml:space="preserve">Evidencias de la ejecución del Control </t>
  </si>
  <si>
    <t xml:space="preserve">
Avance de Ejecución de Plan de Tratamiento</t>
  </si>
  <si>
    <t>Evidencias de la ejecucióndel Plan de Tratamiento</t>
  </si>
  <si>
    <t xml:space="preserve">Estado del Plan de Acción </t>
  </si>
  <si>
    <t>Fecha Seguimiento</t>
  </si>
  <si>
    <t xml:space="preserve">Seguimiento
</t>
  </si>
  <si>
    <t xml:space="preserve">Ubicación de las evidencias </t>
  </si>
  <si>
    <t xml:space="preserve">Seguimiento y Evaluación
</t>
  </si>
  <si>
    <t>Activo de información afectado</t>
  </si>
  <si>
    <t>Criterio afectado</t>
  </si>
  <si>
    <t>Tipo</t>
  </si>
  <si>
    <t>Implementación</t>
  </si>
  <si>
    <t>Calificación</t>
  </si>
  <si>
    <t>Frecuencia</t>
  </si>
  <si>
    <t>Evidencia</t>
  </si>
  <si>
    <t>Corrupción</t>
  </si>
  <si>
    <t>Detectivo</t>
  </si>
  <si>
    <t>Reducir (mitigar)</t>
  </si>
  <si>
    <t>NA</t>
  </si>
  <si>
    <r>
      <rPr>
        <sz val="11"/>
        <color theme="9"/>
        <rFont val="Arial"/>
        <family val="2"/>
      </rPr>
      <t xml:space="preserve">*Nota: </t>
    </r>
    <r>
      <rPr>
        <sz val="11"/>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</si>
  <si>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Iniciada</t>
  </si>
  <si>
    <t>Sin iniciar</t>
  </si>
  <si>
    <t>CLASIF. DE CONFIDENCIALIDAD</t>
  </si>
  <si>
    <t>IPB</t>
  </si>
  <si>
    <t>CLASIF. DE INTEGRIDAD</t>
  </si>
  <si>
    <t>A</t>
  </si>
  <si>
    <t>CLASIF. DE DISPONIBILIDAD</t>
  </si>
  <si>
    <t>cumplida</t>
  </si>
  <si>
    <t xml:space="preserve">Documento controlado por el Sistema de Gestión de la Calidad
Asegúrese que corresponde a la última versión consultando el micrositio de calidad de la Escuela Tecnológica Instituto Técnico Central (ETITC) </t>
  </si>
  <si>
    <t>Incumplida</t>
  </si>
  <si>
    <t>Criterios_Impacto</t>
  </si>
  <si>
    <t xml:space="preserve">     Afectación menor a 10 SMLMV .</t>
  </si>
  <si>
    <t>Leve</t>
  </si>
  <si>
    <t xml:space="preserve">     Entre 10 y 50 SMLMV </t>
  </si>
  <si>
    <t>Menor</t>
  </si>
  <si>
    <t xml:space="preserve">     Entre 50 y 100 SMLMV </t>
  </si>
  <si>
    <t>Moderado</t>
  </si>
  <si>
    <t xml:space="preserve">     Entre 100 y 500 SMLMV </t>
  </si>
  <si>
    <t>Mayor</t>
  </si>
  <si>
    <t xml:space="preserve">     Mayor a 500 SMLMV </t>
  </si>
  <si>
    <t>Catastrófico</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</si>
  <si>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</si>
  <si>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</si>
  <si>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</si>
  <si>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</si>
  <si>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</si>
  <si>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Moderado (Corrupción)</t>
  </si>
  <si>
    <t>Mayor (Corrupción)</t>
  </si>
  <si>
    <t>Catastrófico (Corrupción)</t>
  </si>
  <si>
    <t>14.	Tipología de riesgos que enmarcan la política de administración del riesgo</t>
  </si>
  <si>
    <t>6.4.	 Identificación de áreas de factores de riesgo</t>
  </si>
  <si>
    <t>Efecto Dañoso (fiscal)</t>
  </si>
  <si>
    <t>FACTOR</t>
  </si>
  <si>
    <t xml:space="preserve">Clasificacion del riesgo </t>
  </si>
  <si>
    <t xml:space="preserve">Riesgo Materializado </t>
  </si>
  <si>
    <t>Activo de información</t>
  </si>
  <si>
    <t>Criterio</t>
  </si>
  <si>
    <t>Plan de accion (solo para la opción reducir)</t>
  </si>
  <si>
    <t>Gestión</t>
  </si>
  <si>
    <t>•	Procesos</t>
  </si>
  <si>
    <t>Económico</t>
  </si>
  <si>
    <t>Recursos Públicos</t>
  </si>
  <si>
    <t>Evento externo</t>
  </si>
  <si>
    <t>Daños Activos Fisicos</t>
  </si>
  <si>
    <t>Información</t>
  </si>
  <si>
    <t>Confidencialidad</t>
  </si>
  <si>
    <t>Preventivo</t>
  </si>
  <si>
    <t>Automático</t>
  </si>
  <si>
    <t>Documentado</t>
  </si>
  <si>
    <t>Continua</t>
  </si>
  <si>
    <t>Registro Sustancial</t>
  </si>
  <si>
    <t>Aceptar</t>
  </si>
  <si>
    <t>Finalizado</t>
  </si>
  <si>
    <t>•	Talento humano</t>
  </si>
  <si>
    <t>Reputacional</t>
  </si>
  <si>
    <t>Bienes Públicos</t>
  </si>
  <si>
    <t>Financiero</t>
  </si>
  <si>
    <t>Ejecucion y Administracion de procesos</t>
  </si>
  <si>
    <t xml:space="preserve">Software </t>
  </si>
  <si>
    <t>Disponibilidad</t>
  </si>
  <si>
    <t>Manual</t>
  </si>
  <si>
    <t>Sin Documentar</t>
  </si>
  <si>
    <t>Aleatoria</t>
  </si>
  <si>
    <t>Registro Material</t>
  </si>
  <si>
    <t>Evitar</t>
  </si>
  <si>
    <t>En curso</t>
  </si>
  <si>
    <t>Fiscal</t>
  </si>
  <si>
    <t>•	Tecnología</t>
  </si>
  <si>
    <t>Económico y Reputacional</t>
  </si>
  <si>
    <t>Intereses Patrimoniales de Naturaleza Pública</t>
  </si>
  <si>
    <t>Infraestructura</t>
  </si>
  <si>
    <t>Fallas Tecnologicas</t>
  </si>
  <si>
    <t>Hardware</t>
  </si>
  <si>
    <t>Integridad</t>
  </si>
  <si>
    <t>Correctivo</t>
  </si>
  <si>
    <t>Sin registro</t>
  </si>
  <si>
    <t>Reducir</t>
  </si>
  <si>
    <t>•	Infraestructura</t>
  </si>
  <si>
    <t>Procesos</t>
  </si>
  <si>
    <t>Fraude Externo</t>
  </si>
  <si>
    <t>Servicios</t>
  </si>
  <si>
    <t>NO APLICA</t>
  </si>
  <si>
    <t>•	Evento externo</t>
  </si>
  <si>
    <t>Talento humano</t>
  </si>
  <si>
    <t>Fraude Interno</t>
  </si>
  <si>
    <t>Intangibles</t>
  </si>
  <si>
    <t>Reducir (compartir)</t>
  </si>
  <si>
    <t>Tecnología</t>
  </si>
  <si>
    <t>Relaciones Laborales</t>
  </si>
  <si>
    <t>Componentes
de red</t>
  </si>
  <si>
    <t>Usuarios, productos y practicas , organizacionales</t>
  </si>
  <si>
    <t>Personas</t>
  </si>
  <si>
    <t>Instalaciones</t>
  </si>
  <si>
    <t>Redaccion del Riesgo General</t>
  </si>
  <si>
    <t xml:space="preserve">Redaccion del Riesgo  fiscal </t>
  </si>
  <si>
    <t>CONTEXTO - DOFA</t>
  </si>
  <si>
    <t>DEBILIDADES</t>
  </si>
  <si>
    <t>ESTADO</t>
  </si>
  <si>
    <t>D1. Falta de disponibilidad de recurso humano contratado, con cobertura en las diferentes sedes, Seccionales, Extensiones, unidades Agroambientales y Oficinas de la Universidad, que garantice el apoyo continuó durante todo el período académico</t>
  </si>
  <si>
    <t>D2. Falta de conocimiento de la normatividad legal vigente, aplicable y actualizada, relacionada con aspectos e impactos ambientales asociados al desempeño ambiental institucional y de su respectivo seguimiento.</t>
  </si>
  <si>
    <t>D3. Falta de conocimiento, participación, de la totalidad de  la comunidad universitaria y otras partes interesadas del  Sistema de Gestión Ambiental, y las actividades de implementación del mismo, de la Política Ambiental y  Programas ambientales del Plan Institucional de Gestión Ambiental PIGA.</t>
  </si>
  <si>
    <t>D4. Falta de compromiso y sentido de pertenencia con los temas ambientales por parte de algunos sectores de la comunidad universitaria y otras partes interesadas, reflejado en la falta de participación  en actividades del SGA y de lineamientos ambientales.</t>
  </si>
  <si>
    <t>D5. Falta de articulación de los lineamientos del SGA con los procesos del Modelo de Operación Digital</t>
  </si>
  <si>
    <t xml:space="preserve">D6. Falta de articulación con la academia en temas ambientales, reflejado en el bajo porcentaje de cobertura del Sistema de Gestión de Ambiental respecto a los estudiantes en relación en relación al porcentaje que representan en la comunidad universitaria. </t>
  </si>
  <si>
    <t xml:space="preserve">D7. Falta de articulación de temas ambientales con el Plan de Emergencias Institucional  </t>
  </si>
  <si>
    <t xml:space="preserve">D8. Falta de recursos disponibles de forma oportuna para el desarrollo y continuidad de actividades del Sistema de Gestión Ambiental. </t>
  </si>
  <si>
    <t>D9. Falta  de recursos para desplazamientos del equipo del Sistema de Gestión Ambiental.</t>
  </si>
  <si>
    <t>D10.  Incumplimiento del código de colores de clasificación de residuos institucional por desconocimiento, falta de conciencia ambiental y compromiso de parte de algunos sectores de la comunidad universitaria y otras partes interesadas, o por no contar con la totalidad de los dispositivos de almacenamiento requeridos.</t>
  </si>
  <si>
    <t>AMENAZAS</t>
  </si>
  <si>
    <t>A1. Prácticas ambientales inadecuadas por parte de vecinos de la comunidad circundante a las instalaciones de la Universidad, que puedan afectar su desempeño ambiental.</t>
  </si>
  <si>
    <t xml:space="preserve">A2. Afectación en el desarrollo de actividades presenciales o virtuales, internas y externas del SGA, debido al riesgo de contagio por virus que puedan alcanzar el nivel de pandemia </t>
  </si>
  <si>
    <t>A3. Falta  de alcance en servicios públicos o de comunicación, y condiciones específicas  de la infraestructura  de algunas sedes.</t>
  </si>
  <si>
    <t>A4. Falta de participación  de las partes interesadas externas en las actividades del Sistema de Gestión Ambiental.</t>
  </si>
  <si>
    <t>A5. Afectación de actividades  del Sistema de Gestión ambiental internas o externas), y  de recursos, elementos o insumos del Plan Institucional de Gestión Ambiental -PIGA, por alteraciones de orden público como manifestaciones, paros,  disturbios y asonadas.</t>
  </si>
  <si>
    <t>A6. Afectación de fenómenos naturales (Cambio climático, fenómeno del niño y la niña, sismos, incendios, caída de árboles, Vendavales) y antrópicos (Orden publico y manifestaciones estudiantiles) que puedan afectar las instalaciones.</t>
  </si>
  <si>
    <t xml:space="preserve">A7. Sanciones o multas por incumplimiento legal </t>
  </si>
  <si>
    <t>A8. Rotación constante de personal en diferentes procesos</t>
  </si>
  <si>
    <t>FORTALEZAS</t>
  </si>
  <si>
    <t>F1.Compromiso de la alta  Dirección para apoyar el proceso, reflejado en liderazgo de Directores Administrativos y del Rector.​</t>
  </si>
  <si>
    <t>F2. Articulación del Sistema de Gestión Ambiental a nivel institucional en Sede, Seccionales y Extensiones.</t>
  </si>
  <si>
    <t>F3. Equipo de profesionales del  Sistema de Gestión Ambiental con competencia  y actitud propositiva en el proceso de planeación, implementación, seguimiento y preparación para los procesos de auditoría del SGA.</t>
  </si>
  <si>
    <t>F4. Disponibilidad de la documentación del Sistema de Gestión ambiental en el sitio web del Modelo de Operación digital, en el marco del PHVA: Caracterización, Política y Objetivos de Gestión Ambiental, Plan Institucional de Gestión Ambiental - PIGA y programas ambientales, Procedimientos, Formatos, Matrices y otros registros SGA.</t>
  </si>
  <si>
    <t>F5.Asignación de rubro para implementación y certificación  del Sistema de Gestión Ambiental_ISO 14001:2015 a través del Proyecto UCundinamarca en Equilibrio con la Naturaleza.</t>
  </si>
  <si>
    <t>F6.Fortalecimiento de la cultura ambiental  a nivel institucional a través del #Reto Ambientalmente en equilibrio con la naturaleza, eventos y capacitaciones ambientales.</t>
  </si>
  <si>
    <t>F7.Divulgación de la Gestión ambiental con la comunidad universitaria y otras partes interesadas a través de publicaciones y eventos en canales institucionales como la página web, la agencia de noticias, redes sociales, revistas digitales de las Seccionales, Extensiones y Periódico digital institucional.</t>
  </si>
  <si>
    <t>F8. Implementación del código de colores de clasificación de residuos con la instalación gradual de Unidades Técnicas de Almacenamiento Central -UTAC-  y Puntos ecológicos en Sede, Seccionales y Extensiones.</t>
  </si>
  <si>
    <t>F9. Implementación de estrategias de sostenibilidad en la Sede, Seccionales y Extensiones, mediante la instalación de dispositivos de ahorro de agua y de energía como paneles fotovoltaicos e iluminación LED.</t>
  </si>
  <si>
    <t>F10.Articulación con los demás componentes del Sistema Integrado de Gestión como: SG SST, SGSI, SGC y con las diferentes procesos y dependencias.</t>
  </si>
  <si>
    <t>F11. Proceso de Medición de Huella de Carbono y reporte internacional de sostenibilidad GRI en articulación con Interacción Social Universitaria y diferentes dependencias relacionadas.</t>
  </si>
  <si>
    <t>F12. Articulación del Sistema de Gestión Ambiental  como parte del proceso de formación para la vida de la comunidad universitaria, desde la dimensión naturaleza del Modelo de Educación Digital Transmoderno -MEDIT.</t>
  </si>
  <si>
    <t>F13. Participación activa de los estudiantes en la Gestión Ambiental Institucional como practicantes y pasantes al SGA</t>
  </si>
  <si>
    <t>F14 Articulación de criterios  ambientales en los procesos  de compras institucionales.</t>
  </si>
  <si>
    <t>F15. Disponibilidad de canales institucionales para la comunicación de solicitudes, felicitaciones</t>
  </si>
  <si>
    <t>OPORTUNIDADES</t>
  </si>
  <si>
    <t xml:space="preserve">O1. Fortalecer la articulación  del  Sistema de Gestión ambiental, con las partes interesadas Internas y  Externas de forma translocal a través de la cultura ambiental.     </t>
  </si>
  <si>
    <t>O2. Ampliar la  cobertura  del proceso de cultura ambiental de la comunidad universitaria con base en la Política de Gestión Ambiental, y los programas del Plan Institucional de Gestión Ambiental -PIGA.</t>
  </si>
  <si>
    <t>O3. Ampliar la cobertura de contenedores para disposición de residuos sólidos y  Unidades Técnicas de Almacenamiento Central UTAC en Sedes, Seccionales y Extensiones</t>
  </si>
  <si>
    <t>O4.Pomover alianzas para el desarrollo de espacios verdes en las Sedes, Seccionales y Extensiones, mediante la  implementación de actividades del Programa de Uso Eficiente de Servicios Ecosistemicos -PUESE- generando un ambiente sano para la comunidad.</t>
  </si>
  <si>
    <t>O5. Fortalecer el acompañamiento y asesoría en las unidades regionales, en condiciones de Pandemia, con actividades virtuales y presenciales según las necesidades de la Sede, Seccional o Extensión.</t>
  </si>
  <si>
    <t>O6.Articulación en de Proyectos Ambientales Universitarios -PRAU- con partes interesadas internas y externas.</t>
  </si>
  <si>
    <t xml:space="preserve">O7. Ampliación de actividades de  medición  de impacto y desempeño institucional con proyección translocal.  </t>
  </si>
  <si>
    <t xml:space="preserve">O8. Instaurar lineamiento de austeridad del gasto con el proceso de Bienes y Servicios articulados con el  Sistema de Gestión Ambiental con el fin de  minimizar el consumo de  materiales a nivel institucional </t>
  </si>
  <si>
    <t xml:space="preserve">O9. Generar espacios virtuales o presenciales para  el fortalecimiento de la cultura ambiental de la comunidad educativa, a través de cursos, diplomados,  programas de voluntariado ( ambiental)  y proyectos que generen impacto ambiental positivo  mediante alianzas estratégicas. </t>
  </si>
  <si>
    <r>
      <rPr>
        <b/>
        <sz val="6"/>
        <color theme="1"/>
        <rFont val="Arial"/>
        <family val="2"/>
      </rPr>
      <t>Escuela Tecnológica Instituto Técnico Central</t>
    </r>
    <r>
      <rPr>
        <b/>
        <sz val="5"/>
        <color theme="1"/>
        <rFont val="Arial"/>
        <family val="2"/>
      </rPr>
      <t xml:space="preserve">
Establecimiento Público de Educación Superior</t>
    </r>
  </si>
  <si>
    <t>CÓDIGO: GDC-FO-09</t>
  </si>
  <si>
    <t>VIGENCIA: 2024-08-22</t>
  </si>
  <si>
    <t>Matriz de Calor Inherente</t>
  </si>
  <si>
    <t>Probabilidad</t>
  </si>
  <si>
    <t>Muy Alta
100%</t>
  </si>
  <si>
    <t>Extremo</t>
  </si>
  <si>
    <t>Alta
80%</t>
  </si>
  <si>
    <t>Alto</t>
  </si>
  <si>
    <t>Media
60%</t>
  </si>
  <si>
    <t>Baja
40%</t>
  </si>
  <si>
    <t>Bajo</t>
  </si>
  <si>
    <t>Muy Baja
20%</t>
  </si>
  <si>
    <t>Leve
20%</t>
  </si>
  <si>
    <t>Menor
40%</t>
  </si>
  <si>
    <t>Moderado
60%</t>
  </si>
  <si>
    <t>Mayor
80%</t>
  </si>
  <si>
    <t>Catastrófico
100%</t>
  </si>
  <si>
    <t>(Y('Mapa final'!$L$22="Muy Alta",'Mapa final'!$P$22="Leve"),CONCATENAR("R",'Mapa final'!$A$22),"")</t>
  </si>
  <si>
    <t xml:space="preserve"> Matriz de Calor Residual</t>
  </si>
  <si>
    <t>Escuela Tecnológica Instituto Técnico Central
Establecimiento Público de Educación Superior</t>
  </si>
  <si>
    <t>FECHA</t>
  </si>
  <si>
    <t>DESCRIPCIÓN DE LA ACTUALIZACIÓN</t>
  </si>
  <si>
    <t>RESPONSABLE</t>
  </si>
  <si>
    <t>CARGO</t>
  </si>
  <si>
    <t xml:space="preserve">Se actualiza en la versión 9 del formato, se eliminan los riesgos No 5 y 6 Para incluirlos como riesgo No 1 en los mapas de comunicaciones y Internacionalización </t>
  </si>
  <si>
    <t xml:space="preserve"> Hno. Ariosto Ardila Silva</t>
  </si>
  <si>
    <t xml:space="preserve">Rector </t>
  </si>
  <si>
    <r>
      <rPr>
        <b/>
        <sz val="11"/>
        <color theme="1"/>
        <rFont val="Arial"/>
        <family val="2"/>
      </rPr>
      <t>C</t>
    </r>
    <r>
      <rPr>
        <sz val="11"/>
        <color theme="1"/>
        <rFont val="Arial"/>
        <family val="2"/>
      </rPr>
      <t xml:space="preserve">ontexto:
Se elininaron las debilidades D3 Y D8:
Se incluyeron las debilidades D10, D11.
se eliminaron las fortalezas: F2,F11,F12,F13Y la F9 paso a fortaleza.
Riesgos: Se elimino el R1(Posibilidad de afectación económica y reputacional por recibir o solicitar cualquier dádiva o beneficio a nombre propio o de terceros al formular proyectos direccionados que no respondan a ninguna necesidad.) por racionalización de riesgos de integro al riesgo No2.
R2:Se cambiaron los controles del riesgos No2, se ajusto redacción en el control no1 y se implemento el control No2.
R4:Se ajusto redacción del riesgo y el control </t>
    </r>
  </si>
  <si>
    <t>Matriz Mapa de Riesgos</t>
  </si>
  <si>
    <t>X</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</si>
  <si>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V6</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</si>
  <si>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</si>
  <si>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</si>
  <si>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2,3 y 5 Mapa Final de Gestión, Corrupción y Seguridad de la Información: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</si>
  <si>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</si>
  <si>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</si>
  <si>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</si>
  <si>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</si>
  <si>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</si>
  <si>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</si>
  <si>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</si>
  <si>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</si>
  <si>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</si>
  <si>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</si>
  <si>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</si>
  <si>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</si>
  <si>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</si>
  <si>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</si>
  <si>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</si>
  <si>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</si>
  <si>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</si>
  <si>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</si>
  <si>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</si>
  <si>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</si>
  <si>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</si>
  <si>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</si>
  <si>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</si>
  <si>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</si>
  <si>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</si>
  <si>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</si>
  <si>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</si>
  <si>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</si>
  <si>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</si>
  <si>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</si>
  <si>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</si>
  <si>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</si>
  <si>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</si>
  <si>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</si>
  <si>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</si>
  <si>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</si>
  <si>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</si>
  <si>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</si>
  <si>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</si>
  <si>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</si>
  <si>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</si>
  <si>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</si>
  <si>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</si>
  <si>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</si>
  <si>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</si>
  <si>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6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</si>
  <si>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7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</si>
  <si>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8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</si>
  <si>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9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</si>
  <si>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10 Tabla de Valoración de Controles: </t>
    </r>
    <r>
      <rPr>
        <sz val="11"/>
        <rFont val="Arial Narrow"/>
        <family val="2"/>
      </rPr>
      <t>Tabla referente para todos los cálculos (no se diligencia)</t>
    </r>
  </si>
  <si>
    <t xml:space="preserve">Tipo </t>
  </si>
  <si>
    <t>Ambiental</t>
  </si>
  <si>
    <t>Software</t>
  </si>
  <si>
    <t>Estratégico</t>
  </si>
  <si>
    <t>Documental</t>
  </si>
  <si>
    <t>Seguridad digital</t>
  </si>
  <si>
    <t>SST</t>
  </si>
  <si>
    <t>Tecnológico</t>
  </si>
  <si>
    <t>VERSIÓN: 8</t>
  </si>
  <si>
    <t>VERSIÓN</t>
  </si>
  <si>
    <t>CAMBIOS</t>
  </si>
  <si>
    <t xml:space="preserve">Se incluye protada, control de cambios del registro, riesgos fiscales </t>
  </si>
  <si>
    <t>28/4/2026</t>
  </si>
  <si>
    <t xml:space="preserve">Se ajusta el formato en las siguientes condiciones: 
1- Se ajustan las tipologias de riesgos: Corrupción, Fiscal, Seguridad de la Información y Gestión.
2- Se incluye en los criterios de impacto de corrupción: Moderado, Mayor, Catastrófico.
3- Se ajusta las variables del diseño del control
4- Se ajustan la descripción para el monitoreo de la primera y segunda linea, así como la evaluación para la tercera linea de defensa. m
</t>
  </si>
  <si>
    <t>ELABORÓ</t>
  </si>
  <si>
    <t>REVISÓ</t>
  </si>
  <si>
    <t>APROBÓ</t>
  </si>
  <si>
    <t>ANAY PINTO</t>
  </si>
  <si>
    <t xml:space="preserve">JORGE HERRERA ORTIZ </t>
  </si>
  <si>
    <t>Profesional de Calidad</t>
  </si>
  <si>
    <t>Representante de la Dirección</t>
  </si>
  <si>
    <t>Documento controlado por el Sistema de Gestión de la Calidad</t>
  </si>
  <si>
    <t>Asegúrese que corresponde a la última versión consultando el micrositio de calidad de la Escuela Tecnológica Instituto Técnico Central (ETITC)</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</si>
  <si>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</si>
  <si>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</si>
  <si>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</si>
  <si>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</si>
  <si>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</si>
  <si>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</si>
  <si>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</si>
  <si>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</si>
  <si>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</si>
  <si>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</si>
  <si>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</si>
  <si>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</si>
  <si>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</si>
  <si>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</si>
  <si>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</si>
  <si>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</si>
  <si>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</si>
  <si>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</si>
  <si>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</si>
  <si>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</si>
  <si>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</si>
  <si>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</si>
  <si>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</si>
  <si>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</si>
  <si>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</si>
  <si>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 80%</t>
  </si>
  <si>
    <t xml:space="preserve">Entre 100 y 500 SMLMV </t>
  </si>
  <si>
    <t>El riesgo afecta la imagen de la entidad con efecto publicitario sostenido a nivel de sector administrativo, nivel departamental o municipal</t>
  </si>
  <si>
    <t>Catastrófico 100%</t>
  </si>
  <si>
    <t xml:space="preserve">Mayor a 500 SMLMV </t>
  </si>
  <si>
    <t>El riesgo afecta la imagen de la entidad a nivel nacional, con efecto publicitarios sostenible a nivel país</t>
  </si>
  <si>
    <t>Afectación_Económica_o_presupuestal</t>
  </si>
  <si>
    <t>Pérdida_Reputacional</t>
  </si>
  <si>
    <t>Criterios</t>
  </si>
  <si>
    <t>Subcriterios</t>
  </si>
  <si>
    <t>Afectación Económica o presupuestal</t>
  </si>
  <si>
    <t>Afectación menor a 10 SMLMV .</t>
  </si>
  <si>
    <t>El riesgo afecta la imagen de de la entidad con efecto publicitario sostenido a nivel de sector administrativo, nivel departamental o municipal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</si>
  <si>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</si>
  <si>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</si>
  <si>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</si>
  <si>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</si>
  <si>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</si>
  <si>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</si>
  <si>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</si>
  <si>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</si>
  <si>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</si>
  <si>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</si>
  <si>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</si>
  <si>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</si>
  <si>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</si>
  <si>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</si>
  <si>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</si>
  <si>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</si>
  <si>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</si>
  <si>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</si>
  <si>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</si>
  <si>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</si>
  <si>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</si>
  <si>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</si>
  <si>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</si>
  <si>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GESTIÓN DOCUMENTAL</t>
  </si>
  <si>
    <t>Desarrollar las actividades administrativas y técnicas concernientes con la planificación de los procesos archivísticos en relación con la organización, administración, valoración y preservación de los documentos de archivo producidos y/o recibidos por la entidad en cumplimiento de sus funciones, con el fin de garantizar el acceso oportuno de la información, respondiendo de esta manera al cumplimiento de los fines institucionales</t>
  </si>
  <si>
    <t>Desde la planeación de la función archivística de la entidad hasta el diseño, implementación, evaluación y mejora de la producción, tramite, organización, administración, preservación, hasta la difusión y acceso a la información pública y los documentos de archivo en la Escuela Tecnológica Instituto Técnico Central.</t>
  </si>
  <si>
    <t>Posibilidad de afectación ecómica y reputacional por incumplimiento de las disposiciones emanadas por parte del Archivo General de la Nación, debido a debilidades en los controles establecidos para la administración de la Gestión Documental de la ETITC</t>
  </si>
  <si>
    <t>Incumplimiento de las disposiciones emanadas por parte del Archivo General de la Nación</t>
  </si>
  <si>
    <t>Debilidades en los controles establecidos para la administración de la Gestión Documental</t>
  </si>
  <si>
    <t xml:space="preserve">1. Registros de asistencia
2. Actas de mesas técnicas con los temas tratados y compromisos establecidos </t>
  </si>
  <si>
    <t>El Profesional o Contratista designado del Grupo de Gestión Documental realiza trimestralmente la verificación de las condiciones ambientales, de conservación y preservación documental en los espacios destinados al archivo institucional, mediante el seguimiento a los lineamientos establecidos en el Sistema Integrado de Conservación, con el fin de garantizar la adecuada protección, conservación y disponibilidad de la documentación institucional.
La ejecución del control se evidencia mediante planillas de control de verificación de condiciones ambientales, de conservación y preservación realizados.
En caso de identificar desviaciones, condiciones inadecuadas o riesgos que puedan afectar la conservación documental, se documentan las observaciones y se gestionan las medidas correctivas o acciones de mejora correspondientes para su evaluación y seguimiento, dejando evidencia de las actuaciones efectuadas.</t>
  </si>
  <si>
    <t>Planillas de control de verificación de condiciones ambientales, de conservación y preservación realizados.</t>
  </si>
  <si>
    <t>GDO-PC-05 PROCEDIMIENTO
PARA LA ADMINISTRACIÓN DE ARCHIVOS DE GESTIÓN</t>
  </si>
  <si>
    <t>El Técnico, Profesional o Contratista designado del Grupo de Gestión Documental verifica diariamente las solicitudes de consulta y/o préstamo de documentos físicos y digitalizados realizadas por las dependencias de la ETITC, mediante la validación de disponibilidad, estado de conservación, foliación, reserva documental y registro en el formato establecido GDO-FO-08 “Control de consulta y/o préstamo de expedientes”, con el fin de garantizar la trazabilidad, conservación, control y adecuada administración de la documentación institucional.
La ejecución del control incluye el seguimiento a los tiempos de préstamo, solicitudes de prórroga, devolución y verificación de las condiciones de entrega de los documentos físicos, así como el suministro controlado de documentos digitalizados a través de los canales institucionales autorizados.
La ejecución del control se evidencia mediante correos electrónicos de solicitud, registros diligenciados en el formato GDO-FO-08 "Control de consulta y/o préstamo de expedientes”, correos electrónicos con las solicitudes de prórroga para devolución de expedienes físicos inventarios documentales y soportes de entrega de documentación digitalizada.
En caso de identificar inconsistencias en la documentación, incumplimiento en los tiempos de devolución, pérdida, deterioro o uso inadecuado de los documentos prestados, se registra la novedad, se informa a la dependencia responsable y se gestionan las acciones de seguimiento y recuperación correspondientes, dejando evidencia de las actuaciones realizadas.</t>
  </si>
  <si>
    <t>1. Correos electrónicos de solicitud de préstamo de expedientes
2. Registros diligenciados en el formato GDO-FO-08 "Control de consulta y/o préstamo de expedientes”
3. Inventarios documentales 
4. Soportes de entrega de documentación digitalizada.
5. Correos electrónicos con las solicitudes de prórroga para devolución de expedienes físicos</t>
  </si>
  <si>
    <t>GDO-PC-04 PROCEDIMIENTO
PARA EL PRÉSTAMO Y/O CONSULTA DE EXPEDIENTES</t>
  </si>
  <si>
    <t>inventarios documentales, actas del Comité Institucional de Gestión y Desempeño, formatos de eliminación documental y registros de seguimiento del proceso.</t>
  </si>
  <si>
    <t>El Profesional o Contratista designado del Grupo de Gestión Documental verifica semestralmente el cumplimiento del procedimiento de eliminación documental establecido en la ETITC, mediante la revisión de inventarios documentales, tiempos de retención, actas de aprobación y aplicación de las Tablas de Retención Documental, con el fin de garantizar la adecuada disposición final de los documentos.
La ejecución del control se evidencia mediante inventarios documentales, actas del Comité Institucional de Gestión y Desempeño, formatos de eliminación documental y registros de seguimiento del proceso.
En caso de identificar inconsistencias en la aplicación de las Tablas de Retención Documental, ausencia de soportes o documentación que no cumpla las condiciones para eliminación, se suspende el trámite correspondiente y se solicita la validación y ajuste por parte de la dependencia responsable, dejando evidencia de las actuaciones realizadas. De igual forma, se remitirá correo electrónico a las dependencias recordado que no se encuentran facultadas para disponer (eliminar) documentos a su cargo.</t>
  </si>
  <si>
    <t>El Técnico, Profesional o Contratista designado del Grupo de Gestión Documental realiza semestralmente mesas técnicas con las dependencias de la ETITC, mediante la revisión y socialización de los lineamientos, procedimientos y disposiciones aplicables en materia de gestión documental, además de aclarar las inquietudes que presenten las dependencias, con el fin de verificar el cumplimiento de las directrices establecidas por el Archivo General de la Nación y fortalecer la adecuada administración documental institucional.
La ejecución del control se evidencia mediante registros de asistencia, actas de mesas técnicas, temas tratados y compromisos establecidos en los planes de trabajo definidos con las dependencias.
En caso de identificar inconsistencias, incumplimientos o debilidades en la aplicación de los lineamientos de gestión documental, se establecen planes de trabajo y acciones de mejora con las dependencias involucradas, realizando seguimiento durante la vigencia y dejando evidencia de las actuaciones efectuadas.</t>
  </si>
  <si>
    <t>Equipo de trabajo de Gestión Documental</t>
  </si>
  <si>
    <t>Actas de reunión</t>
  </si>
  <si>
    <t xml:space="preserve">Realizar el diagnóstico y recopilación de información para el levantamiento de las Tablas de Valoración Documental (TVD) de la ETITC </t>
  </si>
  <si>
    <t>Contratista de Gestión Documental</t>
  </si>
  <si>
    <t>Reporte de avance remitido por correo electrónico e informes de avance</t>
  </si>
  <si>
    <t>Socializar a las dependencias las Tablas de Retención Documental (TRD) convalidadas por el AGN en el 2026</t>
  </si>
  <si>
    <t xml:space="preserve">Implementar un plan de trabajo para la indexación de historias laborales digitalizadas para facilitar su consulta.
</t>
  </si>
  <si>
    <t>Sistema Integrado de Conservación</t>
  </si>
  <si>
    <t>Actualizar el documento "INSTRUCTIVO PARA ORGANIZACIÓN
DE TRANSFERENCIAS DOCUMENTALES GDO-IN-01" incluyendo los parametros para la organización documental digital y electrónico</t>
  </si>
  <si>
    <t xml:space="preserve">El Profesional o Contratista designado del Grupo de Gestión Documental </t>
  </si>
  <si>
    <t>Instructivo actualizado en el SIACET y socializado</t>
  </si>
  <si>
    <t>Posibilidad de afectación económica y reputacional por el favorecimiento indebido de terceros mediante la manipulación, inclusión, extracción, alteración u ocultamiento de documentos en custodia del archivo central, para beneficio propio o de terceros, debido a debilidades en los controles de acceso, custodia y trazabilidad documental.</t>
  </si>
  <si>
    <t>Posibilidad de afectación económica por pérdida o deterioro de documentos que constituyen bienes públicos documentales, debido al incumplimiento de los controles de acceso, custodia y préstamo del archivo central.</t>
  </si>
  <si>
    <t>favorecimiento indebido de terceros mediante la manipulación, inclusión, extracción, alteración u ocultamiento de documentos en custodia del archivo central,</t>
  </si>
  <si>
    <t xml:space="preserve"> debilidades en los controles de acceso, custodia y trazabilidad documental.</t>
  </si>
  <si>
    <t>pérdida o deterioro de documentos que constituyen bienes públicos documentales</t>
  </si>
  <si>
    <t>incumplimiento de los controles de acceso, custodia y préstamo del archivo central.</t>
  </si>
  <si>
    <t>El personal de Gestión Documental controla diariamente el ingreso de servidores, contratistas y usuarios autorizados al Archivo Central, verificando la identificación, el motivo de la visita y la autorización correspondiente, y registrando la información en el formato GDO-FO-14 Planilla de Control de Acceso Archivo Central. Cuando se presentan ingresos no autorizados, inconsistencias en el registro o intentos de acceso a documentación no solicitada, restringe el ingreso, informa al líder de Gestión Documental y deja registro de la situación, con el fin de prevenir la manipulación indebida de los documentos bajo custodia.</t>
  </si>
  <si>
    <t>GDO-FO-14 Planilla de Control de Acceso Archivo Central.
Autorizaciones de ingreso.
Registro de novedades.
Correos o informes de reporte de accesos no autorizados.</t>
  </si>
  <si>
    <t>El personal de Gestión Documental verifica cada solicitud de consulta o préstamo de expedientes, confirma que los documentos correspondan a la solicitud y que se encuentren completos en su foliación, registra la operación en el formato GDO-FO-08 y coloca la GDO-FO-07 Tarjeta de Afuera en la ubicación del expediente retirado. Al momento de la devolución, verifica que los documentos correspondan a los registrados, que conserven las mismas condiciones y que sean reintegrados a su ubicación, dejando constancia de la devolución y descargando el préstamo en el formato correspondiente. Cuando identifica faltantes, alteraciones, daños o inconsistencias, suspende el cierre del préstamo, informa al líder de Gestión Documental y documenta la novedad.</t>
  </si>
  <si>
    <t>Correo de solicitud.
GDO-FO-08 Control de Consultas y/o Préstamos de Expedientes.
GDO-FO-07 Tarjeta de Afuera.
Registro de devolución.
Reporte de novedades o inconsistencias.</t>
  </si>
  <si>
    <t xml:space="preserve">GDO-PC-04 Préstamo y/o Consulta de Documentos </t>
  </si>
  <si>
    <t>Revisar y formalizar los roles y niveles de autorización para el ingreso al Archivo Central, la consulta de expedientes, la entrega de documentos y el cierre de los préstamos, procurando que la autorización, entrega y verificación de devolución no recaigan, cuando sea viable, en una misma persona.</t>
  </si>
  <si>
    <t>Ejecutar verificaciones aleatorias trimestrales sobre una muestra de expedientes consultados o prestados, contrastando la solicitud, el GDO-FO-08, la Tarjeta de Afuera, el estado físico, la foliación y la ubicación final del expediente, y reportar al líder de Gestión Documental las inconsistencias identificadas para su análisis y tratamiento.</t>
  </si>
  <si>
    <t>Plan de muestreo.
Actas o listas de verificación.
Informe de resultados.
Registro de inconsistencias.
Acciones de mejora o investigaciones internas, cuando corresponda.</t>
  </si>
  <si>
    <t>El profesional de Gestión Documental verifica semestralmente las condiciones de conservación, almacenamiento, organización y custodia de los documentos del Archivo Central, revisando el estado de las cajas, carpetas, estanterías, áreas de almacenamiento y condiciones ambientales, de acuerdo con los lineamientos y protocolos institucionales. Cuando identifica humedad, deterioro, contaminación, almacenamiento inadecuado o riesgos para la integridad documental, registra la novedad, establece medidas de intervención y realiza seguimiento hasta su atención, con el fin de prevenir la pérdida o deterioro de bienes públicos documentales.</t>
  </si>
  <si>
    <t xml:space="preserve">GDO-PC-05, GDO-PT-01, GDO-DO-02 </t>
  </si>
  <si>
    <t>GDO-DO-02
Estructura del Archivo Central</t>
  </si>
  <si>
    <t>Matriz de roles y autorizaciones.
Lineamiento o protocolo de acceso.
Relación de usuarios autorizados.
Actas de socialización.</t>
  </si>
  <si>
    <t>Diagnóstico de conservación.
Avance en el inventario de expedientes críticos.
Matriz de priorización.
Plan de intervención.
Soportes técnicos y presupuestales.</t>
  </si>
  <si>
    <t>Realizar un diagnóstico técnico del estado de conservación de los documentos del Archivo Central, identificando expedientes críticos, documentación con deterioro, condiciones de almacenamiento deficientes y necesidades de intervención, y establecer una matriz de priorización para su conservación, restauración, digitalización o reubicación.
En caso de que se evidencien situaciones que puedan afectar la conservación de la documentación, se establecerá un plan de contingencia que permita atender la eventualidad</t>
  </si>
  <si>
    <r>
      <rPr>
        <b/>
        <sz val="11"/>
        <rFont val="Arial"/>
        <family val="2"/>
      </rPr>
      <t>LIDER DEL PROCESO:</t>
    </r>
    <r>
      <rPr>
        <sz val="11"/>
        <rFont val="Arial"/>
        <family val="2"/>
      </rPr>
      <t xml:space="preserve"> Hno. Ariosto Ardila Silva</t>
    </r>
  </si>
  <si>
    <t>Lista de verificación de conservación.
Informe de inspección.
Registro fotográfico.
Reportes de condiciones ambientales.
Planes o solicitudes de intervención. (solicitud ambiental y ssgg)
Evidencias de corrección.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</si>
</sst>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yyyy\-mm\-dd;@"/>
    <numFmt numFmtId="166" formatCode="d/mm/yyyy;@"/>
  </numFmts>
  <fonts count="92" x14ac:knownFonts="1">
    <font>
      <sz val="11"/>
      <color theme="1"/>
      <name val="Calibri"/>
      <family val="2"/>
      <scheme val="minor"/>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0"/>
      <name val="Arial"/>
      <family val="2"/>
    </font>
    <font>
      <b/>
      <sz val="12"/>
      <color rgb="FF000000"/>
      <name val="Arial"/>
      <family val="2"/>
    </font>
    <font>
      <b/>
      <sz val="11"/>
      <color theme="0"/>
      <name val="Calibri"/>
      <family val="2"/>
      <scheme val="minor"/>
    </font>
    <font>
      <b/>
      <sz val="11"/>
      <color theme="1"/>
      <name val="Calibri"/>
      <family val="2"/>
      <scheme val="minor"/>
    </font>
    <font>
      <b/>
      <sz val="5"/>
      <color rgb="FF000000"/>
      <name val="Arial"/>
      <family val="2"/>
    </font>
    <font>
      <b/>
      <sz val="6"/>
      <color rgb="FF000000"/>
      <name val="Arial"/>
      <family val="2"/>
    </font>
    <font>
      <b/>
      <sz val="11"/>
      <color rgb="FF292929"/>
      <name val="Arial"/>
      <family val="2"/>
    </font>
    <font>
      <sz val="11"/>
      <color theme="1"/>
      <name val="Arial"/>
      <family val="2"/>
    </font>
    <font>
      <b/>
      <sz val="8"/>
      <color theme="1"/>
      <name val="Arial"/>
      <family val="2"/>
    </font>
    <font>
      <b/>
      <sz val="5"/>
      <color theme="1"/>
      <name val="Arial"/>
      <family val="2"/>
    </font>
    <font>
      <b/>
      <sz val="6"/>
      <color theme="1"/>
      <name val="Arial"/>
      <family val="2"/>
    </font>
    <font>
      <b/>
      <sz val="9"/>
      <color rgb="FF292929"/>
      <name val="Arial"/>
      <family val="2"/>
    </font>
    <font>
      <b/>
      <sz val="11"/>
      <color theme="0"/>
      <name val="Arial"/>
      <family val="2"/>
    </font>
    <font>
      <sz val="10"/>
      <color theme="1"/>
      <name val="Arial"/>
      <family val="2"/>
    </font>
    <font>
      <b/>
      <sz val="10"/>
      <color theme="0"/>
      <name val="Arial"/>
      <family val="2"/>
    </font>
    <font>
      <b/>
      <sz val="10"/>
      <color theme="1"/>
      <name val="Arial"/>
      <family val="2"/>
    </font>
    <font>
      <b/>
      <u/>
      <sz val="10"/>
      <color theme="1"/>
      <name val="Arial"/>
      <family val="2"/>
    </font>
    <font>
      <i/>
      <sz val="9"/>
      <color rgb="FF000000"/>
      <name val="Arial"/>
      <family val="2"/>
    </font>
    <font>
      <b/>
      <sz val="11"/>
      <color theme="1"/>
      <name val="Arial"/>
      <family val="2"/>
    </font>
    <font>
      <b/>
      <sz val="11"/>
      <color rgb="FF000000"/>
      <name val="Arial"/>
      <family val="2"/>
    </font>
    <font>
      <b/>
      <sz val="11"/>
      <color theme="1"/>
      <name val="Times New Roman"/>
      <family val="1"/>
    </font>
    <font>
      <sz val="11"/>
      <color theme="0"/>
      <name val="Times New Roman"/>
      <family val="1"/>
    </font>
    <font>
      <sz val="11"/>
      <color rgb="FF7030A0"/>
      <name val="Calibri"/>
      <family val="2"/>
      <scheme val="minor"/>
    </font>
    <font>
      <b/>
      <sz val="16"/>
      <color rgb="FF7030A0"/>
      <name val="Times New Roman"/>
      <family val="1"/>
    </font>
    <font>
      <sz val="11"/>
      <color rgb="FF000000"/>
      <name val="Arial"/>
      <family val="2"/>
    </font>
    <font>
      <sz val="10"/>
      <color theme="0"/>
      <name val="Arial"/>
      <family val="2"/>
    </font>
    <font>
      <sz val="11"/>
      <color theme="0"/>
      <name val="Arial"/>
      <family val="2"/>
    </font>
    <font>
      <sz val="11"/>
      <name val="Arial"/>
      <family val="2"/>
    </font>
    <font>
      <sz val="11"/>
      <color theme="9"/>
      <name val="Arial"/>
      <family val="2"/>
    </font>
    <font>
      <b/>
      <sz val="11"/>
      <name val="Arial"/>
      <family val="2"/>
    </font>
    <font>
      <u/>
      <sz val="11"/>
      <color theme="10"/>
      <name val="Calibri"/>
      <family val="2"/>
      <scheme val="minor"/>
    </font>
    <font>
      <sz val="11"/>
      <color rgb="FF000000"/>
      <name val="Calibri"/>
      <family val="2"/>
      <scheme val="minor"/>
    </font>
    <font>
      <sz val="11"/>
      <color rgb="FF000000"/>
      <name val="Calibri"/>
      <family val="2"/>
    </font>
    <font>
      <sz val="10"/>
      <color rgb="FF000000"/>
      <name val="Tahoma"/>
      <family val="2"/>
    </font>
    <font>
      <b/>
      <sz val="10"/>
      <color rgb="FF000000"/>
      <name val="Tahoma"/>
      <family val="2"/>
    </font>
    <font>
      <sz val="10"/>
      <color rgb="FF000000"/>
      <name val="Calibri"/>
      <family val="2"/>
    </font>
    <font>
      <u/>
      <sz val="11"/>
      <color theme="10"/>
      <name val="Arial"/>
      <family val="2"/>
    </font>
    <font>
      <sz val="11"/>
      <color rgb="FFFF0000"/>
      <name val="Arial"/>
      <family val="2"/>
    </font>
  </fonts>
  <fills count="31">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26783C"/>
        <bgColor indexed="64"/>
      </patternFill>
    </fill>
    <fill>
      <patternFill patternType="solid">
        <fgColor theme="0" tint="-0.14999847407452621"/>
        <bgColor indexed="64"/>
      </patternFill>
    </fill>
    <fill>
      <patternFill patternType="solid">
        <fgColor rgb="FF287840"/>
        <bgColor indexed="64"/>
      </patternFill>
    </fill>
    <fill>
      <patternFill patternType="solid">
        <fgColor theme="0" tint="-0.499984740745262"/>
        <bgColor indexed="64"/>
      </patternFill>
    </fill>
    <fill>
      <patternFill patternType="solid">
        <fgColor rgb="FFDAAA00"/>
        <bgColor indexed="64"/>
      </patternFill>
    </fill>
    <fill>
      <patternFill patternType="solid">
        <fgColor rgb="FF4E4B48"/>
        <bgColor indexed="64"/>
      </patternFill>
    </fill>
    <fill>
      <patternFill patternType="solid">
        <fgColor rgb="FFFFFFFF"/>
        <bgColor rgb="FFFFFFFF"/>
      </patternFill>
    </fill>
    <fill>
      <patternFill patternType="solid">
        <fgColor rgb="FFFFFFFF"/>
        <bgColor rgb="FF000000"/>
      </patternFill>
    </fill>
    <fill>
      <patternFill patternType="solid">
        <fgColor rgb="FFFFFFFF"/>
        <bgColor indexed="64"/>
      </patternFill>
    </fill>
    <fill>
      <patternFill patternType="solid">
        <fgColor rgb="FFB4B3B6"/>
        <bgColor indexed="64"/>
      </patternFill>
    </fill>
    <fill>
      <patternFill patternType="solid">
        <fgColor rgb="FF00CC66"/>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39997558519241921"/>
        <bgColor indexed="64"/>
      </patternFill>
    </fill>
  </fills>
  <borders count="114">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auto="1"/>
      </left>
      <right/>
      <top/>
      <bottom style="thin">
        <color auto="1"/>
      </bottom>
      <diagonal/>
    </border>
    <border>
      <left/>
      <right/>
      <top/>
      <bottom style="dashed">
        <color theme="9" tint="-0.2499465926084170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medium">
        <color rgb="FF000000"/>
      </left>
      <right style="thin">
        <color indexed="64"/>
      </right>
      <top style="medium">
        <color rgb="FF000000"/>
      </top>
      <bottom/>
      <diagonal/>
    </border>
    <border>
      <left style="medium">
        <color rgb="FF000000"/>
      </left>
      <right style="thin">
        <color indexed="64"/>
      </right>
      <top/>
      <bottom/>
      <diagonal/>
    </border>
    <border>
      <left style="thin">
        <color rgb="FF4B514E"/>
      </left>
      <right/>
      <top/>
      <bottom/>
      <diagonal/>
    </border>
    <border>
      <left/>
      <right style="thin">
        <color indexed="64"/>
      </right>
      <top/>
      <bottom/>
      <diagonal/>
    </border>
    <border>
      <left style="medium">
        <color rgb="FF000000"/>
      </left>
      <right style="thin">
        <color indexed="64"/>
      </right>
      <top/>
      <bottom style="medium">
        <color rgb="FF000000"/>
      </bottom>
      <diagonal/>
    </border>
    <border>
      <left style="thin">
        <color rgb="FF4B514E"/>
      </left>
      <right style="thin">
        <color rgb="FF4B514E"/>
      </right>
      <top style="thin">
        <color rgb="FF4B514E"/>
      </top>
      <bottom style="thin">
        <color rgb="FF4B514E"/>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style="thin">
        <color rgb="FF4B514E"/>
      </right>
      <top/>
      <bottom/>
      <diagonal/>
    </border>
    <border>
      <left style="thin">
        <color rgb="FF4B514E"/>
      </left>
      <right/>
      <top style="medium">
        <color indexed="64"/>
      </top>
      <bottom/>
      <diagonal/>
    </border>
    <border>
      <left style="thin">
        <color rgb="FF4B514E"/>
      </left>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auto="1"/>
      </left>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ck">
        <color auto="1"/>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right style="thin">
        <color indexed="64"/>
      </right>
      <top style="medium">
        <color rgb="FF000000"/>
      </top>
      <bottom/>
      <diagonal/>
    </border>
    <border>
      <left/>
      <right style="thin">
        <color indexed="64"/>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9" fontId="12" fillId="0" borderId="0" applyFont="0" applyFill="0" applyBorder="0" applyAlignment="0" applyProtection="0"/>
    <xf numFmtId="0" fontId="43" fillId="0" borderId="0"/>
    <xf numFmtId="0" fontId="44" fillId="0" borderId="0"/>
    <xf numFmtId="0" fontId="4" fillId="0" borderId="0"/>
    <xf numFmtId="0" fontId="84" fillId="0" borderId="0" applyNumberFormat="0" applyFill="0" applyBorder="0" applyAlignment="0" applyProtection="0"/>
  </cellStyleXfs>
  <cellXfs count="620">
    <xf numFmtId="0" fontId="0" fillId="0" borderId="0" xfId="0"/>
    <xf numFmtId="0" fontId="4" fillId="0" borderId="0" xfId="0" applyFont="1"/>
    <xf numFmtId="0" fontId="2"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7" fillId="6" borderId="0" xfId="0" applyFont="1" applyFill="1" applyAlignment="1">
      <alignment horizontal="center" vertical="center" wrapText="1" readingOrder="1"/>
    </xf>
    <xf numFmtId="0" fontId="8" fillId="5" borderId="4" xfId="0" applyFont="1" applyFill="1" applyBorder="1" applyAlignment="1">
      <alignment horizontal="center" vertical="center" wrapText="1" readingOrder="1"/>
    </xf>
    <xf numFmtId="0" fontId="8" fillId="0" borderId="4" xfId="0" applyFont="1" applyBorder="1" applyAlignment="1">
      <alignment horizontal="justify" vertical="center" wrapText="1" readingOrder="1"/>
    </xf>
    <xf numFmtId="9" fontId="8" fillId="0" borderId="4" xfId="0" applyNumberFormat="1" applyFont="1" applyBorder="1" applyAlignment="1">
      <alignment horizontal="center" vertical="center" wrapText="1" readingOrder="1"/>
    </xf>
    <xf numFmtId="0" fontId="8" fillId="7" borderId="1" xfId="0" applyFont="1" applyFill="1" applyBorder="1" applyAlignment="1">
      <alignment horizontal="center" vertical="center" wrapText="1" readingOrder="1"/>
    </xf>
    <xf numFmtId="0" fontId="8" fillId="0" borderId="1" xfId="0" applyFont="1" applyBorder="1" applyAlignment="1">
      <alignment horizontal="justify" vertical="center" wrapText="1" readingOrder="1"/>
    </xf>
    <xf numFmtId="9" fontId="8" fillId="0" borderId="1" xfId="0" applyNumberFormat="1" applyFont="1" applyBorder="1" applyAlignment="1">
      <alignment horizontal="center" vertical="center" wrapText="1" readingOrder="1"/>
    </xf>
    <xf numFmtId="0" fontId="8" fillId="4" borderId="1" xfId="0" applyFont="1" applyFill="1" applyBorder="1" applyAlignment="1">
      <alignment horizontal="center" vertical="center" wrapText="1" readingOrder="1"/>
    </xf>
    <xf numFmtId="0" fontId="8" fillId="8" borderId="1" xfId="0" applyFont="1" applyFill="1" applyBorder="1" applyAlignment="1">
      <alignment horizontal="center" vertical="center" wrapText="1" readingOrder="1"/>
    </xf>
    <xf numFmtId="0" fontId="9" fillId="9" borderId="1" xfId="0" applyFont="1" applyFill="1" applyBorder="1" applyAlignment="1">
      <alignment horizontal="center" vertical="center" wrapText="1" readingOrder="1"/>
    </xf>
    <xf numFmtId="0" fontId="13" fillId="0" borderId="0" xfId="0" applyFont="1"/>
    <xf numFmtId="0" fontId="11" fillId="0" borderId="0" xfId="0" applyFont="1"/>
    <xf numFmtId="0" fontId="24" fillId="0" borderId="0" xfId="0" applyFont="1" applyAlignment="1">
      <alignment vertical="center"/>
    </xf>
    <xf numFmtId="0" fontId="25" fillId="0" borderId="0" xfId="0" applyFont="1"/>
    <xf numFmtId="0" fontId="23" fillId="0" borderId="0" xfId="0" applyFont="1"/>
    <xf numFmtId="0" fontId="0" fillId="0" borderId="0" xfId="0" pivotButton="1"/>
    <xf numFmtId="0" fontId="10" fillId="0" borderId="0" xfId="0" applyFont="1" applyAlignment="1">
      <alignment horizontal="justify" vertical="center" wrapText="1" readingOrder="1"/>
    </xf>
    <xf numFmtId="0" fontId="26" fillId="0" borderId="0" xfId="0" applyFont="1"/>
    <xf numFmtId="0" fontId="28" fillId="6" borderId="0" xfId="0" applyFont="1" applyFill="1" applyAlignment="1">
      <alignment horizontal="center" vertical="center" wrapText="1" readingOrder="1"/>
    </xf>
    <xf numFmtId="0" fontId="29" fillId="0" borderId="4" xfId="0" applyFont="1" applyBorder="1" applyAlignment="1">
      <alignment horizontal="justify" vertical="center" wrapText="1" readingOrder="1"/>
    </xf>
    <xf numFmtId="0" fontId="29" fillId="0" borderId="1" xfId="0" applyFont="1" applyBorder="1" applyAlignment="1">
      <alignment horizontal="justify" vertical="center" wrapText="1" readingOrder="1"/>
    </xf>
    <xf numFmtId="0" fontId="29" fillId="5" borderId="4" xfId="0" applyFont="1" applyFill="1" applyBorder="1" applyAlignment="1">
      <alignment horizontal="center" vertical="center" wrapText="1" readingOrder="1"/>
    </xf>
    <xf numFmtId="0" fontId="29" fillId="7" borderId="1" xfId="0" applyFont="1" applyFill="1" applyBorder="1" applyAlignment="1">
      <alignment horizontal="center" vertical="center" wrapText="1" readingOrder="1"/>
    </xf>
    <xf numFmtId="0" fontId="29" fillId="4"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30" fillId="9" borderId="1" xfId="0" applyFont="1" applyFill="1" applyBorder="1" applyAlignment="1">
      <alignment horizontal="center" vertical="center" wrapText="1" readingOrder="1"/>
    </xf>
    <xf numFmtId="0" fontId="29" fillId="0" borderId="4" xfId="0" applyFont="1" applyBorder="1" applyAlignment="1">
      <alignment horizontal="center" vertical="center" wrapText="1" readingOrder="1"/>
    </xf>
    <xf numFmtId="0" fontId="29" fillId="0" borderId="1" xfId="0" applyFont="1" applyBorder="1" applyAlignment="1">
      <alignment horizontal="center" vertical="center" wrapText="1" readingOrder="1"/>
    </xf>
    <xf numFmtId="0" fontId="17" fillId="11" borderId="5" xfId="0" applyFont="1" applyFill="1" applyBorder="1" applyAlignment="1" applyProtection="1">
      <alignment horizontal="center" vertical="center" wrapText="1" readingOrder="1"/>
      <protection hidden="1"/>
    </xf>
    <xf numFmtId="0" fontId="17" fillId="11" borderId="12" xfId="0" applyFont="1" applyFill="1" applyBorder="1" applyAlignment="1" applyProtection="1">
      <alignment horizontal="center" vertical="center" wrapText="1" readingOrder="1"/>
      <protection hidden="1"/>
    </xf>
    <xf numFmtId="0" fontId="17" fillId="11" borderId="6" xfId="0" applyFont="1" applyFill="1" applyBorder="1" applyAlignment="1" applyProtection="1">
      <alignment horizontal="center" vertic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12" xfId="0" applyFont="1" applyFill="1" applyBorder="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7" fillId="11" borderId="7" xfId="0" applyFont="1" applyFill="1" applyBorder="1" applyAlignment="1" applyProtection="1">
      <alignment horizontal="center" vertical="center" wrapText="1" readingOrder="1"/>
      <protection hidden="1"/>
    </xf>
    <xf numFmtId="0" fontId="17" fillId="11" borderId="0" xfId="0" applyFont="1" applyFill="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2" borderId="7" xfId="0" applyFont="1" applyFill="1" applyBorder="1" applyAlignment="1" applyProtection="1">
      <alignment horizontal="center" wrapText="1" readingOrder="1"/>
      <protection hidden="1"/>
    </xf>
    <xf numFmtId="0" fontId="17" fillId="12" borderId="0" xfId="0" applyFont="1" applyFill="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11" xfId="0" applyFont="1" applyFill="1" applyBorder="1" applyAlignment="1" applyProtection="1">
      <alignment horizontal="center" vertical="center" wrapText="1" readingOrder="1"/>
      <protection hidden="1"/>
    </xf>
    <xf numFmtId="0" fontId="17" fillId="11" borderId="10" xfId="0" applyFont="1" applyFill="1" applyBorder="1" applyAlignment="1" applyProtection="1">
      <alignment horizontal="center" vertical="center" wrapText="1" readingOrder="1"/>
      <protection hidden="1"/>
    </xf>
    <xf numFmtId="0" fontId="17" fillId="12" borderId="9" xfId="0" applyFont="1" applyFill="1" applyBorder="1" applyAlignment="1" applyProtection="1">
      <alignment horizontal="center" wrapText="1" readingOrder="1"/>
      <protection hidden="1"/>
    </xf>
    <xf numFmtId="0" fontId="17" fillId="12" borderId="11" xfId="0" applyFont="1" applyFill="1" applyBorder="1" applyAlignment="1" applyProtection="1">
      <alignment horizontal="center" wrapText="1" readingOrder="1"/>
      <protection hidden="1"/>
    </xf>
    <xf numFmtId="0" fontId="17" fillId="12" borderId="10" xfId="0" applyFont="1" applyFill="1" applyBorder="1" applyAlignment="1" applyProtection="1">
      <alignment horizontal="center" wrapText="1" readingOrder="1"/>
      <protection hidden="1"/>
    </xf>
    <xf numFmtId="0" fontId="17" fillId="13" borderId="5" xfId="0" applyFont="1" applyFill="1" applyBorder="1" applyAlignment="1" applyProtection="1">
      <alignment horizontal="center" wrapText="1" readingOrder="1"/>
      <protection hidden="1"/>
    </xf>
    <xf numFmtId="0" fontId="17" fillId="13" borderId="12" xfId="0" applyFont="1" applyFill="1" applyBorder="1" applyAlignment="1" applyProtection="1">
      <alignment horizontal="center" wrapText="1" readingOrder="1"/>
      <protection hidden="1"/>
    </xf>
    <xf numFmtId="0" fontId="17" fillId="13" borderId="6" xfId="0" applyFont="1" applyFill="1" applyBorder="1" applyAlignment="1" applyProtection="1">
      <alignment horizont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0" xfId="0" applyFont="1" applyFill="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11" xfId="0" applyFont="1" applyFill="1" applyBorder="1" applyAlignment="1" applyProtection="1">
      <alignment horizontal="center" wrapText="1" readingOrder="1"/>
      <protection hidden="1"/>
    </xf>
    <xf numFmtId="0" fontId="17" fillId="13" borderId="10" xfId="0" applyFont="1" applyFill="1" applyBorder="1" applyAlignment="1" applyProtection="1">
      <alignment horizontal="center" wrapText="1" readingOrder="1"/>
      <protection hidden="1"/>
    </xf>
    <xf numFmtId="0" fontId="17" fillId="5" borderId="5" xfId="0" applyFont="1" applyFill="1" applyBorder="1" applyAlignment="1" applyProtection="1">
      <alignment horizontal="center" wrapText="1" readingOrder="1"/>
      <protection hidden="1"/>
    </xf>
    <xf numFmtId="0" fontId="17" fillId="5" borderId="12" xfId="0" applyFont="1" applyFill="1" applyBorder="1" applyAlignment="1" applyProtection="1">
      <alignment horizontal="center" wrapText="1" readingOrder="1"/>
      <protection hidden="1"/>
    </xf>
    <xf numFmtId="0" fontId="17" fillId="5" borderId="6" xfId="0" applyFont="1" applyFill="1" applyBorder="1" applyAlignment="1" applyProtection="1">
      <alignment horizontal="center" wrapText="1" readingOrder="1"/>
      <protection hidden="1"/>
    </xf>
    <xf numFmtId="0" fontId="17" fillId="5" borderId="7" xfId="0" applyFont="1" applyFill="1" applyBorder="1" applyAlignment="1" applyProtection="1">
      <alignment horizontal="center" wrapText="1" readingOrder="1"/>
      <protection hidden="1"/>
    </xf>
    <xf numFmtId="0" fontId="17" fillId="5" borderId="0" xfId="0" applyFont="1" applyFill="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11" xfId="0" applyFont="1" applyFill="1" applyBorder="1" applyAlignment="1" applyProtection="1">
      <alignment horizontal="center" wrapText="1" readingOrder="1"/>
      <protection hidden="1"/>
    </xf>
    <xf numFmtId="0" fontId="17" fillId="5" borderId="10" xfId="0" applyFont="1" applyFill="1" applyBorder="1" applyAlignment="1" applyProtection="1">
      <alignment horizontal="center" wrapText="1" readingOrder="1"/>
      <protection hidden="1"/>
    </xf>
    <xf numFmtId="0" fontId="0" fillId="3" borderId="0" xfId="0" applyFill="1"/>
    <xf numFmtId="0" fontId="45" fillId="3" borderId="39" xfId="2" applyFont="1" applyFill="1" applyBorder="1"/>
    <xf numFmtId="0" fontId="45" fillId="3" borderId="40" xfId="2" applyFont="1" applyFill="1" applyBorder="1"/>
    <xf numFmtId="0" fontId="45" fillId="3" borderId="41" xfId="2" applyFont="1" applyFill="1" applyBorder="1"/>
    <xf numFmtId="0" fontId="14" fillId="3" borderId="0" xfId="0" applyFont="1" applyFill="1" applyAlignment="1">
      <alignment vertical="center"/>
    </xf>
    <xf numFmtId="0" fontId="4" fillId="3" borderId="0" xfId="0" applyFont="1" applyFill="1"/>
    <xf numFmtId="0" fontId="32" fillId="3" borderId="0" xfId="0" applyFont="1" applyFill="1"/>
    <xf numFmtId="0" fontId="34" fillId="3" borderId="22" xfId="0" applyFont="1" applyFill="1" applyBorder="1" applyAlignment="1">
      <alignment horizontal="justify" vertical="center" wrapText="1" readingOrder="1"/>
    </xf>
    <xf numFmtId="9" fontId="33" fillId="3" borderId="31" xfId="0" applyNumberFormat="1" applyFont="1" applyFill="1" applyBorder="1" applyAlignment="1">
      <alignment horizontal="center" vertical="center" wrapText="1" readingOrder="1"/>
    </xf>
    <xf numFmtId="0" fontId="34" fillId="3" borderId="21" xfId="0" applyFont="1" applyFill="1" applyBorder="1" applyAlignment="1">
      <alignment horizontal="justify" vertical="center" wrapText="1" readingOrder="1"/>
    </xf>
    <xf numFmtId="9" fontId="33" fillId="3" borderId="26" xfId="0" applyNumberFormat="1" applyFont="1" applyFill="1" applyBorder="1" applyAlignment="1">
      <alignment horizontal="center" vertical="center" wrapText="1" readingOrder="1"/>
    </xf>
    <xf numFmtId="0" fontId="34" fillId="3" borderId="26" xfId="0" applyFont="1" applyFill="1" applyBorder="1" applyAlignment="1">
      <alignment horizontal="center" vertical="center" wrapText="1" readingOrder="1"/>
    </xf>
    <xf numFmtId="0" fontId="34" fillId="3" borderId="28" xfId="0" applyFont="1" applyFill="1" applyBorder="1" applyAlignment="1">
      <alignment horizontal="justify" vertical="center" wrapText="1" readingOrder="1"/>
    </xf>
    <xf numFmtId="0" fontId="34" fillId="3" borderId="29" xfId="0" applyFont="1" applyFill="1" applyBorder="1" applyAlignment="1">
      <alignment horizontal="center" vertical="center" wrapText="1" readingOrder="1"/>
    </xf>
    <xf numFmtId="0" fontId="42" fillId="3" borderId="0" xfId="0" applyFont="1" applyFill="1"/>
    <xf numFmtId="0" fontId="33" fillId="15" borderId="34" xfId="0" applyFont="1" applyFill="1" applyBorder="1" applyAlignment="1">
      <alignment horizontal="center" vertical="center" wrapText="1" readingOrder="1"/>
    </xf>
    <xf numFmtId="0" fontId="11" fillId="3" borderId="0" xfId="0" applyFont="1" applyFill="1"/>
    <xf numFmtId="0" fontId="27" fillId="3" borderId="0" xfId="0" applyFont="1" applyFill="1" applyAlignment="1">
      <alignment horizontal="center" vertical="center" wrapText="1"/>
    </xf>
    <xf numFmtId="0" fontId="10" fillId="3" borderId="0" xfId="0" applyFont="1" applyFill="1" applyAlignment="1">
      <alignment horizontal="justify" vertical="center" wrapText="1" readingOrder="1"/>
    </xf>
    <xf numFmtId="0" fontId="3" fillId="3" borderId="0" xfId="0" applyFont="1" applyFill="1" applyAlignment="1">
      <alignment vertical="center"/>
    </xf>
    <xf numFmtId="0" fontId="13" fillId="3" borderId="0" xfId="0" applyFont="1" applyFill="1"/>
    <xf numFmtId="0" fontId="3" fillId="3" borderId="0" xfId="0" applyFont="1" applyFill="1" applyAlignment="1">
      <alignment horizontal="left" vertical="center"/>
    </xf>
    <xf numFmtId="0" fontId="45" fillId="3" borderId="7" xfId="2" applyFont="1" applyFill="1" applyBorder="1"/>
    <xf numFmtId="0" fontId="50" fillId="3" borderId="0" xfId="0" applyFont="1" applyFill="1" applyAlignment="1">
      <alignment horizontal="left" vertical="center" wrapText="1"/>
    </xf>
    <xf numFmtId="0" fontId="51" fillId="3" borderId="0" xfId="0" applyFont="1" applyFill="1" applyAlignment="1">
      <alignment horizontal="left" vertical="top" wrapText="1"/>
    </xf>
    <xf numFmtId="0" fontId="45" fillId="3" borderId="0" xfId="2" applyFont="1" applyFill="1"/>
    <xf numFmtId="0" fontId="45" fillId="3" borderId="8" xfId="2" applyFont="1" applyFill="1" applyBorder="1"/>
    <xf numFmtId="0" fontId="45" fillId="3" borderId="9" xfId="2" applyFont="1" applyFill="1" applyBorder="1"/>
    <xf numFmtId="0" fontId="45" fillId="3" borderId="11" xfId="2" applyFont="1" applyFill="1" applyBorder="1"/>
    <xf numFmtId="0" fontId="45" fillId="3" borderId="10" xfId="2" applyFont="1" applyFill="1" applyBorder="1"/>
    <xf numFmtId="0" fontId="49" fillId="3" borderId="0" xfId="2" applyFont="1" applyFill="1" applyAlignment="1">
      <alignment horizontal="left" vertical="center" wrapText="1"/>
    </xf>
    <xf numFmtId="0" fontId="45" fillId="3" borderId="0" xfId="2" applyFont="1" applyFill="1" applyAlignment="1">
      <alignment horizontal="left" vertical="center" wrapText="1"/>
    </xf>
    <xf numFmtId="0" fontId="45" fillId="3" borderId="0" xfId="2" quotePrefix="1" applyFont="1" applyFill="1" applyAlignment="1">
      <alignment horizontal="left" vertical="center" wrapText="1"/>
    </xf>
    <xf numFmtId="0" fontId="47" fillId="3" borderId="7" xfId="2" quotePrefix="1" applyFont="1" applyFill="1" applyBorder="1" applyAlignment="1">
      <alignment horizontal="left" vertical="top" wrapText="1"/>
    </xf>
    <xf numFmtId="0" fontId="48" fillId="3" borderId="0" xfId="2" quotePrefix="1" applyFont="1" applyFill="1" applyAlignment="1">
      <alignment horizontal="left" vertical="top" wrapText="1"/>
    </xf>
    <xf numFmtId="0" fontId="48" fillId="3" borderId="8" xfId="2" quotePrefix="1" applyFont="1" applyFill="1" applyBorder="1" applyAlignment="1">
      <alignment horizontal="left" vertical="top" wrapText="1"/>
    </xf>
    <xf numFmtId="0" fontId="0" fillId="0" borderId="0" xfId="0" applyAlignment="1">
      <alignment wrapText="1"/>
    </xf>
    <xf numFmtId="0" fontId="0" fillId="17" borderId="0" xfId="0" applyFill="1"/>
    <xf numFmtId="0" fontId="61" fillId="17" borderId="0" xfId="0" applyFont="1" applyFill="1"/>
    <xf numFmtId="14" fontId="61" fillId="0" borderId="74" xfId="0" applyNumberFormat="1" applyFont="1" applyBorder="1" applyAlignment="1" applyProtection="1">
      <alignment horizontal="center" vertical="center"/>
      <protection locked="0"/>
    </xf>
    <xf numFmtId="0" fontId="61" fillId="0" borderId="74" xfId="0" applyFont="1" applyBorder="1" applyAlignment="1" applyProtection="1">
      <alignment horizontal="center" vertical="center"/>
      <protection locked="0"/>
    </xf>
    <xf numFmtId="0" fontId="61" fillId="0" borderId="74" xfId="0" applyFont="1" applyBorder="1" applyAlignment="1" applyProtection="1">
      <alignment horizontal="center" vertical="center" wrapText="1"/>
      <protection locked="0"/>
    </xf>
    <xf numFmtId="0" fontId="61" fillId="0" borderId="74" xfId="0" applyFont="1" applyBorder="1" applyAlignment="1" applyProtection="1">
      <alignment horizontal="justify" wrapText="1"/>
      <protection locked="0"/>
    </xf>
    <xf numFmtId="0" fontId="11" fillId="17" borderId="0" xfId="0" applyFont="1" applyFill="1"/>
    <xf numFmtId="0" fontId="62" fillId="0" borderId="24" xfId="0" applyFont="1" applyBorder="1" applyAlignment="1">
      <alignment horizontal="center" vertical="center"/>
    </xf>
    <xf numFmtId="0" fontId="62" fillId="0" borderId="85" xfId="0" applyFont="1" applyBorder="1" applyAlignment="1">
      <alignment horizontal="center" vertical="center" wrapText="1"/>
    </xf>
    <xf numFmtId="0" fontId="62" fillId="0" borderId="85" xfId="0" applyFont="1" applyBorder="1" applyAlignment="1">
      <alignment horizontal="center" vertical="center"/>
    </xf>
    <xf numFmtId="0" fontId="0" fillId="0" borderId="5" xfId="0" applyBorder="1"/>
    <xf numFmtId="0" fontId="0" fillId="0" borderId="12"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0" fillId="0" borderId="10" xfId="0" applyBorder="1"/>
    <xf numFmtId="14" fontId="66" fillId="16" borderId="74" xfId="0" applyNumberFormat="1" applyFont="1" applyFill="1" applyBorder="1" applyAlignment="1">
      <alignment horizontal="center" vertical="center" wrapText="1"/>
    </xf>
    <xf numFmtId="0" fontId="66" fillId="16" borderId="74" xfId="0" applyFont="1" applyFill="1" applyBorder="1" applyAlignment="1">
      <alignment horizontal="center" vertical="center" wrapText="1"/>
    </xf>
    <xf numFmtId="0" fontId="72" fillId="17" borderId="0" xfId="0" applyFont="1" applyFill="1" applyAlignment="1">
      <alignment horizontal="center" vertical="center" textRotation="90"/>
    </xf>
    <xf numFmtId="0" fontId="74" fillId="0" borderId="0" xfId="0" applyFont="1" applyAlignment="1">
      <alignment vertical="center"/>
    </xf>
    <xf numFmtId="0" fontId="76" fillId="0" borderId="0" xfId="0" applyFont="1"/>
    <xf numFmtId="0" fontId="72" fillId="0" borderId="0" xfId="0" applyFont="1" applyAlignment="1">
      <alignment horizontal="left" vertical="center"/>
    </xf>
    <xf numFmtId="0" fontId="61" fillId="0" borderId="91" xfId="0" applyFont="1" applyBorder="1" applyAlignment="1">
      <alignment horizontal="left" vertical="center"/>
    </xf>
    <xf numFmtId="0" fontId="61" fillId="0" borderId="92" xfId="0" applyFont="1" applyBorder="1" applyAlignment="1">
      <alignment horizontal="left" vertical="center"/>
    </xf>
    <xf numFmtId="0" fontId="76" fillId="3" borderId="0" xfId="0" applyFont="1" applyFill="1"/>
    <xf numFmtId="0" fontId="77" fillId="3" borderId="0" xfId="0" applyFont="1" applyFill="1" applyAlignment="1">
      <alignment horizontal="center" vertical="center"/>
    </xf>
    <xf numFmtId="0" fontId="0" fillId="0" borderId="85" xfId="0" applyBorder="1" applyAlignment="1">
      <alignment horizontal="center" vertical="center"/>
    </xf>
    <xf numFmtId="0" fontId="66" fillId="19" borderId="85" xfId="0" applyFont="1" applyFill="1" applyBorder="1" applyAlignment="1">
      <alignment horizontal="center" vertical="center"/>
    </xf>
    <xf numFmtId="0" fontId="66" fillId="19" borderId="0" xfId="0" applyFont="1" applyFill="1" applyAlignment="1">
      <alignment horizontal="center" vertical="center"/>
    </xf>
    <xf numFmtId="0" fontId="75" fillId="0" borderId="0" xfId="0" applyFont="1" applyAlignment="1">
      <alignment horizontal="center"/>
    </xf>
    <xf numFmtId="0" fontId="75" fillId="0" borderId="0" xfId="0" applyFont="1" applyAlignment="1">
      <alignment horizontal="center" vertical="center"/>
    </xf>
    <xf numFmtId="0" fontId="68" fillId="21" borderId="27" xfId="0" applyFont="1" applyFill="1" applyBorder="1" applyAlignment="1">
      <alignment horizontal="center" vertical="center" wrapText="1"/>
    </xf>
    <xf numFmtId="0" fontId="68" fillId="21" borderId="28" xfId="0" applyFont="1" applyFill="1" applyBorder="1" applyAlignment="1">
      <alignment horizontal="center" vertical="center" wrapText="1"/>
    </xf>
    <xf numFmtId="0" fontId="78" fillId="3" borderId="21" xfId="0" applyFont="1" applyFill="1" applyBorder="1" applyAlignment="1" applyProtection="1">
      <alignment horizontal="justify" vertical="justify" wrapText="1"/>
      <protection locked="0"/>
    </xf>
    <xf numFmtId="0" fontId="67" fillId="0" borderId="22" xfId="0" applyFont="1" applyBorder="1" applyAlignment="1" applyProtection="1">
      <alignment horizontal="center" vertical="center" wrapText="1"/>
      <protection locked="0"/>
    </xf>
    <xf numFmtId="0" fontId="78" fillId="0" borderId="21" xfId="0" applyFont="1" applyBorder="1" applyAlignment="1" applyProtection="1">
      <alignment horizontal="justify" vertical="justify" wrapText="1"/>
      <protection locked="0"/>
    </xf>
    <xf numFmtId="0" fontId="67" fillId="0" borderId="21" xfId="0" applyFont="1" applyBorder="1" applyAlignment="1" applyProtection="1">
      <alignment horizontal="center" vertical="center" wrapText="1"/>
      <protection locked="0"/>
    </xf>
    <xf numFmtId="0" fontId="78" fillId="22" borderId="21" xfId="0" applyFont="1" applyFill="1" applyBorder="1" applyAlignment="1" applyProtection="1">
      <alignment horizontal="justify" vertical="justify" wrapText="1"/>
      <protection locked="0"/>
    </xf>
    <xf numFmtId="0" fontId="43" fillId="0" borderId="25" xfId="0" applyFont="1" applyBorder="1" applyAlignment="1" applyProtection="1">
      <alignment horizontal="justify" vertical="center" wrapText="1"/>
      <protection locked="0"/>
    </xf>
    <xf numFmtId="0" fontId="68" fillId="21" borderId="25" xfId="0" applyFont="1" applyFill="1" applyBorder="1" applyAlignment="1">
      <alignment horizontal="center" vertical="center" wrapText="1"/>
    </xf>
    <xf numFmtId="0" fontId="67" fillId="21" borderId="21" xfId="0" applyFont="1" applyFill="1" applyBorder="1" applyAlignment="1" applyProtection="1">
      <alignment horizontal="center" vertical="center"/>
      <protection locked="0"/>
    </xf>
    <xf numFmtId="0" fontId="78" fillId="23" borderId="22" xfId="0" applyFont="1" applyFill="1" applyBorder="1" applyAlignment="1" applyProtection="1">
      <alignment horizontal="justify" vertical="justify" wrapText="1"/>
      <protection locked="0"/>
    </xf>
    <xf numFmtId="0" fontId="79" fillId="21" borderId="21" xfId="0" applyFont="1" applyFill="1" applyBorder="1" applyAlignment="1" applyProtection="1">
      <alignment horizontal="center" vertical="center"/>
      <protection locked="0"/>
    </xf>
    <xf numFmtId="0" fontId="78" fillId="24" borderId="21" xfId="0" applyFont="1" applyFill="1" applyBorder="1" applyAlignment="1" applyProtection="1">
      <alignment horizontal="justify" vertical="justify" wrapText="1"/>
      <protection locked="0"/>
    </xf>
    <xf numFmtId="0" fontId="78" fillId="22" borderId="67" xfId="0" applyFont="1" applyFill="1" applyBorder="1" applyAlignment="1" applyProtection="1">
      <alignment wrapText="1"/>
      <protection locked="0"/>
    </xf>
    <xf numFmtId="0" fontId="61" fillId="3" borderId="21" xfId="0" applyFont="1" applyFill="1" applyBorder="1" applyAlignment="1" applyProtection="1">
      <alignment horizontal="justify" vertical="justify" wrapText="1"/>
      <protection locked="0"/>
    </xf>
    <xf numFmtId="0" fontId="11" fillId="18" borderId="0" xfId="0" applyFont="1" applyFill="1" applyAlignment="1">
      <alignment horizontal="center" vertical="center"/>
    </xf>
    <xf numFmtId="0" fontId="56" fillId="18" borderId="0" xfId="0" applyFont="1" applyFill="1" applyAlignment="1">
      <alignment horizontal="center" vertical="center"/>
    </xf>
    <xf numFmtId="0" fontId="56" fillId="18" borderId="0" xfId="0" applyFont="1" applyFill="1" applyAlignment="1">
      <alignment horizontal="center" vertical="center" wrapText="1"/>
    </xf>
    <xf numFmtId="0" fontId="11" fillId="18" borderId="0" xfId="0" applyFont="1" applyFill="1" applyAlignment="1">
      <alignment wrapText="1"/>
    </xf>
    <xf numFmtId="0" fontId="61" fillId="0" borderId="0" xfId="0" applyFont="1"/>
    <xf numFmtId="0" fontId="61" fillId="0" borderId="0" xfId="0" applyFont="1" applyAlignment="1">
      <alignment horizontal="center" vertical="center"/>
    </xf>
    <xf numFmtId="0" fontId="61" fillId="0" borderId="0" xfId="0" applyFont="1" applyAlignment="1">
      <alignment horizontal="center"/>
    </xf>
    <xf numFmtId="0" fontId="61" fillId="3" borderId="0" xfId="0" applyFont="1" applyFill="1"/>
    <xf numFmtId="0" fontId="80" fillId="3" borderId="0" xfId="0" applyFont="1" applyFill="1"/>
    <xf numFmtId="0" fontId="66" fillId="3" borderId="0" xfId="0" applyFont="1" applyFill="1" applyAlignment="1">
      <alignment horizontal="center" vertical="center"/>
    </xf>
    <xf numFmtId="0" fontId="72" fillId="3" borderId="0" xfId="0" applyFont="1" applyFill="1" applyAlignment="1">
      <alignment horizontal="center" vertical="center"/>
    </xf>
    <xf numFmtId="0" fontId="72" fillId="2" borderId="0" xfId="0" applyFont="1" applyFill="1" applyAlignment="1">
      <alignment horizontal="center" vertical="center"/>
    </xf>
    <xf numFmtId="0" fontId="61" fillId="0" borderId="3" xfId="0" applyFont="1" applyBorder="1" applyAlignment="1">
      <alignment horizontal="center" vertical="center"/>
    </xf>
    <xf numFmtId="0" fontId="61" fillId="0" borderId="2" xfId="0" applyFont="1" applyBorder="1" applyAlignment="1">
      <alignment horizontal="center" vertical="center"/>
    </xf>
    <xf numFmtId="0" fontId="61" fillId="0" borderId="0" xfId="0" applyFont="1" applyAlignment="1">
      <alignment horizontal="center" wrapText="1"/>
    </xf>
    <xf numFmtId="0" fontId="61" fillId="0" borderId="0" xfId="0" applyFont="1" applyAlignment="1">
      <alignment wrapText="1"/>
    </xf>
    <xf numFmtId="0" fontId="61" fillId="0" borderId="0" xfId="0" applyFont="1" applyAlignment="1">
      <alignment vertical="center"/>
    </xf>
    <xf numFmtId="0" fontId="81" fillId="0" borderId="0" xfId="0" applyFont="1" applyAlignment="1">
      <alignment horizontal="center" vertical="center" wrapText="1"/>
    </xf>
    <xf numFmtId="0" fontId="81" fillId="0" borderId="21" xfId="0" applyFont="1" applyBorder="1" applyAlignment="1">
      <alignment horizontal="center" vertical="center" wrapText="1"/>
    </xf>
    <xf numFmtId="0" fontId="81" fillId="0" borderId="21" xfId="0" applyFont="1" applyBorder="1" applyAlignment="1" applyProtection="1">
      <alignment horizontal="center" vertical="center" wrapText="1"/>
      <protection hidden="1"/>
    </xf>
    <xf numFmtId="0" fontId="81" fillId="0" borderId="21" xfId="0" applyFont="1" applyBorder="1" applyAlignment="1" applyProtection="1">
      <alignment horizontal="center" vertical="center" textRotation="90" wrapText="1"/>
      <protection locked="0"/>
    </xf>
    <xf numFmtId="9" fontId="81" fillId="0" borderId="21" xfId="0" applyNumberFormat="1" applyFont="1" applyBorder="1" applyAlignment="1" applyProtection="1">
      <alignment horizontal="center" vertical="center" wrapText="1"/>
      <protection hidden="1"/>
    </xf>
    <xf numFmtId="164" fontId="81" fillId="0" borderId="21" xfId="1" applyNumberFormat="1" applyFont="1" applyBorder="1" applyAlignment="1">
      <alignment horizontal="center" vertical="center" wrapText="1"/>
    </xf>
    <xf numFmtId="0" fontId="83" fillId="0" borderId="21" xfId="0" applyFont="1" applyBorder="1" applyAlignment="1" applyProtection="1">
      <alignment horizontal="center" vertical="center" textRotation="90" wrapText="1"/>
      <protection hidden="1"/>
    </xf>
    <xf numFmtId="0" fontId="81" fillId="3" borderId="0" xfId="0" applyFont="1" applyFill="1" applyAlignment="1">
      <alignment horizontal="center" vertical="center" wrapText="1"/>
    </xf>
    <xf numFmtId="0" fontId="61" fillId="0" borderId="74" xfId="0" applyFont="1" applyBorder="1" applyAlignment="1" applyProtection="1">
      <alignment horizontal="left" vertical="center" wrapText="1"/>
      <protection locked="0"/>
    </xf>
    <xf numFmtId="0" fontId="55" fillId="11" borderId="12" xfId="0" applyFont="1" applyFill="1" applyBorder="1" applyAlignment="1" applyProtection="1">
      <alignment horizontal="center" vertical="center" wrapText="1" readingOrder="1"/>
      <protection hidden="1"/>
    </xf>
    <xf numFmtId="0" fontId="73" fillId="13" borderId="12" xfId="0" applyFont="1" applyFill="1" applyBorder="1" applyAlignment="1" applyProtection="1">
      <alignment horizontal="center" wrapText="1" readingOrder="1"/>
      <protection hidden="1"/>
    </xf>
    <xf numFmtId="0" fontId="54" fillId="0" borderId="94" xfId="0" applyFont="1" applyBorder="1" applyAlignment="1">
      <alignment vertical="center"/>
    </xf>
    <xf numFmtId="0" fontId="54" fillId="0" borderId="90" xfId="0" applyFont="1" applyBorder="1" applyAlignment="1">
      <alignment vertical="center"/>
    </xf>
    <xf numFmtId="0" fontId="54" fillId="0" borderId="93" xfId="0" applyFont="1" applyBorder="1" applyAlignment="1">
      <alignment vertical="center"/>
    </xf>
    <xf numFmtId="0" fontId="33" fillId="15" borderId="33"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xf numFmtId="14" fontId="84" fillId="3" borderId="0" xfId="5" applyNumberFormat="1" applyFill="1" applyAlignment="1">
      <alignment horizontal="center" vertical="center" wrapText="1"/>
    </xf>
    <xf numFmtId="0" fontId="84" fillId="3" borderId="0" xfId="5" applyFill="1" applyAlignment="1">
      <alignment horizontal="center" vertical="center" wrapText="1"/>
    </xf>
    <xf numFmtId="0" fontId="81" fillId="17" borderId="21" xfId="0" applyFont="1" applyFill="1" applyBorder="1" applyAlignment="1">
      <alignment horizontal="center" vertical="center" wrapText="1"/>
    </xf>
    <xf numFmtId="14" fontId="81" fillId="28" borderId="21" xfId="0" applyNumberFormat="1" applyFont="1" applyFill="1" applyBorder="1" applyAlignment="1" applyProtection="1">
      <alignment horizontal="center" vertical="center" wrapText="1"/>
      <protection locked="0"/>
    </xf>
    <xf numFmtId="0" fontId="81" fillId="29" borderId="21" xfId="0" applyFont="1" applyFill="1" applyBorder="1" applyAlignment="1" applyProtection="1">
      <alignment horizontal="center" vertical="center" wrapText="1"/>
      <protection locked="0"/>
    </xf>
    <xf numFmtId="14" fontId="81" fillId="0" borderId="21" xfId="0" applyNumberFormat="1" applyFont="1" applyBorder="1" applyAlignment="1" applyProtection="1">
      <alignment vertical="center" wrapText="1"/>
      <protection locked="0"/>
    </xf>
    <xf numFmtId="14" fontId="81" fillId="0" borderId="21" xfId="0" applyNumberFormat="1" applyFont="1" applyBorder="1" applyAlignment="1" applyProtection="1">
      <alignment horizontal="center" vertical="center" wrapText="1"/>
      <protection locked="0"/>
    </xf>
    <xf numFmtId="0" fontId="74" fillId="18" borderId="0" xfId="0" applyFont="1" applyFill="1" applyAlignment="1">
      <alignment horizontal="center" vertical="center"/>
    </xf>
    <xf numFmtId="166" fontId="81" fillId="0" borderId="21" xfId="0" applyNumberFormat="1" applyFont="1" applyBorder="1" applyAlignment="1" applyProtection="1">
      <alignment horizontal="center" vertical="center" wrapText="1"/>
      <protection locked="0"/>
    </xf>
    <xf numFmtId="0" fontId="81" fillId="0" borderId="21" xfId="0" applyFont="1" applyBorder="1" applyAlignment="1" applyProtection="1">
      <alignment vertical="center" wrapText="1"/>
      <protection locked="0"/>
    </xf>
    <xf numFmtId="14" fontId="90" fillId="17" borderId="21" xfId="5" applyNumberFormat="1" applyFont="1" applyFill="1" applyBorder="1" applyAlignment="1">
      <alignment horizontal="center" vertical="center" wrapText="1"/>
    </xf>
    <xf numFmtId="0" fontId="81" fillId="0" borderId="21" xfId="0" applyFont="1" applyBorder="1" applyAlignment="1">
      <alignment horizontal="center" vertical="center"/>
    </xf>
    <xf numFmtId="0" fontId="90" fillId="17" borderId="21" xfId="5" applyFont="1" applyFill="1" applyBorder="1" applyAlignment="1">
      <alignment horizontal="center" vertical="center" wrapText="1"/>
    </xf>
    <xf numFmtId="0" fontId="83" fillId="0" borderId="66" xfId="0" applyFont="1" applyBorder="1" applyAlignment="1">
      <alignment horizontal="left" vertical="center"/>
    </xf>
    <xf numFmtId="0" fontId="73" fillId="0" borderId="21" xfId="0" applyFont="1" applyBorder="1" applyAlignment="1">
      <alignment horizontal="left" vertical="center"/>
    </xf>
    <xf numFmtId="0" fontId="83" fillId="0" borderId="21" xfId="0" applyFont="1" applyBorder="1" applyAlignment="1">
      <alignment horizontal="left" vertical="center"/>
    </xf>
    <xf numFmtId="0" fontId="73" fillId="0" borderId="63" xfId="0" applyFont="1" applyBorder="1" applyAlignment="1" applyProtection="1">
      <alignment horizontal="center" wrapText="1"/>
      <protection locked="0"/>
    </xf>
    <xf numFmtId="0" fontId="73" fillId="0" borderId="57" xfId="0" applyFont="1" applyBorder="1" applyAlignment="1" applyProtection="1">
      <alignment horizontal="center" wrapText="1"/>
      <protection locked="0"/>
    </xf>
    <xf numFmtId="0" fontId="73" fillId="0" borderId="57" xfId="0" applyFont="1" applyBorder="1" applyAlignment="1" applyProtection="1">
      <alignment horizontal="center" vertical="center"/>
      <protection locked="0"/>
    </xf>
    <xf numFmtId="0" fontId="83" fillId="0" borderId="57" xfId="0" applyFont="1" applyBorder="1" applyAlignment="1">
      <alignment horizontal="left" vertical="center"/>
    </xf>
    <xf numFmtId="0" fontId="66" fillId="3" borderId="66" xfId="0" applyFont="1" applyFill="1" applyBorder="1" applyAlignment="1">
      <alignment horizontal="center" vertical="center"/>
    </xf>
    <xf numFmtId="0" fontId="66" fillId="3" borderId="67" xfId="0" applyFont="1" applyFill="1" applyBorder="1" applyAlignment="1">
      <alignment horizontal="center" vertical="center"/>
    </xf>
    <xf numFmtId="0" fontId="66" fillId="3" borderId="65" xfId="0" applyFont="1" applyFill="1" applyBorder="1" applyAlignment="1">
      <alignment horizontal="center" vertical="center"/>
    </xf>
    <xf numFmtId="0" fontId="66" fillId="3" borderId="57" xfId="0" applyFont="1" applyFill="1" applyBorder="1" applyAlignment="1">
      <alignment horizontal="center" vertical="center"/>
    </xf>
    <xf numFmtId="0" fontId="66" fillId="3" borderId="40" xfId="0" applyFont="1" applyFill="1" applyBorder="1" applyAlignment="1">
      <alignment vertical="center"/>
    </xf>
    <xf numFmtId="0" fontId="66" fillId="16" borderId="63" xfId="0" applyFont="1" applyFill="1" applyBorder="1" applyAlignment="1">
      <alignment horizontal="center" vertical="center"/>
    </xf>
    <xf numFmtId="0" fontId="66" fillId="16" borderId="21" xfId="0" applyFont="1" applyFill="1" applyBorder="1" applyAlignment="1">
      <alignment horizontal="center" vertical="center" textRotation="90"/>
    </xf>
    <xf numFmtId="0" fontId="66" fillId="16" borderId="21" xfId="0" applyFont="1" applyFill="1" applyBorder="1" applyAlignment="1">
      <alignment horizontal="center" vertical="center" wrapText="1"/>
    </xf>
    <xf numFmtId="0" fontId="81" fillId="0" borderId="21" xfId="0" applyFont="1" applyBorder="1" applyAlignment="1" applyProtection="1">
      <alignment horizontal="justify" vertical="center" wrapText="1"/>
      <protection locked="0"/>
    </xf>
    <xf numFmtId="0" fontId="81" fillId="0" borderId="7" xfId="0" applyFont="1" applyBorder="1" applyAlignment="1">
      <alignment vertical="center" wrapText="1"/>
    </xf>
    <xf numFmtId="0" fontId="81" fillId="0" borderId="0" xfId="0" applyFont="1" applyAlignment="1">
      <alignment vertical="center" wrapText="1"/>
    </xf>
    <xf numFmtId="0" fontId="83" fillId="0" borderId="0" xfId="0" applyFont="1" applyAlignment="1">
      <alignment horizontal="center" vertical="center" wrapText="1"/>
    </xf>
    <xf numFmtId="0" fontId="81" fillId="0" borderId="0" xfId="0" applyFont="1" applyAlignment="1">
      <alignment horizontal="left" vertical="center" wrapText="1"/>
    </xf>
    <xf numFmtId="0" fontId="78" fillId="0" borderId="68" xfId="0" applyFont="1" applyBorder="1" applyAlignment="1">
      <alignment horizontal="center" vertical="center" wrapText="1"/>
    </xf>
    <xf numFmtId="0" fontId="78" fillId="0" borderId="0" xfId="0" applyFont="1" applyAlignment="1">
      <alignment vertical="center" wrapText="1"/>
    </xf>
    <xf numFmtId="0" fontId="78" fillId="0" borderId="0" xfId="0" applyFont="1" applyAlignment="1">
      <alignment horizontal="center" vertical="center" wrapText="1"/>
    </xf>
    <xf numFmtId="0" fontId="61" fillId="28" borderId="21" xfId="0" applyFont="1" applyFill="1" applyBorder="1" applyAlignment="1">
      <alignment horizontal="left" vertical="center" wrapText="1"/>
    </xf>
    <xf numFmtId="0" fontId="73" fillId="0" borderId="57" xfId="0" applyFont="1" applyBorder="1" applyAlignment="1" applyProtection="1">
      <alignment horizontal="center" vertical="center" wrapText="1"/>
      <protection locked="0"/>
    </xf>
    <xf numFmtId="0" fontId="66" fillId="3" borderId="0" xfId="0" applyFont="1" applyFill="1" applyAlignment="1">
      <alignment horizontal="center" vertical="center" wrapText="1"/>
    </xf>
    <xf numFmtId="0" fontId="84" fillId="28" borderId="21" xfId="5" applyFill="1" applyBorder="1" applyAlignment="1">
      <alignment horizontal="left" vertical="center" wrapText="1"/>
    </xf>
    <xf numFmtId="0" fontId="81" fillId="3" borderId="21" xfId="0" applyFont="1" applyFill="1" applyBorder="1" applyAlignment="1" applyProtection="1">
      <alignment horizontal="left" vertical="center" wrapText="1"/>
      <protection locked="0"/>
    </xf>
    <xf numFmtId="0" fontId="81" fillId="3" borderId="21" xfId="0" applyFont="1" applyFill="1" applyBorder="1" applyAlignment="1">
      <alignment horizontal="center" vertical="center"/>
    </xf>
    <xf numFmtId="0" fontId="81" fillId="3" borderId="21" xfId="0" applyFont="1" applyFill="1" applyBorder="1" applyAlignment="1" applyProtection="1">
      <alignment horizontal="justify" vertical="center" wrapText="1"/>
      <protection locked="0"/>
    </xf>
    <xf numFmtId="0" fontId="81" fillId="3" borderId="21" xfId="0" applyFont="1" applyFill="1" applyBorder="1" applyAlignment="1">
      <alignment horizontal="center" vertical="center" wrapText="1"/>
    </xf>
    <xf numFmtId="0" fontId="81" fillId="0" borderId="21" xfId="0" applyFont="1" applyBorder="1" applyAlignment="1" applyProtection="1">
      <alignment horizontal="center" vertical="center" wrapText="1"/>
      <protection locked="0"/>
    </xf>
    <xf numFmtId="0" fontId="91" fillId="0" borderId="21" xfId="0" applyFont="1" applyBorder="1" applyAlignment="1" applyProtection="1">
      <alignment horizontal="center" vertical="center" wrapText="1"/>
      <protection locked="0"/>
    </xf>
    <xf numFmtId="0" fontId="83" fillId="0" borderId="21" xfId="0" applyFont="1" applyBorder="1" applyAlignment="1">
      <alignment horizontal="center" vertical="center" wrapText="1"/>
    </xf>
    <xf numFmtId="0" fontId="81" fillId="27" borderId="21" xfId="0" applyFont="1" applyFill="1" applyBorder="1" applyAlignment="1" applyProtection="1">
      <alignment horizontal="center" vertical="center" wrapText="1"/>
      <protection locked="0"/>
    </xf>
    <xf numFmtId="0" fontId="81" fillId="0" borderId="21" xfId="0" applyFont="1" applyFill="1" applyBorder="1" applyAlignment="1" applyProtection="1">
      <alignment horizontal="center" vertical="center" wrapText="1"/>
      <protection locked="0"/>
    </xf>
    <xf numFmtId="0" fontId="83" fillId="0" borderId="21" xfId="0" applyFont="1" applyBorder="1" applyAlignment="1" applyProtection="1">
      <alignment horizontal="center" vertical="center" wrapText="1"/>
      <protection hidden="1"/>
    </xf>
    <xf numFmtId="9" fontId="81" fillId="0" borderId="21" xfId="0" applyNumberFormat="1" applyFont="1" applyBorder="1" applyAlignment="1" applyProtection="1">
      <alignment horizontal="center" vertical="center" wrapText="1"/>
      <protection locked="0"/>
    </xf>
    <xf numFmtId="14" fontId="61" fillId="28" borderId="21" xfId="0" applyNumberFormat="1" applyFont="1" applyFill="1" applyBorder="1" applyAlignment="1">
      <alignment horizontal="center" vertical="center"/>
    </xf>
    <xf numFmtId="0" fontId="57" fillId="0" borderId="0" xfId="0" applyFont="1" applyAlignment="1">
      <alignment horizontal="center" wrapText="1"/>
    </xf>
    <xf numFmtId="0" fontId="60" fillId="0" borderId="88" xfId="0" applyFont="1" applyBorder="1" applyAlignment="1">
      <alignment horizontal="center" vertical="center" wrapText="1"/>
    </xf>
    <xf numFmtId="0" fontId="60" fillId="0" borderId="12" xfId="0" applyFont="1" applyBorder="1" applyAlignment="1">
      <alignment horizontal="center" vertical="center" wrapText="1"/>
    </xf>
    <xf numFmtId="0" fontId="60" fillId="0" borderId="75" xfId="0" applyFont="1" applyBorder="1" applyAlignment="1">
      <alignment horizontal="center" vertical="center" wrapText="1"/>
    </xf>
    <xf numFmtId="0" fontId="60" fillId="0" borderId="71" xfId="0" applyFont="1" applyBorder="1" applyAlignment="1">
      <alignment horizontal="center" vertical="center" wrapText="1"/>
    </xf>
    <xf numFmtId="0" fontId="60" fillId="0" borderId="0" xfId="0" applyFont="1" applyAlignment="1">
      <alignment horizontal="center" vertical="center" wrapText="1"/>
    </xf>
    <xf numFmtId="0" fontId="60" fillId="0" borderId="72" xfId="0" applyFont="1" applyBorder="1" applyAlignment="1">
      <alignment horizontal="center" vertical="center" wrapText="1"/>
    </xf>
    <xf numFmtId="0" fontId="60" fillId="0" borderId="89" xfId="0" applyFont="1" applyBorder="1" applyAlignment="1">
      <alignment horizontal="center" vertical="center" wrapText="1"/>
    </xf>
    <xf numFmtId="0" fontId="60" fillId="0" borderId="11" xfId="0" applyFont="1" applyBorder="1" applyAlignment="1">
      <alignment horizontal="center" vertical="center" wrapText="1"/>
    </xf>
    <xf numFmtId="0" fontId="60" fillId="0" borderId="78" xfId="0" applyFont="1" applyBorder="1" applyAlignment="1">
      <alignment horizontal="center" vertical="center" wrapText="1"/>
    </xf>
    <xf numFmtId="0" fontId="58" fillId="0" borderId="5" xfId="0" applyFont="1" applyBorder="1" applyAlignment="1">
      <alignment horizontal="center" wrapText="1"/>
    </xf>
    <xf numFmtId="0" fontId="58" fillId="0" borderId="6" xfId="0" applyFont="1" applyBorder="1" applyAlignment="1">
      <alignment horizontal="center" wrapText="1"/>
    </xf>
    <xf numFmtId="0" fontId="58" fillId="0" borderId="7" xfId="0" applyFont="1" applyBorder="1" applyAlignment="1">
      <alignment horizontal="center" wrapText="1"/>
    </xf>
    <xf numFmtId="0" fontId="58" fillId="0" borderId="8" xfId="0" applyFont="1" applyBorder="1" applyAlignment="1">
      <alignment horizontal="center" wrapText="1"/>
    </xf>
    <xf numFmtId="0" fontId="58" fillId="0" borderId="9" xfId="0" applyFont="1" applyBorder="1" applyAlignment="1">
      <alignment horizontal="center" wrapText="1"/>
    </xf>
    <xf numFmtId="0" fontId="58" fillId="0" borderId="10" xfId="0" applyFont="1" applyBorder="1" applyAlignment="1">
      <alignment horizontal="center" wrapText="1"/>
    </xf>
    <xf numFmtId="0" fontId="54" fillId="0" borderId="76" xfId="0" applyFont="1" applyBorder="1" applyAlignment="1">
      <alignment horizontal="left" vertical="center"/>
    </xf>
    <xf numFmtId="0" fontId="54" fillId="0" borderId="6" xfId="0" applyFont="1" applyBorder="1" applyAlignment="1">
      <alignment horizontal="left" vertical="center"/>
    </xf>
    <xf numFmtId="0" fontId="54" fillId="0" borderId="77" xfId="0" applyFont="1" applyBorder="1" applyAlignment="1">
      <alignment horizontal="left" vertical="center"/>
    </xf>
    <xf numFmtId="0" fontId="54" fillId="0" borderId="8" xfId="0" applyFont="1" applyBorder="1" applyAlignment="1">
      <alignment horizontal="left" vertical="center"/>
    </xf>
    <xf numFmtId="0" fontId="54" fillId="0" borderId="79" xfId="0" applyFont="1" applyBorder="1" applyAlignment="1">
      <alignment horizontal="left" vertical="center"/>
    </xf>
    <xf numFmtId="0" fontId="54" fillId="0" borderId="10" xfId="0" applyFont="1" applyBorder="1" applyAlignment="1">
      <alignment horizontal="left" vertical="center"/>
    </xf>
    <xf numFmtId="0" fontId="73" fillId="0" borderId="68" xfId="0" applyFont="1" applyBorder="1" applyAlignment="1">
      <alignment horizontal="center" vertical="center" wrapText="1"/>
    </xf>
    <xf numFmtId="0" fontId="78" fillId="0" borderId="68" xfId="0" applyFont="1" applyBorder="1" applyAlignment="1">
      <alignment horizontal="center" vertical="center" wrapText="1"/>
    </xf>
    <xf numFmtId="0" fontId="61" fillId="0" borderId="64" xfId="0" applyFont="1" applyBorder="1" applyAlignment="1">
      <alignment horizontal="left" vertical="center" wrapText="1"/>
    </xf>
    <xf numFmtId="0" fontId="61" fillId="0" borderId="103" xfId="0" applyFont="1" applyBorder="1" applyAlignment="1">
      <alignment horizontal="left" wrapText="1"/>
    </xf>
    <xf numFmtId="0" fontId="61" fillId="0" borderId="103" xfId="0" applyFont="1" applyBorder="1" applyAlignment="1">
      <alignment horizontal="left"/>
    </xf>
    <xf numFmtId="0" fontId="66" fillId="16" borderId="66" xfId="0" applyFont="1" applyFill="1" applyBorder="1" applyAlignment="1">
      <alignment horizontal="center" vertical="center" wrapText="1"/>
    </xf>
    <xf numFmtId="0" fontId="66" fillId="16" borderId="67" xfId="0" applyFont="1" applyFill="1" applyBorder="1" applyAlignment="1">
      <alignment horizontal="center" vertical="center" wrapText="1"/>
    </xf>
    <xf numFmtId="0" fontId="66" fillId="16" borderId="101" xfId="0" applyFont="1" applyFill="1" applyBorder="1" applyAlignment="1">
      <alignment horizontal="center" vertical="center" textRotation="90"/>
    </xf>
    <xf numFmtId="0" fontId="66" fillId="16" borderId="102" xfId="0" applyFont="1" applyFill="1" applyBorder="1" applyAlignment="1">
      <alignment horizontal="center" vertical="center" textRotation="90"/>
    </xf>
    <xf numFmtId="0" fontId="66" fillId="16" borderId="22" xfId="0" applyFont="1" applyFill="1" applyBorder="1" applyAlignment="1">
      <alignment horizontal="center" vertical="center" textRotation="90"/>
    </xf>
    <xf numFmtId="0" fontId="72" fillId="0" borderId="0" xfId="0" applyFont="1" applyAlignment="1">
      <alignment horizontal="center"/>
    </xf>
    <xf numFmtId="0" fontId="72" fillId="0" borderId="72" xfId="0" applyFont="1" applyBorder="1" applyAlignment="1">
      <alignment horizontal="center"/>
    </xf>
    <xf numFmtId="0" fontId="66" fillId="16" borderId="101" xfId="0" applyFont="1" applyFill="1" applyBorder="1" applyAlignment="1">
      <alignment horizontal="center" vertical="center"/>
    </xf>
    <xf numFmtId="0" fontId="66" fillId="16" borderId="22" xfId="0" applyFont="1" applyFill="1" applyBorder="1" applyAlignment="1">
      <alignment horizontal="center" vertical="center"/>
    </xf>
    <xf numFmtId="0" fontId="66" fillId="16" borderId="101" xfId="0" applyFont="1" applyFill="1" applyBorder="1" applyAlignment="1">
      <alignment horizontal="center" vertical="center" wrapText="1"/>
    </xf>
    <xf numFmtId="0" fontId="66" fillId="16" borderId="22" xfId="0" applyFont="1" applyFill="1" applyBorder="1" applyAlignment="1">
      <alignment horizontal="center" vertical="center" wrapText="1"/>
    </xf>
    <xf numFmtId="0" fontId="66" fillId="16" borderId="21" xfId="0" applyFont="1" applyFill="1" applyBorder="1" applyAlignment="1">
      <alignment horizontal="center" vertical="center" textRotation="90" wrapText="1"/>
    </xf>
    <xf numFmtId="0" fontId="66" fillId="16" borderId="21" xfId="0" applyFont="1" applyFill="1" applyBorder="1" applyAlignment="1">
      <alignment horizontal="center" vertical="center" wrapText="1"/>
    </xf>
    <xf numFmtId="0" fontId="66" fillId="16" borderId="21" xfId="0" applyFont="1" applyFill="1" applyBorder="1" applyAlignment="1">
      <alignment horizontal="center" vertical="center"/>
    </xf>
    <xf numFmtId="0" fontId="81" fillId="0" borderId="21" xfId="0" applyFont="1" applyBorder="1" applyAlignment="1" applyProtection="1">
      <alignment horizontal="center" vertical="center" wrapText="1"/>
      <protection locked="0"/>
    </xf>
    <xf numFmtId="0" fontId="81" fillId="27" borderId="21" xfId="0" applyFont="1" applyFill="1" applyBorder="1" applyAlignment="1" applyProtection="1">
      <alignment horizontal="center" vertical="center" wrapText="1"/>
      <protection locked="0"/>
    </xf>
    <xf numFmtId="0" fontId="83" fillId="0" borderId="21" xfId="0" applyFont="1" applyBorder="1" applyAlignment="1">
      <alignment horizontal="center" vertical="center" wrapText="1"/>
    </xf>
    <xf numFmtId="0" fontId="81" fillId="0" borderId="21" xfId="0" applyFont="1" applyBorder="1" applyAlignment="1">
      <alignment horizontal="center" vertical="center" wrapText="1"/>
    </xf>
    <xf numFmtId="0" fontId="83" fillId="0" borderId="21" xfId="0" applyFont="1" applyBorder="1" applyAlignment="1" applyProtection="1">
      <alignment horizontal="center" vertical="center" wrapText="1"/>
      <protection hidden="1"/>
    </xf>
    <xf numFmtId="0" fontId="81" fillId="0" borderId="21" xfId="0" applyFont="1" applyBorder="1" applyAlignment="1" applyProtection="1">
      <alignment horizontal="center" vertical="center" textRotation="90" wrapText="1"/>
      <protection locked="0"/>
    </xf>
    <xf numFmtId="0" fontId="66" fillId="16" borderId="21" xfId="0" applyFont="1" applyFill="1" applyBorder="1" applyAlignment="1">
      <alignment horizontal="center" vertical="center" textRotation="90"/>
    </xf>
    <xf numFmtId="0" fontId="81" fillId="27" borderId="21" xfId="0" applyFont="1" applyFill="1" applyBorder="1" applyAlignment="1">
      <alignment horizontal="center" vertical="center" wrapText="1"/>
    </xf>
    <xf numFmtId="0" fontId="66" fillId="18" borderId="67" xfId="0" applyFont="1" applyFill="1" applyBorder="1" applyAlignment="1">
      <alignment horizontal="center" vertical="center" wrapText="1"/>
    </xf>
    <xf numFmtId="0" fontId="66" fillId="18" borderId="21" xfId="0" applyFont="1" applyFill="1" applyBorder="1" applyAlignment="1">
      <alignment horizontal="center" vertical="center" wrapText="1"/>
    </xf>
    <xf numFmtId="0" fontId="66" fillId="16" borderId="99" xfId="0" applyFont="1" applyFill="1" applyBorder="1" applyAlignment="1">
      <alignment horizontal="center" vertical="center" wrapText="1"/>
    </xf>
    <xf numFmtId="0" fontId="66" fillId="16" borderId="105" xfId="0" applyFont="1" applyFill="1" applyBorder="1" applyAlignment="1">
      <alignment horizontal="center" vertical="center" wrapText="1"/>
    </xf>
    <xf numFmtId="0" fontId="66" fillId="16" borderId="63" xfId="0" applyFont="1" applyFill="1" applyBorder="1" applyAlignment="1">
      <alignment horizontal="center" vertical="center" wrapText="1"/>
    </xf>
    <xf numFmtId="0" fontId="66" fillId="16" borderId="106" xfId="0" applyFont="1" applyFill="1" applyBorder="1" applyAlignment="1">
      <alignment horizontal="center" vertical="center" wrapText="1"/>
    </xf>
    <xf numFmtId="14" fontId="81" fillId="30" borderId="108" xfId="0" applyNumberFormat="1" applyFont="1" applyFill="1" applyBorder="1" applyAlignment="1">
      <alignment horizontal="center" vertical="center" wrapText="1"/>
    </xf>
    <xf numFmtId="14" fontId="81" fillId="30" borderId="22" xfId="0" applyNumberFormat="1" applyFont="1" applyFill="1" applyBorder="1" applyAlignment="1">
      <alignment horizontal="center" vertical="center" wrapText="1"/>
    </xf>
    <xf numFmtId="0" fontId="66" fillId="16" borderId="66" xfId="0" applyFont="1" applyFill="1" applyBorder="1" applyAlignment="1">
      <alignment horizontal="center" vertical="center"/>
    </xf>
    <xf numFmtId="0" fontId="66" fillId="16" borderId="65" xfId="0" applyFont="1" applyFill="1" applyBorder="1" applyAlignment="1">
      <alignment horizontal="center" vertical="center"/>
    </xf>
    <xf numFmtId="0" fontId="66" fillId="16" borderId="107" xfId="0" applyFont="1" applyFill="1" applyBorder="1" applyAlignment="1">
      <alignment horizontal="center" vertical="center"/>
    </xf>
    <xf numFmtId="14" fontId="81" fillId="26" borderId="108" xfId="0" applyNumberFormat="1" applyFont="1" applyFill="1" applyBorder="1" applyAlignment="1">
      <alignment horizontal="center" vertical="center" wrapText="1"/>
    </xf>
    <xf numFmtId="14" fontId="81" fillId="26" borderId="22" xfId="0" applyNumberFormat="1" applyFont="1" applyFill="1" applyBorder="1" applyAlignment="1">
      <alignment horizontal="center" vertical="center" wrapText="1"/>
    </xf>
    <xf numFmtId="0" fontId="73" fillId="0" borderId="95" xfId="0" applyFont="1" applyBorder="1" applyAlignment="1">
      <alignment horizontal="center" vertical="center" wrapText="1"/>
    </xf>
    <xf numFmtId="0" fontId="73" fillId="0" borderId="96" xfId="0" applyFont="1" applyBorder="1" applyAlignment="1">
      <alignment horizontal="center" vertical="center" wrapText="1"/>
    </xf>
    <xf numFmtId="0" fontId="73" fillId="0" borderId="109" xfId="0" applyFont="1" applyBorder="1" applyAlignment="1">
      <alignment horizontal="center" vertical="center" wrapText="1"/>
    </xf>
    <xf numFmtId="0" fontId="73" fillId="0" borderId="86" xfId="0" applyFont="1" applyBorder="1" applyAlignment="1">
      <alignment horizontal="center" vertical="center" wrapText="1"/>
    </xf>
    <xf numFmtId="0" fontId="73" fillId="0" borderId="0" xfId="0" applyFont="1" applyAlignment="1">
      <alignment horizontal="center" vertical="center" wrapText="1"/>
    </xf>
    <xf numFmtId="0" fontId="73" fillId="0" borderId="72" xfId="0" applyFont="1" applyBorder="1" applyAlignment="1">
      <alignment horizontal="center" vertical="center" wrapText="1"/>
    </xf>
    <xf numFmtId="0" fontId="73" fillId="0" borderId="97" xfId="0" applyFont="1" applyBorder="1" applyAlignment="1">
      <alignment horizontal="center" vertical="center" wrapText="1"/>
    </xf>
    <xf numFmtId="0" fontId="73" fillId="0" borderId="98" xfId="0" applyFont="1" applyBorder="1" applyAlignment="1">
      <alignment horizontal="center" vertical="center" wrapText="1"/>
    </xf>
    <xf numFmtId="0" fontId="73" fillId="0" borderId="110" xfId="0" applyFont="1" applyBorder="1" applyAlignment="1">
      <alignment horizontal="center" vertical="center" wrapText="1"/>
    </xf>
    <xf numFmtId="0" fontId="73" fillId="0" borderId="21" xfId="0" applyFont="1" applyBorder="1" applyAlignment="1" applyProtection="1">
      <alignment horizontal="center" vertical="center"/>
      <protection locked="0"/>
    </xf>
    <xf numFmtId="0" fontId="83" fillId="0" borderId="66" xfId="0" applyFont="1" applyBorder="1" applyAlignment="1">
      <alignment horizontal="left" vertical="center"/>
    </xf>
    <xf numFmtId="0" fontId="83" fillId="0" borderId="65" xfId="0" applyFont="1" applyBorder="1" applyAlignment="1">
      <alignment horizontal="left" vertical="center"/>
    </xf>
    <xf numFmtId="0" fontId="66" fillId="16" borderId="66" xfId="0" applyFont="1" applyFill="1" applyBorder="1" applyAlignment="1">
      <alignment horizontal="left" vertical="center"/>
    </xf>
    <xf numFmtId="0" fontId="66" fillId="16" borderId="65" xfId="0" applyFont="1" applyFill="1" applyBorder="1" applyAlignment="1">
      <alignment horizontal="left" vertical="center"/>
    </xf>
    <xf numFmtId="0" fontId="66" fillId="16" borderId="67" xfId="0" applyFont="1" applyFill="1" applyBorder="1" applyAlignment="1">
      <alignment horizontal="left" vertical="center"/>
    </xf>
    <xf numFmtId="0" fontId="83" fillId="0" borderId="66" xfId="0" applyFont="1" applyBorder="1" applyAlignment="1">
      <alignment horizontal="left" vertical="center" wrapText="1"/>
    </xf>
    <xf numFmtId="0" fontId="83" fillId="0" borderId="65" xfId="0" applyFont="1" applyBorder="1" applyAlignment="1">
      <alignment horizontal="left" vertical="center" wrapText="1"/>
    </xf>
    <xf numFmtId="0" fontId="66" fillId="16" borderId="104" xfId="0" applyFont="1" applyFill="1" applyBorder="1" applyAlignment="1">
      <alignment horizontal="center" vertical="center" wrapText="1"/>
    </xf>
    <xf numFmtId="0" fontId="83" fillId="0" borderId="67" xfId="0" applyFont="1" applyBorder="1" applyAlignment="1">
      <alignment horizontal="left" vertical="center" wrapText="1"/>
    </xf>
    <xf numFmtId="0" fontId="81" fillId="0" borderId="21" xfId="0" applyFont="1" applyBorder="1" applyAlignment="1">
      <alignment horizontal="left" vertical="center" wrapText="1"/>
    </xf>
    <xf numFmtId="9" fontId="81" fillId="0" borderId="21" xfId="0" applyNumberFormat="1" applyFont="1" applyBorder="1" applyAlignment="1" applyProtection="1">
      <alignment horizontal="center" vertical="center" wrapText="1"/>
      <protection hidden="1"/>
    </xf>
    <xf numFmtId="9" fontId="81" fillId="0" borderId="21" xfId="0" applyNumberFormat="1" applyFont="1" applyBorder="1" applyAlignment="1" applyProtection="1">
      <alignment horizontal="center" vertical="center" wrapText="1"/>
      <protection locked="0"/>
    </xf>
    <xf numFmtId="14" fontId="81" fillId="17" borderId="21" xfId="0" applyNumberFormat="1" applyFont="1" applyFill="1" applyBorder="1" applyAlignment="1">
      <alignment horizontal="center" vertical="center" wrapText="1"/>
    </xf>
    <xf numFmtId="14" fontId="81" fillId="29" borderId="21" xfId="0" applyNumberFormat="1" applyFont="1" applyFill="1" applyBorder="1" applyAlignment="1" applyProtection="1">
      <alignment horizontal="center" vertical="center" wrapText="1"/>
      <protection locked="0"/>
    </xf>
    <xf numFmtId="0" fontId="0" fillId="5" borderId="0" xfId="0" applyFill="1" applyAlignment="1">
      <alignment horizontal="center"/>
    </xf>
    <xf numFmtId="0" fontId="61" fillId="0" borderId="23" xfId="0" applyFont="1" applyBorder="1" applyAlignment="1">
      <alignment horizontal="left" vertical="center" wrapText="1"/>
    </xf>
    <xf numFmtId="0" fontId="61" fillId="0" borderId="35" xfId="0" applyFont="1" applyBorder="1" applyAlignment="1">
      <alignment horizontal="left" vertical="center" wrapText="1"/>
    </xf>
    <xf numFmtId="0" fontId="85" fillId="0" borderId="111" xfId="0" applyFont="1" applyBorder="1" applyAlignment="1">
      <alignment horizontal="center" wrapText="1"/>
    </xf>
    <xf numFmtId="0" fontId="85" fillId="0" borderId="112" xfId="0" applyFont="1" applyBorder="1" applyAlignment="1">
      <alignment horizontal="center" wrapText="1"/>
    </xf>
    <xf numFmtId="0" fontId="85" fillId="0" borderId="113" xfId="0" applyFont="1" applyBorder="1" applyAlignment="1">
      <alignment horizontal="center" wrapText="1"/>
    </xf>
    <xf numFmtId="0" fontId="60" fillId="0" borderId="94" xfId="0" applyFont="1" applyBorder="1" applyAlignment="1">
      <alignment horizontal="center" vertical="center" wrapText="1"/>
    </xf>
    <xf numFmtId="0" fontId="60" fillId="0" borderId="90" xfId="0" applyFont="1" applyBorder="1" applyAlignment="1">
      <alignment horizontal="center" vertical="center" wrapText="1"/>
    </xf>
    <xf numFmtId="0" fontId="60" fillId="0" borderId="93" xfId="0" applyFont="1" applyBorder="1" applyAlignment="1">
      <alignment horizontal="center" vertical="center" wrapText="1"/>
    </xf>
    <xf numFmtId="0" fontId="56" fillId="18" borderId="94" xfId="0" applyFont="1" applyFill="1" applyBorder="1" applyAlignment="1">
      <alignment horizontal="center" vertical="center"/>
    </xf>
    <xf numFmtId="0" fontId="56" fillId="18" borderId="90" xfId="0" applyFont="1" applyFill="1" applyBorder="1" applyAlignment="1">
      <alignment horizontal="center" vertical="center"/>
    </xf>
    <xf numFmtId="0" fontId="56" fillId="18" borderId="93" xfId="0" applyFont="1" applyFill="1" applyBorder="1" applyAlignment="1">
      <alignment horizontal="center" vertical="center"/>
    </xf>
    <xf numFmtId="0" fontId="66" fillId="18" borderId="5" xfId="0" applyFont="1" applyFill="1" applyBorder="1" applyAlignment="1">
      <alignment horizontal="center" vertical="center"/>
    </xf>
    <xf numFmtId="0" fontId="66" fillId="18" borderId="6" xfId="0" applyFont="1" applyFill="1" applyBorder="1" applyAlignment="1">
      <alignment horizontal="center" vertical="center"/>
    </xf>
    <xf numFmtId="0" fontId="66" fillId="18" borderId="9" xfId="0" applyFont="1" applyFill="1" applyBorder="1" applyAlignment="1">
      <alignment horizontal="center" vertical="center"/>
    </xf>
    <xf numFmtId="0" fontId="66" fillId="18" borderId="10" xfId="0" applyFont="1" applyFill="1" applyBorder="1" applyAlignment="1">
      <alignment horizontal="center" vertical="center"/>
    </xf>
    <xf numFmtId="0" fontId="66" fillId="19" borderId="9" xfId="0" applyFont="1" applyFill="1" applyBorder="1" applyAlignment="1">
      <alignment horizontal="center" vertical="center"/>
    </xf>
    <xf numFmtId="0" fontId="66" fillId="19" borderId="10" xfId="0" applyFont="1" applyFill="1" applyBorder="1" applyAlignment="1">
      <alignment horizontal="center" vertical="center"/>
    </xf>
    <xf numFmtId="0" fontId="66" fillId="18" borderId="5" xfId="0" applyFont="1" applyFill="1" applyBorder="1" applyAlignment="1">
      <alignment horizontal="center" vertical="center" wrapText="1"/>
    </xf>
    <xf numFmtId="0" fontId="66" fillId="18" borderId="6" xfId="0" applyFont="1" applyFill="1" applyBorder="1" applyAlignment="1">
      <alignment horizontal="center" vertical="center" wrapText="1"/>
    </xf>
    <xf numFmtId="0" fontId="66" fillId="18" borderId="9" xfId="0" applyFont="1" applyFill="1" applyBorder="1" applyAlignment="1">
      <alignment horizontal="center" vertical="center" wrapText="1"/>
    </xf>
    <xf numFmtId="0" fontId="66" fillId="18" borderId="10" xfId="0" applyFont="1" applyFill="1" applyBorder="1" applyAlignment="1">
      <alignment horizontal="center" vertical="center" wrapText="1"/>
    </xf>
    <xf numFmtId="0" fontId="54" fillId="0" borderId="5" xfId="0" applyFont="1" applyBorder="1" applyAlignment="1">
      <alignment horizontal="left" vertical="center"/>
    </xf>
    <xf numFmtId="0" fontId="54" fillId="0" borderId="7" xfId="0" applyFont="1" applyBorder="1" applyAlignment="1">
      <alignment horizontal="left" vertical="center"/>
    </xf>
    <xf numFmtId="0" fontId="54" fillId="0" borderId="9" xfId="0" applyFont="1" applyBorder="1" applyAlignment="1">
      <alignment horizontal="left" vertical="center"/>
    </xf>
    <xf numFmtId="0" fontId="72" fillId="20" borderId="91" xfId="0" applyFont="1" applyFill="1" applyBorder="1" applyAlignment="1">
      <alignment horizontal="center" vertical="center" wrapText="1"/>
    </xf>
    <xf numFmtId="0" fontId="72" fillId="20" borderId="100" xfId="0" applyFont="1" applyFill="1" applyBorder="1" applyAlignment="1">
      <alignment horizontal="center" vertical="center" wrapText="1"/>
    </xf>
    <xf numFmtId="0" fontId="72" fillId="20" borderId="25" xfId="0" applyFont="1" applyFill="1" applyBorder="1" applyAlignment="1">
      <alignment horizontal="center" vertical="center" wrapText="1"/>
    </xf>
    <xf numFmtId="0" fontId="72" fillId="20" borderId="21" xfId="0" applyFont="1" applyFill="1" applyBorder="1" applyAlignment="1">
      <alignment horizontal="center" vertical="center" wrapText="1"/>
    </xf>
    <xf numFmtId="0" fontId="22" fillId="0" borderId="0" xfId="0" applyFont="1" applyAlignment="1">
      <alignment horizontal="center" vertical="center" wrapText="1"/>
    </xf>
    <xf numFmtId="0" fontId="18" fillId="5" borderId="7" xfId="0" applyFont="1" applyFill="1" applyBorder="1" applyAlignment="1" applyProtection="1">
      <alignment horizontal="center" wrapText="1" readingOrder="1"/>
      <protection hidden="1"/>
    </xf>
    <xf numFmtId="0" fontId="18" fillId="5" borderId="0" xfId="0" applyFont="1" applyFill="1" applyAlignment="1" applyProtection="1">
      <alignment horizontal="center" wrapText="1" readingOrder="1"/>
      <protection hidden="1"/>
    </xf>
    <xf numFmtId="0" fontId="18" fillId="5" borderId="8" xfId="0" applyFont="1" applyFill="1" applyBorder="1" applyAlignment="1" applyProtection="1">
      <alignment horizontal="center" wrapText="1" readingOrder="1"/>
      <protection hidden="1"/>
    </xf>
    <xf numFmtId="0" fontId="18" fillId="5" borderId="11" xfId="0" applyFont="1" applyFill="1" applyBorder="1" applyAlignment="1" applyProtection="1">
      <alignment horizontal="center" wrapText="1" readingOrder="1"/>
      <protection hidden="1"/>
    </xf>
    <xf numFmtId="0" fontId="18" fillId="5" borderId="10" xfId="0" applyFont="1" applyFill="1" applyBorder="1" applyAlignment="1" applyProtection="1">
      <alignment horizontal="center" wrapText="1" readingOrder="1"/>
      <protection hidden="1"/>
    </xf>
    <xf numFmtId="0" fontId="18" fillId="5" borderId="5" xfId="0" applyFont="1" applyFill="1" applyBorder="1" applyAlignment="1" applyProtection="1">
      <alignment horizontal="center" wrapText="1" readingOrder="1"/>
      <protection hidden="1"/>
    </xf>
    <xf numFmtId="0" fontId="18" fillId="5" borderId="12" xfId="0" applyFont="1" applyFill="1" applyBorder="1" applyAlignment="1" applyProtection="1">
      <alignment horizontal="center" wrapText="1" readingOrder="1"/>
      <protection hidden="1"/>
    </xf>
    <xf numFmtId="0" fontId="18" fillId="5" borderId="6" xfId="0" applyFont="1" applyFill="1" applyBorder="1" applyAlignment="1" applyProtection="1">
      <alignment horizontal="center" wrapText="1" readingOrder="1"/>
      <protection hidden="1"/>
    </xf>
    <xf numFmtId="0" fontId="18" fillId="5" borderId="9" xfId="0" applyFont="1" applyFill="1" applyBorder="1" applyAlignment="1" applyProtection="1">
      <alignment horizontal="center" wrapText="1" readingOrder="1"/>
      <protection hidden="1"/>
    </xf>
    <xf numFmtId="0" fontId="18" fillId="13" borderId="7" xfId="0" applyFont="1" applyFill="1" applyBorder="1" applyAlignment="1" applyProtection="1">
      <alignment horizontal="center" wrapText="1" readingOrder="1"/>
      <protection hidden="1"/>
    </xf>
    <xf numFmtId="0" fontId="18" fillId="13" borderId="0" xfId="0" applyFont="1" applyFill="1" applyAlignment="1" applyProtection="1">
      <alignment horizontal="center" wrapText="1" readingOrder="1"/>
      <protection hidden="1"/>
    </xf>
    <xf numFmtId="0" fontId="18" fillId="13" borderId="8" xfId="0" applyFont="1" applyFill="1" applyBorder="1" applyAlignment="1" applyProtection="1">
      <alignment horizontal="center" wrapText="1" readingOrder="1"/>
      <protection hidden="1"/>
    </xf>
    <xf numFmtId="0" fontId="18" fillId="13" borderId="9" xfId="0" applyFont="1" applyFill="1" applyBorder="1" applyAlignment="1" applyProtection="1">
      <alignment horizontal="center" wrapText="1" readingOrder="1"/>
      <protection hidden="1"/>
    </xf>
    <xf numFmtId="0" fontId="18" fillId="13" borderId="11" xfId="0" applyFont="1" applyFill="1" applyBorder="1" applyAlignment="1" applyProtection="1">
      <alignment horizontal="center" wrapText="1" readingOrder="1"/>
      <protection hidden="1"/>
    </xf>
    <xf numFmtId="0" fontId="18" fillId="13" borderId="10" xfId="0" applyFont="1" applyFill="1" applyBorder="1" applyAlignment="1" applyProtection="1">
      <alignment horizontal="center" wrapText="1" readingOrder="1"/>
      <protection hidden="1"/>
    </xf>
    <xf numFmtId="0" fontId="18" fillId="13" borderId="5" xfId="0" applyFont="1" applyFill="1" applyBorder="1" applyAlignment="1" applyProtection="1">
      <alignment horizontal="center" wrapText="1" readingOrder="1"/>
      <protection hidden="1"/>
    </xf>
    <xf numFmtId="0" fontId="18" fillId="13" borderId="12" xfId="0" applyFont="1" applyFill="1" applyBorder="1" applyAlignment="1" applyProtection="1">
      <alignment horizontal="center" wrapText="1" readingOrder="1"/>
      <protection hidden="1"/>
    </xf>
    <xf numFmtId="0" fontId="18" fillId="13" borderId="6" xfId="0" applyFont="1" applyFill="1" applyBorder="1" applyAlignment="1" applyProtection="1">
      <alignment horizontal="center" wrapText="1" readingOrder="1"/>
      <protection hidden="1"/>
    </xf>
    <xf numFmtId="0" fontId="18" fillId="12" borderId="7" xfId="0" applyFont="1" applyFill="1" applyBorder="1" applyAlignment="1" applyProtection="1">
      <alignment horizontal="center" wrapText="1" readingOrder="1"/>
      <protection hidden="1"/>
    </xf>
    <xf numFmtId="0" fontId="18" fillId="12" borderId="0" xfId="0" applyFont="1" applyFill="1" applyAlignment="1" applyProtection="1">
      <alignment horizontal="center" wrapText="1" readingOrder="1"/>
      <protection hidden="1"/>
    </xf>
    <xf numFmtId="0" fontId="18" fillId="12" borderId="8" xfId="0" applyFont="1" applyFill="1" applyBorder="1" applyAlignment="1" applyProtection="1">
      <alignment horizontal="center" wrapText="1" readingOrder="1"/>
      <protection hidden="1"/>
    </xf>
    <xf numFmtId="0" fontId="18" fillId="12" borderId="9" xfId="0" applyFont="1" applyFill="1" applyBorder="1" applyAlignment="1" applyProtection="1">
      <alignment horizontal="center" wrapText="1" readingOrder="1"/>
      <protection hidden="1"/>
    </xf>
    <xf numFmtId="0" fontId="18" fillId="12" borderId="11" xfId="0" applyFont="1" applyFill="1" applyBorder="1" applyAlignment="1" applyProtection="1">
      <alignment horizontal="center" wrapText="1" readingOrder="1"/>
      <protection hidden="1"/>
    </xf>
    <xf numFmtId="0" fontId="18" fillId="12" borderId="10" xfId="0" applyFont="1" applyFill="1" applyBorder="1" applyAlignment="1" applyProtection="1">
      <alignment horizontal="center" wrapText="1" readingOrder="1"/>
      <protection hidden="1"/>
    </xf>
    <xf numFmtId="0" fontId="18" fillId="12" borderId="5" xfId="0" applyFont="1" applyFill="1" applyBorder="1" applyAlignment="1" applyProtection="1">
      <alignment horizontal="center" wrapText="1" readingOrder="1"/>
      <protection hidden="1"/>
    </xf>
    <xf numFmtId="0" fontId="18" fillId="12" borderId="12" xfId="0" applyFont="1" applyFill="1" applyBorder="1" applyAlignment="1" applyProtection="1">
      <alignment horizontal="center" wrapText="1" readingOrder="1"/>
      <protection hidden="1"/>
    </xf>
    <xf numFmtId="0" fontId="18" fillId="12" borderId="6" xfId="0" applyFont="1" applyFill="1" applyBorder="1" applyAlignment="1" applyProtection="1">
      <alignment horizontal="center" wrapText="1" readingOrder="1"/>
      <protection hidden="1"/>
    </xf>
    <xf numFmtId="0" fontId="18" fillId="11" borderId="7" xfId="0" applyFont="1" applyFill="1" applyBorder="1" applyAlignment="1" applyProtection="1">
      <alignment horizontal="center" vertical="center" wrapText="1" readingOrder="1"/>
      <protection hidden="1"/>
    </xf>
    <xf numFmtId="0" fontId="18" fillId="11" borderId="0" xfId="0" applyFont="1" applyFill="1" applyAlignment="1" applyProtection="1">
      <alignment horizontal="center" vertical="center" wrapText="1" readingOrder="1"/>
      <protection hidden="1"/>
    </xf>
    <xf numFmtId="0" fontId="18" fillId="11" borderId="8" xfId="0" applyFont="1" applyFill="1" applyBorder="1" applyAlignment="1" applyProtection="1">
      <alignment horizontal="center" vertical="center" wrapText="1" readingOrder="1"/>
      <protection hidden="1"/>
    </xf>
    <xf numFmtId="0" fontId="18" fillId="11" borderId="9" xfId="0" applyFont="1" applyFill="1" applyBorder="1" applyAlignment="1" applyProtection="1">
      <alignment horizontal="center" vertical="center" wrapText="1" readingOrder="1"/>
      <protection hidden="1"/>
    </xf>
    <xf numFmtId="0" fontId="18" fillId="11" borderId="11" xfId="0" applyFont="1" applyFill="1" applyBorder="1" applyAlignment="1" applyProtection="1">
      <alignment horizontal="center" vertical="center" wrapText="1" readingOrder="1"/>
      <protection hidden="1"/>
    </xf>
    <xf numFmtId="0" fontId="18" fillId="11" borderId="10" xfId="0" applyFont="1" applyFill="1" applyBorder="1" applyAlignment="1" applyProtection="1">
      <alignment horizontal="center" vertical="center" wrapText="1" readingOrder="1"/>
      <protection hidden="1"/>
    </xf>
    <xf numFmtId="0" fontId="18" fillId="11" borderId="5" xfId="0" applyFont="1" applyFill="1" applyBorder="1" applyAlignment="1" applyProtection="1">
      <alignment horizontal="center" vertical="center" wrapText="1" readingOrder="1"/>
      <protection hidden="1"/>
    </xf>
    <xf numFmtId="0" fontId="18" fillId="11" borderId="12" xfId="0" applyFont="1" applyFill="1" applyBorder="1" applyAlignment="1" applyProtection="1">
      <alignment horizontal="center" vertical="center" wrapText="1" readingOrder="1"/>
      <protection hidden="1"/>
    </xf>
    <xf numFmtId="0" fontId="18" fillId="11" borderId="6" xfId="0" applyFont="1" applyFill="1" applyBorder="1" applyAlignment="1" applyProtection="1">
      <alignment horizontal="center" vertical="center" wrapText="1" readingOrder="1"/>
      <protection hidden="1"/>
    </xf>
    <xf numFmtId="0" fontId="15" fillId="0" borderId="5"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7" xfId="0" applyFont="1" applyBorder="1" applyAlignment="1">
      <alignment horizontal="center" vertical="center" wrapText="1"/>
    </xf>
    <xf numFmtId="0" fontId="54" fillId="0" borderId="12" xfId="0" applyFont="1" applyBorder="1" applyAlignment="1">
      <alignment horizontal="left" vertical="center"/>
    </xf>
    <xf numFmtId="0" fontId="54" fillId="0" borderId="0" xfId="0" applyFont="1" applyAlignment="1">
      <alignment horizontal="left" vertical="center"/>
    </xf>
    <xf numFmtId="0" fontId="54" fillId="0" borderId="11" xfId="0" applyFont="1" applyBorder="1" applyAlignment="1">
      <alignment horizontal="left" vertical="center"/>
    </xf>
    <xf numFmtId="0" fontId="54" fillId="0" borderId="5" xfId="0" applyFont="1" applyBorder="1" applyAlignment="1">
      <alignment horizontal="center" vertical="center"/>
    </xf>
    <xf numFmtId="0" fontId="54" fillId="0" borderId="12" xfId="0" applyFont="1" applyBorder="1" applyAlignment="1">
      <alignment horizontal="center" vertical="center"/>
    </xf>
    <xf numFmtId="0" fontId="54" fillId="0" borderId="6" xfId="0" applyFont="1" applyBorder="1" applyAlignment="1">
      <alignment horizontal="center" vertical="center"/>
    </xf>
    <xf numFmtId="0" fontId="54" fillId="0" borderId="7" xfId="0" applyFont="1" applyBorder="1" applyAlignment="1">
      <alignment horizontal="center" vertical="center"/>
    </xf>
    <xf numFmtId="0" fontId="54" fillId="0" borderId="0" xfId="0" applyFont="1" applyAlignment="1">
      <alignment horizontal="center" vertical="center"/>
    </xf>
    <xf numFmtId="0" fontId="54" fillId="0" borderId="8" xfId="0" applyFont="1" applyBorder="1" applyAlignment="1">
      <alignment horizontal="center" vertical="center"/>
    </xf>
    <xf numFmtId="0" fontId="54" fillId="0" borderId="9" xfId="0" applyFont="1" applyBorder="1" applyAlignment="1">
      <alignment horizontal="center" vertical="center"/>
    </xf>
    <xf numFmtId="0" fontId="54" fillId="0" borderId="11" xfId="0" applyFont="1" applyBorder="1" applyAlignment="1">
      <alignment horizontal="center" vertical="center"/>
    </xf>
    <xf numFmtId="0" fontId="54" fillId="0" borderId="10" xfId="0" applyFont="1" applyBorder="1" applyAlignment="1">
      <alignment horizontal="center" vertical="center"/>
    </xf>
    <xf numFmtId="0" fontId="63" fillId="0" borderId="5" xfId="0" applyFont="1" applyBorder="1" applyAlignment="1">
      <alignment horizontal="center" wrapText="1"/>
    </xf>
    <xf numFmtId="0" fontId="63" fillId="0" borderId="12" xfId="0" applyFont="1" applyBorder="1" applyAlignment="1">
      <alignment horizontal="center" wrapText="1"/>
    </xf>
    <xf numFmtId="0" fontId="63" fillId="0" borderId="6" xfId="0" applyFont="1" applyBorder="1" applyAlignment="1">
      <alignment horizontal="center" wrapText="1"/>
    </xf>
    <xf numFmtId="0" fontId="63" fillId="0" borderId="7" xfId="0" applyFont="1" applyBorder="1" applyAlignment="1">
      <alignment horizontal="center" wrapText="1"/>
    </xf>
    <xf numFmtId="0" fontId="63" fillId="0" borderId="0" xfId="0" applyFont="1" applyAlignment="1">
      <alignment horizontal="center" wrapText="1"/>
    </xf>
    <xf numFmtId="0" fontId="63" fillId="0" borderId="8" xfId="0" applyFont="1" applyBorder="1" applyAlignment="1">
      <alignment horizontal="center" wrapText="1"/>
    </xf>
    <xf numFmtId="0" fontId="63" fillId="0" borderId="9" xfId="0" applyFont="1" applyBorder="1" applyAlignment="1">
      <alignment horizontal="center" wrapText="1"/>
    </xf>
    <xf numFmtId="0" fontId="63" fillId="0" borderId="11" xfId="0" applyFont="1" applyBorder="1" applyAlignment="1">
      <alignment horizontal="center" wrapText="1"/>
    </xf>
    <xf numFmtId="0" fontId="63" fillId="0" borderId="10" xfId="0" applyFont="1" applyBorder="1" applyAlignment="1">
      <alignment horizontal="center" wrapText="1"/>
    </xf>
    <xf numFmtId="0" fontId="16" fillId="10" borderId="0" xfId="0" applyFont="1" applyFill="1" applyAlignment="1">
      <alignment horizontal="center" vertical="center" textRotation="90" wrapText="1" readingOrder="1"/>
    </xf>
    <xf numFmtId="0" fontId="16" fillId="10" borderId="8" xfId="0" applyFont="1" applyFill="1" applyBorder="1" applyAlignment="1">
      <alignment horizontal="center" vertical="center" textRotation="90" wrapText="1" readingOrder="1"/>
    </xf>
    <xf numFmtId="0" fontId="19" fillId="12" borderId="13" xfId="0" applyFont="1" applyFill="1" applyBorder="1" applyAlignment="1">
      <alignment horizontal="center" vertical="center" wrapText="1" readingOrder="1"/>
    </xf>
    <xf numFmtId="0" fontId="19" fillId="12" borderId="14" xfId="0" applyFont="1" applyFill="1" applyBorder="1" applyAlignment="1">
      <alignment horizontal="center" vertical="center" wrapText="1" readingOrder="1"/>
    </xf>
    <xf numFmtId="0" fontId="19" fillId="12" borderId="15" xfId="0" applyFont="1" applyFill="1" applyBorder="1" applyAlignment="1">
      <alignment horizontal="center" vertical="center" wrapText="1" readingOrder="1"/>
    </xf>
    <xf numFmtId="0" fontId="19" fillId="12" borderId="16" xfId="0" applyFont="1" applyFill="1" applyBorder="1" applyAlignment="1">
      <alignment horizontal="center" vertical="center" wrapText="1" readingOrder="1"/>
    </xf>
    <xf numFmtId="0" fontId="19" fillId="12" borderId="0" xfId="0" applyFont="1" applyFill="1" applyAlignment="1">
      <alignment horizontal="center" vertical="center" wrapText="1" readingOrder="1"/>
    </xf>
    <xf numFmtId="0" fontId="19" fillId="12" borderId="17" xfId="0" applyFont="1" applyFill="1" applyBorder="1" applyAlignment="1">
      <alignment horizontal="center" vertical="center" wrapText="1" readingOrder="1"/>
    </xf>
    <xf numFmtId="0" fontId="19" fillId="12" borderId="18" xfId="0" applyFont="1" applyFill="1" applyBorder="1" applyAlignment="1">
      <alignment horizontal="center" vertical="center" wrapText="1" readingOrder="1"/>
    </xf>
    <xf numFmtId="0" fontId="19" fillId="12" borderId="19" xfId="0" applyFont="1" applyFill="1" applyBorder="1" applyAlignment="1">
      <alignment horizontal="center" vertical="center" wrapText="1" readingOrder="1"/>
    </xf>
    <xf numFmtId="0" fontId="19" fillId="12" borderId="20" xfId="0" applyFont="1" applyFill="1" applyBorder="1" applyAlignment="1">
      <alignment horizontal="center" vertical="center" wrapText="1" readingOrder="1"/>
    </xf>
    <xf numFmtId="0" fontId="19" fillId="11" borderId="13" xfId="0" applyFont="1" applyFill="1" applyBorder="1" applyAlignment="1">
      <alignment horizontal="center" vertical="center" wrapText="1" readingOrder="1"/>
    </xf>
    <xf numFmtId="0" fontId="19" fillId="11" borderId="14" xfId="0" applyFont="1" applyFill="1" applyBorder="1" applyAlignment="1">
      <alignment horizontal="center" vertical="center" wrapText="1" readingOrder="1"/>
    </xf>
    <xf numFmtId="0" fontId="19" fillId="11" borderId="15" xfId="0" applyFont="1" applyFill="1" applyBorder="1" applyAlignment="1">
      <alignment horizontal="center" vertical="center" wrapText="1" readingOrder="1"/>
    </xf>
    <xf numFmtId="0" fontId="19" fillId="11" borderId="16" xfId="0" applyFont="1" applyFill="1" applyBorder="1" applyAlignment="1">
      <alignment horizontal="center" vertical="center" wrapText="1" readingOrder="1"/>
    </xf>
    <xf numFmtId="0" fontId="19" fillId="11" borderId="0" xfId="0" applyFont="1" applyFill="1" applyAlignment="1">
      <alignment horizontal="center" vertical="center" wrapText="1" readingOrder="1"/>
    </xf>
    <xf numFmtId="0" fontId="19" fillId="11" borderId="17" xfId="0" applyFont="1" applyFill="1" applyBorder="1" applyAlignment="1">
      <alignment horizontal="center" vertical="center" wrapText="1" readingOrder="1"/>
    </xf>
    <xf numFmtId="0" fontId="19" fillId="11" borderId="18" xfId="0" applyFont="1" applyFill="1" applyBorder="1" applyAlignment="1">
      <alignment horizontal="center" vertical="center" wrapText="1" readingOrder="1"/>
    </xf>
    <xf numFmtId="0" fontId="19" fillId="11" borderId="19" xfId="0" applyFont="1" applyFill="1" applyBorder="1" applyAlignment="1">
      <alignment horizontal="center" vertical="center" wrapText="1" readingOrder="1"/>
    </xf>
    <xf numFmtId="0" fontId="19" fillId="11" borderId="20" xfId="0" applyFont="1" applyFill="1" applyBorder="1" applyAlignment="1">
      <alignment horizontal="center" vertical="center" wrapText="1" readingOrder="1"/>
    </xf>
    <xf numFmtId="0" fontId="19" fillId="13" borderId="13" xfId="0" applyFont="1" applyFill="1" applyBorder="1" applyAlignment="1">
      <alignment horizontal="center" vertical="center" wrapText="1" readingOrder="1"/>
    </xf>
    <xf numFmtId="0" fontId="19" fillId="13" borderId="14" xfId="0" applyFont="1" applyFill="1" applyBorder="1" applyAlignment="1">
      <alignment horizontal="center" vertical="center" wrapText="1" readingOrder="1"/>
    </xf>
    <xf numFmtId="0" fontId="19" fillId="13" borderId="15" xfId="0" applyFont="1" applyFill="1" applyBorder="1" applyAlignment="1">
      <alignment horizontal="center" vertical="center" wrapText="1" readingOrder="1"/>
    </xf>
    <xf numFmtId="0" fontId="19" fillId="13" borderId="16" xfId="0" applyFont="1" applyFill="1" applyBorder="1" applyAlignment="1">
      <alignment horizontal="center" vertical="center" wrapText="1" readingOrder="1"/>
    </xf>
    <xf numFmtId="0" fontId="19" fillId="13" borderId="0" xfId="0" applyFont="1" applyFill="1" applyAlignment="1">
      <alignment horizontal="center" vertical="center" wrapText="1" readingOrder="1"/>
    </xf>
    <xf numFmtId="0" fontId="19" fillId="13" borderId="17" xfId="0" applyFont="1" applyFill="1" applyBorder="1" applyAlignment="1">
      <alignment horizontal="center" vertical="center" wrapText="1" readingOrder="1"/>
    </xf>
    <xf numFmtId="0" fontId="19" fillId="13" borderId="18" xfId="0" applyFont="1" applyFill="1" applyBorder="1" applyAlignment="1">
      <alignment horizontal="center" vertical="center" wrapText="1" readingOrder="1"/>
    </xf>
    <xf numFmtId="0" fontId="19" fillId="13" borderId="19" xfId="0" applyFont="1" applyFill="1" applyBorder="1" applyAlignment="1">
      <alignment horizontal="center" vertical="center" wrapText="1" readingOrder="1"/>
    </xf>
    <xf numFmtId="0" fontId="19" fillId="13" borderId="20" xfId="0" applyFont="1" applyFill="1" applyBorder="1" applyAlignment="1">
      <alignment horizontal="center" vertical="center" wrapText="1" readingOrder="1"/>
    </xf>
    <xf numFmtId="0" fontId="19" fillId="5" borderId="13" xfId="0" applyFont="1" applyFill="1" applyBorder="1" applyAlignment="1">
      <alignment horizontal="center" vertical="center" wrapText="1" readingOrder="1"/>
    </xf>
    <xf numFmtId="0" fontId="19" fillId="5" borderId="14" xfId="0" applyFont="1" applyFill="1" applyBorder="1" applyAlignment="1">
      <alignment horizontal="center" vertical="center" wrapText="1" readingOrder="1"/>
    </xf>
    <xf numFmtId="0" fontId="19" fillId="5" borderId="15" xfId="0" applyFont="1" applyFill="1" applyBorder="1" applyAlignment="1">
      <alignment horizontal="center" vertical="center" wrapText="1" readingOrder="1"/>
    </xf>
    <xf numFmtId="0" fontId="19" fillId="5" borderId="16" xfId="0" applyFont="1" applyFill="1" applyBorder="1" applyAlignment="1">
      <alignment horizontal="center" vertical="center" wrapText="1" readingOrder="1"/>
    </xf>
    <xf numFmtId="0" fontId="19" fillId="5" borderId="0" xfId="0" applyFont="1" applyFill="1" applyAlignment="1">
      <alignment horizontal="center" vertical="center" wrapText="1" readingOrder="1"/>
    </xf>
    <xf numFmtId="0" fontId="19" fillId="5" borderId="17" xfId="0" applyFont="1" applyFill="1" applyBorder="1" applyAlignment="1">
      <alignment horizontal="center" vertical="center" wrapText="1" readingOrder="1"/>
    </xf>
    <xf numFmtId="0" fontId="19" fillId="5" borderId="18" xfId="0" applyFont="1" applyFill="1" applyBorder="1" applyAlignment="1">
      <alignment horizontal="center" vertical="center" wrapText="1" readingOrder="1"/>
    </xf>
    <xf numFmtId="0" fontId="19" fillId="5" borderId="19" xfId="0" applyFont="1" applyFill="1" applyBorder="1" applyAlignment="1">
      <alignment horizontal="center" vertical="center" wrapText="1" readingOrder="1"/>
    </xf>
    <xf numFmtId="0" fontId="19" fillId="5" borderId="20" xfId="0" applyFont="1" applyFill="1" applyBorder="1" applyAlignment="1">
      <alignment horizontal="center" vertical="center" wrapText="1" readingOrder="1"/>
    </xf>
    <xf numFmtId="0" fontId="16" fillId="25" borderId="0" xfId="0" applyFont="1" applyFill="1" applyAlignment="1">
      <alignment horizontal="center" vertical="center" wrapText="1" readingOrder="1"/>
    </xf>
    <xf numFmtId="0" fontId="57" fillId="0" borderId="0" xfId="0" applyFont="1" applyAlignment="1">
      <alignment horizontal="center"/>
    </xf>
    <xf numFmtId="0" fontId="39" fillId="0" borderId="5" xfId="0" applyFont="1" applyBorder="1" applyAlignment="1">
      <alignment horizontal="center" vertical="center" wrapText="1"/>
    </xf>
    <xf numFmtId="0" fontId="39" fillId="0" borderId="12"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0" borderId="0" xfId="0" applyFont="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39" fillId="0" borderId="12" xfId="0" applyFont="1" applyBorder="1" applyAlignment="1">
      <alignment horizontal="center" vertical="center" wrapText="1"/>
    </xf>
    <xf numFmtId="0" fontId="38" fillId="11" borderId="13" xfId="0" applyFont="1" applyFill="1" applyBorder="1" applyAlignment="1">
      <alignment horizontal="center" vertical="center" wrapText="1" readingOrder="1"/>
    </xf>
    <xf numFmtId="0" fontId="38" fillId="11" borderId="14" xfId="0" applyFont="1" applyFill="1" applyBorder="1" applyAlignment="1">
      <alignment horizontal="center" vertical="center" wrapText="1" readingOrder="1"/>
    </xf>
    <xf numFmtId="0" fontId="38" fillId="11" borderId="15" xfId="0" applyFont="1" applyFill="1" applyBorder="1" applyAlignment="1">
      <alignment horizontal="center" vertical="center" wrapText="1" readingOrder="1"/>
    </xf>
    <xf numFmtId="0" fontId="38" fillId="11" borderId="16" xfId="0" applyFont="1" applyFill="1" applyBorder="1" applyAlignment="1">
      <alignment horizontal="center" vertical="center" wrapText="1" readingOrder="1"/>
    </xf>
    <xf numFmtId="0" fontId="38" fillId="11" borderId="0" xfId="0" applyFont="1" applyFill="1" applyAlignment="1">
      <alignment horizontal="center" vertical="center" wrapText="1" readingOrder="1"/>
    </xf>
    <xf numFmtId="0" fontId="38" fillId="11" borderId="17" xfId="0" applyFont="1" applyFill="1" applyBorder="1" applyAlignment="1">
      <alignment horizontal="center" vertical="center" wrapText="1" readingOrder="1"/>
    </xf>
    <xf numFmtId="0" fontId="38" fillId="11" borderId="18" xfId="0" applyFont="1" applyFill="1" applyBorder="1" applyAlignment="1">
      <alignment horizontal="center" vertical="center" wrapText="1" readingOrder="1"/>
    </xf>
    <xf numFmtId="0" fontId="38" fillId="11" borderId="19" xfId="0" applyFont="1" applyFill="1" applyBorder="1" applyAlignment="1">
      <alignment horizontal="center" vertical="center" wrapText="1" readingOrder="1"/>
    </xf>
    <xf numFmtId="0" fontId="38" fillId="11" borderId="20" xfId="0" applyFont="1" applyFill="1" applyBorder="1" applyAlignment="1">
      <alignment horizontal="center" vertical="center" wrapText="1" readingOrder="1"/>
    </xf>
    <xf numFmtId="0" fontId="39" fillId="0" borderId="7" xfId="0" applyFont="1" applyBorder="1" applyAlignment="1">
      <alignment horizontal="center" vertical="center" wrapText="1"/>
    </xf>
    <xf numFmtId="0" fontId="38" fillId="12" borderId="13" xfId="0" applyFont="1" applyFill="1" applyBorder="1" applyAlignment="1">
      <alignment horizontal="center" vertical="center" wrapText="1" readingOrder="1"/>
    </xf>
    <xf numFmtId="0" fontId="38" fillId="12" borderId="14" xfId="0" applyFont="1" applyFill="1" applyBorder="1" applyAlignment="1">
      <alignment horizontal="center" vertical="center" wrapText="1" readingOrder="1"/>
    </xf>
    <xf numFmtId="0" fontId="38" fillId="12" borderId="15" xfId="0" applyFont="1" applyFill="1" applyBorder="1" applyAlignment="1">
      <alignment horizontal="center" vertical="center" wrapText="1" readingOrder="1"/>
    </xf>
    <xf numFmtId="0" fontId="38" fillId="12" borderId="16" xfId="0" applyFont="1" applyFill="1" applyBorder="1" applyAlignment="1">
      <alignment horizontal="center" vertical="center" wrapText="1" readingOrder="1"/>
    </xf>
    <xf numFmtId="0" fontId="38" fillId="12" borderId="0" xfId="0" applyFont="1" applyFill="1" applyAlignment="1">
      <alignment horizontal="center" vertical="center" wrapText="1" readingOrder="1"/>
    </xf>
    <xf numFmtId="0" fontId="38" fillId="12" borderId="17" xfId="0" applyFont="1" applyFill="1" applyBorder="1" applyAlignment="1">
      <alignment horizontal="center" vertical="center" wrapText="1" readingOrder="1"/>
    </xf>
    <xf numFmtId="0" fontId="38" fillId="12" borderId="18" xfId="0" applyFont="1" applyFill="1" applyBorder="1" applyAlignment="1">
      <alignment horizontal="center" vertical="center" wrapText="1" readingOrder="1"/>
    </xf>
    <xf numFmtId="0" fontId="38" fillId="12" borderId="19" xfId="0" applyFont="1" applyFill="1" applyBorder="1" applyAlignment="1">
      <alignment horizontal="center" vertical="center" wrapText="1" readingOrder="1"/>
    </xf>
    <xf numFmtId="0" fontId="38" fillId="12" borderId="20" xfId="0" applyFont="1" applyFill="1" applyBorder="1" applyAlignment="1">
      <alignment horizontal="center" vertical="center" wrapText="1" readingOrder="1"/>
    </xf>
    <xf numFmtId="0" fontId="37" fillId="0" borderId="0" xfId="0" applyFont="1" applyAlignment="1">
      <alignment horizontal="center" vertical="center" wrapText="1"/>
    </xf>
    <xf numFmtId="0" fontId="20" fillId="0" borderId="0" xfId="0" applyFont="1" applyAlignment="1">
      <alignment horizontal="center" vertical="center" wrapText="1"/>
    </xf>
    <xf numFmtId="0" fontId="16" fillId="10" borderId="0" xfId="0" applyFont="1" applyFill="1" applyAlignment="1">
      <alignment horizontal="center" vertical="center" wrapText="1" readingOrder="1"/>
    </xf>
    <xf numFmtId="0" fontId="38" fillId="5" borderId="13" xfId="0" applyFont="1" applyFill="1" applyBorder="1" applyAlignment="1">
      <alignment horizontal="center" vertical="center" wrapText="1" readingOrder="1"/>
    </xf>
    <xf numFmtId="0" fontId="38" fillId="5" borderId="14" xfId="0" applyFont="1" applyFill="1" applyBorder="1" applyAlignment="1">
      <alignment horizontal="center" vertical="center" wrapText="1" readingOrder="1"/>
    </xf>
    <xf numFmtId="0" fontId="38" fillId="5" borderId="15" xfId="0" applyFont="1" applyFill="1" applyBorder="1" applyAlignment="1">
      <alignment horizontal="center" vertical="center" wrapText="1" readingOrder="1"/>
    </xf>
    <xf numFmtId="0" fontId="38" fillId="5" borderId="16" xfId="0" applyFont="1" applyFill="1" applyBorder="1" applyAlignment="1">
      <alignment horizontal="center" vertical="center" wrapText="1" readingOrder="1"/>
    </xf>
    <xf numFmtId="0" fontId="38" fillId="5" borderId="0" xfId="0" applyFont="1" applyFill="1" applyAlignment="1">
      <alignment horizontal="center" vertical="center" wrapText="1" readingOrder="1"/>
    </xf>
    <xf numFmtId="0" fontId="38" fillId="5" borderId="17" xfId="0" applyFont="1" applyFill="1" applyBorder="1" applyAlignment="1">
      <alignment horizontal="center" vertical="center" wrapText="1" readingOrder="1"/>
    </xf>
    <xf numFmtId="0" fontId="38" fillId="5" borderId="18" xfId="0" applyFont="1" applyFill="1" applyBorder="1" applyAlignment="1">
      <alignment horizontal="center" vertical="center" wrapText="1" readingOrder="1"/>
    </xf>
    <xf numFmtId="0" fontId="38" fillId="5" borderId="19" xfId="0" applyFont="1" applyFill="1" applyBorder="1" applyAlignment="1">
      <alignment horizontal="center" vertical="center" wrapText="1" readingOrder="1"/>
    </xf>
    <xf numFmtId="0" fontId="38" fillId="5" borderId="20" xfId="0" applyFont="1" applyFill="1" applyBorder="1" applyAlignment="1">
      <alignment horizontal="center" vertical="center" wrapText="1" readingOrder="1"/>
    </xf>
    <xf numFmtId="0" fontId="38" fillId="13" borderId="13" xfId="0" applyFont="1" applyFill="1" applyBorder="1" applyAlignment="1">
      <alignment horizontal="center" vertical="center" wrapText="1" readingOrder="1"/>
    </xf>
    <xf numFmtId="0" fontId="38" fillId="13" borderId="14" xfId="0" applyFont="1" applyFill="1" applyBorder="1" applyAlignment="1">
      <alignment horizontal="center" vertical="center" wrapText="1" readingOrder="1"/>
    </xf>
    <xf numFmtId="0" fontId="38" fillId="13" borderId="15" xfId="0" applyFont="1" applyFill="1" applyBorder="1" applyAlignment="1">
      <alignment horizontal="center" vertical="center" wrapText="1" readingOrder="1"/>
    </xf>
    <xf numFmtId="0" fontId="38" fillId="13" borderId="16" xfId="0" applyFont="1" applyFill="1" applyBorder="1" applyAlignment="1">
      <alignment horizontal="center" vertical="center" wrapText="1" readingOrder="1"/>
    </xf>
    <xf numFmtId="0" fontId="38" fillId="13" borderId="0" xfId="0" applyFont="1" applyFill="1" applyAlignment="1">
      <alignment horizontal="center" vertical="center" wrapText="1" readingOrder="1"/>
    </xf>
    <xf numFmtId="0" fontId="38" fillId="13" borderId="17" xfId="0" applyFont="1" applyFill="1" applyBorder="1" applyAlignment="1">
      <alignment horizontal="center" vertical="center" wrapText="1" readingOrder="1"/>
    </xf>
    <xf numFmtId="0" fontId="38" fillId="13" borderId="18" xfId="0" applyFont="1" applyFill="1" applyBorder="1" applyAlignment="1">
      <alignment horizontal="center" vertical="center" wrapText="1" readingOrder="1"/>
    </xf>
    <xf numFmtId="0" fontId="38" fillId="13" borderId="19" xfId="0" applyFont="1" applyFill="1" applyBorder="1" applyAlignment="1">
      <alignment horizontal="center" vertical="center" wrapText="1" readingOrder="1"/>
    </xf>
    <xf numFmtId="0" fontId="38" fillId="13" borderId="20" xfId="0" applyFont="1" applyFill="1" applyBorder="1" applyAlignment="1">
      <alignment horizontal="center" vertical="center" wrapText="1" readingOrder="1"/>
    </xf>
    <xf numFmtId="0" fontId="58" fillId="0" borderId="95" xfId="0" applyFont="1" applyBorder="1" applyAlignment="1">
      <alignment horizontal="center" wrapText="1"/>
    </xf>
    <xf numFmtId="0" fontId="62" fillId="0" borderId="86" xfId="0" applyFont="1" applyBorder="1" applyAlignment="1">
      <alignment horizontal="center" wrapText="1"/>
    </xf>
    <xf numFmtId="0" fontId="62" fillId="0" borderId="97" xfId="0" applyFont="1" applyBorder="1" applyAlignment="1">
      <alignment horizontal="center" wrapText="1"/>
    </xf>
    <xf numFmtId="0" fontId="60" fillId="0" borderId="5"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9" xfId="0" applyFont="1" applyBorder="1" applyAlignment="1">
      <alignment horizontal="center" vertical="center" wrapText="1"/>
    </xf>
    <xf numFmtId="0" fontId="72" fillId="17" borderId="87" xfId="0" applyFont="1" applyFill="1" applyBorder="1" applyAlignment="1">
      <alignment horizontal="center" vertical="center" textRotation="90"/>
    </xf>
    <xf numFmtId="0" fontId="46" fillId="14" borderId="36" xfId="2" applyFont="1" applyFill="1" applyBorder="1" applyAlignment="1">
      <alignment horizontal="center" vertical="center" wrapText="1"/>
    </xf>
    <xf numFmtId="0" fontId="46" fillId="14" borderId="37" xfId="2" applyFont="1" applyFill="1" applyBorder="1" applyAlignment="1">
      <alignment horizontal="center" vertical="center" wrapText="1"/>
    </xf>
    <xf numFmtId="0" fontId="46" fillId="14" borderId="38" xfId="2" applyFont="1" applyFill="1" applyBorder="1" applyAlignment="1">
      <alignment horizontal="center" vertical="center" wrapText="1"/>
    </xf>
    <xf numFmtId="0" fontId="45" fillId="0" borderId="7" xfId="2" quotePrefix="1" applyFont="1" applyBorder="1" applyAlignment="1">
      <alignment horizontal="left" vertical="center" wrapText="1"/>
    </xf>
    <xf numFmtId="0" fontId="45" fillId="0" borderId="0" xfId="2" quotePrefix="1" applyFont="1" applyAlignment="1">
      <alignment horizontal="left" vertical="center" wrapText="1"/>
    </xf>
    <xf numFmtId="0" fontId="45" fillId="0" borderId="8" xfId="2" quotePrefix="1" applyFont="1" applyBorder="1" applyAlignment="1">
      <alignment horizontal="left" vertical="center" wrapText="1"/>
    </xf>
    <xf numFmtId="0" fontId="45" fillId="0" borderId="56" xfId="2" quotePrefix="1" applyFont="1" applyBorder="1" applyAlignment="1">
      <alignment horizontal="left" vertical="center" wrapText="1"/>
    </xf>
    <xf numFmtId="0" fontId="45" fillId="0" borderId="57" xfId="2" quotePrefix="1" applyFont="1" applyBorder="1" applyAlignment="1">
      <alignment horizontal="left" vertical="center" wrapText="1"/>
    </xf>
    <xf numFmtId="0" fontId="45" fillId="0" borderId="58" xfId="2" quotePrefix="1" applyFont="1" applyBorder="1" applyAlignment="1">
      <alignment horizontal="left" vertical="center" wrapText="1"/>
    </xf>
    <xf numFmtId="0" fontId="47" fillId="3" borderId="39" xfId="2" quotePrefix="1" applyFont="1" applyFill="1" applyBorder="1" applyAlignment="1">
      <alignment horizontal="left" vertical="top" wrapText="1"/>
    </xf>
    <xf numFmtId="0" fontId="48" fillId="3" borderId="40" xfId="2" quotePrefix="1" applyFont="1" applyFill="1" applyBorder="1" applyAlignment="1">
      <alignment horizontal="left" vertical="top" wrapText="1"/>
    </xf>
    <xf numFmtId="0" fontId="48" fillId="3" borderId="41" xfId="2" quotePrefix="1" applyFont="1" applyFill="1" applyBorder="1" applyAlignment="1">
      <alignment horizontal="left" vertical="top" wrapText="1"/>
    </xf>
    <xf numFmtId="0" fontId="45" fillId="0" borderId="7" xfId="2" quotePrefix="1" applyFont="1" applyBorder="1" applyAlignment="1">
      <alignment horizontal="left" vertical="top" wrapText="1"/>
    </xf>
    <xf numFmtId="0" fontId="45" fillId="0" borderId="0" xfId="2" quotePrefix="1" applyFont="1" applyAlignment="1">
      <alignment horizontal="left" vertical="top" wrapText="1"/>
    </xf>
    <xf numFmtId="0" fontId="45" fillId="0" borderId="8" xfId="2" quotePrefix="1" applyFont="1" applyBorder="1" applyAlignment="1">
      <alignment horizontal="left" vertical="top" wrapText="1"/>
    </xf>
    <xf numFmtId="0" fontId="50" fillId="14" borderId="42" xfId="3" applyFont="1" applyFill="1" applyBorder="1" applyAlignment="1">
      <alignment horizontal="center" vertical="center" wrapText="1"/>
    </xf>
    <xf numFmtId="0" fontId="50" fillId="14" borderId="43" xfId="3" applyFont="1" applyFill="1" applyBorder="1" applyAlignment="1">
      <alignment horizontal="center" vertical="center" wrapText="1"/>
    </xf>
    <xf numFmtId="0" fontId="50" fillId="14" borderId="44" xfId="2" applyFont="1" applyFill="1" applyBorder="1" applyAlignment="1">
      <alignment horizontal="center" vertical="center"/>
    </xf>
    <xf numFmtId="0" fontId="50" fillId="14" borderId="45" xfId="2" applyFont="1" applyFill="1" applyBorder="1" applyAlignment="1">
      <alignment horizontal="center" vertical="center"/>
    </xf>
    <xf numFmtId="0" fontId="1" fillId="3" borderId="56" xfId="2" quotePrefix="1" applyFont="1" applyFill="1" applyBorder="1" applyAlignment="1">
      <alignment horizontal="justify" vertical="center" wrapText="1"/>
    </xf>
    <xf numFmtId="0" fontId="1" fillId="3" borderId="57" xfId="2" quotePrefix="1" applyFont="1" applyFill="1" applyBorder="1" applyAlignment="1">
      <alignment horizontal="justify" vertical="center" wrapText="1"/>
    </xf>
    <xf numFmtId="0" fontId="1" fillId="3" borderId="58" xfId="2" quotePrefix="1" applyFont="1" applyFill="1" applyBorder="1" applyAlignment="1">
      <alignment horizontal="justify" vertical="center" wrapText="1"/>
    </xf>
    <xf numFmtId="0" fontId="50" fillId="3" borderId="46" xfId="3" applyFont="1" applyFill="1" applyBorder="1" applyAlignment="1">
      <alignment horizontal="left" vertical="top" wrapText="1" readingOrder="1"/>
    </xf>
    <xf numFmtId="0" fontId="50" fillId="3" borderId="47" xfId="3" applyFont="1" applyFill="1" applyBorder="1" applyAlignment="1">
      <alignment horizontal="left" vertical="top" wrapText="1" readingOrder="1"/>
    </xf>
    <xf numFmtId="0" fontId="51" fillId="3" borderId="48" xfId="2" applyFont="1" applyFill="1" applyBorder="1" applyAlignment="1">
      <alignment horizontal="justify" vertical="center" wrapText="1"/>
    </xf>
    <xf numFmtId="0" fontId="51" fillId="3" borderId="49" xfId="2" applyFont="1" applyFill="1" applyBorder="1" applyAlignment="1">
      <alignment horizontal="justify" vertical="center" wrapText="1"/>
    </xf>
    <xf numFmtId="0" fontId="50" fillId="3" borderId="50" xfId="0" applyFont="1" applyFill="1" applyBorder="1" applyAlignment="1">
      <alignment horizontal="left" vertical="center" wrapText="1"/>
    </xf>
    <xf numFmtId="0" fontId="50" fillId="3" borderId="51" xfId="0" applyFont="1" applyFill="1" applyBorder="1" applyAlignment="1">
      <alignment horizontal="left" vertical="center" wrapText="1"/>
    </xf>
    <xf numFmtId="0" fontId="51" fillId="3" borderId="52" xfId="2" applyFont="1" applyFill="1" applyBorder="1" applyAlignment="1">
      <alignment horizontal="justify" vertical="center" wrapText="1"/>
    </xf>
    <xf numFmtId="0" fontId="51" fillId="3" borderId="53" xfId="2" applyFont="1" applyFill="1" applyBorder="1" applyAlignment="1">
      <alignment horizontal="justify" vertical="center" wrapText="1"/>
    </xf>
    <xf numFmtId="0" fontId="45" fillId="3" borderId="7" xfId="2" applyFont="1" applyFill="1" applyBorder="1" applyAlignment="1">
      <alignment horizontal="left" vertical="top" wrapText="1"/>
    </xf>
    <xf numFmtId="0" fontId="45" fillId="3" borderId="0" xfId="2" applyFont="1" applyFill="1" applyAlignment="1">
      <alignment horizontal="left" vertical="top" wrapText="1"/>
    </xf>
    <xf numFmtId="0" fontId="45" fillId="3" borderId="8" xfId="2" applyFont="1" applyFill="1" applyBorder="1" applyAlignment="1">
      <alignment horizontal="left" vertical="top" wrapText="1"/>
    </xf>
    <xf numFmtId="0" fontId="50" fillId="3" borderId="59" xfId="0" applyFont="1" applyFill="1" applyBorder="1" applyAlignment="1">
      <alignment horizontal="left" vertical="center" wrapText="1"/>
    </xf>
    <xf numFmtId="0" fontId="50" fillId="3" borderId="60" xfId="0" applyFont="1" applyFill="1" applyBorder="1" applyAlignment="1">
      <alignment horizontal="left" vertical="center" wrapText="1"/>
    </xf>
    <xf numFmtId="0" fontId="50" fillId="3" borderId="61" xfId="0" applyFont="1" applyFill="1" applyBorder="1" applyAlignment="1">
      <alignment horizontal="left" vertical="center" wrapText="1"/>
    </xf>
    <xf numFmtId="0" fontId="50" fillId="3" borderId="62" xfId="0" applyFont="1" applyFill="1" applyBorder="1" applyAlignment="1">
      <alignment horizontal="left" vertical="center" wrapText="1"/>
    </xf>
    <xf numFmtId="0" fontId="51" fillId="3" borderId="54" xfId="0" applyFont="1" applyFill="1" applyBorder="1" applyAlignment="1">
      <alignment horizontal="justify" vertical="center" wrapText="1"/>
    </xf>
    <xf numFmtId="0" fontId="51" fillId="3" borderId="55" xfId="0" applyFont="1" applyFill="1" applyBorder="1" applyAlignment="1">
      <alignment horizontal="justify" vertical="center" wrapText="1"/>
    </xf>
    <xf numFmtId="0" fontId="63" fillId="0" borderId="69" xfId="0" applyFont="1" applyBorder="1" applyAlignment="1">
      <alignment horizontal="center" wrapText="1"/>
    </xf>
    <xf numFmtId="0" fontId="62" fillId="0" borderId="70" xfId="0" applyFont="1" applyBorder="1" applyAlignment="1">
      <alignment horizontal="center" wrapText="1"/>
    </xf>
    <xf numFmtId="0" fontId="62" fillId="0" borderId="73" xfId="0" applyFont="1" applyBorder="1" applyAlignment="1">
      <alignment horizontal="center" wrapText="1"/>
    </xf>
    <xf numFmtId="0" fontId="65" fillId="0" borderId="5" xfId="0" applyFont="1" applyBorder="1" applyAlignment="1">
      <alignment horizontal="center" vertical="center" wrapText="1"/>
    </xf>
    <xf numFmtId="0" fontId="65" fillId="0" borderId="12" xfId="0" applyFont="1" applyBorder="1" applyAlignment="1">
      <alignment horizontal="center" vertical="center" wrapText="1"/>
    </xf>
    <xf numFmtId="0" fontId="65" fillId="0" borderId="7" xfId="0" applyFont="1" applyBorder="1" applyAlignment="1">
      <alignment horizontal="center" vertical="center" wrapText="1"/>
    </xf>
    <xf numFmtId="0" fontId="65" fillId="0" borderId="0" xfId="0" applyFont="1" applyAlignment="1">
      <alignment horizontal="center" vertical="center" wrapText="1"/>
    </xf>
    <xf numFmtId="0" fontId="65" fillId="0" borderId="9" xfId="0" applyFont="1" applyBorder="1" applyAlignment="1">
      <alignment horizontal="center" vertical="center" wrapText="1"/>
    </xf>
    <xf numFmtId="0" fontId="65" fillId="0" borderId="11" xfId="0" applyFont="1" applyBorder="1" applyAlignment="1">
      <alignment horizontal="center" vertical="center" wrapText="1"/>
    </xf>
    <xf numFmtId="0" fontId="66" fillId="16" borderId="32" xfId="0" applyFont="1" applyFill="1" applyBorder="1" applyAlignment="1">
      <alignment horizontal="center" vertical="center" wrapText="1"/>
    </xf>
    <xf numFmtId="0" fontId="66" fillId="16" borderId="33" xfId="0" applyFont="1" applyFill="1" applyBorder="1" applyAlignment="1">
      <alignment horizontal="center" vertical="center" wrapText="1"/>
    </xf>
    <xf numFmtId="0" fontId="66" fillId="16" borderId="80" xfId="0" applyFont="1" applyFill="1" applyBorder="1" applyAlignment="1">
      <alignment horizontal="center" vertical="center" wrapText="1"/>
    </xf>
    <xf numFmtId="0" fontId="66" fillId="16" borderId="81" xfId="0" applyFont="1" applyFill="1" applyBorder="1" applyAlignment="1">
      <alignment horizontal="center" vertical="center" wrapText="1"/>
    </xf>
    <xf numFmtId="0" fontId="66" fillId="16" borderId="24" xfId="0" applyFont="1" applyFill="1" applyBorder="1" applyAlignment="1">
      <alignment horizontal="center" vertical="center" wrapText="1"/>
    </xf>
    <xf numFmtId="0" fontId="66" fillId="16" borderId="35" xfId="0" applyFont="1" applyFill="1" applyBorder="1" applyAlignment="1">
      <alignment horizontal="center" vertical="center" wrapText="1"/>
    </xf>
    <xf numFmtId="165" fontId="61" fillId="0" borderId="23" xfId="0" applyNumberFormat="1" applyFont="1" applyBorder="1" applyAlignment="1">
      <alignment horizontal="center" vertical="center"/>
    </xf>
    <xf numFmtId="165" fontId="61" fillId="0" borderId="35" xfId="0" applyNumberFormat="1" applyFont="1" applyBorder="1" applyAlignment="1">
      <alignment horizontal="center" vertical="center"/>
    </xf>
    <xf numFmtId="0" fontId="61" fillId="0" borderId="81" xfId="0" applyFont="1" applyBorder="1" applyAlignment="1">
      <alignment horizontal="center" vertical="center" wrapText="1"/>
    </xf>
    <xf numFmtId="0" fontId="61" fillId="0" borderId="33" xfId="0" applyFont="1" applyBorder="1" applyAlignment="1">
      <alignment horizontal="center" vertical="center" wrapText="1"/>
    </xf>
    <xf numFmtId="0" fontId="61" fillId="0" borderId="33" xfId="0" applyFont="1" applyBorder="1" applyAlignment="1">
      <alignment horizontal="left" vertical="center" wrapText="1"/>
    </xf>
    <xf numFmtId="0" fontId="61" fillId="0" borderId="34" xfId="0" applyFont="1" applyBorder="1" applyAlignment="1">
      <alignment horizontal="left" vertical="center" wrapText="1"/>
    </xf>
    <xf numFmtId="0" fontId="67" fillId="0" borderId="0" xfId="0" applyFont="1" applyAlignment="1">
      <alignment horizontal="center" vertical="center"/>
    </xf>
    <xf numFmtId="0" fontId="68" fillId="16" borderId="82" xfId="0" applyFont="1" applyFill="1" applyBorder="1" applyAlignment="1">
      <alignment horizontal="center" vertical="center" wrapText="1"/>
    </xf>
    <xf numFmtId="0" fontId="68" fillId="16" borderId="83" xfId="0" applyFont="1" applyFill="1" applyBorder="1" applyAlignment="1">
      <alignment horizontal="center" vertical="center" wrapText="1"/>
    </xf>
    <xf numFmtId="0" fontId="68" fillId="16" borderId="84" xfId="0" applyFont="1" applyFill="1" applyBorder="1" applyAlignment="1">
      <alignment horizontal="center" vertical="center" wrapText="1"/>
    </xf>
    <xf numFmtId="0" fontId="68" fillId="16" borderId="5" xfId="0" applyFont="1" applyFill="1" applyBorder="1" applyAlignment="1">
      <alignment horizontal="center" vertical="center" wrapText="1"/>
    </xf>
    <xf numFmtId="0" fontId="68" fillId="16" borderId="12" xfId="0" applyFont="1" applyFill="1" applyBorder="1" applyAlignment="1">
      <alignment horizontal="center" vertical="center" wrapText="1"/>
    </xf>
    <xf numFmtId="0" fontId="68" fillId="16" borderId="6" xfId="0" applyFont="1" applyFill="1" applyBorder="1" applyAlignment="1">
      <alignment horizontal="center" vertical="center" wrapText="1"/>
    </xf>
    <xf numFmtId="0" fontId="68" fillId="16" borderId="75" xfId="0" applyFont="1" applyFill="1" applyBorder="1" applyAlignment="1">
      <alignment horizontal="center" vertical="center" wrapText="1"/>
    </xf>
    <xf numFmtId="0" fontId="68" fillId="16" borderId="76" xfId="0" applyFont="1" applyFill="1" applyBorder="1" applyAlignment="1">
      <alignment horizontal="center" vertical="center" wrapText="1"/>
    </xf>
    <xf numFmtId="0" fontId="69" fillId="0" borderId="5" xfId="0" applyFont="1" applyBorder="1" applyAlignment="1">
      <alignment horizontal="center" vertical="center" wrapText="1"/>
    </xf>
    <xf numFmtId="0" fontId="69" fillId="0" borderId="12" xfId="0" applyFont="1" applyBorder="1" applyAlignment="1">
      <alignment horizontal="center" vertical="center" wrapText="1"/>
    </xf>
    <xf numFmtId="0" fontId="61" fillId="0" borderId="12" xfId="0" applyFont="1" applyBorder="1" applyAlignment="1">
      <alignment horizontal="center"/>
    </xf>
    <xf numFmtId="0" fontId="61" fillId="0" borderId="6" xfId="0" applyFont="1" applyBorder="1" applyAlignment="1">
      <alignment horizontal="center"/>
    </xf>
    <xf numFmtId="0" fontId="71" fillId="0" borderId="0" xfId="0" applyFont="1" applyAlignment="1">
      <alignment horizontal="left" wrapText="1"/>
    </xf>
    <xf numFmtId="0" fontId="69" fillId="0" borderId="7" xfId="0" applyFont="1" applyBorder="1" applyAlignment="1">
      <alignment horizontal="center" vertical="center" wrapText="1"/>
    </xf>
    <xf numFmtId="0" fontId="70" fillId="0" borderId="0" xfId="0" applyFont="1" applyAlignment="1">
      <alignment horizontal="center" vertical="center" wrapText="1"/>
    </xf>
    <xf numFmtId="0" fontId="69" fillId="0" borderId="0" xfId="0" applyFont="1" applyAlignment="1">
      <alignment horizontal="center" vertical="center" wrapText="1"/>
    </xf>
    <xf numFmtId="0" fontId="69" fillId="0" borderId="8" xfId="0" applyFont="1" applyBorder="1" applyAlignment="1">
      <alignment horizontal="center" vertical="center" wrapText="1"/>
    </xf>
    <xf numFmtId="0" fontId="61" fillId="0" borderId="9"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10" xfId="0" applyFont="1" applyBorder="1" applyAlignment="1">
      <alignment horizontal="center" vertical="center" wrapText="1"/>
    </xf>
    <xf numFmtId="0" fontId="61" fillId="0" borderId="11" xfId="0" applyFont="1" applyBorder="1" applyAlignment="1">
      <alignment horizontal="center"/>
    </xf>
    <xf numFmtId="0" fontId="62" fillId="0" borderId="23" xfId="0" applyFont="1" applyBorder="1" applyAlignment="1">
      <alignment horizontal="center" vertical="center" wrapText="1"/>
    </xf>
    <xf numFmtId="0" fontId="62" fillId="0" borderId="24" xfId="0" applyFont="1" applyBorder="1" applyAlignment="1">
      <alignment horizontal="center" vertical="center" wrapText="1"/>
    </xf>
    <xf numFmtId="0" fontId="62" fillId="0" borderId="35" xfId="0" applyFont="1" applyBorder="1" applyAlignment="1">
      <alignment horizontal="center" vertical="center" wrapText="1"/>
    </xf>
    <xf numFmtId="0" fontId="21" fillId="0" borderId="0" xfId="0" applyFont="1" applyAlignment="1">
      <alignment horizontal="center" vertical="center"/>
    </xf>
    <xf numFmtId="0" fontId="41" fillId="0" borderId="0" xfId="0" applyFont="1" applyAlignment="1">
      <alignment horizontal="center" vertical="center"/>
    </xf>
    <xf numFmtId="0" fontId="36" fillId="15" borderId="23" xfId="0" applyFont="1" applyFill="1" applyBorder="1" applyAlignment="1">
      <alignment horizontal="center" vertical="center" wrapText="1" readingOrder="1"/>
    </xf>
    <xf numFmtId="0" fontId="36" fillId="15" borderId="24" xfId="0" applyFont="1" applyFill="1" applyBorder="1" applyAlignment="1">
      <alignment horizontal="center" vertical="center" wrapText="1" readingOrder="1"/>
    </xf>
    <xf numFmtId="0" fontId="36" fillId="15" borderId="35" xfId="0" applyFont="1" applyFill="1" applyBorder="1" applyAlignment="1">
      <alignment horizontal="center" vertical="center" wrapText="1" readingOrder="1"/>
    </xf>
    <xf numFmtId="0" fontId="31" fillId="3" borderId="0" xfId="0" applyFont="1" applyFill="1" applyAlignment="1">
      <alignment horizontal="justify" vertical="center" wrapText="1"/>
    </xf>
    <xf numFmtId="0" fontId="33" fillId="15" borderId="32" xfId="0" applyFont="1" applyFill="1" applyBorder="1" applyAlignment="1">
      <alignment horizontal="center" vertical="center" wrapText="1" readingOrder="1"/>
    </xf>
    <xf numFmtId="0" fontId="33" fillId="15" borderId="33" xfId="0" applyFont="1" applyFill="1" applyBorder="1" applyAlignment="1">
      <alignment horizontal="center" vertical="center" wrapText="1" readingOrder="1"/>
    </xf>
    <xf numFmtId="0" fontId="33" fillId="3" borderId="30" xfId="0" applyFont="1" applyFill="1" applyBorder="1" applyAlignment="1">
      <alignment horizontal="center" vertical="center" wrapText="1" readingOrder="1"/>
    </xf>
    <xf numFmtId="0" fontId="33" fillId="3" borderId="25"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7"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cellXfs>
  <cellStyles count="6">
    <cellStyle name="Hipervínculo" xfId="5" builtinId="8"/>
    <cellStyle name="Normal" xfId="0" builtinId="0"/>
    <cellStyle name="Normal - Style1 2" xfId="2" xr:uid="{00000000-0005-0000-0000-000002000000}"/>
    <cellStyle name="Normal 2" xfId="4" xr:uid="{00000000-0005-0000-0000-000003000000}"/>
    <cellStyle name="Normal 2 2" xfId="3" xr:uid="{00000000-0005-0000-0000-000004000000}"/>
    <cellStyle name="Porcentaje" xfId="1" builtinId="5"/>
  </cellStyles>
  <dxfs count="26">
    <dxf>
      <fill>
        <patternFill>
          <bgColor rgb="FFFFFF00"/>
        </patternFill>
      </fill>
    </dxf>
    <dxf>
      <fill>
        <patternFill>
          <bgColor rgb="FF00B050"/>
        </patternFill>
      </fill>
    </dxf>
    <dxf>
      <fill>
        <patternFill>
          <bgColor rgb="FFFF0000"/>
        </patternFill>
      </fill>
    </dxf>
    <dxf>
      <font>
        <color theme="1"/>
      </font>
      <fill>
        <patternFill>
          <bgColor rgb="FF92D050"/>
        </patternFill>
      </fill>
    </dxf>
    <dxf>
      <font>
        <color auto="1"/>
      </font>
      <fill>
        <patternFill>
          <bgColor rgb="FFFFFF00"/>
        </patternFill>
      </fill>
    </dxf>
    <dxf>
      <font>
        <color auto="1"/>
      </font>
      <fill>
        <patternFill>
          <bgColor rgb="FFC00000"/>
        </patternFill>
      </fill>
    </dxf>
    <dxf>
      <font>
        <color auto="1"/>
      </font>
      <fill>
        <patternFill>
          <bgColor rgb="FF92D05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00CC66"/>
      <color rgb="FFB4B3B6"/>
      <color rgb="FF287840"/>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Mapa final'!A1"/><Relationship Id="rId7" Type="http://schemas.openxmlformats.org/officeDocument/2006/relationships/image" Target="../media/image2.svg"/><Relationship Id="rId2" Type="http://schemas.openxmlformats.org/officeDocument/2006/relationships/hyperlink" Target="#'Matriz Calor Residual'!A1"/><Relationship Id="rId1" Type="http://schemas.openxmlformats.org/officeDocument/2006/relationships/hyperlink" Target="#'CAMBIOS REGISTRO'!A1"/><Relationship Id="rId6" Type="http://schemas.openxmlformats.org/officeDocument/2006/relationships/image" Target="../media/image1.png"/><Relationship Id="rId5" Type="http://schemas.openxmlformats.org/officeDocument/2006/relationships/hyperlink" Target="#'CRITERIOS R CORRUPCION'!A1"/><Relationship Id="rId4" Type="http://schemas.openxmlformats.org/officeDocument/2006/relationships/hyperlink" Target="#'Matriz Calor Inherente'!A1"/></Relationships>
</file>

<file path=xl/drawings/_rels/drawing2.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hyperlink" Target="#'PORTADA '!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ORTADA '!A1"/></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12</xdr:col>
      <xdr:colOff>80211</xdr:colOff>
      <xdr:row>31</xdr:row>
      <xdr:rowOff>50132</xdr:rowOff>
    </xdr:from>
    <xdr:to>
      <xdr:col>13</xdr:col>
      <xdr:colOff>604086</xdr:colOff>
      <xdr:row>37</xdr:row>
      <xdr:rowOff>50132</xdr:rowOff>
    </xdr:to>
    <xdr:sp macro="" textlink="">
      <xdr:nvSpPr>
        <xdr:cNvPr id="3" name="Diagrama de flujo: multidocumento 2">
          <a:hlinkClick xmlns:r="http://schemas.openxmlformats.org/officeDocument/2006/relationships" r:id="rId1"/>
          <a:extLst>
            <a:ext uri="{FF2B5EF4-FFF2-40B4-BE49-F238E27FC236}">
              <a16:creationId xmlns:a16="http://schemas.microsoft.com/office/drawing/2014/main" id="{561EEA2B-EE45-474B-B261-C2F77FE53BED}"/>
            </a:ext>
            <a:ext uri="{147F2762-F138-4A5C-976F-8EAC2B608ADB}">
              <a16:predDERef xmlns:a16="http://schemas.microsoft.com/office/drawing/2014/main" pred="{A0CA84D1-D22B-4210-8FA4-F089CFE3202B}"/>
            </a:ext>
          </a:extLst>
        </xdr:cNvPr>
        <xdr:cNvSpPr/>
      </xdr:nvSpPr>
      <xdr:spPr>
        <a:xfrm>
          <a:off x="9314448" y="6035843"/>
          <a:ext cx="1285875" cy="1143000"/>
        </a:xfrm>
        <a:prstGeom prst="flowChartMultidocument">
          <a:avLst/>
        </a:prstGeom>
        <a:solidFill>
          <a:srgbClr val="28784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100" b="1" i="0" u="none" strike="noStrike">
              <a:solidFill>
                <a:schemeClr val="lt1"/>
              </a:solidFill>
              <a:latin typeface="Calibri" panose="020F0502020204030204" pitchFamily="34" charset="0"/>
              <a:cs typeface="Calibri" panose="020F0502020204030204" pitchFamily="34" charset="0"/>
            </a:rPr>
            <a:t>CONTROL DE CAMBIOS </a:t>
          </a:r>
        </a:p>
      </xdr:txBody>
    </xdr:sp>
    <xdr:clientData/>
  </xdr:twoCellAnchor>
  <xdr:twoCellAnchor>
    <xdr:from>
      <xdr:col>2</xdr:col>
      <xdr:colOff>280736</xdr:colOff>
      <xdr:row>8</xdr:row>
      <xdr:rowOff>130342</xdr:rowOff>
    </xdr:from>
    <xdr:to>
      <xdr:col>12</xdr:col>
      <xdr:colOff>601579</xdr:colOff>
      <xdr:row>28</xdr:row>
      <xdr:rowOff>40105</xdr:rowOff>
    </xdr:to>
    <xdr:grpSp>
      <xdr:nvGrpSpPr>
        <xdr:cNvPr id="4" name="Google Shape;6040;p62">
          <a:extLst>
            <a:ext uri="{FF2B5EF4-FFF2-40B4-BE49-F238E27FC236}">
              <a16:creationId xmlns:a16="http://schemas.microsoft.com/office/drawing/2014/main" id="{B3F5F72E-E959-4301-B587-7E1224BDEF5E}"/>
            </a:ext>
          </a:extLst>
        </xdr:cNvPr>
        <xdr:cNvGrpSpPr/>
      </xdr:nvGrpSpPr>
      <xdr:grpSpPr>
        <a:xfrm>
          <a:off x="1644315" y="1824789"/>
          <a:ext cx="8392027" cy="4010527"/>
          <a:chOff x="238125" y="1188750"/>
          <a:chExt cx="7140450" cy="3335550"/>
        </a:xfrm>
      </xdr:grpSpPr>
      <xdr:sp macro="" textlink="">
        <xdr:nvSpPr>
          <xdr:cNvPr id="5" name="Google Shape;6041;p62">
            <a:extLst>
              <a:ext uri="{FF2B5EF4-FFF2-40B4-BE49-F238E27FC236}">
                <a16:creationId xmlns:a16="http://schemas.microsoft.com/office/drawing/2014/main" id="{18AB30EA-3692-4E95-AC57-A61DDC3B62D6}"/>
              </a:ext>
            </a:extLst>
          </xdr:cNvPr>
          <xdr:cNvSpPr/>
        </xdr:nvSpPr>
        <xdr:spPr>
          <a:xfrm>
            <a:off x="238125" y="1188750"/>
            <a:ext cx="3507025" cy="1584000"/>
          </a:xfrm>
          <a:custGeom>
            <a:avLst/>
            <a:gdLst/>
            <a:ahLst/>
            <a:cxnLst/>
            <a:rect l="l" t="t" r="r" b="b"/>
            <a:pathLst>
              <a:path w="140281" h="63360" extrusionOk="0">
                <a:moveTo>
                  <a:pt x="4021" y="0"/>
                </a:moveTo>
                <a:cubicBezTo>
                  <a:pt x="1801" y="6"/>
                  <a:pt x="6" y="1801"/>
                  <a:pt x="0" y="4021"/>
                </a:cubicBezTo>
                <a:lnTo>
                  <a:pt x="0" y="59338"/>
                </a:lnTo>
                <a:cubicBezTo>
                  <a:pt x="6" y="61552"/>
                  <a:pt x="1801" y="63354"/>
                  <a:pt x="4021" y="63359"/>
                </a:cubicBezTo>
                <a:lnTo>
                  <a:pt x="98272" y="63359"/>
                </a:lnTo>
                <a:cubicBezTo>
                  <a:pt x="99963" y="41512"/>
                  <a:pt x="118098" y="24204"/>
                  <a:pt x="140280" y="23813"/>
                </a:cubicBezTo>
                <a:lnTo>
                  <a:pt x="140280" y="4021"/>
                </a:lnTo>
                <a:cubicBezTo>
                  <a:pt x="140275" y="1801"/>
                  <a:pt x="138474" y="6"/>
                  <a:pt x="136259"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CONTEXTO -</a:t>
            </a:r>
            <a:r>
              <a:rPr lang="es-MX" b="1" baseline="0">
                <a:solidFill>
                  <a:schemeClr val="bg1"/>
                </a:solidFill>
              </a:rPr>
              <a:t> DOFA</a:t>
            </a:r>
          </a:p>
          <a:p>
            <a:pPr marL="0" lvl="0" indent="0" algn="ctr" rtl="0">
              <a:spcBef>
                <a:spcPts val="0"/>
              </a:spcBef>
              <a:spcAft>
                <a:spcPts val="0"/>
              </a:spcAft>
              <a:buNone/>
            </a:pPr>
            <a:r>
              <a:rPr lang="es-MX" b="1" baseline="0">
                <a:solidFill>
                  <a:schemeClr val="bg1"/>
                </a:solidFill>
              </a:rPr>
              <a:t>(KAWAK)</a:t>
            </a:r>
            <a:endParaRPr b="1">
              <a:solidFill>
                <a:schemeClr val="bg1"/>
              </a:solidFill>
            </a:endParaRPr>
          </a:p>
        </xdr:txBody>
      </xdr:sp>
      <xdr:sp macro="" textlink="">
        <xdr:nvSpPr>
          <xdr:cNvPr id="6" name="Google Shape;6042;p62">
            <a:hlinkClick xmlns:r="http://schemas.openxmlformats.org/officeDocument/2006/relationships" r:id="rId2"/>
            <a:extLst>
              <a:ext uri="{FF2B5EF4-FFF2-40B4-BE49-F238E27FC236}">
                <a16:creationId xmlns:a16="http://schemas.microsoft.com/office/drawing/2014/main" id="{BD507546-1AC8-44E1-93E6-7187A5D8A960}"/>
              </a:ext>
            </a:extLst>
          </xdr:cNvPr>
          <xdr:cNvSpPr/>
        </xdr:nvSpPr>
        <xdr:spPr>
          <a:xfrm>
            <a:off x="238125" y="2940300"/>
            <a:ext cx="3507025" cy="1584000"/>
          </a:xfrm>
          <a:custGeom>
            <a:avLst/>
            <a:gdLst/>
            <a:ahLst/>
            <a:cxnLst/>
            <a:rect l="l" t="t" r="r" b="b"/>
            <a:pathLst>
              <a:path w="140281" h="63360" extrusionOk="0">
                <a:moveTo>
                  <a:pt x="4021" y="1"/>
                </a:moveTo>
                <a:cubicBezTo>
                  <a:pt x="1801" y="6"/>
                  <a:pt x="6" y="1808"/>
                  <a:pt x="0" y="4022"/>
                </a:cubicBezTo>
                <a:lnTo>
                  <a:pt x="0" y="59339"/>
                </a:lnTo>
                <a:cubicBezTo>
                  <a:pt x="6" y="61559"/>
                  <a:pt x="1801" y="63354"/>
                  <a:pt x="4021" y="63360"/>
                </a:cubicBezTo>
                <a:lnTo>
                  <a:pt x="136259" y="63360"/>
                </a:lnTo>
                <a:cubicBezTo>
                  <a:pt x="138474" y="63354"/>
                  <a:pt x="140275" y="61559"/>
                  <a:pt x="140280" y="59339"/>
                </a:cubicBezTo>
                <a:lnTo>
                  <a:pt x="140280" y="39547"/>
                </a:lnTo>
                <a:cubicBezTo>
                  <a:pt x="118098" y="39155"/>
                  <a:pt x="99963" y="21848"/>
                  <a:pt x="98272" y="1"/>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a:t>
            </a:r>
          </a:p>
          <a:p>
            <a:pPr algn="ctr"/>
            <a:r>
              <a:rPr lang="es-CO" sz="1400" b="1" i="0" u="none" strike="noStrike" cap="none">
                <a:solidFill>
                  <a:schemeClr val="bg1"/>
                </a:solidFill>
                <a:effectLst/>
                <a:latin typeface="Arial"/>
                <a:ea typeface="Arial"/>
                <a:cs typeface="Arial"/>
                <a:sym typeface="Arial"/>
              </a:rPr>
              <a:t> RESIDUAL</a:t>
            </a:r>
          </a:p>
          <a:p>
            <a:pPr marL="0" lvl="0" indent="0" algn="ctr" rtl="0">
              <a:spcBef>
                <a:spcPts val="0"/>
              </a:spcBef>
              <a:spcAft>
                <a:spcPts val="0"/>
              </a:spcAft>
              <a:buNone/>
            </a:pPr>
            <a:endParaRPr/>
          </a:p>
        </xdr:txBody>
      </xdr:sp>
      <xdr:sp macro="" textlink="">
        <xdr:nvSpPr>
          <xdr:cNvPr id="7" name="Google Shape;6043;p62">
            <a:hlinkClick xmlns:r="http://schemas.openxmlformats.org/officeDocument/2006/relationships" r:id="rId3"/>
            <a:extLst>
              <a:ext uri="{FF2B5EF4-FFF2-40B4-BE49-F238E27FC236}">
                <a16:creationId xmlns:a16="http://schemas.microsoft.com/office/drawing/2014/main" id="{B42689E8-C2D2-49B1-8850-0208BA377BE1}"/>
              </a:ext>
            </a:extLst>
          </xdr:cNvPr>
          <xdr:cNvSpPr/>
        </xdr:nvSpPr>
        <xdr:spPr>
          <a:xfrm>
            <a:off x="3871550" y="1188750"/>
            <a:ext cx="3507025" cy="1584000"/>
          </a:xfrm>
          <a:custGeom>
            <a:avLst/>
            <a:gdLst/>
            <a:ahLst/>
            <a:cxnLst/>
            <a:rect l="l" t="t" r="r" b="b"/>
            <a:pathLst>
              <a:path w="140281" h="63360" extrusionOk="0">
                <a:moveTo>
                  <a:pt x="4022" y="0"/>
                </a:moveTo>
                <a:cubicBezTo>
                  <a:pt x="1807" y="6"/>
                  <a:pt x="6" y="1801"/>
                  <a:pt x="0" y="4021"/>
                </a:cubicBezTo>
                <a:lnTo>
                  <a:pt x="0" y="24017"/>
                </a:lnTo>
                <a:cubicBezTo>
                  <a:pt x="20553" y="26066"/>
                  <a:pt x="36886" y="42675"/>
                  <a:pt x="38494" y="63359"/>
                </a:cubicBezTo>
                <a:lnTo>
                  <a:pt x="136260" y="63359"/>
                </a:lnTo>
                <a:cubicBezTo>
                  <a:pt x="138480" y="63354"/>
                  <a:pt x="140275" y="61552"/>
                  <a:pt x="140281" y="59338"/>
                </a:cubicBezTo>
                <a:lnTo>
                  <a:pt x="140281" y="4021"/>
                </a:lnTo>
                <a:cubicBezTo>
                  <a:pt x="140275" y="1801"/>
                  <a:pt x="138480" y="6"/>
                  <a:pt x="136260" y="0"/>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MAPA DE</a:t>
            </a:r>
            <a:r>
              <a:rPr lang="es-MX" b="1" baseline="0">
                <a:solidFill>
                  <a:schemeClr val="bg1"/>
                </a:solidFill>
              </a:rPr>
              <a:t> </a:t>
            </a:r>
            <a:r>
              <a:rPr lang="es-MX" b="1">
                <a:solidFill>
                  <a:schemeClr val="bg1"/>
                </a:solidFill>
              </a:rPr>
              <a:t>RIESGOS</a:t>
            </a:r>
            <a:r>
              <a:rPr lang="es-MX" b="1" baseline="0">
                <a:solidFill>
                  <a:schemeClr val="bg1"/>
                </a:solidFill>
              </a:rPr>
              <a:t>  </a:t>
            </a:r>
          </a:p>
          <a:p>
            <a:pPr marL="0" lvl="0" indent="0" algn="ctr" rtl="0">
              <a:spcBef>
                <a:spcPts val="0"/>
              </a:spcBef>
              <a:spcAft>
                <a:spcPts val="0"/>
              </a:spcAft>
              <a:buNone/>
            </a:pPr>
            <a:r>
              <a:rPr lang="es-MX" b="1" baseline="0">
                <a:solidFill>
                  <a:schemeClr val="bg1"/>
                </a:solidFill>
              </a:rPr>
              <a:t>DE PROCESO</a:t>
            </a:r>
            <a:endParaRPr b="1">
              <a:solidFill>
                <a:schemeClr val="bg1"/>
              </a:solidFill>
            </a:endParaRPr>
          </a:p>
        </xdr:txBody>
      </xdr:sp>
      <xdr:sp macro="" textlink="">
        <xdr:nvSpPr>
          <xdr:cNvPr id="8" name="Google Shape;6044;p62">
            <a:hlinkClick xmlns:r="http://schemas.openxmlformats.org/officeDocument/2006/relationships" r:id="rId4"/>
            <a:extLst>
              <a:ext uri="{FF2B5EF4-FFF2-40B4-BE49-F238E27FC236}">
                <a16:creationId xmlns:a16="http://schemas.microsoft.com/office/drawing/2014/main" id="{CDE12DC8-5FFF-4D49-BD61-EB6409C00729}"/>
              </a:ext>
            </a:extLst>
          </xdr:cNvPr>
          <xdr:cNvSpPr/>
        </xdr:nvSpPr>
        <xdr:spPr>
          <a:xfrm>
            <a:off x="3871550" y="2940300"/>
            <a:ext cx="3507025" cy="1584000"/>
          </a:xfrm>
          <a:custGeom>
            <a:avLst/>
            <a:gdLst/>
            <a:ahLst/>
            <a:cxnLst/>
            <a:rect l="l" t="t" r="r" b="b"/>
            <a:pathLst>
              <a:path w="140281" h="63360" extrusionOk="0">
                <a:moveTo>
                  <a:pt x="38494" y="1"/>
                </a:moveTo>
                <a:cubicBezTo>
                  <a:pt x="36886" y="20680"/>
                  <a:pt x="20553" y="37294"/>
                  <a:pt x="0" y="39343"/>
                </a:cubicBezTo>
                <a:lnTo>
                  <a:pt x="0" y="59339"/>
                </a:lnTo>
                <a:cubicBezTo>
                  <a:pt x="6" y="61559"/>
                  <a:pt x="1807" y="63354"/>
                  <a:pt x="4022" y="63360"/>
                </a:cubicBezTo>
                <a:lnTo>
                  <a:pt x="136260" y="63360"/>
                </a:lnTo>
                <a:cubicBezTo>
                  <a:pt x="138480" y="63354"/>
                  <a:pt x="140275" y="61559"/>
                  <a:pt x="140281" y="59339"/>
                </a:cubicBezTo>
                <a:lnTo>
                  <a:pt x="140281" y="4022"/>
                </a:lnTo>
                <a:cubicBezTo>
                  <a:pt x="140275" y="1808"/>
                  <a:pt x="138480" y="6"/>
                  <a:pt x="136260" y="1"/>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 </a:t>
            </a:r>
          </a:p>
          <a:p>
            <a:pPr algn="ctr"/>
            <a:r>
              <a:rPr lang="es-CO" sz="1400" b="1" i="0" u="none" strike="noStrike" cap="none">
                <a:solidFill>
                  <a:schemeClr val="bg1"/>
                </a:solidFill>
                <a:effectLst/>
                <a:latin typeface="Arial"/>
                <a:ea typeface="Arial"/>
                <a:cs typeface="Arial"/>
                <a:sym typeface="Arial"/>
              </a:rPr>
              <a:t>INHERENTE</a:t>
            </a:r>
          </a:p>
        </xdr:txBody>
      </xdr:sp>
      <xdr:sp macro="" textlink="">
        <xdr:nvSpPr>
          <xdr:cNvPr id="9" name="Google Shape;6045;p62">
            <a:extLst>
              <a:ext uri="{FF2B5EF4-FFF2-40B4-BE49-F238E27FC236}">
                <a16:creationId xmlns:a16="http://schemas.microsoft.com/office/drawing/2014/main" id="{4F08F53C-068E-4448-BD7A-AC4DC9C52EAA}"/>
              </a:ext>
            </a:extLst>
          </xdr:cNvPr>
          <xdr:cNvSpPr/>
        </xdr:nvSpPr>
        <xdr:spPr>
          <a:xfrm>
            <a:off x="2842425" y="1934600"/>
            <a:ext cx="1843850" cy="1843850"/>
          </a:xfrm>
          <a:custGeom>
            <a:avLst/>
            <a:gdLst/>
            <a:ahLst/>
            <a:cxnLst/>
            <a:rect l="l" t="t" r="r" b="b"/>
            <a:pathLst>
              <a:path w="73754" h="73754" extrusionOk="0">
                <a:moveTo>
                  <a:pt x="36880" y="0"/>
                </a:moveTo>
                <a:cubicBezTo>
                  <a:pt x="36621" y="0"/>
                  <a:pt x="36362" y="6"/>
                  <a:pt x="36108" y="11"/>
                </a:cubicBezTo>
                <a:cubicBezTo>
                  <a:pt x="17253" y="397"/>
                  <a:pt x="1834" y="15011"/>
                  <a:pt x="154" y="33525"/>
                </a:cubicBezTo>
                <a:cubicBezTo>
                  <a:pt x="55" y="34627"/>
                  <a:pt x="0" y="35745"/>
                  <a:pt x="0" y="36874"/>
                </a:cubicBezTo>
                <a:cubicBezTo>
                  <a:pt x="0" y="38009"/>
                  <a:pt x="55" y="39122"/>
                  <a:pt x="154" y="40229"/>
                </a:cubicBezTo>
                <a:cubicBezTo>
                  <a:pt x="1834" y="58749"/>
                  <a:pt x="17253" y="73357"/>
                  <a:pt x="36108" y="73743"/>
                </a:cubicBezTo>
                <a:cubicBezTo>
                  <a:pt x="36362" y="73748"/>
                  <a:pt x="36621" y="73754"/>
                  <a:pt x="36880" y="73754"/>
                </a:cubicBezTo>
                <a:cubicBezTo>
                  <a:pt x="38312" y="73754"/>
                  <a:pt x="39744" y="73666"/>
                  <a:pt x="41165" y="73500"/>
                </a:cubicBezTo>
                <a:cubicBezTo>
                  <a:pt x="58391" y="71495"/>
                  <a:pt x="72030" y="57581"/>
                  <a:pt x="73600" y="40229"/>
                </a:cubicBezTo>
                <a:cubicBezTo>
                  <a:pt x="73699" y="39127"/>
                  <a:pt x="73754" y="38009"/>
                  <a:pt x="73754" y="36874"/>
                </a:cubicBezTo>
                <a:cubicBezTo>
                  <a:pt x="73754" y="35745"/>
                  <a:pt x="73699" y="34632"/>
                  <a:pt x="73600" y="33525"/>
                </a:cubicBezTo>
                <a:cubicBezTo>
                  <a:pt x="72024" y="16173"/>
                  <a:pt x="58391" y="2259"/>
                  <a:pt x="41165" y="254"/>
                </a:cubicBezTo>
                <a:cubicBezTo>
                  <a:pt x="39744" y="88"/>
                  <a:pt x="38312" y="0"/>
                  <a:pt x="36880"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SISTEMA DE GESTION INTEGRADO</a:t>
            </a:r>
            <a:r>
              <a:rPr lang="es-MX" b="1" baseline="0">
                <a:solidFill>
                  <a:schemeClr val="bg1"/>
                </a:solidFill>
              </a:rPr>
              <a:t> ETITC</a:t>
            </a:r>
            <a:endParaRPr b="1">
              <a:solidFill>
                <a:schemeClr val="bg1"/>
              </a:solidFill>
            </a:endParaRPr>
          </a:p>
        </xdr:txBody>
      </xdr:sp>
    </xdr:grpSp>
    <xdr:clientData/>
  </xdr:twoCellAnchor>
  <xdr:twoCellAnchor editAs="oneCell">
    <xdr:from>
      <xdr:col>3</xdr:col>
      <xdr:colOff>180473</xdr:colOff>
      <xdr:row>31</xdr:row>
      <xdr:rowOff>82217</xdr:rowOff>
    </xdr:from>
    <xdr:to>
      <xdr:col>5</xdr:col>
      <xdr:colOff>10027</xdr:colOff>
      <xdr:row>38</xdr:row>
      <xdr:rowOff>92244</xdr:rowOff>
    </xdr:to>
    <xdr:pic>
      <xdr:nvPicPr>
        <xdr:cNvPr id="11" name="Gráfico 10" descr="Lista de comprobación">
          <a:hlinkClick xmlns:r="http://schemas.openxmlformats.org/officeDocument/2006/relationships" r:id="rId5"/>
          <a:extLst>
            <a:ext uri="{FF2B5EF4-FFF2-40B4-BE49-F238E27FC236}">
              <a16:creationId xmlns:a16="http://schemas.microsoft.com/office/drawing/2014/main" id="{B2681AEC-BB6E-40BC-9B5F-2C3C98ED353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3168315" y="6458954"/>
          <a:ext cx="1353553" cy="1353553"/>
        </a:xfrm>
        <a:prstGeom prst="rect">
          <a:avLst/>
        </a:prstGeom>
      </xdr:spPr>
    </xdr:pic>
    <xdr:clientData/>
  </xdr:twoCellAnchor>
  <xdr:twoCellAnchor editAs="oneCell">
    <xdr:from>
      <xdr:col>1</xdr:col>
      <xdr:colOff>1112920</xdr:colOff>
      <xdr:row>1</xdr:row>
      <xdr:rowOff>120316</xdr:rowOff>
    </xdr:from>
    <xdr:to>
      <xdr:col>2</xdr:col>
      <xdr:colOff>533399</xdr:colOff>
      <xdr:row>4</xdr:row>
      <xdr:rowOff>391</xdr:rowOff>
    </xdr:to>
    <xdr:pic>
      <xdr:nvPicPr>
        <xdr:cNvPr id="2" name="Imagen 4">
          <a:extLst>
            <a:ext uri="{FF2B5EF4-FFF2-40B4-BE49-F238E27FC236}">
              <a16:creationId xmlns:a16="http://schemas.microsoft.com/office/drawing/2014/main" id="{57AE46B9-8CF0-4183-B042-FA91EA9C8AC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63578" y="280737"/>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62593</xdr:colOff>
      <xdr:row>7</xdr:row>
      <xdr:rowOff>21771</xdr:rowOff>
    </xdr:from>
    <xdr:to>
      <xdr:col>3</xdr:col>
      <xdr:colOff>189235</xdr:colOff>
      <xdr:row>9</xdr:row>
      <xdr:rowOff>287110</xdr:rowOff>
    </xdr:to>
    <xdr:pic>
      <xdr:nvPicPr>
        <xdr:cNvPr id="6" name="Gráfico 5" descr="Escena suburbana">
          <a:hlinkClick xmlns:r="http://schemas.openxmlformats.org/officeDocument/2006/relationships" r:id="rId1"/>
          <a:extLst>
            <a:ext uri="{FF2B5EF4-FFF2-40B4-BE49-F238E27FC236}">
              <a16:creationId xmlns:a16="http://schemas.microsoft.com/office/drawing/2014/main" id="{2A21950B-AED9-4C7D-A227-4B209EC561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2593" y="2174421"/>
          <a:ext cx="923925" cy="930728"/>
        </a:xfrm>
        <a:prstGeom prst="rect">
          <a:avLst/>
        </a:prstGeom>
      </xdr:spPr>
    </xdr:pic>
    <xdr:clientData/>
  </xdr:twoCellAnchor>
  <xdr:twoCellAnchor editAs="oneCell">
    <xdr:from>
      <xdr:col>5</xdr:col>
      <xdr:colOff>372071</xdr:colOff>
      <xdr:row>1</xdr:row>
      <xdr:rowOff>193477</xdr:rowOff>
    </xdr:from>
    <xdr:to>
      <xdr:col>5</xdr:col>
      <xdr:colOff>1145977</xdr:colOff>
      <xdr:row>3</xdr:row>
      <xdr:rowOff>286860</xdr:rowOff>
    </xdr:to>
    <xdr:pic>
      <xdr:nvPicPr>
        <xdr:cNvPr id="2" name="Imagen 4">
          <a:extLst>
            <a:ext uri="{FF2B5EF4-FFF2-40B4-BE49-F238E27FC236}">
              <a16:creationId xmlns:a16="http://schemas.microsoft.com/office/drawing/2014/main" id="{982481E6-8388-4A39-BA8D-5F1279B28E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97969" y="386954"/>
          <a:ext cx="773906" cy="811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458788</xdr:colOff>
      <xdr:row>1</xdr:row>
      <xdr:rowOff>38100</xdr:rowOff>
    </xdr:from>
    <xdr:to>
      <xdr:col>2</xdr:col>
      <xdr:colOff>342899</xdr:colOff>
      <xdr:row>3</xdr:row>
      <xdr:rowOff>87829</xdr:rowOff>
    </xdr:to>
    <xdr:pic>
      <xdr:nvPicPr>
        <xdr:cNvPr id="2" name="Imagen 4">
          <a:extLst>
            <a:ext uri="{FF2B5EF4-FFF2-40B4-BE49-F238E27FC236}">
              <a16:creationId xmlns:a16="http://schemas.microsoft.com/office/drawing/2014/main" id="{3C1CD76F-FE75-4CE9-BCB2-B45BD421A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788" y="238125"/>
          <a:ext cx="531811" cy="545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114300</xdr:rowOff>
    </xdr:from>
    <xdr:to>
      <xdr:col>0</xdr:col>
      <xdr:colOff>952500</xdr:colOff>
      <xdr:row>4</xdr:row>
      <xdr:rowOff>85725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2EC4FEF1-A890-48AB-8460-EBD7D26D13F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 y="114300"/>
          <a:ext cx="914400"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44450</xdr:colOff>
      <xdr:row>0</xdr:row>
      <xdr:rowOff>0</xdr:rowOff>
    </xdr:from>
    <xdr:to>
      <xdr:col>11</xdr:col>
      <xdr:colOff>495300</xdr:colOff>
      <xdr:row>26</xdr:row>
      <xdr:rowOff>155042</xdr:rowOff>
    </xdr:to>
    <xdr:pic>
      <xdr:nvPicPr>
        <xdr:cNvPr id="2" name="Imagen 1">
          <a:extLst>
            <a:ext uri="{FF2B5EF4-FFF2-40B4-BE49-F238E27FC236}">
              <a16:creationId xmlns:a16="http://schemas.microsoft.com/office/drawing/2014/main" id="{05936C09-E2DB-C52B-4972-F52956DF6CB7}"/>
            </a:ext>
          </a:extLst>
        </xdr:cNvPr>
        <xdr:cNvPicPr>
          <a:picLocks noChangeAspect="1"/>
        </xdr:cNvPicPr>
      </xdr:nvPicPr>
      <xdr:blipFill>
        <a:blip xmlns:r="http://schemas.openxmlformats.org/officeDocument/2006/relationships" r:embed="rId1"/>
        <a:stretch>
          <a:fillRect/>
        </a:stretch>
      </xdr:blipFill>
      <xdr:spPr>
        <a:xfrm>
          <a:off x="3092450" y="0"/>
          <a:ext cx="5784850" cy="5108042"/>
        </a:xfrm>
        <a:prstGeom prst="rect">
          <a:avLst/>
        </a:prstGeom>
      </xdr:spPr>
    </xdr:pic>
    <xdr:clientData/>
  </xdr:twoCellAnchor>
  <xdr:twoCellAnchor editAs="oneCell">
    <xdr:from>
      <xdr:col>4</xdr:col>
      <xdr:colOff>76200</xdr:colOff>
      <xdr:row>27</xdr:row>
      <xdr:rowOff>47624</xdr:rowOff>
    </xdr:from>
    <xdr:to>
      <xdr:col>11</xdr:col>
      <xdr:colOff>485775</xdr:colOff>
      <xdr:row>42</xdr:row>
      <xdr:rowOff>180975</xdr:rowOff>
    </xdr:to>
    <xdr:pic>
      <xdr:nvPicPr>
        <xdr:cNvPr id="3" name="Imagen 2">
          <a:extLst>
            <a:ext uri="{FF2B5EF4-FFF2-40B4-BE49-F238E27FC236}">
              <a16:creationId xmlns:a16="http://schemas.microsoft.com/office/drawing/2014/main" id="{C26438EB-DE44-1D10-37E8-2751E58C62E8}"/>
            </a:ext>
          </a:extLst>
        </xdr:cNvPr>
        <xdr:cNvPicPr>
          <a:picLocks noChangeAspect="1"/>
        </xdr:cNvPicPr>
      </xdr:nvPicPr>
      <xdr:blipFill>
        <a:blip xmlns:r="http://schemas.openxmlformats.org/officeDocument/2006/relationships" r:embed="rId2"/>
        <a:stretch>
          <a:fillRect/>
        </a:stretch>
      </xdr:blipFill>
      <xdr:spPr>
        <a:xfrm>
          <a:off x="3124200" y="5191124"/>
          <a:ext cx="5743575" cy="29908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87313</xdr:colOff>
      <xdr:row>1</xdr:row>
      <xdr:rowOff>19050</xdr:rowOff>
    </xdr:from>
    <xdr:to>
      <xdr:col>7</xdr:col>
      <xdr:colOff>239713</xdr:colOff>
      <xdr:row>4</xdr:row>
      <xdr:rowOff>6908</xdr:rowOff>
    </xdr:to>
    <xdr:pic>
      <xdr:nvPicPr>
        <xdr:cNvPr id="2" name="Imagen 4">
          <a:extLst>
            <a:ext uri="{FF2B5EF4-FFF2-40B4-BE49-F238E27FC236}">
              <a16:creationId xmlns:a16="http://schemas.microsoft.com/office/drawing/2014/main" id="{C9EC256A-DB6F-4832-A5C7-920A72533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6313" y="22542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476250</xdr:colOff>
      <xdr:row>2</xdr:row>
      <xdr:rowOff>31750</xdr:rowOff>
    </xdr:from>
    <xdr:to>
      <xdr:col>2</xdr:col>
      <xdr:colOff>330200</xdr:colOff>
      <xdr:row>6</xdr:row>
      <xdr:rowOff>168275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AC2E177A-875D-4A57-A129-BCFB879CD9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76250" y="428625"/>
          <a:ext cx="914400"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100013</xdr:colOff>
      <xdr:row>1</xdr:row>
      <xdr:rowOff>19050</xdr:rowOff>
    </xdr:from>
    <xdr:to>
      <xdr:col>6</xdr:col>
      <xdr:colOff>252413</xdr:colOff>
      <xdr:row>4</xdr:row>
      <xdr:rowOff>6908</xdr:rowOff>
    </xdr:to>
    <xdr:pic>
      <xdr:nvPicPr>
        <xdr:cNvPr id="2" name="Imagen 4">
          <a:extLst>
            <a:ext uri="{FF2B5EF4-FFF2-40B4-BE49-F238E27FC236}">
              <a16:creationId xmlns:a16="http://schemas.microsoft.com/office/drawing/2014/main" id="{7FBAA5E0-89AF-4E19-B8BD-77A8F16D9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7013" y="228600"/>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269875</xdr:colOff>
      <xdr:row>1</xdr:row>
      <xdr:rowOff>127000</xdr:rowOff>
    </xdr:from>
    <xdr:to>
      <xdr:col>1</xdr:col>
      <xdr:colOff>422275</xdr:colOff>
      <xdr:row>6</xdr:row>
      <xdr:rowOff>66675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B215EECA-2602-46E7-BD53-16D06B6CA5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9875" y="333375"/>
          <a:ext cx="914400" cy="908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95250</xdr:rowOff>
    </xdr:from>
    <xdr:to>
      <xdr:col>0</xdr:col>
      <xdr:colOff>676275</xdr:colOff>
      <xdr:row>5</xdr:row>
      <xdr:rowOff>66675</xdr:rowOff>
    </xdr:to>
    <xdr:grpSp>
      <xdr:nvGrpSpPr>
        <xdr:cNvPr id="3" name="Google Shape;6703;p64">
          <a:hlinkClick xmlns:r="http://schemas.openxmlformats.org/officeDocument/2006/relationships" r:id="rId1"/>
          <a:extLst>
            <a:ext uri="{FF2B5EF4-FFF2-40B4-BE49-F238E27FC236}">
              <a16:creationId xmlns:a16="http://schemas.microsoft.com/office/drawing/2014/main" id="{A9FAA5E6-A202-4E28-876A-E71E3D293F7D}"/>
            </a:ext>
          </a:extLst>
        </xdr:cNvPr>
        <xdr:cNvGrpSpPr/>
      </xdr:nvGrpSpPr>
      <xdr:grpSpPr>
        <a:xfrm>
          <a:off x="0" y="190500"/>
          <a:ext cx="676275" cy="771525"/>
          <a:chOff x="2508373" y="2779889"/>
          <a:chExt cx="337523" cy="337680"/>
        </a:xfrm>
      </xdr:grpSpPr>
      <xdr:sp macro="" textlink="">
        <xdr:nvSpPr>
          <xdr:cNvPr id="4" name="Google Shape;6704;p64">
            <a:extLst>
              <a:ext uri="{FF2B5EF4-FFF2-40B4-BE49-F238E27FC236}">
                <a16:creationId xmlns:a16="http://schemas.microsoft.com/office/drawing/2014/main" id="{38E993DD-8DD4-4BB8-BFD1-6897219496B3}"/>
              </a:ext>
            </a:extLst>
          </xdr:cNvPr>
          <xdr:cNvSpPr/>
        </xdr:nvSpPr>
        <xdr:spPr>
          <a:xfrm>
            <a:off x="2508373" y="2779889"/>
            <a:ext cx="256971" cy="256971"/>
          </a:xfrm>
          <a:custGeom>
            <a:avLst/>
            <a:gdLst/>
            <a:ahLst/>
            <a:cxnLst/>
            <a:rect l="l" t="t" r="r" b="b"/>
            <a:pathLst>
              <a:path w="9781" h="9781" extrusionOk="0">
                <a:moveTo>
                  <a:pt x="4585" y="0"/>
                </a:moveTo>
                <a:cubicBezTo>
                  <a:pt x="4377" y="0"/>
                  <a:pt x="4190" y="153"/>
                  <a:pt x="4155" y="354"/>
                </a:cubicBezTo>
                <a:lnTo>
                  <a:pt x="3933" y="1464"/>
                </a:lnTo>
                <a:cubicBezTo>
                  <a:pt x="3656" y="1540"/>
                  <a:pt x="3392" y="1651"/>
                  <a:pt x="3149" y="1790"/>
                </a:cubicBezTo>
                <a:lnTo>
                  <a:pt x="2213" y="1165"/>
                </a:lnTo>
                <a:cubicBezTo>
                  <a:pt x="2138" y="1116"/>
                  <a:pt x="2053" y="1092"/>
                  <a:pt x="1969" y="1092"/>
                </a:cubicBezTo>
                <a:cubicBezTo>
                  <a:pt x="1852" y="1092"/>
                  <a:pt x="1736" y="1139"/>
                  <a:pt x="1651" y="1228"/>
                </a:cubicBezTo>
                <a:lnTo>
                  <a:pt x="1221" y="1658"/>
                </a:lnTo>
                <a:cubicBezTo>
                  <a:pt x="1068" y="1803"/>
                  <a:pt x="1048" y="2039"/>
                  <a:pt x="1166" y="2220"/>
                </a:cubicBezTo>
                <a:lnTo>
                  <a:pt x="1790" y="3156"/>
                </a:lnTo>
                <a:cubicBezTo>
                  <a:pt x="1651" y="3399"/>
                  <a:pt x="1547" y="3662"/>
                  <a:pt x="1471" y="3940"/>
                </a:cubicBezTo>
                <a:lnTo>
                  <a:pt x="361" y="4162"/>
                </a:lnTo>
                <a:cubicBezTo>
                  <a:pt x="153" y="4196"/>
                  <a:pt x="7" y="4384"/>
                  <a:pt x="0" y="4592"/>
                </a:cubicBezTo>
                <a:lnTo>
                  <a:pt x="0" y="5202"/>
                </a:lnTo>
                <a:cubicBezTo>
                  <a:pt x="7" y="5410"/>
                  <a:pt x="153" y="5591"/>
                  <a:pt x="361" y="5632"/>
                </a:cubicBezTo>
                <a:lnTo>
                  <a:pt x="1471" y="5854"/>
                </a:lnTo>
                <a:cubicBezTo>
                  <a:pt x="1547" y="6125"/>
                  <a:pt x="1651" y="6388"/>
                  <a:pt x="1790" y="6638"/>
                </a:cubicBezTo>
                <a:lnTo>
                  <a:pt x="1166" y="7574"/>
                </a:lnTo>
                <a:cubicBezTo>
                  <a:pt x="1048" y="7748"/>
                  <a:pt x="1068" y="7984"/>
                  <a:pt x="1221" y="8136"/>
                </a:cubicBezTo>
                <a:lnTo>
                  <a:pt x="1651" y="8566"/>
                </a:lnTo>
                <a:cubicBezTo>
                  <a:pt x="1735" y="8650"/>
                  <a:pt x="1848" y="8692"/>
                  <a:pt x="1964" y="8692"/>
                </a:cubicBezTo>
                <a:cubicBezTo>
                  <a:pt x="2049" y="8692"/>
                  <a:pt x="2136" y="8669"/>
                  <a:pt x="2213" y="8622"/>
                </a:cubicBezTo>
                <a:lnTo>
                  <a:pt x="3156" y="7990"/>
                </a:lnTo>
                <a:cubicBezTo>
                  <a:pt x="3399" y="8129"/>
                  <a:pt x="3663" y="8233"/>
                  <a:pt x="3933" y="8310"/>
                </a:cubicBezTo>
                <a:lnTo>
                  <a:pt x="4155" y="9419"/>
                </a:lnTo>
                <a:cubicBezTo>
                  <a:pt x="4197" y="9627"/>
                  <a:pt x="4377" y="9773"/>
                  <a:pt x="4592" y="9780"/>
                </a:cubicBezTo>
                <a:lnTo>
                  <a:pt x="5195" y="9780"/>
                </a:lnTo>
                <a:cubicBezTo>
                  <a:pt x="5404" y="9773"/>
                  <a:pt x="5591" y="9627"/>
                  <a:pt x="5632" y="9419"/>
                </a:cubicBezTo>
                <a:lnTo>
                  <a:pt x="5854" y="8310"/>
                </a:lnTo>
                <a:cubicBezTo>
                  <a:pt x="6125" y="8233"/>
                  <a:pt x="6389" y="8129"/>
                  <a:pt x="6631" y="7990"/>
                </a:cubicBezTo>
                <a:lnTo>
                  <a:pt x="7568" y="8615"/>
                </a:lnTo>
                <a:cubicBezTo>
                  <a:pt x="7644" y="8664"/>
                  <a:pt x="7730" y="8688"/>
                  <a:pt x="7814" y="8688"/>
                </a:cubicBezTo>
                <a:cubicBezTo>
                  <a:pt x="7931" y="8688"/>
                  <a:pt x="8045" y="8643"/>
                  <a:pt x="8129" y="8559"/>
                </a:cubicBezTo>
                <a:lnTo>
                  <a:pt x="8560" y="8129"/>
                </a:lnTo>
                <a:cubicBezTo>
                  <a:pt x="8712" y="7984"/>
                  <a:pt x="8733" y="7748"/>
                  <a:pt x="8615" y="7567"/>
                </a:cubicBezTo>
                <a:lnTo>
                  <a:pt x="7991" y="6631"/>
                </a:lnTo>
                <a:cubicBezTo>
                  <a:pt x="8129" y="6381"/>
                  <a:pt x="8234" y="6118"/>
                  <a:pt x="8310" y="5847"/>
                </a:cubicBezTo>
                <a:lnTo>
                  <a:pt x="9420" y="5625"/>
                </a:lnTo>
                <a:cubicBezTo>
                  <a:pt x="9628" y="5584"/>
                  <a:pt x="9773" y="5403"/>
                  <a:pt x="9780" y="5195"/>
                </a:cubicBezTo>
                <a:lnTo>
                  <a:pt x="9780" y="4585"/>
                </a:lnTo>
                <a:cubicBezTo>
                  <a:pt x="9780" y="4377"/>
                  <a:pt x="9628" y="4189"/>
                  <a:pt x="9420" y="4148"/>
                </a:cubicBezTo>
                <a:lnTo>
                  <a:pt x="8310" y="3926"/>
                </a:lnTo>
                <a:cubicBezTo>
                  <a:pt x="8234" y="3655"/>
                  <a:pt x="8129" y="3392"/>
                  <a:pt x="7991" y="3149"/>
                </a:cubicBezTo>
                <a:lnTo>
                  <a:pt x="8615" y="2206"/>
                </a:lnTo>
                <a:cubicBezTo>
                  <a:pt x="8733" y="2032"/>
                  <a:pt x="8712" y="1796"/>
                  <a:pt x="8560" y="1644"/>
                </a:cubicBezTo>
                <a:lnTo>
                  <a:pt x="8129" y="1221"/>
                </a:lnTo>
                <a:cubicBezTo>
                  <a:pt x="8046" y="1134"/>
                  <a:pt x="7934" y="1090"/>
                  <a:pt x="7821" y="1090"/>
                </a:cubicBezTo>
                <a:cubicBezTo>
                  <a:pt x="7735" y="1090"/>
                  <a:pt x="7649" y="1115"/>
                  <a:pt x="7575" y="1165"/>
                </a:cubicBezTo>
                <a:lnTo>
                  <a:pt x="6631" y="1790"/>
                </a:lnTo>
                <a:cubicBezTo>
                  <a:pt x="6389" y="1651"/>
                  <a:pt x="6125" y="1540"/>
                  <a:pt x="5854" y="1464"/>
                </a:cubicBezTo>
                <a:lnTo>
                  <a:pt x="5626" y="354"/>
                </a:lnTo>
                <a:cubicBezTo>
                  <a:pt x="5584" y="153"/>
                  <a:pt x="5404" y="0"/>
                  <a:pt x="5195" y="0"/>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5" name="Google Shape;6705;p64">
            <a:extLst>
              <a:ext uri="{FF2B5EF4-FFF2-40B4-BE49-F238E27FC236}">
                <a16:creationId xmlns:a16="http://schemas.microsoft.com/office/drawing/2014/main" id="{7CE847CD-5FCA-4405-BB52-E6893161F724}"/>
              </a:ext>
            </a:extLst>
          </xdr:cNvPr>
          <xdr:cNvSpPr/>
        </xdr:nvSpPr>
        <xdr:spPr>
          <a:xfrm>
            <a:off x="2561391" y="2852034"/>
            <a:ext cx="131783" cy="112814"/>
          </a:xfrm>
          <a:custGeom>
            <a:avLst/>
            <a:gdLst/>
            <a:ahLst/>
            <a:cxnLst/>
            <a:rect l="l" t="t" r="r" b="b"/>
            <a:pathLst>
              <a:path w="5016" h="4294" extrusionOk="0">
                <a:moveTo>
                  <a:pt x="2872" y="1"/>
                </a:moveTo>
                <a:cubicBezTo>
                  <a:pt x="958" y="1"/>
                  <a:pt x="1" y="2310"/>
                  <a:pt x="1353" y="3663"/>
                </a:cubicBezTo>
                <a:cubicBezTo>
                  <a:pt x="1791" y="4098"/>
                  <a:pt x="2328" y="4293"/>
                  <a:pt x="2855" y="4293"/>
                </a:cubicBezTo>
                <a:cubicBezTo>
                  <a:pt x="3958" y="4293"/>
                  <a:pt x="5016" y="3439"/>
                  <a:pt x="5016" y="2144"/>
                </a:cubicBezTo>
                <a:cubicBezTo>
                  <a:pt x="5016" y="958"/>
                  <a:pt x="4058" y="1"/>
                  <a:pt x="2872" y="1"/>
                </a:cubicBezTo>
                <a:close/>
              </a:path>
            </a:pathLst>
          </a:custGeom>
          <a:solidFill>
            <a:srgbClr val="DEE5EB"/>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6" name="Google Shape;6706;p64">
            <a:extLst>
              <a:ext uri="{FF2B5EF4-FFF2-40B4-BE49-F238E27FC236}">
                <a16:creationId xmlns:a16="http://schemas.microsoft.com/office/drawing/2014/main" id="{1947E24B-2236-4B10-B0A4-19ABD26BF976}"/>
              </a:ext>
            </a:extLst>
          </xdr:cNvPr>
          <xdr:cNvSpPr/>
        </xdr:nvSpPr>
        <xdr:spPr>
          <a:xfrm>
            <a:off x="2599302" y="2880277"/>
            <a:ext cx="65629" cy="56223"/>
          </a:xfrm>
          <a:custGeom>
            <a:avLst/>
            <a:gdLst/>
            <a:ahLst/>
            <a:cxnLst/>
            <a:rect l="l" t="t" r="r" b="b"/>
            <a:pathLst>
              <a:path w="2498" h="2140" extrusionOk="0">
                <a:moveTo>
                  <a:pt x="1429" y="1"/>
                </a:moveTo>
                <a:cubicBezTo>
                  <a:pt x="479" y="1"/>
                  <a:pt x="0" y="1152"/>
                  <a:pt x="673" y="1825"/>
                </a:cubicBezTo>
                <a:cubicBezTo>
                  <a:pt x="891" y="2042"/>
                  <a:pt x="1158" y="2140"/>
                  <a:pt x="1420" y="2140"/>
                </a:cubicBezTo>
                <a:cubicBezTo>
                  <a:pt x="1970" y="2140"/>
                  <a:pt x="2497" y="1712"/>
                  <a:pt x="2497" y="1069"/>
                </a:cubicBezTo>
                <a:cubicBezTo>
                  <a:pt x="2497" y="479"/>
                  <a:pt x="2019" y="1"/>
                  <a:pt x="1429" y="1"/>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7" name="Google Shape;6707;p64">
            <a:extLst>
              <a:ext uri="{FF2B5EF4-FFF2-40B4-BE49-F238E27FC236}">
                <a16:creationId xmlns:a16="http://schemas.microsoft.com/office/drawing/2014/main" id="{DD835CD5-BE0C-4FE1-976F-DD597D594F0C}"/>
              </a:ext>
            </a:extLst>
          </xdr:cNvPr>
          <xdr:cNvSpPr/>
        </xdr:nvSpPr>
        <xdr:spPr>
          <a:xfrm>
            <a:off x="2677121" y="2948611"/>
            <a:ext cx="168775" cy="168958"/>
          </a:xfrm>
          <a:custGeom>
            <a:avLst/>
            <a:gdLst/>
            <a:ahLst/>
            <a:cxnLst/>
            <a:rect l="l" t="t" r="r" b="b"/>
            <a:pathLst>
              <a:path w="6424" h="6431" extrusionOk="0">
                <a:moveTo>
                  <a:pt x="3017" y="1"/>
                </a:moveTo>
                <a:cubicBezTo>
                  <a:pt x="2879" y="1"/>
                  <a:pt x="2754" y="98"/>
                  <a:pt x="2733" y="237"/>
                </a:cubicBezTo>
                <a:lnTo>
                  <a:pt x="2587" y="965"/>
                </a:lnTo>
                <a:cubicBezTo>
                  <a:pt x="2407" y="1014"/>
                  <a:pt x="2234" y="1090"/>
                  <a:pt x="2067" y="1180"/>
                </a:cubicBezTo>
                <a:lnTo>
                  <a:pt x="1450" y="764"/>
                </a:lnTo>
                <a:cubicBezTo>
                  <a:pt x="1404" y="733"/>
                  <a:pt x="1350" y="718"/>
                  <a:pt x="1296" y="718"/>
                </a:cubicBezTo>
                <a:cubicBezTo>
                  <a:pt x="1218" y="718"/>
                  <a:pt x="1139" y="748"/>
                  <a:pt x="1082" y="805"/>
                </a:cubicBezTo>
                <a:lnTo>
                  <a:pt x="805" y="1083"/>
                </a:lnTo>
                <a:cubicBezTo>
                  <a:pt x="701" y="1180"/>
                  <a:pt x="687" y="1340"/>
                  <a:pt x="763" y="1451"/>
                </a:cubicBezTo>
                <a:lnTo>
                  <a:pt x="1179" y="2068"/>
                </a:lnTo>
                <a:cubicBezTo>
                  <a:pt x="1089" y="2234"/>
                  <a:pt x="1013" y="2408"/>
                  <a:pt x="964" y="2588"/>
                </a:cubicBezTo>
                <a:lnTo>
                  <a:pt x="236" y="2734"/>
                </a:lnTo>
                <a:cubicBezTo>
                  <a:pt x="97" y="2761"/>
                  <a:pt x="0" y="2879"/>
                  <a:pt x="0" y="3018"/>
                </a:cubicBezTo>
                <a:lnTo>
                  <a:pt x="0" y="3413"/>
                </a:lnTo>
                <a:cubicBezTo>
                  <a:pt x="0" y="3552"/>
                  <a:pt x="97" y="3670"/>
                  <a:pt x="236" y="3698"/>
                </a:cubicBezTo>
                <a:lnTo>
                  <a:pt x="964" y="3844"/>
                </a:lnTo>
                <a:cubicBezTo>
                  <a:pt x="1013" y="4024"/>
                  <a:pt x="1089" y="4197"/>
                  <a:pt x="1179" y="4364"/>
                </a:cubicBezTo>
                <a:lnTo>
                  <a:pt x="763" y="4981"/>
                </a:lnTo>
                <a:cubicBezTo>
                  <a:pt x="687" y="5092"/>
                  <a:pt x="701" y="5252"/>
                  <a:pt x="805" y="5349"/>
                </a:cubicBezTo>
                <a:lnTo>
                  <a:pt x="1082" y="5626"/>
                </a:lnTo>
                <a:cubicBezTo>
                  <a:pt x="1139" y="5683"/>
                  <a:pt x="1218" y="5714"/>
                  <a:pt x="1296" y="5714"/>
                </a:cubicBezTo>
                <a:cubicBezTo>
                  <a:pt x="1350" y="5714"/>
                  <a:pt x="1404" y="5699"/>
                  <a:pt x="1450" y="5668"/>
                </a:cubicBezTo>
                <a:lnTo>
                  <a:pt x="2067" y="5252"/>
                </a:lnTo>
                <a:cubicBezTo>
                  <a:pt x="2234" y="5342"/>
                  <a:pt x="2407" y="5418"/>
                  <a:pt x="2587" y="5467"/>
                </a:cubicBezTo>
                <a:lnTo>
                  <a:pt x="2733" y="6195"/>
                </a:lnTo>
                <a:cubicBezTo>
                  <a:pt x="2754" y="6334"/>
                  <a:pt x="2879" y="6431"/>
                  <a:pt x="3017" y="6431"/>
                </a:cubicBezTo>
                <a:lnTo>
                  <a:pt x="3413" y="6431"/>
                </a:lnTo>
                <a:cubicBezTo>
                  <a:pt x="3552" y="6431"/>
                  <a:pt x="3669" y="6334"/>
                  <a:pt x="3697" y="6195"/>
                </a:cubicBezTo>
                <a:lnTo>
                  <a:pt x="3843" y="5467"/>
                </a:lnTo>
                <a:cubicBezTo>
                  <a:pt x="4023" y="5418"/>
                  <a:pt x="4197" y="5342"/>
                  <a:pt x="4356" y="5252"/>
                </a:cubicBezTo>
                <a:lnTo>
                  <a:pt x="4980" y="5668"/>
                </a:lnTo>
                <a:cubicBezTo>
                  <a:pt x="5027" y="5697"/>
                  <a:pt x="5080" y="5711"/>
                  <a:pt x="5134" y="5711"/>
                </a:cubicBezTo>
                <a:cubicBezTo>
                  <a:pt x="5209" y="5711"/>
                  <a:pt x="5284" y="5683"/>
                  <a:pt x="5341" y="5626"/>
                </a:cubicBezTo>
                <a:lnTo>
                  <a:pt x="5625" y="5342"/>
                </a:lnTo>
                <a:cubicBezTo>
                  <a:pt x="5723" y="5245"/>
                  <a:pt x="5736" y="5092"/>
                  <a:pt x="5660" y="4974"/>
                </a:cubicBezTo>
                <a:lnTo>
                  <a:pt x="5251" y="4357"/>
                </a:lnTo>
                <a:cubicBezTo>
                  <a:pt x="5341" y="4190"/>
                  <a:pt x="5410" y="4024"/>
                  <a:pt x="5466" y="3844"/>
                </a:cubicBezTo>
                <a:lnTo>
                  <a:pt x="6194" y="3698"/>
                </a:lnTo>
                <a:cubicBezTo>
                  <a:pt x="6326" y="3670"/>
                  <a:pt x="6423" y="3552"/>
                  <a:pt x="6423" y="3413"/>
                </a:cubicBezTo>
                <a:lnTo>
                  <a:pt x="6423" y="3018"/>
                </a:lnTo>
                <a:cubicBezTo>
                  <a:pt x="6423" y="2879"/>
                  <a:pt x="6333" y="2761"/>
                  <a:pt x="6194" y="2734"/>
                </a:cubicBezTo>
                <a:lnTo>
                  <a:pt x="5466" y="2588"/>
                </a:lnTo>
                <a:cubicBezTo>
                  <a:pt x="5417" y="2408"/>
                  <a:pt x="5348" y="2234"/>
                  <a:pt x="5251" y="2068"/>
                </a:cubicBezTo>
                <a:lnTo>
                  <a:pt x="5667" y="1451"/>
                </a:lnTo>
                <a:cubicBezTo>
                  <a:pt x="5743" y="1340"/>
                  <a:pt x="5729" y="1180"/>
                  <a:pt x="5632" y="1083"/>
                </a:cubicBezTo>
                <a:lnTo>
                  <a:pt x="5348" y="805"/>
                </a:lnTo>
                <a:cubicBezTo>
                  <a:pt x="5291" y="748"/>
                  <a:pt x="5214" y="718"/>
                  <a:pt x="5137" y="718"/>
                </a:cubicBezTo>
                <a:cubicBezTo>
                  <a:pt x="5083" y="718"/>
                  <a:pt x="5029" y="733"/>
                  <a:pt x="4980" y="764"/>
                </a:cubicBezTo>
                <a:lnTo>
                  <a:pt x="4363" y="1180"/>
                </a:lnTo>
                <a:cubicBezTo>
                  <a:pt x="4197" y="1090"/>
                  <a:pt x="4030" y="1014"/>
                  <a:pt x="3850" y="965"/>
                </a:cubicBezTo>
                <a:lnTo>
                  <a:pt x="3704" y="237"/>
                </a:lnTo>
                <a:cubicBezTo>
                  <a:pt x="3676" y="98"/>
                  <a:pt x="3558" y="1"/>
                  <a:pt x="3420" y="1"/>
                </a:cubicBezTo>
                <a:close/>
              </a:path>
            </a:pathLst>
          </a:custGeom>
          <a:solidFill>
            <a:srgbClr val="445D73"/>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8" name="Google Shape;6708;p64">
            <a:extLst>
              <a:ext uri="{FF2B5EF4-FFF2-40B4-BE49-F238E27FC236}">
                <a16:creationId xmlns:a16="http://schemas.microsoft.com/office/drawing/2014/main" id="{E6B00809-D949-41E4-9F22-19E36042DF88}"/>
              </a:ext>
            </a:extLst>
          </xdr:cNvPr>
          <xdr:cNvSpPr/>
        </xdr:nvSpPr>
        <xdr:spPr>
          <a:xfrm>
            <a:off x="2705180" y="2990910"/>
            <a:ext cx="98601" cy="84466"/>
          </a:xfrm>
          <a:custGeom>
            <a:avLst/>
            <a:gdLst/>
            <a:ahLst/>
            <a:cxnLst/>
            <a:rect l="l" t="t" r="r" b="b"/>
            <a:pathLst>
              <a:path w="3753" h="3215" extrusionOk="0">
                <a:moveTo>
                  <a:pt x="2144" y="0"/>
                </a:moveTo>
                <a:cubicBezTo>
                  <a:pt x="715" y="0"/>
                  <a:pt x="0" y="1727"/>
                  <a:pt x="1013" y="2740"/>
                </a:cubicBezTo>
                <a:cubicBezTo>
                  <a:pt x="1341" y="3068"/>
                  <a:pt x="1743" y="3215"/>
                  <a:pt x="2138" y="3215"/>
                </a:cubicBezTo>
                <a:cubicBezTo>
                  <a:pt x="2963" y="3215"/>
                  <a:pt x="3753" y="2573"/>
                  <a:pt x="3753" y="1602"/>
                </a:cubicBezTo>
                <a:cubicBezTo>
                  <a:pt x="3753" y="721"/>
                  <a:pt x="3031" y="0"/>
                  <a:pt x="2144" y="0"/>
                </a:cubicBezTo>
                <a:close/>
              </a:path>
            </a:pathLst>
          </a:custGeom>
          <a:solidFill>
            <a:srgbClr val="BAC2CA"/>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9" name="Google Shape;6709;p64">
            <a:extLst>
              <a:ext uri="{FF2B5EF4-FFF2-40B4-BE49-F238E27FC236}">
                <a16:creationId xmlns:a16="http://schemas.microsoft.com/office/drawing/2014/main" id="{FE1B5E96-0894-4403-A969-355EA50B80B2}"/>
              </a:ext>
            </a:extLst>
          </xdr:cNvPr>
          <xdr:cNvSpPr/>
        </xdr:nvSpPr>
        <xdr:spPr>
          <a:xfrm>
            <a:off x="2727774" y="3007856"/>
            <a:ext cx="59061" cy="50601"/>
          </a:xfrm>
          <a:custGeom>
            <a:avLst/>
            <a:gdLst/>
            <a:ahLst/>
            <a:cxnLst/>
            <a:rect l="l" t="t" r="r" b="b"/>
            <a:pathLst>
              <a:path w="2248" h="1926" extrusionOk="0">
                <a:moveTo>
                  <a:pt x="1284" y="0"/>
                </a:moveTo>
                <a:cubicBezTo>
                  <a:pt x="430" y="0"/>
                  <a:pt x="0" y="1034"/>
                  <a:pt x="604" y="1644"/>
                </a:cubicBezTo>
                <a:cubicBezTo>
                  <a:pt x="801" y="1839"/>
                  <a:pt x="1041" y="1926"/>
                  <a:pt x="1277" y="1926"/>
                </a:cubicBezTo>
                <a:cubicBezTo>
                  <a:pt x="1773" y="1926"/>
                  <a:pt x="2248" y="1540"/>
                  <a:pt x="2248" y="957"/>
                </a:cubicBezTo>
                <a:cubicBezTo>
                  <a:pt x="2248" y="430"/>
                  <a:pt x="1818" y="0"/>
                  <a:pt x="1284" y="0"/>
                </a:cubicBezTo>
                <a:close/>
              </a:path>
            </a:pathLst>
          </a:custGeom>
          <a:solidFill>
            <a:schemeClr val="bg1">
              <a:lumMod val="50000"/>
            </a:schemeClr>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grpSp>
    <xdr:clientData/>
  </xdr:twoCellAnchor>
  <xdr:twoCellAnchor editAs="oneCell">
    <xdr:from>
      <xdr:col>1</xdr:col>
      <xdr:colOff>657225</xdr:colOff>
      <xdr:row>1</xdr:row>
      <xdr:rowOff>0</xdr:rowOff>
    </xdr:from>
    <xdr:to>
      <xdr:col>1</xdr:col>
      <xdr:colOff>1190625</xdr:colOff>
      <xdr:row>3</xdr:row>
      <xdr:rowOff>159308</xdr:rowOff>
    </xdr:to>
    <xdr:pic>
      <xdr:nvPicPr>
        <xdr:cNvPr id="2" name="Imagen 4">
          <a:extLst>
            <a:ext uri="{FF2B5EF4-FFF2-40B4-BE49-F238E27FC236}">
              <a16:creationId xmlns:a16="http://schemas.microsoft.com/office/drawing/2014/main" id="{A717D3CA-0607-4F20-B71A-3AE6DB9E2F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3025" y="95250"/>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866775</xdr:colOff>
      <xdr:row>0</xdr:row>
      <xdr:rowOff>66675</xdr:rowOff>
    </xdr:from>
    <xdr:to>
      <xdr:col>1</xdr:col>
      <xdr:colOff>1400175</xdr:colOff>
      <xdr:row>3</xdr:row>
      <xdr:rowOff>156133</xdr:rowOff>
    </xdr:to>
    <xdr:pic>
      <xdr:nvPicPr>
        <xdr:cNvPr id="2" name="Imagen 4">
          <a:extLst>
            <a:ext uri="{FF2B5EF4-FFF2-40B4-BE49-F238E27FC236}">
              <a16:creationId xmlns:a16="http://schemas.microsoft.com/office/drawing/2014/main" id="{D0C39065-34D1-428B-8040-82A4986F52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6667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alidad ETITC" id="{0CC1AFD7-F2B4-4C19-A5FE-A0839748E464}" userId="S::calidad@itc.edu.co::5f6678ce-6f95-4cba-9a3f-7a65f87216f7"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10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AF4852-25AA-4EC0-BA9A-D8EC1A651492}" name="Criterios" displayName="Criterios" ref="A1:B14" totalsRowShown="0">
  <autoFilter ref="A1:B14" xr:uid="{B2AF4852-25AA-4EC0-BA9A-D8EC1A651492}"/>
  <tableColumns count="2">
    <tableColumn id="1" xr3:uid="{DD89DC2E-2661-45C2-B689-DCF22974CBDC}" name="Criterios_Impacto"/>
    <tableColumn id="2" xr3:uid="{43AE9E82-3F6B-4945-A788-0E0C2F144D59}" name="Calificació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25" dataDxfId="24">
  <autoFilter ref="B209:C219" xr:uid="{00000000-0009-0000-0100-000001000000}"/>
  <tableColumns count="2">
    <tableColumn id="1" xr3:uid="{00000000-0010-0000-0000-000001000000}" name="Criterios" dataDxfId="23"/>
    <tableColumn id="2" xr3:uid="{00000000-0010-0000-0000-000002000000}" name="Subcriterios" dataDxfId="2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5-05T18:23:33.08" personId="{0CC1AFD7-F2B4-4C19-A5FE-A0839748E464}" id="{31DE014E-1502-4058-AF14-D12B122223C2}">
    <text>Para el riesgo Fiscal, solo aplica IMPACTO ECONÓMICO</text>
  </threadedComment>
  <threadedComment ref="G13" dT="2026-05-05T16:05:30.86" personId="{0CC1AFD7-F2B4-4C19-A5FE-A0839748E464}" id="{7319F458-F751-4993-B913-0ED035E30CF3}">
    <text>Aplica para Riesgo FISCAL</text>
  </threadedComment>
  <threadedComment ref="AU13" dT="2026-05-04T15:28:03.86" personId="{0CC1AFD7-F2B4-4C19-A5FE-A0839748E464}" id="{1816B48D-01BB-448B-AFCC-2FEDB756BA42}">
    <text xml:space="preserve">Se realiza una descripción breve de lo ejecutado en el periodo. Así como las desviaciones presentadas en la aplicación del control. </text>
  </threadedComment>
  <threadedComment ref="AV13" dT="2026-05-04T15:29:01.83" personId="{0CC1AFD7-F2B4-4C19-A5FE-A0839748E464}" id="{8ADAA9EE-5890-4480-85AE-C33717331CF8}">
    <text>Se debe describir los soportes de la ejecución del control y punto de uso de la información. Ejemplo (enlaces de carpetas)</text>
  </threadedComment>
  <threadedComment ref="AW13" dT="2026-05-04T15:28:03.86" personId="{0CC1AFD7-F2B4-4C19-A5FE-A0839748E464}" id="{975DE72D-945A-4BAE-A64E-E42069A0D1CB}">
    <text>Se realiza una descripción breve de lo ejecutado en el periodo</text>
  </threadedComment>
  <threadedComment ref="AX13" dT="2026-05-04T15:29:01.83" personId="{0CC1AFD7-F2B4-4C19-A5FE-A0839748E464}" id="{837D0758-B511-4B9B-885F-44B15625A2B0}">
    <text>Se debe describir los soportes de la ejecución del control y punto de uso de la información. Ejemplo (enlaces de carpetas)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 Id="rId9"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N38"/>
  <sheetViews>
    <sheetView showGridLines="0" zoomScale="95" zoomScaleNormal="95" workbookViewId="0"/>
  </sheetViews>
  <sheetFormatPr baseColWidth="10" defaultColWidth="11.42578125" defaultRowHeight="15" x14ac:dyDescent="0.25"/>
  <cols>
    <col min="1" max="1" width="3.7109375" style="68" customWidth="1"/>
    <col min="2" max="2" width="16.7109375" customWidth="1"/>
    <col min="3" max="3" width="25" customWidth="1"/>
    <col min="4" max="12" width="10.7109375" customWidth="1"/>
    <col min="13" max="13" width="13.28515625" customWidth="1"/>
    <col min="14" max="14" width="15.42578125" customWidth="1"/>
    <col min="15" max="16384" width="11.42578125" style="68"/>
  </cols>
  <sheetData>
    <row r="1" spans="2:14" ht="12.75" customHeight="1" thickBot="1" x14ac:dyDescent="0.3">
      <c r="B1" s="68"/>
      <c r="C1" s="68"/>
      <c r="D1" s="68"/>
      <c r="E1" s="68"/>
      <c r="F1" s="68"/>
      <c r="G1" s="68"/>
      <c r="H1" s="68"/>
      <c r="I1" s="68"/>
      <c r="J1" s="68"/>
      <c r="K1" s="68"/>
      <c r="L1" s="68"/>
      <c r="M1" s="68"/>
      <c r="N1" s="68"/>
    </row>
    <row r="2" spans="2:14" ht="18.75" customHeight="1" x14ac:dyDescent="0.25">
      <c r="B2" s="250" t="s">
        <v>0</v>
      </c>
      <c r="C2" s="251"/>
      <c r="D2" s="241" t="s">
        <v>1</v>
      </c>
      <c r="E2" s="242"/>
      <c r="F2" s="242"/>
      <c r="G2" s="242"/>
      <c r="H2" s="242"/>
      <c r="I2" s="242"/>
      <c r="J2" s="242"/>
      <c r="K2" s="242"/>
      <c r="L2" s="243"/>
      <c r="M2" s="256" t="s">
        <v>2</v>
      </c>
      <c r="N2" s="257"/>
    </row>
    <row r="3" spans="2:14" ht="15.75" customHeight="1" x14ac:dyDescent="0.25">
      <c r="B3" s="252"/>
      <c r="C3" s="253"/>
      <c r="D3" s="244"/>
      <c r="E3" s="245"/>
      <c r="F3" s="245"/>
      <c r="G3" s="245"/>
      <c r="H3" s="245"/>
      <c r="I3" s="245"/>
      <c r="J3" s="245"/>
      <c r="K3" s="245"/>
      <c r="L3" s="246"/>
      <c r="M3" s="258" t="s">
        <v>3</v>
      </c>
      <c r="N3" s="259"/>
    </row>
    <row r="4" spans="2:14" ht="18.75" customHeight="1" x14ac:dyDescent="0.25">
      <c r="B4" s="252"/>
      <c r="C4" s="253"/>
      <c r="D4" s="244"/>
      <c r="E4" s="245"/>
      <c r="F4" s="245"/>
      <c r="G4" s="245"/>
      <c r="H4" s="245"/>
      <c r="I4" s="245"/>
      <c r="J4" s="245"/>
      <c r="K4" s="245"/>
      <c r="L4" s="246"/>
      <c r="M4" s="258" t="s">
        <v>4</v>
      </c>
      <c r="N4" s="259"/>
    </row>
    <row r="5" spans="2:14" ht="29.25" customHeight="1" thickBot="1" x14ac:dyDescent="0.3">
      <c r="B5" s="254"/>
      <c r="C5" s="255"/>
      <c r="D5" s="247"/>
      <c r="E5" s="248"/>
      <c r="F5" s="248"/>
      <c r="G5" s="248"/>
      <c r="H5" s="248"/>
      <c r="I5" s="248"/>
      <c r="J5" s="248"/>
      <c r="K5" s="248"/>
      <c r="L5" s="249"/>
      <c r="M5" s="260" t="s">
        <v>5</v>
      </c>
      <c r="N5" s="261"/>
    </row>
    <row r="6" spans="2:14" ht="7.5" customHeight="1" thickBot="1" x14ac:dyDescent="0.3"/>
    <row r="7" spans="2:14" x14ac:dyDescent="0.25">
      <c r="B7" s="115"/>
      <c r="C7" s="116"/>
      <c r="D7" s="116"/>
      <c r="E7" s="116"/>
      <c r="F7" s="116"/>
      <c r="G7" s="116"/>
      <c r="H7" s="116"/>
      <c r="I7" s="116"/>
      <c r="J7" s="116"/>
      <c r="K7" s="116"/>
      <c r="L7" s="116"/>
      <c r="M7" s="116"/>
      <c r="N7" s="117"/>
    </row>
    <row r="8" spans="2:14" x14ac:dyDescent="0.25">
      <c r="B8" s="118"/>
      <c r="N8" s="119"/>
    </row>
    <row r="9" spans="2:14" x14ac:dyDescent="0.25">
      <c r="B9" s="118"/>
      <c r="N9" s="119"/>
    </row>
    <row r="10" spans="2:14" x14ac:dyDescent="0.25">
      <c r="B10" s="118"/>
      <c r="N10" s="119"/>
    </row>
    <row r="11" spans="2:14" x14ac:dyDescent="0.25">
      <c r="B11" s="118"/>
      <c r="N11" s="119"/>
    </row>
    <row r="12" spans="2:14" x14ac:dyDescent="0.25">
      <c r="B12" s="118"/>
      <c r="N12" s="119"/>
    </row>
    <row r="13" spans="2:14" x14ac:dyDescent="0.25">
      <c r="B13" s="118"/>
      <c r="N13" s="119"/>
    </row>
    <row r="14" spans="2:14" x14ac:dyDescent="0.25">
      <c r="B14" s="118"/>
      <c r="N14" s="119"/>
    </row>
    <row r="15" spans="2:14" x14ac:dyDescent="0.25">
      <c r="B15" s="118"/>
      <c r="N15" s="119"/>
    </row>
    <row r="16" spans="2:14" ht="21" customHeight="1" x14ac:dyDescent="0.25">
      <c r="B16" s="118"/>
      <c r="N16" s="119"/>
    </row>
    <row r="17" spans="2:14" ht="18.75" customHeight="1" x14ac:dyDescent="0.25">
      <c r="B17" s="118"/>
      <c r="N17" s="119"/>
    </row>
    <row r="18" spans="2:14" ht="17.25" customHeight="1" x14ac:dyDescent="0.25">
      <c r="B18" s="118"/>
      <c r="N18" s="119"/>
    </row>
    <row r="19" spans="2:14" ht="18.75" customHeight="1" x14ac:dyDescent="0.25">
      <c r="B19" s="118"/>
      <c r="N19" s="119"/>
    </row>
    <row r="20" spans="2:14" ht="21" customHeight="1" x14ac:dyDescent="0.25">
      <c r="B20" s="118"/>
      <c r="N20" s="119"/>
    </row>
    <row r="21" spans="2:14" x14ac:dyDescent="0.25">
      <c r="B21" s="118"/>
      <c r="N21" s="119"/>
    </row>
    <row r="22" spans="2:14" x14ac:dyDescent="0.25">
      <c r="B22" s="118"/>
      <c r="N22" s="119"/>
    </row>
    <row r="23" spans="2:14" x14ac:dyDescent="0.25">
      <c r="B23" s="118"/>
      <c r="N23" s="119"/>
    </row>
    <row r="24" spans="2:14" x14ac:dyDescent="0.25">
      <c r="B24" s="118"/>
      <c r="N24" s="119"/>
    </row>
    <row r="25" spans="2:14" x14ac:dyDescent="0.25">
      <c r="B25" s="118"/>
      <c r="N25" s="119"/>
    </row>
    <row r="26" spans="2:14" x14ac:dyDescent="0.25">
      <c r="B26" s="118"/>
      <c r="N26" s="119"/>
    </row>
    <row r="27" spans="2:14" x14ac:dyDescent="0.25">
      <c r="B27" s="118"/>
      <c r="N27" s="119"/>
    </row>
    <row r="28" spans="2:14" x14ac:dyDescent="0.25">
      <c r="B28" s="118"/>
      <c r="N28" s="119"/>
    </row>
    <row r="29" spans="2:14" x14ac:dyDescent="0.25">
      <c r="B29" s="118"/>
      <c r="N29" s="119"/>
    </row>
    <row r="30" spans="2:14" x14ac:dyDescent="0.25">
      <c r="B30" s="118"/>
      <c r="N30" s="119"/>
    </row>
    <row r="31" spans="2:14" x14ac:dyDescent="0.25">
      <c r="B31" s="118"/>
      <c r="D31" s="240" t="s">
        <v>6</v>
      </c>
      <c r="E31" s="240"/>
      <c r="N31" s="119"/>
    </row>
    <row r="32" spans="2:14" x14ac:dyDescent="0.25">
      <c r="B32" s="118"/>
      <c r="D32" s="240"/>
      <c r="E32" s="240"/>
      <c r="N32" s="119"/>
    </row>
    <row r="33" spans="2:14" x14ac:dyDescent="0.25">
      <c r="B33" s="118"/>
      <c r="N33" s="119"/>
    </row>
    <row r="34" spans="2:14" x14ac:dyDescent="0.25">
      <c r="B34" s="118"/>
      <c r="N34" s="119"/>
    </row>
    <row r="35" spans="2:14" x14ac:dyDescent="0.25">
      <c r="B35" s="118"/>
      <c r="N35" s="119"/>
    </row>
    <row r="36" spans="2:14" x14ac:dyDescent="0.25">
      <c r="B36" s="118"/>
      <c r="N36" s="119"/>
    </row>
    <row r="37" spans="2:14" x14ac:dyDescent="0.25">
      <c r="B37" s="118"/>
      <c r="N37" s="119"/>
    </row>
    <row r="38" spans="2:14" ht="15.75" thickBot="1" x14ac:dyDescent="0.3">
      <c r="B38" s="120"/>
      <c r="C38" s="121"/>
      <c r="D38" s="121"/>
      <c r="E38" s="121"/>
      <c r="F38" s="121"/>
      <c r="G38" s="121"/>
      <c r="H38" s="121"/>
      <c r="I38" s="121"/>
      <c r="J38" s="121"/>
      <c r="K38" s="121"/>
      <c r="L38" s="121"/>
      <c r="M38" s="121"/>
      <c r="N38" s="122"/>
    </row>
  </sheetData>
  <mergeCells count="7">
    <mergeCell ref="D31:E32"/>
    <mergeCell ref="D2:L5"/>
    <mergeCell ref="B2:C5"/>
    <mergeCell ref="M2:N2"/>
    <mergeCell ref="M3:N3"/>
    <mergeCell ref="M4:N4"/>
    <mergeCell ref="M5:N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287840"/>
  </sheetPr>
  <dimension ref="A1:CD28"/>
  <sheetViews>
    <sheetView tabSelected="1" topLeftCell="B1" zoomScale="70" zoomScaleNormal="70" workbookViewId="0">
      <selection activeCell="AS15" sqref="AS15:AY21"/>
    </sheetView>
  </sheetViews>
  <sheetFormatPr baseColWidth="10" defaultColWidth="11.42578125" defaultRowHeight="14.25" x14ac:dyDescent="0.2"/>
  <cols>
    <col min="1" max="1" width="0" style="157" hidden="1" customWidth="1"/>
    <col min="2" max="2" width="4.42578125" style="157" customWidth="1"/>
    <col min="3" max="3" width="6.28515625" style="157" customWidth="1"/>
    <col min="4" max="4" width="4.7109375" style="158" customWidth="1"/>
    <col min="5" max="5" width="21" style="158" customWidth="1"/>
    <col min="6" max="7" width="20.7109375" style="158" customWidth="1"/>
    <col min="8" max="8" width="18.28515625" style="158" customWidth="1"/>
    <col min="9" max="9" width="31" style="158" customWidth="1"/>
    <col min="10" max="10" width="25.42578125" style="158" customWidth="1"/>
    <col min="11" max="11" width="58.28515625" style="157" customWidth="1"/>
    <col min="12" max="12" width="25.42578125" style="159" customWidth="1"/>
    <col min="13" max="13" width="31.85546875" style="159" customWidth="1"/>
    <col min="14" max="14" width="23.85546875" style="159" customWidth="1"/>
    <col min="15" max="15" width="22.42578125" style="157" customWidth="1"/>
    <col min="16" max="16" width="16.42578125" style="157" customWidth="1"/>
    <col min="17" max="17" width="8.85546875" style="157" customWidth="1"/>
    <col min="18" max="18" width="21.28515625" style="157" customWidth="1"/>
    <col min="19" max="19" width="17.42578125" style="157" customWidth="1"/>
    <col min="20" max="20" width="10.42578125" style="157" customWidth="1"/>
    <col min="21" max="21" width="16" style="157" customWidth="1"/>
    <col min="22" max="22" width="5.7109375" style="157" customWidth="1"/>
    <col min="23" max="23" width="82.140625" style="157" customWidth="1"/>
    <col min="24" max="24" width="57.28515625" style="157" customWidth="1"/>
    <col min="25" max="25" width="15.28515625" style="157" customWidth="1"/>
    <col min="26" max="26" width="6.7109375" style="157" customWidth="1"/>
    <col min="27" max="27" width="5" style="157" customWidth="1"/>
    <col min="28" max="28" width="5.42578125" style="157" customWidth="1"/>
    <col min="29" max="29" width="7.28515625" style="157" customWidth="1"/>
    <col min="30" max="30" width="6.7109375" style="157" customWidth="1"/>
    <col min="31" max="31" width="8.28515625" style="157" customWidth="1"/>
    <col min="32" max="32" width="17.140625" style="157" customWidth="1"/>
    <col min="33" max="33" width="13.7109375" style="157" customWidth="1"/>
    <col min="34" max="38" width="16.140625" style="157" customWidth="1"/>
    <col min="39" max="40" width="7.28515625" style="157" customWidth="1"/>
    <col min="41" max="41" width="46.42578125" style="157" customWidth="1"/>
    <col min="42" max="42" width="24.28515625" style="157" customWidth="1"/>
    <col min="43" max="43" width="23.140625" style="157" customWidth="1"/>
    <col min="44" max="44" width="15.140625" style="157" customWidth="1"/>
    <col min="45" max="46" width="19.7109375" style="157" customWidth="1"/>
    <col min="47" max="47" width="69.7109375" style="157" customWidth="1"/>
    <col min="48" max="48" width="53.7109375" style="168" customWidth="1"/>
    <col min="49" max="49" width="58.140625" style="157" customWidth="1"/>
    <col min="50" max="50" width="53.42578125" style="168" customWidth="1"/>
    <col min="51" max="51" width="29" style="157" customWidth="1"/>
    <col min="52" max="52" width="23.28515625" style="157" customWidth="1"/>
    <col min="53" max="53" width="68.42578125" style="157" customWidth="1"/>
    <col min="54" max="54" width="31.42578125" style="157" customWidth="1"/>
    <col min="55" max="55" width="30.42578125" style="157" customWidth="1"/>
    <col min="56" max="56" width="53" style="157" customWidth="1"/>
    <col min="57" max="59" width="0" style="157" hidden="1" customWidth="1"/>
    <col min="60" max="61" width="11.42578125" style="157" hidden="1" customWidth="1"/>
    <col min="62" max="63" width="0" style="157" hidden="1" customWidth="1"/>
    <col min="64" max="16384" width="11.42578125" style="157"/>
  </cols>
  <sheetData>
    <row r="1" spans="1:82" ht="15" thickBot="1" x14ac:dyDescent="0.25"/>
    <row r="2" spans="1:82" ht="27.75" customHeight="1" x14ac:dyDescent="0.2">
      <c r="D2" s="302" t="s">
        <v>37</v>
      </c>
      <c r="E2" s="303"/>
      <c r="F2" s="303"/>
      <c r="G2" s="303"/>
      <c r="H2" s="304"/>
      <c r="I2" s="311" t="s">
        <v>38</v>
      </c>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311"/>
      <c r="AR2" s="311"/>
      <c r="AS2" s="311"/>
      <c r="AT2" s="311"/>
      <c r="AU2" s="311"/>
      <c r="AV2" s="311"/>
      <c r="AW2" s="311"/>
      <c r="AX2" s="311"/>
      <c r="AY2" s="311"/>
      <c r="AZ2" s="311"/>
      <c r="BA2" s="311"/>
      <c r="BB2" s="311"/>
      <c r="BC2" s="311"/>
      <c r="BD2" s="201" t="s">
        <v>8</v>
      </c>
    </row>
    <row r="3" spans="1:82" ht="27.75" customHeight="1" x14ac:dyDescent="0.2">
      <c r="D3" s="305"/>
      <c r="E3" s="306"/>
      <c r="F3" s="306"/>
      <c r="G3" s="306"/>
      <c r="H3" s="307"/>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c r="AJ3" s="311"/>
      <c r="AK3" s="311"/>
      <c r="AL3" s="311"/>
      <c r="AM3" s="311"/>
      <c r="AN3" s="311"/>
      <c r="AO3" s="311"/>
      <c r="AP3" s="311"/>
      <c r="AQ3" s="311"/>
      <c r="AR3" s="311"/>
      <c r="AS3" s="311"/>
      <c r="AT3" s="311"/>
      <c r="AU3" s="311"/>
      <c r="AV3" s="311"/>
      <c r="AW3" s="311"/>
      <c r="AX3" s="311"/>
      <c r="AY3" s="311"/>
      <c r="AZ3" s="311"/>
      <c r="BA3" s="311"/>
      <c r="BB3" s="311"/>
      <c r="BC3" s="311"/>
      <c r="BD3" s="202" t="s">
        <v>39</v>
      </c>
    </row>
    <row r="4" spans="1:82" ht="27.75" customHeight="1" x14ac:dyDescent="0.2">
      <c r="D4" s="305"/>
      <c r="E4" s="306"/>
      <c r="F4" s="306"/>
      <c r="G4" s="306"/>
      <c r="H4" s="307"/>
      <c r="I4" s="311"/>
      <c r="J4" s="311"/>
      <c r="K4" s="311"/>
      <c r="L4" s="311"/>
      <c r="M4" s="311"/>
      <c r="N4" s="311"/>
      <c r="O4" s="311"/>
      <c r="P4" s="311"/>
      <c r="Q4" s="311"/>
      <c r="R4" s="311"/>
      <c r="S4" s="311"/>
      <c r="T4" s="311"/>
      <c r="U4" s="311"/>
      <c r="V4" s="311"/>
      <c r="W4" s="311"/>
      <c r="X4" s="311"/>
      <c r="Y4" s="311"/>
      <c r="Z4" s="311"/>
      <c r="AA4" s="311"/>
      <c r="AB4" s="311"/>
      <c r="AC4" s="311"/>
      <c r="AD4" s="311"/>
      <c r="AE4" s="311"/>
      <c r="AF4" s="311"/>
      <c r="AG4" s="311"/>
      <c r="AH4" s="311"/>
      <c r="AI4" s="311"/>
      <c r="AJ4" s="311"/>
      <c r="AK4" s="311"/>
      <c r="AL4" s="311"/>
      <c r="AM4" s="311"/>
      <c r="AN4" s="311"/>
      <c r="AO4" s="311"/>
      <c r="AP4" s="311"/>
      <c r="AQ4" s="311"/>
      <c r="AR4" s="311"/>
      <c r="AS4" s="311"/>
      <c r="AT4" s="311"/>
      <c r="AU4" s="311"/>
      <c r="AV4" s="311"/>
      <c r="AW4" s="311"/>
      <c r="AX4" s="311"/>
      <c r="AY4" s="311"/>
      <c r="AZ4" s="311"/>
      <c r="BA4" s="311"/>
      <c r="BB4" s="311"/>
      <c r="BC4" s="311"/>
      <c r="BD4" s="203" t="s">
        <v>4</v>
      </c>
    </row>
    <row r="5" spans="1:82" ht="27.75" customHeight="1" thickBot="1" x14ac:dyDescent="0.25">
      <c r="D5" s="308"/>
      <c r="E5" s="309"/>
      <c r="F5" s="309"/>
      <c r="G5" s="309"/>
      <c r="H5" s="310"/>
      <c r="I5" s="311"/>
      <c r="J5" s="311"/>
      <c r="K5" s="311"/>
      <c r="L5" s="311"/>
      <c r="M5" s="311"/>
      <c r="N5" s="311"/>
      <c r="O5" s="311"/>
      <c r="P5" s="311"/>
      <c r="Q5" s="311"/>
      <c r="R5" s="311"/>
      <c r="S5" s="311"/>
      <c r="T5" s="311"/>
      <c r="U5" s="311"/>
      <c r="V5" s="311"/>
      <c r="W5" s="311"/>
      <c r="X5" s="311"/>
      <c r="Y5" s="311"/>
      <c r="Z5" s="311"/>
      <c r="AA5" s="311"/>
      <c r="AB5" s="311"/>
      <c r="AC5" s="311"/>
      <c r="AD5" s="311"/>
      <c r="AE5" s="311"/>
      <c r="AF5" s="311"/>
      <c r="AG5" s="311"/>
      <c r="AH5" s="311"/>
      <c r="AI5" s="311"/>
      <c r="AJ5" s="311"/>
      <c r="AK5" s="311"/>
      <c r="AL5" s="311"/>
      <c r="AM5" s="311"/>
      <c r="AN5" s="311"/>
      <c r="AO5" s="311"/>
      <c r="AP5" s="311"/>
      <c r="AQ5" s="311"/>
      <c r="AR5" s="311"/>
      <c r="AS5" s="311"/>
      <c r="AT5" s="311"/>
      <c r="AU5" s="311"/>
      <c r="AV5" s="311"/>
      <c r="AW5" s="311"/>
      <c r="AX5" s="311"/>
      <c r="AY5" s="311"/>
      <c r="AZ5" s="311"/>
      <c r="BA5" s="311"/>
      <c r="BB5" s="311"/>
      <c r="BC5" s="311"/>
      <c r="BD5" s="203" t="s">
        <v>40</v>
      </c>
    </row>
    <row r="6" spans="1:82" ht="14.1" customHeight="1" x14ac:dyDescent="0.25">
      <c r="D6" s="204"/>
      <c r="E6" s="205"/>
      <c r="F6" s="205"/>
      <c r="G6" s="205"/>
      <c r="H6" s="205"/>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25"/>
      <c r="AW6" s="206"/>
      <c r="AX6" s="225"/>
      <c r="AY6" s="206"/>
      <c r="AZ6" s="206"/>
      <c r="BA6" s="206"/>
      <c r="BB6" s="206"/>
      <c r="BC6" s="206"/>
      <c r="BD6" s="207"/>
    </row>
    <row r="7" spans="1:82" ht="26.25" customHeight="1" x14ac:dyDescent="0.2">
      <c r="D7" s="314" t="s">
        <v>41</v>
      </c>
      <c r="E7" s="315"/>
      <c r="F7" s="315"/>
      <c r="G7" s="316"/>
      <c r="H7" s="312" t="s">
        <v>420</v>
      </c>
      <c r="I7" s="313"/>
      <c r="J7" s="313"/>
      <c r="K7" s="313"/>
      <c r="L7" s="313"/>
      <c r="M7" s="313"/>
      <c r="N7" s="313"/>
      <c r="O7" s="313"/>
      <c r="P7" s="313"/>
      <c r="Q7" s="313"/>
      <c r="R7" s="313"/>
      <c r="S7" s="313"/>
      <c r="T7" s="313"/>
      <c r="U7" s="313"/>
      <c r="V7" s="313"/>
      <c r="W7" s="313"/>
      <c r="X7" s="313"/>
      <c r="Y7" s="313"/>
      <c r="Z7" s="313"/>
      <c r="AA7" s="313"/>
      <c r="AB7" s="313"/>
      <c r="AC7" s="313"/>
      <c r="AD7" s="313"/>
      <c r="AE7" s="313"/>
      <c r="AF7" s="313"/>
      <c r="AG7" s="313"/>
      <c r="AH7" s="313"/>
      <c r="AI7" s="313"/>
      <c r="AJ7" s="313"/>
      <c r="AK7" s="313"/>
      <c r="AL7" s="313"/>
      <c r="AM7" s="313"/>
      <c r="AN7" s="313"/>
      <c r="AO7" s="313"/>
      <c r="AP7" s="313"/>
      <c r="AQ7" s="313"/>
      <c r="AR7" s="313"/>
      <c r="AS7" s="313"/>
      <c r="AT7" s="313"/>
      <c r="AU7" s="313"/>
      <c r="AV7" s="313"/>
      <c r="AW7" s="313"/>
      <c r="AX7" s="313"/>
      <c r="AY7" s="313"/>
      <c r="AZ7" s="313"/>
      <c r="BA7" s="313"/>
      <c r="BB7" s="313"/>
      <c r="BC7" s="313"/>
      <c r="BD7" s="313"/>
      <c r="BE7" s="160"/>
      <c r="BF7" s="160"/>
      <c r="BG7" s="160"/>
      <c r="BH7" s="160"/>
      <c r="BI7" s="160"/>
      <c r="BJ7" s="160"/>
      <c r="BK7" s="160"/>
      <c r="BL7" s="160"/>
      <c r="BM7" s="160"/>
      <c r="BN7" s="160"/>
      <c r="BO7" s="160"/>
      <c r="BP7" s="160"/>
      <c r="BQ7" s="160"/>
      <c r="BR7" s="160"/>
      <c r="BS7" s="160"/>
      <c r="BT7" s="160"/>
      <c r="BU7" s="160"/>
      <c r="BV7" s="160"/>
      <c r="BW7" s="160"/>
      <c r="BX7" s="160"/>
      <c r="BY7" s="160"/>
      <c r="BZ7" s="160"/>
      <c r="CA7" s="160"/>
      <c r="CB7" s="160"/>
      <c r="CC7" s="160"/>
      <c r="CD7" s="160"/>
    </row>
    <row r="8" spans="1:82" ht="30" customHeight="1" x14ac:dyDescent="0.2">
      <c r="D8" s="314" t="s">
        <v>42</v>
      </c>
      <c r="E8" s="315"/>
      <c r="F8" s="315"/>
      <c r="G8" s="316"/>
      <c r="H8" s="317" t="s">
        <v>421</v>
      </c>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row>
    <row r="9" spans="1:82" ht="24" customHeight="1" x14ac:dyDescent="0.2">
      <c r="D9" s="314" t="s">
        <v>43</v>
      </c>
      <c r="E9" s="315"/>
      <c r="F9" s="315"/>
      <c r="G9" s="316"/>
      <c r="H9" s="312" t="s">
        <v>422</v>
      </c>
      <c r="I9" s="313"/>
      <c r="J9" s="313"/>
      <c r="K9" s="313"/>
      <c r="L9" s="313"/>
      <c r="M9" s="313"/>
      <c r="N9" s="313"/>
      <c r="O9" s="313"/>
      <c r="P9" s="313"/>
      <c r="Q9" s="313"/>
      <c r="R9" s="313"/>
      <c r="S9" s="313"/>
      <c r="T9" s="313"/>
      <c r="U9" s="313"/>
      <c r="V9" s="313"/>
      <c r="W9" s="313"/>
      <c r="X9" s="313"/>
      <c r="Y9" s="313"/>
      <c r="Z9" s="313"/>
      <c r="AA9" s="313"/>
      <c r="AB9" s="313"/>
      <c r="AC9" s="313"/>
      <c r="AD9" s="313"/>
      <c r="AE9" s="313"/>
      <c r="AF9" s="313"/>
      <c r="AG9" s="313"/>
      <c r="AH9" s="313"/>
      <c r="AI9" s="313"/>
      <c r="AJ9" s="313"/>
      <c r="AK9" s="313"/>
      <c r="AL9" s="313"/>
      <c r="AM9" s="313"/>
      <c r="AN9" s="313"/>
      <c r="AO9" s="313"/>
      <c r="AP9" s="313"/>
      <c r="AQ9" s="313"/>
      <c r="AR9" s="313"/>
      <c r="AS9" s="313"/>
      <c r="AT9" s="313"/>
      <c r="AU9" s="313"/>
      <c r="AV9" s="313"/>
      <c r="AW9" s="313"/>
      <c r="AX9" s="313"/>
      <c r="AY9" s="313"/>
      <c r="AZ9" s="313"/>
      <c r="BA9" s="313"/>
      <c r="BB9" s="313"/>
      <c r="BC9" s="313"/>
      <c r="BD9" s="313"/>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row>
    <row r="10" spans="1:82" s="161" customFormat="1" ht="24" customHeight="1" x14ac:dyDescent="0.2">
      <c r="D10" s="208"/>
      <c r="E10" s="209"/>
      <c r="F10" s="210"/>
      <c r="G10" s="210"/>
      <c r="H10" s="208"/>
      <c r="I10" s="211"/>
      <c r="J10" s="211"/>
      <c r="K10" s="211"/>
      <c r="L10" s="211"/>
      <c r="M10" s="211"/>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1"/>
      <c r="AK10" s="211"/>
      <c r="AL10" s="211"/>
      <c r="AM10" s="211"/>
      <c r="AN10" s="211"/>
      <c r="AO10" s="211"/>
      <c r="AP10" s="211"/>
      <c r="AQ10" s="211"/>
      <c r="AR10" s="211"/>
      <c r="AS10" s="162"/>
      <c r="AT10" s="162"/>
      <c r="AU10" s="162"/>
      <c r="AV10" s="226"/>
      <c r="AW10" s="162"/>
      <c r="AX10" s="226"/>
      <c r="AY10" s="162"/>
      <c r="AZ10" s="212"/>
      <c r="BA10" s="212"/>
      <c r="BB10" s="212"/>
      <c r="BC10" s="212"/>
      <c r="BD10" s="212"/>
    </row>
    <row r="11" spans="1:82" s="161" customFormat="1" ht="25.5" customHeight="1" x14ac:dyDescent="0.25">
      <c r="A11" s="272" t="s">
        <v>9</v>
      </c>
      <c r="B11" s="272"/>
      <c r="C11" s="273"/>
      <c r="D11" s="297" t="s">
        <v>44</v>
      </c>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8"/>
      <c r="AN11" s="298"/>
      <c r="AO11" s="298"/>
      <c r="AP11" s="298"/>
      <c r="AQ11" s="298"/>
      <c r="AR11" s="299"/>
      <c r="AS11" s="319" t="s">
        <v>45</v>
      </c>
      <c r="AT11" s="319"/>
      <c r="AU11" s="319"/>
      <c r="AV11" s="319"/>
      <c r="AW11" s="319"/>
      <c r="AX11" s="319"/>
      <c r="AY11" s="319"/>
      <c r="AZ11" s="289" t="s">
        <v>46</v>
      </c>
      <c r="BA11" s="290"/>
      <c r="BB11" s="290"/>
      <c r="BC11" s="291" t="s">
        <v>47</v>
      </c>
      <c r="BD11" s="292"/>
    </row>
    <row r="12" spans="1:82" ht="27" customHeight="1" x14ac:dyDescent="0.2">
      <c r="D12" s="280" t="s">
        <v>48</v>
      </c>
      <c r="E12" s="280"/>
      <c r="F12" s="280"/>
      <c r="G12" s="280"/>
      <c r="H12" s="280"/>
      <c r="I12" s="275"/>
      <c r="J12" s="275"/>
      <c r="K12" s="275"/>
      <c r="L12" s="275"/>
      <c r="M12" s="275"/>
      <c r="N12" s="275"/>
      <c r="O12" s="275"/>
      <c r="P12" s="275" t="s">
        <v>49</v>
      </c>
      <c r="Q12" s="275"/>
      <c r="R12" s="275"/>
      <c r="S12" s="275"/>
      <c r="T12" s="275"/>
      <c r="U12" s="275"/>
      <c r="V12" s="275" t="s">
        <v>50</v>
      </c>
      <c r="W12" s="275"/>
      <c r="X12" s="275"/>
      <c r="Y12" s="275"/>
      <c r="Z12" s="275"/>
      <c r="AA12" s="275"/>
      <c r="AB12" s="275"/>
      <c r="AC12" s="275"/>
      <c r="AD12" s="275"/>
      <c r="AE12" s="275"/>
      <c r="AF12" s="269" t="s">
        <v>51</v>
      </c>
      <c r="AG12" s="275" t="s">
        <v>52</v>
      </c>
      <c r="AH12" s="275"/>
      <c r="AI12" s="275"/>
      <c r="AJ12" s="275"/>
      <c r="AK12" s="275"/>
      <c r="AL12" s="275"/>
      <c r="AM12" s="275"/>
      <c r="AN12" s="213"/>
      <c r="AO12" s="297" t="s">
        <v>53</v>
      </c>
      <c r="AP12" s="298"/>
      <c r="AQ12" s="298"/>
      <c r="AR12" s="298"/>
      <c r="AS12" s="319"/>
      <c r="AT12" s="319"/>
      <c r="AU12" s="319"/>
      <c r="AV12" s="319"/>
      <c r="AW12" s="319"/>
      <c r="AX12" s="319"/>
      <c r="AY12" s="319"/>
      <c r="AZ12" s="289"/>
      <c r="BA12" s="290"/>
      <c r="BB12" s="290"/>
      <c r="BC12" s="293"/>
      <c r="BD12" s="294"/>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row>
    <row r="13" spans="1:82" ht="45.75" customHeight="1" x14ac:dyDescent="0.2">
      <c r="D13" s="287" t="s">
        <v>54</v>
      </c>
      <c r="E13" s="279" t="s">
        <v>55</v>
      </c>
      <c r="F13" s="274" t="s">
        <v>56</v>
      </c>
      <c r="G13" s="276" t="s">
        <v>57</v>
      </c>
      <c r="H13" s="280" t="s">
        <v>58</v>
      </c>
      <c r="I13" s="279" t="s">
        <v>59</v>
      </c>
      <c r="J13" s="279" t="s">
        <v>60</v>
      </c>
      <c r="K13" s="279" t="s">
        <v>61</v>
      </c>
      <c r="L13" s="276" t="s">
        <v>62</v>
      </c>
      <c r="M13" s="267" t="s">
        <v>63</v>
      </c>
      <c r="N13" s="268"/>
      <c r="O13" s="279" t="s">
        <v>64</v>
      </c>
      <c r="P13" s="279" t="s">
        <v>65</v>
      </c>
      <c r="Q13" s="280" t="s">
        <v>66</v>
      </c>
      <c r="R13" s="279" t="s">
        <v>67</v>
      </c>
      <c r="S13" s="279" t="s">
        <v>68</v>
      </c>
      <c r="T13" s="280" t="s">
        <v>66</v>
      </c>
      <c r="U13" s="279" t="s">
        <v>69</v>
      </c>
      <c r="V13" s="278" t="s">
        <v>70</v>
      </c>
      <c r="W13" s="279" t="s">
        <v>71</v>
      </c>
      <c r="X13" s="279" t="s">
        <v>72</v>
      </c>
      <c r="Y13" s="279" t="s">
        <v>73</v>
      </c>
      <c r="Z13" s="279" t="s">
        <v>74</v>
      </c>
      <c r="AA13" s="279"/>
      <c r="AB13" s="279"/>
      <c r="AC13" s="279"/>
      <c r="AD13" s="279"/>
      <c r="AE13" s="279"/>
      <c r="AF13" s="270"/>
      <c r="AG13" s="278" t="s">
        <v>75</v>
      </c>
      <c r="AH13" s="278" t="s">
        <v>76</v>
      </c>
      <c r="AI13" s="278" t="s">
        <v>66</v>
      </c>
      <c r="AJ13" s="278" t="s">
        <v>77</v>
      </c>
      <c r="AK13" s="278" t="s">
        <v>66</v>
      </c>
      <c r="AL13" s="278" t="s">
        <v>78</v>
      </c>
      <c r="AM13" s="278" t="s">
        <v>79</v>
      </c>
      <c r="AN13" s="278" t="s">
        <v>80</v>
      </c>
      <c r="AO13" s="279" t="s">
        <v>81</v>
      </c>
      <c r="AP13" s="279" t="s">
        <v>82</v>
      </c>
      <c r="AQ13" s="279" t="s">
        <v>83</v>
      </c>
      <c r="AR13" s="276" t="s">
        <v>84</v>
      </c>
      <c r="AS13" s="300" t="s">
        <v>85</v>
      </c>
      <c r="AT13" s="300" t="s">
        <v>86</v>
      </c>
      <c r="AU13" s="300" t="s">
        <v>87</v>
      </c>
      <c r="AV13" s="300" t="s">
        <v>88</v>
      </c>
      <c r="AW13" s="295" t="s">
        <v>89</v>
      </c>
      <c r="AX13" s="295" t="s">
        <v>90</v>
      </c>
      <c r="AY13" s="295" t="s">
        <v>91</v>
      </c>
      <c r="AZ13" s="279" t="s">
        <v>92</v>
      </c>
      <c r="BA13" s="279" t="s">
        <v>93</v>
      </c>
      <c r="BB13" s="279" t="s">
        <v>94</v>
      </c>
      <c r="BC13" s="300" t="s">
        <v>92</v>
      </c>
      <c r="BD13" s="300" t="s">
        <v>95</v>
      </c>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row>
    <row r="14" spans="1:82" s="164" customFormat="1" ht="106.5" customHeight="1" x14ac:dyDescent="0.25">
      <c r="A14" s="162"/>
      <c r="B14" s="162"/>
      <c r="C14" s="162"/>
      <c r="D14" s="287"/>
      <c r="E14" s="279"/>
      <c r="F14" s="275"/>
      <c r="G14" s="277"/>
      <c r="H14" s="280"/>
      <c r="I14" s="279"/>
      <c r="J14" s="279"/>
      <c r="K14" s="280"/>
      <c r="L14" s="277"/>
      <c r="M14" s="215" t="s">
        <v>96</v>
      </c>
      <c r="N14" s="215" t="s">
        <v>97</v>
      </c>
      <c r="O14" s="279"/>
      <c r="P14" s="279"/>
      <c r="Q14" s="280"/>
      <c r="R14" s="279"/>
      <c r="S14" s="280"/>
      <c r="T14" s="280"/>
      <c r="U14" s="279"/>
      <c r="V14" s="278"/>
      <c r="W14" s="279"/>
      <c r="X14" s="279"/>
      <c r="Y14" s="279"/>
      <c r="Z14" s="214" t="s">
        <v>98</v>
      </c>
      <c r="AA14" s="214" t="s">
        <v>99</v>
      </c>
      <c r="AB14" s="214" t="s">
        <v>100</v>
      </c>
      <c r="AC14" s="214" t="s">
        <v>51</v>
      </c>
      <c r="AD14" s="214" t="s">
        <v>101</v>
      </c>
      <c r="AE14" s="214" t="s">
        <v>102</v>
      </c>
      <c r="AF14" s="271"/>
      <c r="AG14" s="278"/>
      <c r="AH14" s="278"/>
      <c r="AI14" s="278"/>
      <c r="AJ14" s="278"/>
      <c r="AK14" s="278"/>
      <c r="AL14" s="278"/>
      <c r="AM14" s="278"/>
      <c r="AN14" s="278"/>
      <c r="AO14" s="279"/>
      <c r="AP14" s="279"/>
      <c r="AQ14" s="279"/>
      <c r="AR14" s="277"/>
      <c r="AS14" s="301"/>
      <c r="AT14" s="301"/>
      <c r="AU14" s="301"/>
      <c r="AV14" s="301"/>
      <c r="AW14" s="296"/>
      <c r="AX14" s="296"/>
      <c r="AY14" s="296"/>
      <c r="AZ14" s="276"/>
      <c r="BA14" s="276"/>
      <c r="BB14" s="276"/>
      <c r="BC14" s="301"/>
      <c r="BD14" s="301"/>
      <c r="BE14" s="163"/>
      <c r="BF14" s="163"/>
      <c r="BG14" s="163"/>
      <c r="BH14" s="163"/>
      <c r="BI14" s="163"/>
      <c r="BJ14" s="163"/>
      <c r="BK14" s="163"/>
      <c r="BL14" s="163"/>
      <c r="BM14" s="163"/>
      <c r="BN14" s="163"/>
      <c r="BO14" s="163"/>
      <c r="BP14" s="163"/>
      <c r="BQ14" s="163"/>
      <c r="BR14" s="163"/>
      <c r="BS14" s="163"/>
      <c r="BT14" s="163"/>
      <c r="BU14" s="163"/>
      <c r="BV14" s="163"/>
      <c r="BW14" s="163"/>
      <c r="BX14" s="163"/>
      <c r="BY14" s="163"/>
      <c r="BZ14" s="163"/>
      <c r="CA14" s="163"/>
      <c r="CB14" s="163"/>
      <c r="CC14" s="163"/>
      <c r="CD14" s="163"/>
    </row>
    <row r="15" spans="1:82" s="170" customFormat="1" ht="215.25" customHeight="1" x14ac:dyDescent="0.25">
      <c r="D15" s="283">
        <v>1</v>
      </c>
      <c r="E15" s="284" t="s">
        <v>146</v>
      </c>
      <c r="F15" s="284" t="s">
        <v>176</v>
      </c>
      <c r="G15" s="288" t="s">
        <v>163</v>
      </c>
      <c r="H15" s="284" t="s">
        <v>186</v>
      </c>
      <c r="I15" s="281" t="s">
        <v>424</v>
      </c>
      <c r="J15" s="281" t="s">
        <v>425</v>
      </c>
      <c r="K15" s="281" t="s">
        <v>423</v>
      </c>
      <c r="L15" s="281" t="s">
        <v>165</v>
      </c>
      <c r="M15" s="282" t="s">
        <v>340</v>
      </c>
      <c r="N15" s="282" t="s">
        <v>181</v>
      </c>
      <c r="O15" s="281">
        <v>10000</v>
      </c>
      <c r="P15" s="285" t="str">
        <f>IF(O15&lt;=0,"",IF(O15&lt;=2,"Muy Baja",IF(O15&lt;=24,"Baja",IF(O15&lt;=500,"Media",IF(O15&lt;=5000,"Alta","Muy Alta")))))</f>
        <v>Muy Alta</v>
      </c>
      <c r="Q15" s="322">
        <f>IF(P15="","",IF(P15="Muy Baja",0.2,IF(P15="Baja",0.4,IF(P15="Media",0.6,IF(P15="Alta",0.8,IF(P15="Muy Alta",1,))))))</f>
        <v>1</v>
      </c>
      <c r="R15" s="323" t="s">
        <v>132</v>
      </c>
      <c r="S15" s="285" t="str">
        <f>IFERROR(VLOOKUP(R15,Criterios[],2,FALSE),"")</f>
        <v>Mayor</v>
      </c>
      <c r="T15" s="322">
        <f t="shared" ref="T15" si="0">IF(S15="","",IF(S15="Leve",0.2,IF(S15="Menor",0.4,IF(S15="Moderado",0.6,IF(S15="Mayor",0.8,IF(S15="Catastrófico",1,))))))</f>
        <v>0.8</v>
      </c>
      <c r="U15" s="285" t="str">
        <f>IF(OR(AND(P15="Muy Baja",S15="Leve"),AND(P15="Muy Baja",S15="Menor"),AND(P15="Baja",S15="Leve")),"Bajo",IF(OR(AND(P15="Muy baja",S15="Moderado"),AND(P15="Baja",S15="Menor"),AND(P15="Baja",S15="Moderado"),AND(P15="Media",S15="Leve"),AND(P15="Media",S15="Menor"),AND(P15="Media",S15="Moderado"),AND(P15="Alta",S15="Leve"),AND(P15="Alta",S15="Menor")),"Moderado",IF(OR(AND(P15="Muy Baja",S15="Mayor"),AND(P15="Baja",S15="Mayor"),AND(P15="Media",S15="Mayor"),AND(P15="Alta",S15="Moderado"),AND(P15="Alta",S15="Mayor"),AND(P15="Muy Alta",S15="Leve"),AND(P15="Muy Alta",S15="Menor"),AND(P15="Muy Alta",S15="Moderado"),AND(P15="Muy Alta",S15="Mayor")),"Alto",IF(OR(AND(P15="Muy Baja",S15="Catastrófico"),AND(P15="Baja",S15="Catastrófico"),AND(P15="Media",S15="Catastrófico"),AND(P15="Alta",S15="Catastrófico"),AND(P15="Muy Alta",S15="Catastrófico")),"Extremo",""))))</f>
        <v>Alto</v>
      </c>
      <c r="V15" s="171">
        <v>1</v>
      </c>
      <c r="W15" s="216" t="s">
        <v>435</v>
      </c>
      <c r="X15" s="228" t="s">
        <v>426</v>
      </c>
      <c r="Y15" s="172" t="str">
        <f t="shared" ref="Y15:Y18" si="1">IF(OR(Z15="Preventivo",Z15="Detectivo"),"Probabilidad",IF(Z15="Correctivo","Impacto",""))</f>
        <v>Probabilidad</v>
      </c>
      <c r="Z15" s="173" t="s">
        <v>154</v>
      </c>
      <c r="AA15" s="173" t="s">
        <v>168</v>
      </c>
      <c r="AB15" s="174" t="str">
        <f t="shared" ref="AB15:AB21" si="2">IF(AND(Z15="Preventivo",AA15="Automático"),"50%",IF(AND(Z15="Preventivo",AA15="Manual"),"40%",IF(AND(Z15="Detectivo",AA15="Automático"),"40%",IF(AND(Z15="Detectivo",AA15="Manual"),"30%",IF(AND(Z15="Correctivo",AA15="Automático"),"35%",IF(AND(Z15="Correctivo",AA15="Manual"),"25%",""))))))</f>
        <v>40%</v>
      </c>
      <c r="AC15" s="173" t="s">
        <v>156</v>
      </c>
      <c r="AD15" s="173" t="s">
        <v>157</v>
      </c>
      <c r="AE15" s="173" t="s">
        <v>415</v>
      </c>
      <c r="AF15" s="232" t="s">
        <v>429</v>
      </c>
      <c r="AG15" s="175">
        <f>IFERROR(IF(Y15="Probabilidad",(Q15-(+ Q15*AB15)),IF(Y15="Impacto",Q15,"")),"")</f>
        <v>0.6</v>
      </c>
      <c r="AH15" s="176" t="str">
        <f>IFERROR(IF(AG15="","",IF(AG15&lt;=0.2,"Muy Baja",IF(AG15&lt;=0.4,"Baja",IF(AG15&lt;=0.6,"Media",IF(AG15&lt;=0.8,"Alta","Muy Alta"))))),"")</f>
        <v>Media</v>
      </c>
      <c r="AI15" s="174">
        <f>+AG15</f>
        <v>0.6</v>
      </c>
      <c r="AJ15" s="176" t="str">
        <f>IFERROR(IF(AK15="","",IF(AK15&lt;=0.2,"Leve",IF(AK15&lt;=0.4,"Menor",IF(AK15&lt;=0.6,"Moderado",IF(AK15&lt;=0.8,"Mayor","Catastrófico"))))),"")</f>
        <v>Mayor</v>
      </c>
      <c r="AK15" s="174">
        <f>IFERROR(IF(Y15="Impacto",(T15-(+T15*AB15)),IF(Y15="Probabilidad",T15,"")),"")</f>
        <v>0.8</v>
      </c>
      <c r="AL15" s="176" t="str">
        <f>IFERROR(IF(OR(AND(AH15="Muy Baja",AJ15="Leve"),AND(AH15="Muy Baja",AJ15="Menor"),AND(AH15="Baja",AJ15="Leve")),"Bajo",IF(OR(AND(AH15="Muy baja",AJ15="Moderado"),AND(AH15="Baja",AJ15="Menor"),AND(AH15="Baja",AJ15="Moderado"),AND(AH15="Media",AJ15="Leve"),AND(AH15="Media",AJ15="Menor"),AND(AH15="Media",AJ15="Moderado"),AND(AH15="Alta",AJ15="Leve"),AND(AH15="Alta",AJ15="Menor")),"Moderado",IF(OR(AND(AH15="Muy Baja",AJ15="Mayor"),AND(AH15="Baja",AJ15="Mayor"),AND(AH15="Media",AJ15="Mayor"),AND(AH15="Alta",AJ15="Moderado"),AND(AH15="Alta",AJ15="Mayor"),AND(AH15="Muy Alta",AJ15="Leve"),AND(AH15="Muy Alta",AJ15="Menor"),AND(AH15="Muy Alta",AJ15="Moderado"),AND(AH15="Muy Alta",AJ15="Mayor")),"Alto",IF(OR(AND(AH15="Muy Baja",AJ15="Catastrófico"),AND(AH15="Baja",AJ15="Catastrófico"),AND(AH15="Media",AJ15="Catastrófico"),AND(AH15="Alta",AJ15="Catastrófico"),AND(AH15="Muy Alta",AJ15="Catastrófico")),"Extremo","")))),"")</f>
        <v>Alto</v>
      </c>
      <c r="AM15" s="286" t="s">
        <v>105</v>
      </c>
      <c r="AN15" s="171">
        <v>1</v>
      </c>
      <c r="AO15" s="197" t="s">
        <v>441</v>
      </c>
      <c r="AP15" s="193" t="s">
        <v>436</v>
      </c>
      <c r="AQ15" s="194" t="s">
        <v>437</v>
      </c>
      <c r="AR15" s="196">
        <v>46387</v>
      </c>
      <c r="AS15" s="239"/>
      <c r="AT15" s="191"/>
      <c r="AU15" s="224"/>
      <c r="AV15" s="227"/>
      <c r="AW15" s="224"/>
      <c r="AX15" s="227"/>
      <c r="AY15" s="191"/>
      <c r="AZ15" s="324"/>
      <c r="BA15" s="190"/>
      <c r="BB15" s="198"/>
      <c r="BC15" s="325"/>
      <c r="BD15" s="192"/>
      <c r="BE15" s="188"/>
      <c r="BF15" s="177"/>
      <c r="BG15" s="177"/>
      <c r="BH15" s="177"/>
      <c r="BI15" s="177"/>
      <c r="BJ15" s="177"/>
      <c r="BK15" s="177"/>
      <c r="BL15" s="177"/>
      <c r="BM15" s="177"/>
      <c r="BN15" s="177"/>
      <c r="BO15" s="177"/>
      <c r="BP15" s="177"/>
      <c r="BQ15" s="177"/>
      <c r="BR15" s="177"/>
      <c r="BS15" s="177"/>
      <c r="BT15" s="177"/>
      <c r="BU15" s="177"/>
      <c r="BV15" s="177"/>
      <c r="BW15" s="177"/>
      <c r="BX15" s="177"/>
      <c r="BY15" s="177"/>
      <c r="BZ15" s="177"/>
      <c r="CA15" s="177"/>
      <c r="CB15" s="177"/>
      <c r="CC15" s="177"/>
      <c r="CD15" s="177"/>
    </row>
    <row r="16" spans="1:82" s="170" customFormat="1" ht="172.5" customHeight="1" x14ac:dyDescent="0.25">
      <c r="D16" s="283"/>
      <c r="E16" s="284"/>
      <c r="F16" s="284"/>
      <c r="G16" s="288"/>
      <c r="H16" s="284"/>
      <c r="I16" s="281"/>
      <c r="J16" s="281"/>
      <c r="K16" s="281"/>
      <c r="L16" s="281"/>
      <c r="M16" s="282"/>
      <c r="N16" s="282"/>
      <c r="O16" s="281"/>
      <c r="P16" s="285"/>
      <c r="Q16" s="322"/>
      <c r="R16" s="323"/>
      <c r="S16" s="285"/>
      <c r="T16" s="322"/>
      <c r="U16" s="285"/>
      <c r="V16" s="199">
        <v>2</v>
      </c>
      <c r="W16" s="216" t="s">
        <v>427</v>
      </c>
      <c r="X16" s="228" t="s">
        <v>428</v>
      </c>
      <c r="Y16" s="172" t="str">
        <f t="shared" si="1"/>
        <v>Probabilidad</v>
      </c>
      <c r="Z16" s="173" t="s">
        <v>154</v>
      </c>
      <c r="AA16" s="173" t="s">
        <v>168</v>
      </c>
      <c r="AB16" s="174" t="str">
        <f t="shared" ref="AB16:AB17" si="3">IF(AND(Z16="Preventivo",AA16="Automático"),"50%",IF(AND(Z16="Preventivo",AA16="Manual"),"40%",IF(AND(Z16="Detectivo",AA16="Automático"),"40%",IF(AND(Z16="Detectivo",AA16="Manual"),"30%",IF(AND(Z16="Correctivo",AA16="Automático"),"35%",IF(AND(Z16="Correctivo",AA16="Manual"),"25%",""))))))</f>
        <v>40%</v>
      </c>
      <c r="AC16" s="173" t="s">
        <v>156</v>
      </c>
      <c r="AD16" s="173" t="s">
        <v>157</v>
      </c>
      <c r="AE16" s="173" t="s">
        <v>415</v>
      </c>
      <c r="AF16" s="232" t="s">
        <v>443</v>
      </c>
      <c r="AG16" s="175">
        <f>IFERROR(IF(Y16="Probabilidad",(Q16-(+ Q16*AB16)),IF(Y16="Impacto",Q16,"")),"")</f>
        <v>0</v>
      </c>
      <c r="AH16" s="176" t="str">
        <f t="shared" ref="AH16:AH17" si="4">IFERROR(IF(AG16="","",IF(AG16&lt;=0.2,"Muy Baja",IF(AG16&lt;=0.4,"Baja",IF(AG16&lt;=0.6,"Media",IF(AG16&lt;=0.8,"Alta","Muy Alta"))))),"")</f>
        <v>Muy Baja</v>
      </c>
      <c r="AI16" s="174">
        <f t="shared" ref="AI16:AI17" si="5">+AG16</f>
        <v>0</v>
      </c>
      <c r="AJ16" s="176" t="str">
        <f t="shared" ref="AJ16:AJ17" si="6">IFERROR(IF(AK16="","",IF(AK16&lt;=0.2,"Leve",IF(AK16&lt;=0.4,"Menor",IF(AK16&lt;=0.6,"Moderado",IF(AK16&lt;=0.8,"Mayor","Catastrófico"))))),"")</f>
        <v>Leve</v>
      </c>
      <c r="AK16" s="174">
        <f>IFERROR(IF(Y16="Impacto",(T16-(+T16*AB16)),IF(Y16="Probabilidad",T14,"")),"")</f>
        <v>0</v>
      </c>
      <c r="AL16" s="176" t="str">
        <f t="shared" ref="AL16:AL17" si="7">IFERROR(IF(OR(AND(AH16="Muy Baja",AJ16="Leve"),AND(AH16="Muy Baja",AJ16="Menor"),AND(AH16="Baja",AJ16="Leve")),"Bajo",IF(OR(AND(AH16="Muy baja",AJ16="Moderado"),AND(AH16="Baja",AJ16="Menor"),AND(AH16="Baja",AJ16="Moderado"),AND(AH16="Media",AJ16="Leve"),AND(AH16="Media",AJ16="Menor"),AND(AH16="Media",AJ16="Moderado"),AND(AH16="Alta",AJ16="Leve"),AND(AH16="Alta",AJ16="Menor")),"Moderado",IF(OR(AND(AH16="Muy Baja",AJ16="Mayor"),AND(AH16="Baja",AJ16="Mayor"),AND(AH16="Media",AJ16="Mayor"),AND(AH16="Alta",AJ16="Moderado"),AND(AH16="Alta",AJ16="Mayor"),AND(AH16="Muy Alta",AJ16="Leve"),AND(AH16="Muy Alta",AJ16="Menor"),AND(AH16="Muy Alta",AJ16="Moderado"),AND(AH16="Muy Alta",AJ16="Mayor")),"Alto",IF(OR(AND(AH16="Muy Baja",AJ16="Catastrófico"),AND(AH16="Baja",AJ16="Catastrófico"),AND(AH16="Media",AJ16="Catastrófico"),AND(AH16="Alta",AJ16="Catastrófico"),AND(AH16="Muy Alta",AJ16="Catastrófico")),"Extremo","")))),"")</f>
        <v>Bajo</v>
      </c>
      <c r="AM16" s="286"/>
      <c r="AN16" s="199">
        <v>2</v>
      </c>
      <c r="AO16" s="197" t="s">
        <v>438</v>
      </c>
      <c r="AP16" s="193" t="s">
        <v>439</v>
      </c>
      <c r="AQ16" s="193" t="s">
        <v>440</v>
      </c>
      <c r="AR16" s="196">
        <v>46387</v>
      </c>
      <c r="AS16" s="239"/>
      <c r="AT16" s="191"/>
      <c r="AU16" s="224"/>
      <c r="AV16" s="227"/>
      <c r="AW16" s="224"/>
      <c r="AX16" s="227"/>
      <c r="AY16" s="191"/>
      <c r="AZ16" s="324"/>
      <c r="BA16" s="190"/>
      <c r="BB16" s="200"/>
      <c r="BC16" s="325"/>
      <c r="BD16" s="192"/>
      <c r="BE16" s="189"/>
      <c r="BF16" s="177"/>
      <c r="BG16" s="177"/>
      <c r="BH16" s="177"/>
      <c r="BI16" s="177"/>
      <c r="BJ16" s="177"/>
      <c r="BK16" s="177"/>
      <c r="BL16" s="177"/>
      <c r="BM16" s="177"/>
      <c r="BN16" s="177"/>
      <c r="BO16" s="177"/>
      <c r="BP16" s="177"/>
      <c r="BQ16" s="177"/>
      <c r="BR16" s="177"/>
      <c r="BS16" s="177"/>
      <c r="BT16" s="177"/>
      <c r="BU16" s="177"/>
      <c r="BV16" s="177"/>
      <c r="BW16" s="177"/>
      <c r="BX16" s="177"/>
      <c r="BY16" s="177"/>
      <c r="BZ16" s="177"/>
      <c r="CA16" s="177"/>
      <c r="CB16" s="177"/>
      <c r="CC16" s="177"/>
      <c r="CD16" s="177"/>
    </row>
    <row r="17" spans="4:82" s="170" customFormat="1" ht="279.75" customHeight="1" x14ac:dyDescent="0.25">
      <c r="D17" s="283"/>
      <c r="E17" s="284"/>
      <c r="F17" s="284"/>
      <c r="G17" s="288"/>
      <c r="H17" s="284"/>
      <c r="I17" s="281"/>
      <c r="J17" s="281"/>
      <c r="K17" s="281"/>
      <c r="L17" s="281"/>
      <c r="M17" s="282"/>
      <c r="N17" s="282"/>
      <c r="O17" s="281"/>
      <c r="P17" s="285"/>
      <c r="Q17" s="322"/>
      <c r="R17" s="323"/>
      <c r="S17" s="285"/>
      <c r="T17" s="322"/>
      <c r="U17" s="285"/>
      <c r="V17" s="229">
        <v>3</v>
      </c>
      <c r="W17" s="230" t="s">
        <v>430</v>
      </c>
      <c r="X17" s="228" t="s">
        <v>431</v>
      </c>
      <c r="Y17" s="172" t="str">
        <f t="shared" ref="Y17" si="8">IF(OR(Z17="Preventivo",Z17="Detectivo"),"Probabilidad",IF(Z17="Correctivo","Impacto",""))</f>
        <v>Probabilidad</v>
      </c>
      <c r="Z17" s="173" t="s">
        <v>154</v>
      </c>
      <c r="AA17" s="173" t="s">
        <v>168</v>
      </c>
      <c r="AB17" s="174" t="str">
        <f t="shared" si="3"/>
        <v>40%</v>
      </c>
      <c r="AC17" s="173" t="s">
        <v>156</v>
      </c>
      <c r="AD17" s="173" t="s">
        <v>157</v>
      </c>
      <c r="AE17" s="173" t="s">
        <v>415</v>
      </c>
      <c r="AF17" s="232" t="s">
        <v>432</v>
      </c>
      <c r="AG17" s="175">
        <f>IFERROR(IF(Y17="Probabilidad",(Q14-(+ Q17*AB17)),IF(Y17="Impacto",Q17,"")),"")</f>
        <v>0</v>
      </c>
      <c r="AH17" s="176" t="str">
        <f t="shared" si="4"/>
        <v>Muy Baja</v>
      </c>
      <c r="AI17" s="174">
        <f t="shared" si="5"/>
        <v>0</v>
      </c>
      <c r="AJ17" s="176" t="str">
        <f t="shared" si="6"/>
        <v>Leve</v>
      </c>
      <c r="AK17" s="174">
        <f>IFERROR(IF(Y17="Impacto",(T17-(+T17*AB17)),IF(Y17="Probabilidad",T14,"")),"")</f>
        <v>0</v>
      </c>
      <c r="AL17" s="176" t="str">
        <f t="shared" si="7"/>
        <v>Bajo</v>
      </c>
      <c r="AM17" s="286"/>
      <c r="AN17" s="199">
        <v>3</v>
      </c>
      <c r="AO17" s="197" t="s">
        <v>442</v>
      </c>
      <c r="AP17" s="193" t="s">
        <v>439</v>
      </c>
      <c r="AQ17" s="193" t="s">
        <v>440</v>
      </c>
      <c r="AR17" s="196">
        <v>46387</v>
      </c>
      <c r="AS17" s="239"/>
      <c r="AT17" s="191"/>
      <c r="AU17" s="224"/>
      <c r="AV17" s="227"/>
      <c r="AW17" s="224"/>
      <c r="AX17" s="227"/>
      <c r="AY17" s="191"/>
      <c r="AZ17" s="324"/>
      <c r="BA17" s="190"/>
      <c r="BB17" s="200"/>
      <c r="BC17" s="325"/>
      <c r="BD17" s="192"/>
      <c r="BE17" s="189"/>
      <c r="BF17" s="177"/>
      <c r="BG17" s="177"/>
      <c r="BH17" s="177"/>
      <c r="BI17" s="177"/>
      <c r="BJ17" s="177"/>
      <c r="BK17" s="177"/>
      <c r="BL17" s="177"/>
      <c r="BM17" s="177"/>
      <c r="BN17" s="177"/>
      <c r="BO17" s="177"/>
      <c r="BP17" s="177"/>
      <c r="BQ17" s="177"/>
      <c r="BR17" s="177"/>
      <c r="BS17" s="177"/>
      <c r="BT17" s="177"/>
      <c r="BU17" s="177"/>
      <c r="BV17" s="177"/>
      <c r="BW17" s="177"/>
      <c r="BX17" s="177"/>
      <c r="BY17" s="177"/>
      <c r="BZ17" s="177"/>
      <c r="CA17" s="177"/>
      <c r="CB17" s="177"/>
      <c r="CC17" s="177"/>
      <c r="CD17" s="177"/>
    </row>
    <row r="18" spans="4:82" s="170" customFormat="1" ht="195" customHeight="1" x14ac:dyDescent="0.25">
      <c r="D18" s="283"/>
      <c r="E18" s="284"/>
      <c r="F18" s="284"/>
      <c r="G18" s="288"/>
      <c r="H18" s="284"/>
      <c r="I18" s="281"/>
      <c r="J18" s="281"/>
      <c r="K18" s="281"/>
      <c r="L18" s="281"/>
      <c r="M18" s="282"/>
      <c r="N18" s="282"/>
      <c r="O18" s="281"/>
      <c r="P18" s="285"/>
      <c r="Q18" s="322"/>
      <c r="R18" s="323"/>
      <c r="S18" s="285"/>
      <c r="T18" s="322"/>
      <c r="U18" s="285"/>
      <c r="V18" s="229">
        <v>4</v>
      </c>
      <c r="W18" s="230" t="s">
        <v>434</v>
      </c>
      <c r="X18" s="228" t="s">
        <v>433</v>
      </c>
      <c r="Y18" s="172" t="str">
        <f t="shared" si="1"/>
        <v>Probabilidad</v>
      </c>
      <c r="Z18" s="173" t="s">
        <v>104</v>
      </c>
      <c r="AA18" s="173" t="s">
        <v>168</v>
      </c>
      <c r="AB18" s="174" t="str">
        <f t="shared" si="2"/>
        <v>30%</v>
      </c>
      <c r="AC18" s="173" t="s">
        <v>156</v>
      </c>
      <c r="AD18" s="173" t="s">
        <v>157</v>
      </c>
      <c r="AE18" s="173" t="s">
        <v>415</v>
      </c>
      <c r="AF18" s="232" t="s">
        <v>432</v>
      </c>
      <c r="AG18" s="175">
        <f>IFERROR(IF(Y18="Probabilidad",(Q15-(+ Q18*AB18)),IF(Y18="Impacto",Q18,"")),"")</f>
        <v>1</v>
      </c>
      <c r="AH18" s="176" t="str">
        <f t="shared" ref="AH18:AH21" si="9">IFERROR(IF(AG18="","",IF(AG18&lt;=0.2,"Muy Baja",IF(AG18&lt;=0.4,"Baja",IF(AG18&lt;=0.6,"Media",IF(AG18&lt;=0.8,"Alta","Muy Alta"))))),"")</f>
        <v>Muy Alta</v>
      </c>
      <c r="AI18" s="174">
        <f t="shared" ref="AI18:AI21" si="10">+AG18</f>
        <v>1</v>
      </c>
      <c r="AJ18" s="176" t="str">
        <f t="shared" ref="AJ18:AJ21" si="11">IFERROR(IF(AK18="","",IF(AK18&lt;=0.2,"Leve",IF(AK18&lt;=0.4,"Menor",IF(AK18&lt;=0.6,"Moderado",IF(AK18&lt;=0.8,"Mayor","Catastrófico"))))),"")</f>
        <v>Mayor</v>
      </c>
      <c r="AK18" s="174">
        <f>IFERROR(IF(Y18="Impacto",(T18-(+T18*AB18)),IF(Y18="Probabilidad",T15,"")),"")</f>
        <v>0.8</v>
      </c>
      <c r="AL18" s="176" t="str">
        <f t="shared" ref="AL18:AL21" si="12">IFERROR(IF(OR(AND(AH18="Muy Baja",AJ18="Leve"),AND(AH18="Muy Baja",AJ18="Menor"),AND(AH18="Baja",AJ18="Leve")),"Bajo",IF(OR(AND(AH18="Muy baja",AJ18="Moderado"),AND(AH18="Baja",AJ18="Menor"),AND(AH18="Baja",AJ18="Moderado"),AND(AH18="Media",AJ18="Leve"),AND(AH18="Media",AJ18="Menor"),AND(AH18="Media",AJ18="Moderado"),AND(AH18="Alta",AJ18="Leve"),AND(AH18="Alta",AJ18="Menor")),"Moderado",IF(OR(AND(AH18="Muy Baja",AJ18="Mayor"),AND(AH18="Baja",AJ18="Mayor"),AND(AH18="Media",AJ18="Mayor"),AND(AH18="Alta",AJ18="Moderado"),AND(AH18="Alta",AJ18="Mayor"),AND(AH18="Muy Alta",AJ18="Leve"),AND(AH18="Muy Alta",AJ18="Menor"),AND(AH18="Muy Alta",AJ18="Moderado"),AND(AH18="Muy Alta",AJ18="Mayor")),"Alto",IF(OR(AND(AH18="Muy Baja",AJ18="Catastrófico"),AND(AH18="Baja",AJ18="Catastrófico"),AND(AH18="Media",AJ18="Catastrófico"),AND(AH18="Alta",AJ18="Catastrófico"),AND(AH18="Muy Alta",AJ18="Catastrófico")),"Extremo","")))),"")</f>
        <v>Alto</v>
      </c>
      <c r="AM18" s="286"/>
      <c r="AN18" s="199">
        <v>4</v>
      </c>
      <c r="AO18" s="197" t="s">
        <v>444</v>
      </c>
      <c r="AP18" s="193" t="s">
        <v>445</v>
      </c>
      <c r="AQ18" s="193" t="s">
        <v>446</v>
      </c>
      <c r="AR18" s="196">
        <v>46387</v>
      </c>
      <c r="AS18" s="239"/>
      <c r="AT18" s="191"/>
      <c r="AU18" s="224"/>
      <c r="AV18" s="227"/>
      <c r="AW18" s="224"/>
      <c r="AX18" s="227"/>
      <c r="AY18" s="191"/>
      <c r="AZ18" s="324"/>
      <c r="BA18" s="190"/>
      <c r="BB18" s="200"/>
      <c r="BC18" s="325"/>
      <c r="BD18" s="192"/>
      <c r="BE18" s="189"/>
      <c r="BF18" s="177"/>
      <c r="BG18" s="177"/>
      <c r="BH18" s="177"/>
      <c r="BI18" s="177"/>
      <c r="BJ18" s="177"/>
      <c r="BK18" s="177"/>
      <c r="BL18" s="177"/>
      <c r="BM18" s="177"/>
      <c r="BN18" s="177"/>
      <c r="BO18" s="177"/>
      <c r="BP18" s="177"/>
      <c r="BQ18" s="177"/>
      <c r="BR18" s="177"/>
      <c r="BS18" s="177"/>
      <c r="BT18" s="177"/>
      <c r="BU18" s="177"/>
      <c r="BV18" s="177"/>
      <c r="BW18" s="177"/>
      <c r="BX18" s="177"/>
      <c r="BY18" s="177"/>
      <c r="BZ18" s="177"/>
      <c r="CA18" s="177"/>
      <c r="CB18" s="177"/>
      <c r="CC18" s="177"/>
      <c r="CD18" s="177"/>
    </row>
    <row r="19" spans="4:82" s="170" customFormat="1" ht="186.75" customHeight="1" x14ac:dyDescent="0.25">
      <c r="D19" s="283">
        <v>2</v>
      </c>
      <c r="E19" s="284" t="s">
        <v>103</v>
      </c>
      <c r="F19" s="284" t="s">
        <v>176</v>
      </c>
      <c r="G19" s="288" t="s">
        <v>163</v>
      </c>
      <c r="H19" s="284" t="s">
        <v>191</v>
      </c>
      <c r="I19" s="281" t="s">
        <v>449</v>
      </c>
      <c r="J19" s="281" t="s">
        <v>450</v>
      </c>
      <c r="K19" s="281" t="s">
        <v>447</v>
      </c>
      <c r="L19" s="281" t="s">
        <v>192</v>
      </c>
      <c r="M19" s="282" t="s">
        <v>340</v>
      </c>
      <c r="N19" s="282" t="s">
        <v>181</v>
      </c>
      <c r="O19" s="281">
        <v>32</v>
      </c>
      <c r="P19" s="285" t="str">
        <f>IF(O19&lt;=0,"",IF(O19&lt;=2,"Muy Baja",IF(O19&lt;=24,"Baja",IF(O19&lt;=500,"Media",IF(O19&lt;=5000,"Alta","Muy Alta")))))</f>
        <v>Media</v>
      </c>
      <c r="Q19" s="322">
        <f t="shared" ref="Q19" si="13">IF(P19="","",IF(P19="Muy Baja",0.2,IF(P19="Baja",0.4,IF(P19="Media",0.6,IF(P19="Alta",0.8,IF(P19="Muy Alta",1,))))))</f>
        <v>0.6</v>
      </c>
      <c r="R19" s="323" t="s">
        <v>135</v>
      </c>
      <c r="S19" s="285" t="str">
        <f>IFERROR(VLOOKUP(R19,Criterios[],2,FALSE),"")</f>
        <v>Mayor</v>
      </c>
      <c r="T19" s="322">
        <f t="shared" ref="T19" si="14">IF(S19="","",IF(S19="Leve",0.2,IF(S19="Menor",0.4,IF(S19="Moderado",0.6,IF(S19="Mayor",0.8,IF(S19="Catastrófico",1,))))))</f>
        <v>0.8</v>
      </c>
      <c r="U19" s="285" t="str">
        <f>IF(OR(AND(P19="Muy Baja",S19="Leve"),AND(P19="Muy Baja",S19="Menor"),AND(P19="Baja",S19="Leve")),"Bajo",IF(OR(AND(P19="Muy baja",S19="Moderado"),AND(P19="Baja",S19="Menor"),AND(P19="Baja",S19="Moderado"),AND(P19="Media",S19="Leve"),AND(P19="Media",S19="Menor"),AND(P19="Media",S19="Moderado"),AND(P19="Alta",S19="Leve"),AND(P19="Alta",S19="Menor")),"Moderado",IF(OR(AND(P19="Muy Baja",S19="Mayor"),AND(P19="Baja",S19="Mayor"),AND(P19="Media",S19="Mayor"),AND(P19="Alta",S19="Moderado"),AND(P19="Alta",S19="Mayor"),AND(P19="Muy Alta",S19="Leve"),AND(P19="Muy Alta",S19="Menor"),AND(P19="Muy Alta",S19="Moderado"),AND(P19="Muy Alta",S19="Mayor")),"Alto",IF(OR(AND(P19="Muy Baja",S19="Catastrófico"),AND(P19="Baja",S19="Catastrófico"),AND(P19="Media",S19="Catastrófico"),AND(P19="Alta",S19="Catastrófico"),AND(P19="Muy Alta",S19="Catastrófico")),"Extremo",""))))</f>
        <v>Alto</v>
      </c>
      <c r="V19" s="231">
        <v>1</v>
      </c>
      <c r="W19" s="230" t="s">
        <v>453</v>
      </c>
      <c r="X19" s="228" t="s">
        <v>454</v>
      </c>
      <c r="Y19" s="172" t="str">
        <f t="shared" ref="Y19:Y21" si="15">IF(OR(Z19="Preventivo",Z19="Detectivo"),"Probabilidad",IF(Z19="Correctivo","Impacto",""))</f>
        <v>Probabilidad</v>
      </c>
      <c r="Z19" s="173" t="s">
        <v>154</v>
      </c>
      <c r="AA19" s="173" t="s">
        <v>168</v>
      </c>
      <c r="AB19" s="174" t="str">
        <f t="shared" si="2"/>
        <v>40%</v>
      </c>
      <c r="AC19" s="173" t="s">
        <v>156</v>
      </c>
      <c r="AD19" s="173" t="s">
        <v>157</v>
      </c>
      <c r="AE19" s="173" t="s">
        <v>415</v>
      </c>
      <c r="AF19" s="233" t="s">
        <v>463</v>
      </c>
      <c r="AG19" s="175">
        <f>IFERROR(IF(Y19="Probabilidad",(Q19-(+ Q19*AB19)),IF(Y19="Impacto",Q19,"")),"")</f>
        <v>0.36</v>
      </c>
      <c r="AH19" s="176" t="str">
        <f t="shared" si="9"/>
        <v>Baja</v>
      </c>
      <c r="AI19" s="174">
        <f t="shared" si="10"/>
        <v>0.36</v>
      </c>
      <c r="AJ19" s="176" t="str">
        <f t="shared" si="11"/>
        <v>Mayor</v>
      </c>
      <c r="AK19" s="174">
        <f>IFERROR(IF(Y19="Impacto",(T106-(+T19*AB19)),IF(Y19="Probabilidad",T19,"")),"")</f>
        <v>0.8</v>
      </c>
      <c r="AL19" s="176" t="str">
        <f t="shared" si="12"/>
        <v>Alto</v>
      </c>
      <c r="AM19" s="286" t="s">
        <v>105</v>
      </c>
      <c r="AN19" s="171">
        <v>1</v>
      </c>
      <c r="AO19" s="197" t="s">
        <v>458</v>
      </c>
      <c r="AP19" s="193" t="s">
        <v>445</v>
      </c>
      <c r="AQ19" s="193" t="s">
        <v>464</v>
      </c>
      <c r="AR19" s="196">
        <v>46387</v>
      </c>
      <c r="AS19" s="239"/>
      <c r="AT19" s="191"/>
      <c r="AU19" s="224"/>
      <c r="AV19" s="227"/>
      <c r="AW19" s="224"/>
      <c r="AX19" s="227"/>
      <c r="AY19" s="191"/>
      <c r="AZ19" s="324"/>
      <c r="BA19" s="190"/>
      <c r="BB19" s="200"/>
      <c r="BC19" s="325"/>
      <c r="BD19" s="192"/>
      <c r="BE19" s="177"/>
      <c r="BF19" s="189"/>
      <c r="BG19" s="177"/>
      <c r="BH19" s="177"/>
      <c r="BI19" s="177"/>
      <c r="BJ19" s="177"/>
      <c r="BK19" s="177"/>
      <c r="BL19" s="177"/>
      <c r="BM19" s="177"/>
      <c r="BN19" s="177"/>
      <c r="BO19" s="177"/>
      <c r="BP19" s="177"/>
      <c r="BQ19" s="177"/>
      <c r="BR19" s="177"/>
      <c r="BS19" s="177"/>
      <c r="BT19" s="177"/>
      <c r="BU19" s="177"/>
      <c r="BV19" s="177"/>
      <c r="BW19" s="177"/>
      <c r="BX19" s="177"/>
      <c r="BY19" s="177"/>
      <c r="BZ19" s="177"/>
      <c r="CA19" s="177"/>
      <c r="CB19" s="177"/>
      <c r="CC19" s="177"/>
      <c r="CD19" s="177"/>
    </row>
    <row r="20" spans="4:82" s="170" customFormat="1" ht="180.75" customHeight="1" x14ac:dyDescent="0.25">
      <c r="D20" s="283"/>
      <c r="E20" s="284"/>
      <c r="F20" s="284"/>
      <c r="G20" s="288"/>
      <c r="H20" s="284"/>
      <c r="I20" s="281"/>
      <c r="J20" s="281"/>
      <c r="K20" s="281"/>
      <c r="L20" s="281"/>
      <c r="M20" s="282"/>
      <c r="N20" s="282"/>
      <c r="O20" s="281"/>
      <c r="P20" s="285"/>
      <c r="Q20" s="322"/>
      <c r="R20" s="323"/>
      <c r="S20" s="285"/>
      <c r="T20" s="322"/>
      <c r="U20" s="285"/>
      <c r="V20" s="229">
        <v>2</v>
      </c>
      <c r="W20" s="230" t="s">
        <v>455</v>
      </c>
      <c r="X20" s="228" t="s">
        <v>456</v>
      </c>
      <c r="Y20" s="172" t="str">
        <f t="shared" si="15"/>
        <v>Probabilidad</v>
      </c>
      <c r="Z20" s="173" t="s">
        <v>154</v>
      </c>
      <c r="AA20" s="173" t="s">
        <v>168</v>
      </c>
      <c r="AB20" s="174" t="str">
        <f t="shared" si="2"/>
        <v>40%</v>
      </c>
      <c r="AC20" s="173" t="s">
        <v>156</v>
      </c>
      <c r="AD20" s="173" t="s">
        <v>157</v>
      </c>
      <c r="AE20" s="173" t="s">
        <v>415</v>
      </c>
      <c r="AF20" s="233" t="s">
        <v>457</v>
      </c>
      <c r="AG20" s="175">
        <f>IFERROR(IF(Y20="Probabilidad",(Q19-(+ Q20*AB20)),IF(Y20="Impacto",Q20,"")),"")</f>
        <v>0.6</v>
      </c>
      <c r="AH20" s="176" t="str">
        <f t="shared" si="9"/>
        <v>Media</v>
      </c>
      <c r="AI20" s="174">
        <f t="shared" si="10"/>
        <v>0.6</v>
      </c>
      <c r="AJ20" s="176" t="str">
        <f t="shared" si="11"/>
        <v>Mayor</v>
      </c>
      <c r="AK20" s="174">
        <f>IFERROR(IF(Y20="Impacto",(T20-(+T20*AB20)),IF(Y20="Probabilidad",T19,"")),"")</f>
        <v>0.8</v>
      </c>
      <c r="AL20" s="176" t="str">
        <f t="shared" si="12"/>
        <v>Alto</v>
      </c>
      <c r="AM20" s="286"/>
      <c r="AN20" s="199">
        <v>2</v>
      </c>
      <c r="AO20" s="197" t="s">
        <v>459</v>
      </c>
      <c r="AP20" s="197" t="s">
        <v>445</v>
      </c>
      <c r="AQ20" s="197" t="s">
        <v>460</v>
      </c>
      <c r="AR20" s="197">
        <v>46387</v>
      </c>
      <c r="AS20" s="239"/>
      <c r="AT20" s="191"/>
      <c r="AU20" s="224"/>
      <c r="AV20" s="227"/>
      <c r="AW20" s="224"/>
      <c r="AX20" s="227"/>
      <c r="AY20" s="191"/>
      <c r="AZ20" s="324"/>
      <c r="BA20" s="190"/>
      <c r="BB20" s="200"/>
      <c r="BC20" s="325"/>
      <c r="BD20" s="192"/>
      <c r="BE20" s="177"/>
      <c r="BF20" s="189"/>
      <c r="BG20" s="177"/>
      <c r="BH20" s="177"/>
      <c r="BI20" s="177"/>
      <c r="BJ20" s="177"/>
      <c r="BK20" s="177"/>
      <c r="BL20" s="177"/>
      <c r="BM20" s="177"/>
      <c r="BN20" s="177"/>
      <c r="BO20" s="177"/>
      <c r="BP20" s="177"/>
      <c r="BQ20" s="177"/>
      <c r="BR20" s="177"/>
      <c r="BS20" s="177"/>
      <c r="BT20" s="177"/>
      <c r="BU20" s="177"/>
      <c r="BV20" s="177"/>
      <c r="BW20" s="177"/>
      <c r="BX20" s="177"/>
      <c r="BY20" s="177"/>
      <c r="BZ20" s="177"/>
      <c r="CA20" s="177"/>
      <c r="CB20" s="177"/>
      <c r="CC20" s="177"/>
      <c r="CD20" s="177"/>
    </row>
    <row r="21" spans="4:82" s="170" customFormat="1" ht="198.75" customHeight="1" x14ac:dyDescent="0.25">
      <c r="D21" s="234">
        <v>3</v>
      </c>
      <c r="E21" s="171" t="s">
        <v>174</v>
      </c>
      <c r="F21" s="171" t="s">
        <v>148</v>
      </c>
      <c r="G21" s="171" t="s">
        <v>163</v>
      </c>
      <c r="H21" s="171" t="s">
        <v>186</v>
      </c>
      <c r="I21" s="232" t="s">
        <v>451</v>
      </c>
      <c r="J21" s="232" t="s">
        <v>452</v>
      </c>
      <c r="K21" s="232" t="s">
        <v>448</v>
      </c>
      <c r="L21" s="232" t="s">
        <v>165</v>
      </c>
      <c r="M21" s="235" t="s">
        <v>340</v>
      </c>
      <c r="N21" s="235" t="s">
        <v>181</v>
      </c>
      <c r="O21" s="236">
        <v>32</v>
      </c>
      <c r="P21" s="237" t="str">
        <f>IF(O21&lt;=0,"",IF(O21&lt;=2,"Muy Baja",IF(O21&lt;=24,"Baja",IF(O21&lt;=500,"Media",IF(O21&lt;=5000,"Alta","Muy Alta")))))</f>
        <v>Media</v>
      </c>
      <c r="Q21" s="174">
        <f t="shared" ref="Q21" si="16">IF(P21="","",IF(P21="Muy Baja",0.2,IF(P21="Baja",0.4,IF(P21="Media",0.6,IF(P21="Alta",0.8,IF(P21="Muy Alta",1,))))))</f>
        <v>0.6</v>
      </c>
      <c r="R21" s="238" t="s">
        <v>123</v>
      </c>
      <c r="S21" s="237" t="str">
        <f>IFERROR(VLOOKUP(R21,Criterios[],2,FALSE),"")</f>
        <v>Moderado</v>
      </c>
      <c r="T21" s="174">
        <f t="shared" ref="T21" si="17">IF(S21="","",IF(S21="Leve",0.2,IF(S21="Menor",0.4,IF(S21="Moderado",0.6,IF(S21="Mayor",0.8,IF(S21="Catastrófico",1,))))))</f>
        <v>0.6</v>
      </c>
      <c r="U21" s="237" t="str">
        <f>IF(OR(AND(P21="Muy Baja",S21="Leve"),AND(P21="Muy Baja",S21="Menor"),AND(P21="Baja",S21="Leve")),"Bajo",IF(OR(AND(P21="Muy baja",S21="Moderado"),AND(P21="Baja",S21="Menor"),AND(P21="Baja",S21="Moderado"),AND(P21="Media",S21="Leve"),AND(P21="Media",S21="Menor"),AND(P21="Media",S21="Moderado"),AND(P21="Alta",S21="Leve"),AND(P21="Alta",S21="Menor")),"Moderado",IF(OR(AND(P21="Muy Baja",S21="Mayor"),AND(P21="Baja",S21="Mayor"),AND(P21="Media",S21="Mayor"),AND(P21="Alta",S21="Moderado"),AND(P21="Alta",S21="Mayor"),AND(P21="Muy Alta",S21="Leve"),AND(P21="Muy Alta",S21="Menor"),AND(P21="Muy Alta",S21="Moderado"),AND(P21="Muy Alta",S21="Mayor")),"Alto",IF(OR(AND(P21="Muy Baja",S21="Catastrófico"),AND(P21="Baja",S21="Catastrófico"),AND(P21="Media",S21="Catastrófico"),AND(P21="Alta",S21="Catastrófico"),AND(P21="Muy Alta",S21="Catastrófico")),"Extremo",""))))</f>
        <v>Moderado</v>
      </c>
      <c r="V21" s="231">
        <v>1</v>
      </c>
      <c r="W21" s="230" t="s">
        <v>461</v>
      </c>
      <c r="X21" s="228" t="s">
        <v>468</v>
      </c>
      <c r="Y21" s="172" t="str">
        <f t="shared" si="15"/>
        <v>Probabilidad</v>
      </c>
      <c r="Z21" s="173" t="s">
        <v>154</v>
      </c>
      <c r="AA21" s="173" t="s">
        <v>168</v>
      </c>
      <c r="AB21" s="174" t="str">
        <f t="shared" si="2"/>
        <v>40%</v>
      </c>
      <c r="AC21" s="173" t="s">
        <v>156</v>
      </c>
      <c r="AD21" s="173" t="s">
        <v>157</v>
      </c>
      <c r="AE21" s="173" t="s">
        <v>415</v>
      </c>
      <c r="AF21" s="233" t="s">
        <v>462</v>
      </c>
      <c r="AG21" s="175">
        <f>IFERROR(IF(Y21="Probabilidad",(Q21-(+ Q21*AB21)),IF(Y21="Impacto",Q21,"")),"")</f>
        <v>0.36</v>
      </c>
      <c r="AH21" s="176" t="str">
        <f t="shared" si="9"/>
        <v>Baja</v>
      </c>
      <c r="AI21" s="174">
        <f t="shared" si="10"/>
        <v>0.36</v>
      </c>
      <c r="AJ21" s="176" t="str">
        <f t="shared" si="11"/>
        <v>Moderado</v>
      </c>
      <c r="AK21" s="174">
        <f>IFERROR(IF(Y21="Impacto",(T21-(+T21*AB21)),IF(Y21="Probabilidad",T21,"")),"")</f>
        <v>0.6</v>
      </c>
      <c r="AL21" s="176" t="str">
        <f t="shared" si="12"/>
        <v>Moderado</v>
      </c>
      <c r="AM21" s="173" t="s">
        <v>105</v>
      </c>
      <c r="AN21" s="171">
        <v>1</v>
      </c>
      <c r="AO21" s="197" t="s">
        <v>466</v>
      </c>
      <c r="AP21" s="193" t="s">
        <v>445</v>
      </c>
      <c r="AQ21" s="193" t="s">
        <v>465</v>
      </c>
      <c r="AR21" s="196">
        <v>46387</v>
      </c>
      <c r="AS21" s="239"/>
      <c r="AT21" s="191"/>
      <c r="AU21" s="224"/>
      <c r="AV21" s="227"/>
      <c r="AW21" s="224"/>
      <c r="AX21" s="227"/>
      <c r="AY21" s="191"/>
      <c r="AZ21" s="324"/>
      <c r="BA21" s="190"/>
      <c r="BB21" s="200"/>
      <c r="BC21" s="325"/>
      <c r="BD21" s="192"/>
      <c r="BE21" s="177"/>
      <c r="BF21" s="189"/>
      <c r="BG21" s="177"/>
      <c r="BH21" s="177"/>
      <c r="BI21" s="177"/>
      <c r="BJ21" s="177"/>
      <c r="BK21" s="177"/>
      <c r="BL21" s="177"/>
      <c r="BM21" s="177"/>
      <c r="BN21" s="177"/>
      <c r="BO21" s="177"/>
      <c r="BP21" s="177"/>
      <c r="BQ21" s="177"/>
      <c r="BR21" s="177"/>
      <c r="BS21" s="177"/>
      <c r="BT21" s="177"/>
      <c r="BU21" s="177"/>
      <c r="BV21" s="177"/>
      <c r="BW21" s="177"/>
      <c r="BX21" s="177"/>
      <c r="BY21" s="177"/>
      <c r="BZ21" s="177"/>
      <c r="CA21" s="177"/>
      <c r="CB21" s="177"/>
      <c r="CC21" s="177"/>
      <c r="CD21" s="177"/>
    </row>
    <row r="22" spans="4:82" ht="49.5" customHeight="1" x14ac:dyDescent="0.2">
      <c r="D22" s="165"/>
      <c r="E22" s="166"/>
      <c r="F22" s="166"/>
      <c r="G22" s="166"/>
      <c r="H22" s="166"/>
      <c r="I22" s="264" t="s">
        <v>107</v>
      </c>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row>
    <row r="24" spans="4:82" ht="15" x14ac:dyDescent="0.2">
      <c r="D24" s="217"/>
      <c r="E24" s="218"/>
      <c r="F24" s="218"/>
      <c r="G24" s="218"/>
      <c r="H24" s="218"/>
      <c r="I24" s="218"/>
      <c r="J24" s="218"/>
      <c r="K24" s="218"/>
      <c r="L24" s="157"/>
      <c r="M24" s="157"/>
      <c r="N24" s="157"/>
      <c r="P24" s="219"/>
      <c r="Q24" s="218"/>
      <c r="R24" s="218"/>
      <c r="S24" s="218"/>
      <c r="T24" s="218"/>
      <c r="U24" s="218"/>
      <c r="V24" s="218"/>
      <c r="W24" s="218"/>
      <c r="X24" s="218"/>
      <c r="Y24" s="170"/>
      <c r="Z24" s="170"/>
      <c r="AA24" s="218"/>
      <c r="AB24" s="218"/>
      <c r="AC24" s="218"/>
      <c r="AD24" s="218"/>
      <c r="AE24" s="218"/>
      <c r="AF24" s="218"/>
      <c r="AG24" s="218"/>
      <c r="AH24" s="218"/>
      <c r="AI24" s="218"/>
      <c r="AJ24" s="218"/>
      <c r="AK24" s="218"/>
      <c r="AL24" s="218"/>
      <c r="AM24" s="220"/>
      <c r="AN24" s="220"/>
      <c r="AO24" s="220"/>
      <c r="AP24" s="218"/>
      <c r="AQ24" s="218"/>
      <c r="AR24" s="218"/>
      <c r="AS24" s="218"/>
      <c r="AT24" s="218"/>
      <c r="AU24" s="218"/>
      <c r="AV24" s="218"/>
      <c r="AW24" s="218"/>
      <c r="AX24" s="218"/>
      <c r="AY24" s="218"/>
      <c r="AZ24" s="218"/>
      <c r="BA24" s="218"/>
    </row>
    <row r="25" spans="4:82" ht="15" x14ac:dyDescent="0.2">
      <c r="D25" s="321" t="s">
        <v>467</v>
      </c>
      <c r="E25" s="321"/>
      <c r="F25" s="321"/>
      <c r="G25" s="321"/>
      <c r="H25" s="321"/>
      <c r="I25" s="321"/>
      <c r="J25" s="321"/>
      <c r="K25" s="321"/>
      <c r="L25" s="157"/>
      <c r="M25" s="157"/>
      <c r="N25" s="157"/>
      <c r="O25" s="317"/>
      <c r="P25" s="318"/>
      <c r="Q25" s="318"/>
      <c r="R25" s="320"/>
      <c r="S25" s="218"/>
      <c r="T25" s="218"/>
      <c r="U25" s="218"/>
      <c r="V25" s="218"/>
      <c r="W25" s="218"/>
      <c r="X25" s="220"/>
      <c r="Y25" s="170"/>
      <c r="Z25" s="170"/>
      <c r="AA25" s="218"/>
      <c r="AB25" s="170"/>
      <c r="AC25" s="170"/>
      <c r="AD25" s="218"/>
      <c r="AE25" s="218"/>
      <c r="AF25" s="218"/>
      <c r="AG25" s="218"/>
      <c r="AH25" s="218"/>
      <c r="AI25" s="218"/>
      <c r="AJ25" s="218"/>
      <c r="AK25" s="218"/>
      <c r="AL25" s="218"/>
      <c r="AM25" s="218"/>
      <c r="AN25" s="218"/>
      <c r="AO25" s="218"/>
      <c r="AP25" s="218"/>
      <c r="AQ25" s="218"/>
      <c r="AR25" s="218"/>
      <c r="AS25" s="218"/>
      <c r="AT25" s="218"/>
      <c r="AU25" s="218"/>
      <c r="AV25" s="218"/>
      <c r="AW25" s="218"/>
      <c r="AX25" s="218"/>
      <c r="AY25" s="218"/>
      <c r="AZ25" s="218"/>
      <c r="BA25" s="218"/>
      <c r="BH25" s="157" t="s">
        <v>108</v>
      </c>
    </row>
    <row r="26" spans="4:82" ht="15" thickBot="1" x14ac:dyDescent="0.25">
      <c r="D26" s="157"/>
      <c r="E26" s="157"/>
      <c r="F26" s="157"/>
      <c r="G26" s="157"/>
      <c r="H26" s="157"/>
      <c r="I26" s="157"/>
      <c r="J26" s="157"/>
      <c r="L26" s="157"/>
      <c r="M26" s="157"/>
      <c r="N26" s="157"/>
      <c r="P26" s="159" t="str">
        <f>+IFERROR(VLOOKUP(L26,$L$181:$P$185,3,FALSE)*VLOOKUP(O26,$O$181:$P$185,3,FALSE),"")</f>
        <v/>
      </c>
      <c r="Y26" s="159"/>
      <c r="Z26" s="167"/>
      <c r="AB26" s="167"/>
      <c r="AC26" s="167"/>
      <c r="AD26" s="168"/>
      <c r="AE26" s="168"/>
      <c r="AF26" s="168"/>
      <c r="AG26" s="168"/>
      <c r="AH26" s="168"/>
      <c r="AI26" s="159"/>
      <c r="AJ26" s="159"/>
      <c r="AK26" s="168"/>
      <c r="AL26" s="169"/>
      <c r="AQ26" s="168"/>
      <c r="AY26" s="168"/>
      <c r="AZ26" s="168"/>
      <c r="BH26" s="157" t="s">
        <v>109</v>
      </c>
    </row>
    <row r="27" spans="4:82" ht="17.850000000000001" customHeight="1" thickTop="1" thickBot="1" x14ac:dyDescent="0.25">
      <c r="D27" s="262" t="s">
        <v>110</v>
      </c>
      <c r="E27" s="262"/>
      <c r="F27" s="262"/>
      <c r="G27" s="262"/>
      <c r="H27" s="262"/>
      <c r="I27" s="262"/>
      <c r="J27" s="262"/>
      <c r="K27" s="221" t="s">
        <v>111</v>
      </c>
      <c r="L27" s="262" t="s">
        <v>112</v>
      </c>
      <c r="M27" s="262"/>
      <c r="N27" s="262"/>
      <c r="O27" s="262"/>
      <c r="P27" s="262"/>
      <c r="Q27" s="262"/>
      <c r="R27" s="262"/>
      <c r="S27" s="263" t="s">
        <v>113</v>
      </c>
      <c r="T27" s="263"/>
      <c r="U27" s="263"/>
      <c r="V27" s="262" t="s">
        <v>114</v>
      </c>
      <c r="W27" s="262"/>
      <c r="X27" s="262"/>
      <c r="Y27" s="262"/>
      <c r="Z27" s="263">
        <v>1</v>
      </c>
      <c r="AA27" s="263"/>
      <c r="AB27" s="263"/>
      <c r="AC27" s="263"/>
      <c r="AD27" s="222"/>
      <c r="AE27" s="222"/>
      <c r="AF27" s="222"/>
      <c r="AG27" s="222"/>
      <c r="AH27" s="222"/>
      <c r="AI27" s="222"/>
      <c r="AJ27" s="222"/>
      <c r="AK27" s="222"/>
      <c r="AL27" s="222"/>
      <c r="AM27" s="222"/>
      <c r="AN27" s="222"/>
      <c r="AO27" s="222"/>
      <c r="AQ27" s="222"/>
      <c r="AR27" s="222"/>
      <c r="AS27" s="222"/>
      <c r="AT27" s="222"/>
      <c r="AU27" s="222"/>
      <c r="AV27" s="222"/>
      <c r="AW27" s="222"/>
      <c r="AX27" s="222"/>
      <c r="AY27" s="222"/>
      <c r="AZ27" s="222"/>
      <c r="BA27" s="223"/>
      <c r="BH27" s="157" t="s">
        <v>115</v>
      </c>
    </row>
    <row r="28" spans="4:82" ht="13.5" customHeight="1" thickTop="1" x14ac:dyDescent="0.2">
      <c r="D28" s="265" t="s">
        <v>116</v>
      </c>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P28" s="222"/>
      <c r="BH28" s="157" t="s">
        <v>117</v>
      </c>
    </row>
  </sheetData>
  <sheetProtection formatCells="0" formatColumns="0" formatRows="0" selectLockedCells="1"/>
  <protectedRanges>
    <protectedRange sqref="P1:P1048576" name="Rango1"/>
  </protectedRanges>
  <dataConsolidate/>
  <mergeCells count="114">
    <mergeCell ref="AZ15:AZ21"/>
    <mergeCell ref="BC15:BC21"/>
    <mergeCell ref="AM19:AM20"/>
    <mergeCell ref="T19:T20"/>
    <mergeCell ref="M19:M20"/>
    <mergeCell ref="S15:S18"/>
    <mergeCell ref="T15:T18"/>
    <mergeCell ref="K19:K20"/>
    <mergeCell ref="AG12:AM12"/>
    <mergeCell ref="Z13:AE13"/>
    <mergeCell ref="AO12:AR12"/>
    <mergeCell ref="R19:R20"/>
    <mergeCell ref="S19:S20"/>
    <mergeCell ref="U19:U20"/>
    <mergeCell ref="AN13:AN14"/>
    <mergeCell ref="W13:W14"/>
    <mergeCell ref="N19:N20"/>
    <mergeCell ref="P19:P20"/>
    <mergeCell ref="I19:I20"/>
    <mergeCell ref="O19:O20"/>
    <mergeCell ref="H15:H18"/>
    <mergeCell ref="D27:J27"/>
    <mergeCell ref="O25:R25"/>
    <mergeCell ref="L27:R27"/>
    <mergeCell ref="S27:U27"/>
    <mergeCell ref="D25:K25"/>
    <mergeCell ref="I15:I18"/>
    <mergeCell ref="J15:J18"/>
    <mergeCell ref="F15:F18"/>
    <mergeCell ref="N15:N18"/>
    <mergeCell ref="O15:O18"/>
    <mergeCell ref="P15:P18"/>
    <mergeCell ref="Q15:Q18"/>
    <mergeCell ref="R15:R18"/>
    <mergeCell ref="Q19:Q20"/>
    <mergeCell ref="E19:E20"/>
    <mergeCell ref="D19:D20"/>
    <mergeCell ref="F19:F20"/>
    <mergeCell ref="G19:G20"/>
    <mergeCell ref="H19:H20"/>
    <mergeCell ref="J19:J20"/>
    <mergeCell ref="L19:L20"/>
    <mergeCell ref="D2:H5"/>
    <mergeCell ref="I2:BC5"/>
    <mergeCell ref="H7:BD7"/>
    <mergeCell ref="AM13:AM14"/>
    <mergeCell ref="AL13:AL14"/>
    <mergeCell ref="AK13:AK14"/>
    <mergeCell ref="AG13:AG14"/>
    <mergeCell ref="X13:X14"/>
    <mergeCell ref="L13:L14"/>
    <mergeCell ref="D12:O12"/>
    <mergeCell ref="P12:U12"/>
    <mergeCell ref="K13:K14"/>
    <mergeCell ref="J13:J14"/>
    <mergeCell ref="I13:I14"/>
    <mergeCell ref="R13:R14"/>
    <mergeCell ref="D7:G7"/>
    <mergeCell ref="V12:AE12"/>
    <mergeCell ref="V13:V14"/>
    <mergeCell ref="D8:G8"/>
    <mergeCell ref="D9:G9"/>
    <mergeCell ref="H9:BD9"/>
    <mergeCell ref="H8:BD8"/>
    <mergeCell ref="AS11:AY12"/>
    <mergeCell ref="AO13:AO14"/>
    <mergeCell ref="G15:G18"/>
    <mergeCell ref="AZ11:BB12"/>
    <mergeCell ref="BC11:BD12"/>
    <mergeCell ref="U13:U14"/>
    <mergeCell ref="AX13:AX14"/>
    <mergeCell ref="AR13:AR14"/>
    <mergeCell ref="AQ13:AQ14"/>
    <mergeCell ref="AP13:AP14"/>
    <mergeCell ref="AJ13:AJ14"/>
    <mergeCell ref="D11:AR11"/>
    <mergeCell ref="AS13:AS14"/>
    <mergeCell ref="BA13:BA14"/>
    <mergeCell ref="AW13:AW14"/>
    <mergeCell ref="AY13:AY14"/>
    <mergeCell ref="BC13:BC14"/>
    <mergeCell ref="E13:E14"/>
    <mergeCell ref="Y13:Y14"/>
    <mergeCell ref="H13:H14"/>
    <mergeCell ref="BB13:BB14"/>
    <mergeCell ref="BD13:BD14"/>
    <mergeCell ref="AZ13:AZ14"/>
    <mergeCell ref="AU13:AU14"/>
    <mergeCell ref="AV13:AV14"/>
    <mergeCell ref="AT13:AT14"/>
    <mergeCell ref="V27:Y27"/>
    <mergeCell ref="Z27:AC27"/>
    <mergeCell ref="I22:AY22"/>
    <mergeCell ref="D28:AC28"/>
    <mergeCell ref="M13:N13"/>
    <mergeCell ref="AF12:AF14"/>
    <mergeCell ref="A11:C11"/>
    <mergeCell ref="F13:F14"/>
    <mergeCell ref="G13:G14"/>
    <mergeCell ref="AH13:AH14"/>
    <mergeCell ref="AI13:AI14"/>
    <mergeCell ref="O13:O14"/>
    <mergeCell ref="P13:P14"/>
    <mergeCell ref="Q13:Q14"/>
    <mergeCell ref="S13:S14"/>
    <mergeCell ref="T13:T14"/>
    <mergeCell ref="L15:L18"/>
    <mergeCell ref="M15:M18"/>
    <mergeCell ref="D15:D18"/>
    <mergeCell ref="E15:E18"/>
    <mergeCell ref="U15:U18"/>
    <mergeCell ref="AM15:AM18"/>
    <mergeCell ref="D13:D14"/>
    <mergeCell ref="K15:K18"/>
  </mergeCells>
  <conditionalFormatting sqref="P15 AH15:AH21 P19 P21">
    <cfRule type="cellIs" dxfId="21" priority="51" operator="equal">
      <formula>"Muy Alta"</formula>
    </cfRule>
    <cfRule type="cellIs" dxfId="20" priority="52" operator="equal">
      <formula>"Alta"</formula>
    </cfRule>
    <cfRule type="cellIs" dxfId="19" priority="53" operator="equal">
      <formula>"Media"</formula>
    </cfRule>
    <cfRule type="cellIs" dxfId="18" priority="54" operator="equal">
      <formula>"Baja"</formula>
    </cfRule>
    <cfRule type="cellIs" dxfId="17" priority="55" operator="equal">
      <formula>"Muy Baja"</formula>
    </cfRule>
  </conditionalFormatting>
  <conditionalFormatting sqref="S15 AJ15:AJ21 S19 S21">
    <cfRule type="cellIs" dxfId="16" priority="46" operator="equal">
      <formula>"Catastrófico"</formula>
    </cfRule>
    <cfRule type="cellIs" dxfId="15" priority="47" operator="equal">
      <formula>"Mayor"</formula>
    </cfRule>
    <cfRule type="cellIs" dxfId="14" priority="48" operator="equal">
      <formula>"Moderado"</formula>
    </cfRule>
    <cfRule type="cellIs" dxfId="13" priority="49" operator="equal">
      <formula>"Menor"</formula>
    </cfRule>
    <cfRule type="cellIs" dxfId="12" priority="50" operator="equal">
      <formula>"Leve"</formula>
    </cfRule>
  </conditionalFormatting>
  <conditionalFormatting sqref="U15 AL15:AL21 U19 U21">
    <cfRule type="cellIs" dxfId="11" priority="42" operator="equal">
      <formula>"Extremo"</formula>
    </cfRule>
    <cfRule type="cellIs" dxfId="10" priority="43" operator="equal">
      <formula>"Alto"</formula>
    </cfRule>
    <cfRule type="cellIs" dxfId="9" priority="44" operator="equal">
      <formula>"Moderado"</formula>
    </cfRule>
    <cfRule type="cellIs" dxfId="8" priority="45" operator="equal">
      <formula>"Bajo"</formula>
    </cfRule>
  </conditionalFormatting>
  <conditionalFormatting sqref="AI24:AI26">
    <cfRule type="cellIs" dxfId="7" priority="16" operator="equal">
      <formula>#REF!</formula>
    </cfRule>
    <cfRule type="cellIs" dxfId="6" priority="17" operator="equal">
      <formula>#REF!</formula>
    </cfRule>
  </conditionalFormatting>
  <conditionalFormatting sqref="AI24:AJ26">
    <cfRule type="cellIs" dxfId="5" priority="15" stopIfTrue="1" operator="equal">
      <formula>#REF!</formula>
    </cfRule>
  </conditionalFormatting>
  <conditionalFormatting sqref="AJ24:AJ26">
    <cfRule type="cellIs" dxfId="4" priority="19" stopIfTrue="1" operator="equal">
      <formula>#REF!</formula>
    </cfRule>
    <cfRule type="cellIs" dxfId="3" priority="20" stopIfTrue="1" operator="equal">
      <formula>#REF!</formula>
    </cfRule>
  </conditionalFormatting>
  <dataValidations count="9">
    <dataValidation type="list" allowBlank="1" showInputMessage="1" showErrorMessage="1" sqref="K24" xr:uid="{4A436E48-C16A-DE4B-AFB9-08DF0F72DB1A}">
      <formula1>$K$181:$K$190</formula1>
    </dataValidation>
    <dataValidation type="list" allowBlank="1" showInputMessage="1" showErrorMessage="1" sqref="K26 AI26:AJ26" xr:uid="{19759531-E6B9-C34A-926A-930BF9958642}">
      <formula1>#REF!</formula1>
    </dataValidation>
    <dataValidation type="list" allowBlank="1" showInputMessage="1" showErrorMessage="1" sqref="Y26" xr:uid="{42826D11-1830-774A-B221-E46E3B2103A6}">
      <formula1>$R$181:$R$182</formula1>
    </dataValidation>
    <dataValidation type="list" allowBlank="1" showInputMessage="1" showErrorMessage="1" sqref="O26" xr:uid="{0D00381A-AB17-834E-B247-8D428AC78784}">
      <formula1>$O$181:$O$185</formula1>
    </dataValidation>
    <dataValidation type="list" allowBlank="1" showInputMessage="1" showErrorMessage="1" sqref="L26:N26" xr:uid="{4A318983-1113-964E-A240-8C1B15C93744}">
      <formula1>$L$181:$L$185</formula1>
    </dataValidation>
    <dataValidation type="list" allowBlank="1" showInputMessage="1" showErrorMessage="1" sqref="AB26:AH26 Z26 AQ26 AY26:AZ26" xr:uid="{8E24B118-A790-C34B-8171-34CFE4D106EA}">
      <formula1>$AQ$181:$AQ$188</formula1>
    </dataValidation>
    <dataValidation type="list" allowBlank="1" showInputMessage="1" showErrorMessage="1" error="Recuerde que las acciones se generan bajo la medida de mitigar el riesgo" sqref="AY15:AY21" xr:uid="{C43558F8-1D23-2542-9305-7580FDECC084}">
      <formula1>$BH$25:$BH$28</formula1>
    </dataValidation>
    <dataValidation type="custom" allowBlank="1" showInputMessage="1" showErrorMessage="1" error="Recuerde que las acciones se generan bajo la medida de mitigar el riesgo" sqref="AP15 AQ19" xr:uid="{48F875F7-9E55-0D44-AC71-2ECD565FF912}"/>
    <dataValidation type="list" allowBlank="1" showInputMessage="1" showErrorMessage="1" sqref="R15:R21" xr:uid="{6129BEE0-8A72-0B4F-94B4-FEE720B3F5D7}">
      <formula1>Criterios_Impacto</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9">
        <x14:dataValidation type="list" allowBlank="1" showInputMessage="1" showErrorMessage="1" xr:uid="{E12E9BA4-0FAA-FC43-AAA1-36F70B9E68CB}">
          <x14:formula1>
            <xm:f>'Opciones Tratamiento'!$B$13:$B$19</xm:f>
          </x14:formula1>
          <xm:sqref>L19:L21 L15</xm:sqref>
        </x14:dataValidation>
        <x14:dataValidation type="list" allowBlank="1" showInputMessage="1" showErrorMessage="1" xr:uid="{0C3500B7-0573-3240-A32D-60597E76A29A}">
          <x14:formula1>
            <xm:f>'Opciones Tratamiento'!$B$2:$B$5</xm:f>
          </x14:formula1>
          <xm:sqref>AM21 AM19 AM15</xm:sqref>
        </x14:dataValidation>
        <x14:dataValidation type="list" allowBlank="1" showInputMessage="1" showErrorMessage="1" xr:uid="{8B7CE5A8-3D4F-B54A-8AF9-82FAEE949F31}">
          <x14:formula1>
            <xm:f>Listas!$B$2:$B$7</xm:f>
          </x14:formula1>
          <xm:sqref>H19:H21 H15</xm:sqref>
        </x14:dataValidation>
        <x14:dataValidation type="list" allowBlank="1" showInputMessage="1" showErrorMessage="1" xr:uid="{03BCDA25-6AFC-6546-B328-F1BB3A88B4EB}">
          <x14:formula1>
            <xm:f>Listas!$C$2:$C$6</xm:f>
          </x14:formula1>
          <xm:sqref>M19:M21 M15</xm:sqref>
        </x14:dataValidation>
        <x14:dataValidation type="list" allowBlank="1" showInputMessage="1" showErrorMessage="1" xr:uid="{2A54217C-F114-AF41-8DB5-9EC49B00ED6E}">
          <x14:formula1>
            <xm:f>Listas!$D$2:$D$5</xm:f>
          </x14:formula1>
          <xm:sqref>N19:N21 N15</xm:sqref>
        </x14:dataValidation>
        <x14:dataValidation type="list" allowBlank="1" showInputMessage="1" showErrorMessage="1" xr:uid="{7EF99909-6128-F64E-B2DD-B55A38F26535}">
          <x14:formula1>
            <xm:f>Formulas!$B$3:$B$18</xm:f>
          </x14:formula1>
          <xm:sqref>E19:E21</xm:sqref>
        </x14:dataValidation>
        <x14:dataValidation type="list" allowBlank="1" showInputMessage="1" showErrorMessage="1" xr:uid="{AFBA0B0A-8D80-BC40-8873-559FDA38AB47}">
          <x14:formula1>
            <xm:f>Formulas!$E$3:$E$23</xm:f>
          </x14:formula1>
          <xm:sqref>G19:G21</xm:sqref>
        </x14:dataValidation>
        <x14:dataValidation type="list" allowBlank="1" showInputMessage="1" showErrorMessage="1" xr:uid="{51C1764C-F481-1E4F-BA29-A9B81584AB4E}">
          <x14:formula1>
            <xm:f>'Tabla Valoración controles'!$D$4:$D$6</xm:f>
          </x14:formula1>
          <xm:sqref>Z15:Z21</xm:sqref>
        </x14:dataValidation>
        <x14:dataValidation type="list" allowBlank="1" showInputMessage="1" showErrorMessage="1" xr:uid="{C8A1B7E7-892D-A342-AC6F-EDF2709EA495}">
          <x14:formula1>
            <xm:f>'Tabla Valoración controles'!$D$7:$D$8</xm:f>
          </x14:formula1>
          <xm:sqref>AA15:AA21</xm:sqref>
        </x14:dataValidation>
        <x14:dataValidation type="list" allowBlank="1" showInputMessage="1" showErrorMessage="1" xr:uid="{C97827F3-5D17-B44D-AD22-A3446BF36FBB}">
          <x14:formula1>
            <xm:f>'Tabla Valoración controles'!$D$9:$D$10</xm:f>
          </x14:formula1>
          <xm:sqref>AC15:AC21</xm:sqref>
        </x14:dataValidation>
        <x14:dataValidation type="list" allowBlank="1" showInputMessage="1" showErrorMessage="1" xr:uid="{90714D98-1EA3-3342-A830-19898DB6EE74}">
          <x14:formula1>
            <xm:f>'Tabla Valoración controles'!$D$11:$D$12</xm:f>
          </x14:formula1>
          <xm:sqref>AD15:AD21</xm:sqref>
        </x14:dataValidation>
        <x14:dataValidation type="list" allowBlank="1" showInputMessage="1" showErrorMessage="1" xr:uid="{E60C3F6C-84CE-424F-B653-F47F27C75C01}">
          <x14:formula1>
            <xm:f>'Tabla Valoración controles'!$D$13:$D$14</xm:f>
          </x14:formula1>
          <xm:sqref>AE15:AE21</xm:sqref>
        </x14:dataValidation>
        <x14:dataValidation type="custom" allowBlank="1" showInputMessage="1" showErrorMessage="1" error="Recuerde que las acciones se generan bajo la medida de mitigar el riesgo" xr:uid="{FCE98E34-0C79-6A40-9622-91EEB1D5F2B2}">
          <x14:formula1>
            <xm:f>IF(OR(#REF!='Opciones Tratamiento'!$B$2,#REF!='Opciones Tratamiento'!$B$3,#REF!='Opciones Tratamiento'!$B$4),ISBLANK(#REF!),ISTEXT(#REF!))</xm:f>
          </x14:formula1>
          <xm:sqref>BC15 BD15:BD21 AQ21:AR21</xm:sqref>
        </x14:dataValidation>
        <x14:dataValidation type="list" allowBlank="1" showInputMessage="1" showErrorMessage="1" xr:uid="{0DF2ABE2-242C-F046-A0BA-3852D3558A81}">
          <x14:formula1>
            <xm:f>Formulas!$B$3:$B$6</xm:f>
          </x14:formula1>
          <xm:sqref>E15:E18</xm:sqref>
        </x14:dataValidation>
        <x14:dataValidation type="list" allowBlank="1" showInputMessage="1" showErrorMessage="1" xr:uid="{43ECC1E4-55F0-D440-82F6-82DF5D15F3E1}">
          <x14:formula1>
            <xm:f>Formulas!$D$3:$D$6</xm:f>
          </x14:formula1>
          <xm:sqref>F15:F21</xm:sqref>
        </x14:dataValidation>
        <x14:dataValidation type="list" allowBlank="1" showInputMessage="1" showErrorMessage="1" xr:uid="{F227548F-9DE3-AD43-963A-BC3B609D44B0}">
          <x14:formula1>
            <xm:f>Formulas!$E$3:$E$5</xm:f>
          </x14:formula1>
          <xm:sqref>G15:G18</xm:sqref>
        </x14:dataValidation>
        <x14:dataValidation type="list" allowBlank="1" showInputMessage="1" showErrorMessage="1" error="Recuerde que las acciones se generan bajo la medida de mitigar el riesgo" xr:uid="{36683CEE-FF85-404C-896C-B591B694C643}">
          <x14:formula1>
            <xm:f>Formulas!$H$3:$H$4</xm:f>
          </x14:formula1>
          <xm:sqref>AT15:AT21</xm:sqref>
        </x14:dataValidation>
        <x14:dataValidation type="custom" allowBlank="1" showInputMessage="1" showErrorMessage="1" error="Recuerde que las acciones se generan bajo la medida de mitigar el riesgo" xr:uid="{B0BAC05A-ECDF-FF4E-A615-B513CE4FD19D}">
          <x14:formula1>
            <xm:f>IF(OR(AM18='Opciones Tratamiento'!$B$2,AM18='Opciones Tratamiento'!$B$3,AM18='Opciones Tratamiento'!$B$4),ISBLANK(AM18),ISTEXT(AM18))</xm:f>
          </x14:formula1>
          <xm:sqref>AQ15</xm:sqref>
        </x14:dataValidation>
        <x14:dataValidation type="custom" allowBlank="1" showInputMessage="1" showErrorMessage="1" error="Recuerde que las acciones se generan bajo la medida de mitigar el riesgo" xr:uid="{7B4D92BD-4CF5-3040-8C65-B825E15515C1}">
          <x14:formula1>
            <xm:f>IF(OR(AM18='Opciones Tratamiento'!$B$2,AM18='Opciones Tratamiento'!$B$3,AM18='Opciones Tratamiento'!$B$4),ISBLANK(AM18),ISTEXT(AM18))</xm:f>
          </x14:formula1>
          <xm:sqref>AR15:AR20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65A79-E3BF-4801-A67D-CFEFB6AABDB4}">
  <dimension ref="A1:B14"/>
  <sheetViews>
    <sheetView workbookViewId="0">
      <selection activeCell="A31" sqref="A31"/>
    </sheetView>
  </sheetViews>
  <sheetFormatPr baseColWidth="10" defaultColWidth="11.42578125" defaultRowHeight="15" x14ac:dyDescent="0.25"/>
  <cols>
    <col min="1" max="1" width="129.7109375" bestFit="1" customWidth="1"/>
  </cols>
  <sheetData>
    <row r="1" spans="1:2" x14ac:dyDescent="0.25">
      <c r="A1" t="s">
        <v>118</v>
      </c>
      <c r="B1" t="s">
        <v>100</v>
      </c>
    </row>
    <row r="2" spans="1:2" x14ac:dyDescent="0.25">
      <c r="A2" t="s">
        <v>119</v>
      </c>
      <c r="B2" t="s">
        <v>120</v>
      </c>
    </row>
    <row r="3" spans="1:2" x14ac:dyDescent="0.25">
      <c r="A3" t="s">
        <v>121</v>
      </c>
      <c r="B3" t="s">
        <v>122</v>
      </c>
    </row>
    <row r="4" spans="1:2" x14ac:dyDescent="0.25">
      <c r="A4" t="s">
        <v>123</v>
      </c>
      <c r="B4" t="s">
        <v>124</v>
      </c>
    </row>
    <row r="5" spans="1:2" x14ac:dyDescent="0.25">
      <c r="A5" t="s">
        <v>125</v>
      </c>
      <c r="B5" t="s">
        <v>126</v>
      </c>
    </row>
    <row r="6" spans="1:2" x14ac:dyDescent="0.25">
      <c r="A6" t="s">
        <v>127</v>
      </c>
      <c r="B6" t="s">
        <v>128</v>
      </c>
    </row>
    <row r="7" spans="1:2" x14ac:dyDescent="0.25">
      <c r="A7" t="s">
        <v>129</v>
      </c>
      <c r="B7" t="s">
        <v>120</v>
      </c>
    </row>
    <row r="8" spans="1:2" x14ac:dyDescent="0.25">
      <c r="A8" t="s">
        <v>130</v>
      </c>
      <c r="B8" t="s">
        <v>122</v>
      </c>
    </row>
    <row r="9" spans="1:2" x14ac:dyDescent="0.25">
      <c r="A9" t="s">
        <v>131</v>
      </c>
      <c r="B9" t="s">
        <v>124</v>
      </c>
    </row>
    <row r="10" spans="1:2" x14ac:dyDescent="0.25">
      <c r="A10" t="s">
        <v>132</v>
      </c>
      <c r="B10" t="s">
        <v>126</v>
      </c>
    </row>
    <row r="11" spans="1:2" x14ac:dyDescent="0.25">
      <c r="A11" t="s">
        <v>133</v>
      </c>
      <c r="B11" t="s">
        <v>128</v>
      </c>
    </row>
    <row r="12" spans="1:2" x14ac:dyDescent="0.25">
      <c r="A12" t="s">
        <v>134</v>
      </c>
      <c r="B12" t="s">
        <v>124</v>
      </c>
    </row>
    <row r="13" spans="1:2" x14ac:dyDescent="0.25">
      <c r="A13" t="s">
        <v>135</v>
      </c>
      <c r="B13" t="s">
        <v>126</v>
      </c>
    </row>
    <row r="14" spans="1:2" x14ac:dyDescent="0.25">
      <c r="A14" t="s">
        <v>136</v>
      </c>
      <c r="B14" t="s">
        <v>128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R13"/>
  <sheetViews>
    <sheetView workbookViewId="0">
      <selection activeCell="D22" sqref="D22"/>
    </sheetView>
  </sheetViews>
  <sheetFormatPr baseColWidth="10" defaultColWidth="11.42578125" defaultRowHeight="15" x14ac:dyDescent="0.25"/>
  <cols>
    <col min="1" max="1" width="4" customWidth="1"/>
    <col min="2" max="3" width="31.28515625" customWidth="1"/>
    <col min="4" max="4" width="30.42578125" customWidth="1"/>
    <col min="5" max="5" width="24.42578125" customWidth="1"/>
    <col min="6" max="6" width="22.7109375" customWidth="1"/>
    <col min="7" max="7" width="37" customWidth="1"/>
    <col min="8" max="8" width="21.28515625" customWidth="1"/>
    <col min="9" max="9" width="13.7109375" customWidth="1"/>
    <col min="10" max="10" width="17.28515625" customWidth="1"/>
    <col min="13" max="13" width="15.7109375" customWidth="1"/>
    <col min="14" max="14" width="14.7109375" customWidth="1"/>
    <col min="17" max="17" width="24.7109375" customWidth="1"/>
    <col min="18" max="18" width="29.42578125" customWidth="1"/>
  </cols>
  <sheetData>
    <row r="1" spans="2:18" x14ac:dyDescent="0.25">
      <c r="B1" s="326" t="s">
        <v>48</v>
      </c>
      <c r="C1" s="326"/>
      <c r="D1" s="326"/>
      <c r="E1" s="326"/>
      <c r="F1" s="326"/>
      <c r="G1" s="326"/>
      <c r="H1" s="326"/>
      <c r="I1" s="326"/>
      <c r="J1" s="326"/>
      <c r="L1" s="326" t="s">
        <v>50</v>
      </c>
      <c r="M1" s="326"/>
      <c r="N1" s="326"/>
      <c r="O1" s="326"/>
      <c r="P1" s="326"/>
      <c r="Q1" s="326"/>
      <c r="R1" s="326"/>
    </row>
    <row r="2" spans="2:18" ht="50.25" customHeight="1" x14ac:dyDescent="0.25">
      <c r="B2" s="155" t="s">
        <v>137</v>
      </c>
      <c r="C2" s="155" t="s">
        <v>138</v>
      </c>
      <c r="D2" s="154" t="s">
        <v>56</v>
      </c>
      <c r="E2" s="154" t="s">
        <v>139</v>
      </c>
      <c r="F2" s="154" t="s">
        <v>140</v>
      </c>
      <c r="G2" s="155" t="s">
        <v>141</v>
      </c>
      <c r="H2" s="155" t="s">
        <v>142</v>
      </c>
      <c r="I2" s="155" t="s">
        <v>143</v>
      </c>
      <c r="J2" s="154" t="s">
        <v>144</v>
      </c>
      <c r="L2" s="153" t="s">
        <v>98</v>
      </c>
      <c r="M2" s="153" t="s">
        <v>99</v>
      </c>
      <c r="N2" s="153" t="s">
        <v>51</v>
      </c>
      <c r="O2" s="153" t="s">
        <v>101</v>
      </c>
      <c r="P2" s="153" t="s">
        <v>102</v>
      </c>
      <c r="Q2" s="153" t="s">
        <v>79</v>
      </c>
      <c r="R2" s="156" t="s">
        <v>145</v>
      </c>
    </row>
    <row r="3" spans="2:18" ht="25.5" x14ac:dyDescent="0.25">
      <c r="B3" s="18" t="s">
        <v>146</v>
      </c>
      <c r="C3" s="18" t="s">
        <v>147</v>
      </c>
      <c r="D3" s="104" t="s">
        <v>148</v>
      </c>
      <c r="E3" s="104" t="s">
        <v>149</v>
      </c>
      <c r="F3" t="s">
        <v>150</v>
      </c>
      <c r="G3" s="104" t="s">
        <v>151</v>
      </c>
      <c r="H3" t="s">
        <v>14</v>
      </c>
      <c r="I3" t="s">
        <v>152</v>
      </c>
      <c r="J3" t="s">
        <v>153</v>
      </c>
      <c r="L3" s="2" t="s">
        <v>154</v>
      </c>
      <c r="M3" s="2" t="s">
        <v>155</v>
      </c>
      <c r="N3" s="2" t="s">
        <v>156</v>
      </c>
      <c r="O3" s="2" t="s">
        <v>157</v>
      </c>
      <c r="P3" s="2" t="s">
        <v>158</v>
      </c>
      <c r="Q3" s="2" t="s">
        <v>159</v>
      </c>
      <c r="R3" t="s">
        <v>160</v>
      </c>
    </row>
    <row r="4" spans="2:18" ht="31.5" customHeight="1" x14ac:dyDescent="0.25">
      <c r="B4" s="18" t="s">
        <v>103</v>
      </c>
      <c r="C4" s="18" t="s">
        <v>161</v>
      </c>
      <c r="D4" s="104" t="s">
        <v>162</v>
      </c>
      <c r="E4" s="104" t="s">
        <v>163</v>
      </c>
      <c r="F4" t="s">
        <v>164</v>
      </c>
      <c r="G4" s="104" t="s">
        <v>165</v>
      </c>
      <c r="H4" t="s">
        <v>15</v>
      </c>
      <c r="I4" t="s">
        <v>166</v>
      </c>
      <c r="J4" t="s">
        <v>167</v>
      </c>
      <c r="L4" s="2" t="s">
        <v>104</v>
      </c>
      <c r="M4" s="2" t="s">
        <v>168</v>
      </c>
      <c r="N4" s="2" t="s">
        <v>169</v>
      </c>
      <c r="O4" s="2" t="s">
        <v>170</v>
      </c>
      <c r="P4" s="2" t="s">
        <v>171</v>
      </c>
      <c r="Q4" s="2" t="s">
        <v>172</v>
      </c>
      <c r="R4" t="s">
        <v>173</v>
      </c>
    </row>
    <row r="5" spans="2:18" ht="26.25" customHeight="1" x14ac:dyDescent="0.25">
      <c r="B5" s="18" t="s">
        <v>174</v>
      </c>
      <c r="C5" s="18" t="s">
        <v>175</v>
      </c>
      <c r="D5" s="104" t="s">
        <v>176</v>
      </c>
      <c r="E5" s="104" t="s">
        <v>177</v>
      </c>
      <c r="F5" t="s">
        <v>178</v>
      </c>
      <c r="G5" s="104" t="s">
        <v>179</v>
      </c>
      <c r="I5" t="s">
        <v>180</v>
      </c>
      <c r="J5" t="s">
        <v>181</v>
      </c>
      <c r="L5" s="2" t="s">
        <v>182</v>
      </c>
      <c r="P5" s="2" t="s">
        <v>183</v>
      </c>
      <c r="Q5" s="2" t="s">
        <v>184</v>
      </c>
    </row>
    <row r="6" spans="2:18" ht="24.75" customHeight="1" x14ac:dyDescent="0.25">
      <c r="B6" s="18" t="s">
        <v>63</v>
      </c>
      <c r="C6" s="18" t="s">
        <v>185</v>
      </c>
      <c r="D6" s="104"/>
      <c r="F6" t="s">
        <v>186</v>
      </c>
      <c r="G6" s="104" t="s">
        <v>187</v>
      </c>
      <c r="I6" t="s">
        <v>188</v>
      </c>
      <c r="J6" t="s">
        <v>189</v>
      </c>
      <c r="Q6" s="2" t="s">
        <v>105</v>
      </c>
    </row>
    <row r="7" spans="2:18" ht="26.25" customHeight="1" x14ac:dyDescent="0.25">
      <c r="B7" s="18"/>
      <c r="C7" s="18" t="s">
        <v>190</v>
      </c>
      <c r="D7" s="104"/>
      <c r="F7" t="s">
        <v>191</v>
      </c>
      <c r="G7" s="104" t="s">
        <v>192</v>
      </c>
      <c r="I7" t="s">
        <v>193</v>
      </c>
      <c r="Q7" s="2" t="s">
        <v>194</v>
      </c>
    </row>
    <row r="8" spans="2:18" ht="30" x14ac:dyDescent="0.25">
      <c r="B8" s="18"/>
      <c r="C8" s="18"/>
      <c r="D8" s="104"/>
      <c r="F8" t="s">
        <v>195</v>
      </c>
      <c r="G8" s="104" t="s">
        <v>196</v>
      </c>
      <c r="I8" s="104" t="s">
        <v>197</v>
      </c>
    </row>
    <row r="9" spans="2:18" ht="31.5" customHeight="1" x14ac:dyDescent="0.25">
      <c r="B9" s="18"/>
      <c r="C9" s="18"/>
      <c r="D9" s="104"/>
      <c r="G9" s="104" t="s">
        <v>198</v>
      </c>
      <c r="I9" t="s">
        <v>199</v>
      </c>
    </row>
    <row r="10" spans="2:18" x14ac:dyDescent="0.25">
      <c r="B10" s="18"/>
      <c r="C10" s="18"/>
      <c r="D10" s="104"/>
      <c r="I10" t="s">
        <v>200</v>
      </c>
    </row>
    <row r="11" spans="2:18" x14ac:dyDescent="0.25">
      <c r="B11" s="18"/>
      <c r="C11" s="18"/>
      <c r="D11" s="104"/>
    </row>
    <row r="12" spans="2:18" x14ac:dyDescent="0.25">
      <c r="B12" s="18"/>
      <c r="C12" s="18"/>
      <c r="I12" t="s">
        <v>200</v>
      </c>
    </row>
    <row r="13" spans="2:18" x14ac:dyDescent="0.25">
      <c r="B13" s="18"/>
      <c r="C13" s="18"/>
    </row>
  </sheetData>
  <mergeCells count="2">
    <mergeCell ref="B1:J1"/>
    <mergeCell ref="L1:R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H31"/>
  <sheetViews>
    <sheetView showGridLines="0" topLeftCell="A6" workbookViewId="0">
      <selection activeCell="G23" sqref="G23"/>
    </sheetView>
  </sheetViews>
  <sheetFormatPr baseColWidth="10" defaultColWidth="11.42578125" defaultRowHeight="15" x14ac:dyDescent="0.25"/>
  <cols>
    <col min="1" max="1" width="17.42578125" customWidth="1"/>
    <col min="2" max="2" width="9.7109375" customWidth="1"/>
    <col min="4" max="4" width="72.28515625" customWidth="1"/>
    <col min="5" max="6" width="11" customWidth="1"/>
    <col min="7" max="7" width="11.42578125" style="127"/>
    <col min="8" max="8" width="11.42578125" style="15"/>
  </cols>
  <sheetData>
    <row r="1" spans="1:8" ht="15.75" thickBot="1" x14ac:dyDescent="0.3"/>
    <row r="2" spans="1:8" ht="19.5" customHeight="1" x14ac:dyDescent="0.25">
      <c r="B2" s="250" t="s">
        <v>0</v>
      </c>
      <c r="C2" s="251"/>
      <c r="D2" s="332" t="s">
        <v>7</v>
      </c>
      <c r="E2" s="348" t="s">
        <v>8</v>
      </c>
      <c r="F2" s="257"/>
    </row>
    <row r="3" spans="1:8" ht="19.5" customHeight="1" x14ac:dyDescent="0.25">
      <c r="B3" s="252"/>
      <c r="C3" s="253"/>
      <c r="D3" s="333"/>
      <c r="E3" s="349" t="s">
        <v>3</v>
      </c>
      <c r="F3" s="259"/>
    </row>
    <row r="4" spans="1:8" ht="19.5" customHeight="1" x14ac:dyDescent="0.25">
      <c r="B4" s="252"/>
      <c r="C4" s="253"/>
      <c r="D4" s="333"/>
      <c r="E4" s="349" t="s">
        <v>4</v>
      </c>
      <c r="F4" s="259"/>
    </row>
    <row r="5" spans="1:8" ht="19.5" customHeight="1" thickBot="1" x14ac:dyDescent="0.3">
      <c r="A5" t="s">
        <v>9</v>
      </c>
      <c r="B5" s="254"/>
      <c r="C5" s="255"/>
      <c r="D5" s="334"/>
      <c r="E5" s="350" t="s">
        <v>5</v>
      </c>
      <c r="F5" s="261"/>
    </row>
    <row r="6" spans="1:8" ht="15.75" thickBot="1" x14ac:dyDescent="0.3"/>
    <row r="7" spans="1:8" x14ac:dyDescent="0.25">
      <c r="B7" s="335" t="s">
        <v>10</v>
      </c>
      <c r="C7" s="338" t="s">
        <v>11</v>
      </c>
      <c r="D7" s="339"/>
      <c r="E7" s="344" t="s">
        <v>12</v>
      </c>
      <c r="F7" s="345"/>
    </row>
    <row r="8" spans="1:8" ht="15.75" thickBot="1" x14ac:dyDescent="0.3">
      <c r="B8" s="336"/>
      <c r="C8" s="340"/>
      <c r="D8" s="341"/>
      <c r="E8" s="346"/>
      <c r="F8" s="347"/>
      <c r="H8" s="136"/>
    </row>
    <row r="9" spans="1:8" ht="15.75" thickBot="1" x14ac:dyDescent="0.3">
      <c r="B9" s="337"/>
      <c r="C9" s="342" t="s">
        <v>13</v>
      </c>
      <c r="D9" s="343"/>
      <c r="E9" s="134" t="s">
        <v>14</v>
      </c>
      <c r="F9" s="134" t="s">
        <v>15</v>
      </c>
      <c r="H9" s="136"/>
    </row>
    <row r="10" spans="1:8" ht="15.75" thickBot="1" x14ac:dyDescent="0.3">
      <c r="B10" s="133">
        <v>1</v>
      </c>
      <c r="C10" s="327" t="s">
        <v>16</v>
      </c>
      <c r="D10" s="328"/>
      <c r="E10" s="129" t="s">
        <v>281</v>
      </c>
      <c r="F10" s="130"/>
      <c r="H10" s="136"/>
    </row>
    <row r="11" spans="1:8" ht="15.75" thickBot="1" x14ac:dyDescent="0.3">
      <c r="B11" s="133">
        <v>2</v>
      </c>
      <c r="C11" s="327" t="s">
        <v>17</v>
      </c>
      <c r="D11" s="328" t="s">
        <v>17</v>
      </c>
      <c r="E11" s="129" t="s">
        <v>281</v>
      </c>
      <c r="F11" s="130"/>
      <c r="H11" s="137"/>
    </row>
    <row r="12" spans="1:8" ht="15.75" thickBot="1" x14ac:dyDescent="0.3">
      <c r="B12" s="133">
        <v>3</v>
      </c>
      <c r="C12" s="327" t="s">
        <v>18</v>
      </c>
      <c r="D12" s="328" t="s">
        <v>18</v>
      </c>
      <c r="E12" s="129"/>
      <c r="F12" s="130" t="s">
        <v>281</v>
      </c>
    </row>
    <row r="13" spans="1:8" ht="15.75" thickBot="1" x14ac:dyDescent="0.3">
      <c r="B13" s="133">
        <v>4</v>
      </c>
      <c r="C13" s="327" t="s">
        <v>19</v>
      </c>
      <c r="D13" s="328" t="s">
        <v>20</v>
      </c>
      <c r="E13" s="129"/>
      <c r="F13" s="130" t="s">
        <v>281</v>
      </c>
    </row>
    <row r="14" spans="1:8" ht="15.75" thickBot="1" x14ac:dyDescent="0.3">
      <c r="B14" s="133">
        <v>5</v>
      </c>
      <c r="C14" s="327" t="s">
        <v>21</v>
      </c>
      <c r="D14" s="328" t="s">
        <v>21</v>
      </c>
      <c r="E14" s="129" t="s">
        <v>281</v>
      </c>
      <c r="F14" s="130"/>
    </row>
    <row r="15" spans="1:8" ht="15.75" thickBot="1" x14ac:dyDescent="0.3">
      <c r="B15" s="133">
        <v>6</v>
      </c>
      <c r="C15" s="327" t="s">
        <v>22</v>
      </c>
      <c r="D15" s="328" t="s">
        <v>22</v>
      </c>
      <c r="E15" s="129" t="s">
        <v>281</v>
      </c>
      <c r="F15" s="130"/>
    </row>
    <row r="16" spans="1:8" ht="15.75" thickBot="1" x14ac:dyDescent="0.3">
      <c r="B16" s="133">
        <v>7</v>
      </c>
      <c r="C16" s="327" t="s">
        <v>23</v>
      </c>
      <c r="D16" s="328" t="s">
        <v>23</v>
      </c>
      <c r="E16" s="129"/>
      <c r="F16" s="130" t="s">
        <v>281</v>
      </c>
    </row>
    <row r="17" spans="1:7" ht="28.5" customHeight="1" thickBot="1" x14ac:dyDescent="0.3">
      <c r="B17" s="133">
        <v>8</v>
      </c>
      <c r="C17" s="327" t="s">
        <v>24</v>
      </c>
      <c r="D17" s="328" t="s">
        <v>24</v>
      </c>
      <c r="E17" s="129"/>
      <c r="F17" s="130" t="s">
        <v>281</v>
      </c>
    </row>
    <row r="18" spans="1:7" ht="18.75" customHeight="1" thickBot="1" x14ac:dyDescent="0.3">
      <c r="B18" s="133">
        <v>9</v>
      </c>
      <c r="C18" s="327" t="s">
        <v>25</v>
      </c>
      <c r="D18" s="328" t="s">
        <v>25</v>
      </c>
      <c r="E18" s="129" t="s">
        <v>281</v>
      </c>
      <c r="F18" s="130"/>
    </row>
    <row r="19" spans="1:7" ht="15.75" thickBot="1" x14ac:dyDescent="0.3">
      <c r="B19" s="133">
        <v>10</v>
      </c>
      <c r="C19" s="327" t="s">
        <v>26</v>
      </c>
      <c r="D19" s="328" t="s">
        <v>26</v>
      </c>
      <c r="E19" s="129" t="s">
        <v>281</v>
      </c>
      <c r="F19" s="130"/>
    </row>
    <row r="20" spans="1:7" ht="15.75" thickBot="1" x14ac:dyDescent="0.3">
      <c r="B20" s="133">
        <v>11</v>
      </c>
      <c r="C20" s="327" t="s">
        <v>27</v>
      </c>
      <c r="D20" s="328" t="s">
        <v>27</v>
      </c>
      <c r="E20" s="129"/>
      <c r="F20" s="130" t="s">
        <v>281</v>
      </c>
    </row>
    <row r="21" spans="1:7" ht="15.75" thickBot="1" x14ac:dyDescent="0.3">
      <c r="B21" s="133">
        <v>12</v>
      </c>
      <c r="C21" s="327" t="s">
        <v>28</v>
      </c>
      <c r="D21" s="328" t="s">
        <v>28</v>
      </c>
      <c r="E21" s="129" t="s">
        <v>281</v>
      </c>
      <c r="F21" s="130"/>
    </row>
    <row r="22" spans="1:7" ht="15.75" thickBot="1" x14ac:dyDescent="0.3">
      <c r="B22" s="133">
        <v>13</v>
      </c>
      <c r="C22" s="327" t="s">
        <v>29</v>
      </c>
      <c r="D22" s="328" t="s">
        <v>29</v>
      </c>
      <c r="E22" s="129" t="s">
        <v>281</v>
      </c>
      <c r="F22" s="130"/>
    </row>
    <row r="23" spans="1:7" ht="15.75" thickBot="1" x14ac:dyDescent="0.3">
      <c r="B23" s="133">
        <v>14</v>
      </c>
      <c r="C23" s="327" t="s">
        <v>30</v>
      </c>
      <c r="D23" s="328" t="s">
        <v>30</v>
      </c>
      <c r="E23" s="129" t="s">
        <v>281</v>
      </c>
      <c r="F23" s="130"/>
    </row>
    <row r="24" spans="1:7" ht="15.75" thickBot="1" x14ac:dyDescent="0.3">
      <c r="B24" s="133">
        <v>15</v>
      </c>
      <c r="C24" s="327" t="s">
        <v>31</v>
      </c>
      <c r="D24" s="328" t="s">
        <v>31</v>
      </c>
      <c r="E24" s="129" t="s">
        <v>281</v>
      </c>
      <c r="F24" s="130"/>
    </row>
    <row r="25" spans="1:7" ht="15.75" thickBot="1" x14ac:dyDescent="0.3">
      <c r="B25" s="133">
        <v>16</v>
      </c>
      <c r="C25" s="327" t="s">
        <v>32</v>
      </c>
      <c r="D25" s="328" t="s">
        <v>32</v>
      </c>
      <c r="E25" s="129"/>
      <c r="F25" s="130" t="s">
        <v>281</v>
      </c>
    </row>
    <row r="26" spans="1:7" ht="15.75" thickBot="1" x14ac:dyDescent="0.3">
      <c r="B26" s="133">
        <v>17</v>
      </c>
      <c r="C26" s="327" t="s">
        <v>33</v>
      </c>
      <c r="D26" s="328" t="s">
        <v>33</v>
      </c>
      <c r="E26" s="129"/>
      <c r="F26" s="130" t="s">
        <v>281</v>
      </c>
    </row>
    <row r="27" spans="1:7" ht="15.75" thickBot="1" x14ac:dyDescent="0.3">
      <c r="B27" s="133">
        <v>18</v>
      </c>
      <c r="C27" s="327" t="s">
        <v>34</v>
      </c>
      <c r="D27" s="328" t="s">
        <v>34</v>
      </c>
      <c r="E27" s="129" t="s">
        <v>281</v>
      </c>
      <c r="F27" s="130"/>
    </row>
    <row r="28" spans="1:7" ht="15.75" thickBot="1" x14ac:dyDescent="0.3">
      <c r="B28" s="133">
        <v>19</v>
      </c>
      <c r="C28" s="327" t="s">
        <v>35</v>
      </c>
      <c r="D28" s="328" t="s">
        <v>35</v>
      </c>
      <c r="E28" s="129"/>
      <c r="F28" s="130" t="s">
        <v>281</v>
      </c>
    </row>
    <row r="29" spans="1:7" x14ac:dyDescent="0.25">
      <c r="C29" s="128"/>
      <c r="D29" s="128"/>
      <c r="E29" s="135">
        <f>COUNTIF(E10:E28,"x")</f>
        <v>11</v>
      </c>
      <c r="F29" s="135">
        <f>COUNTIF(F10:F28,"x")</f>
        <v>8</v>
      </c>
      <c r="G29" s="195" t="str">
        <f>IF(E29=0,"",IF(E29&lt;=5,"Moderado",IF(E29&lt;=11,"Mayor",IF(E29&lt;=19,"Catastrófico",""))))</f>
        <v>Mayor</v>
      </c>
    </row>
    <row r="30" spans="1:7" x14ac:dyDescent="0.25">
      <c r="C30" s="126"/>
      <c r="D30" s="126"/>
      <c r="E30" s="126"/>
      <c r="F30" s="126"/>
    </row>
    <row r="31" spans="1:7" ht="66" customHeight="1" x14ac:dyDescent="0.25">
      <c r="A31" s="329" t="s">
        <v>36</v>
      </c>
      <c r="B31" s="330"/>
      <c r="C31" s="330"/>
      <c r="D31" s="330"/>
      <c r="E31" s="330"/>
      <c r="F31" s="331"/>
    </row>
  </sheetData>
  <mergeCells count="30">
    <mergeCell ref="A31:F31"/>
    <mergeCell ref="C12:D12"/>
    <mergeCell ref="D2:D5"/>
    <mergeCell ref="B7:B9"/>
    <mergeCell ref="C7:D8"/>
    <mergeCell ref="C9:D9"/>
    <mergeCell ref="C11:D11"/>
    <mergeCell ref="B2:C5"/>
    <mergeCell ref="C10:D10"/>
    <mergeCell ref="E7:F8"/>
    <mergeCell ref="E2:F2"/>
    <mergeCell ref="E3:F3"/>
    <mergeCell ref="E4:F4"/>
    <mergeCell ref="E5:F5"/>
    <mergeCell ref="C16:D16"/>
    <mergeCell ref="C13:D13"/>
    <mergeCell ref="C14:D14"/>
    <mergeCell ref="C28:D28"/>
    <mergeCell ref="C17:D17"/>
    <mergeCell ref="C18:D18"/>
    <mergeCell ref="C19:D19"/>
    <mergeCell ref="C20:D20"/>
    <mergeCell ref="C21:D21"/>
    <mergeCell ref="C22:D22"/>
    <mergeCell ref="C23:D23"/>
    <mergeCell ref="C24:D24"/>
    <mergeCell ref="C25:D25"/>
    <mergeCell ref="C26:D26"/>
    <mergeCell ref="C27:D27"/>
    <mergeCell ref="C15:D15"/>
  </mergeCells>
  <conditionalFormatting sqref="G29">
    <cfRule type="cellIs" dxfId="2" priority="1" stopIfTrue="1" operator="equal">
      <formula>"Catastrófico"</formula>
    </cfRule>
    <cfRule type="cellIs" dxfId="1" priority="2" stopIfTrue="1" operator="equal">
      <formula>"Moderado"</formula>
    </cfRule>
    <cfRule type="cellIs" dxfId="0" priority="3" stopIfTrue="1" operator="equal">
      <formula>"Mayor"</formula>
    </cfRule>
  </conditionalFormatting>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Intructivo!$J$2</xm:f>
          </x14:formula1>
          <xm:sqref>E10:F28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2:B30"/>
  <sheetViews>
    <sheetView zoomScale="70" zoomScaleNormal="70" workbookViewId="0">
      <selection activeCell="G93" sqref="G93"/>
    </sheetView>
  </sheetViews>
  <sheetFormatPr baseColWidth="10" defaultColWidth="11.42578125" defaultRowHeight="15" x14ac:dyDescent="0.25"/>
  <sheetData>
    <row r="2" spans="2:2" x14ac:dyDescent="0.25">
      <c r="B2" t="s">
        <v>201</v>
      </c>
    </row>
    <row r="30" spans="2:2" x14ac:dyDescent="0.25">
      <c r="B30" t="s">
        <v>202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C1:D75"/>
  <sheetViews>
    <sheetView topLeftCell="K64" workbookViewId="0">
      <selection activeCell="C41" sqref="C41"/>
    </sheetView>
  </sheetViews>
  <sheetFormatPr baseColWidth="10" defaultColWidth="11.42578125" defaultRowHeight="15" x14ac:dyDescent="0.25"/>
  <cols>
    <col min="3" max="3" width="119" customWidth="1"/>
    <col min="4" max="4" width="33.28515625" customWidth="1"/>
  </cols>
  <sheetData>
    <row r="1" spans="3:4" ht="15.75" thickBot="1" x14ac:dyDescent="0.3"/>
    <row r="2" spans="3:4" x14ac:dyDescent="0.25">
      <c r="C2" s="351" t="s">
        <v>203</v>
      </c>
      <c r="D2" s="352"/>
    </row>
    <row r="3" spans="3:4" x14ac:dyDescent="0.25">
      <c r="C3" s="353"/>
      <c r="D3" s="354"/>
    </row>
    <row r="4" spans="3:4" ht="15.75" thickBot="1" x14ac:dyDescent="0.3">
      <c r="C4" s="138" t="s">
        <v>204</v>
      </c>
      <c r="D4" s="139" t="s">
        <v>205</v>
      </c>
    </row>
    <row r="5" spans="3:4" ht="30" customHeight="1" x14ac:dyDescent="0.25">
      <c r="C5" s="140" t="s">
        <v>206</v>
      </c>
      <c r="D5" s="141">
        <v>1</v>
      </c>
    </row>
    <row r="6" spans="3:4" ht="28.5" customHeight="1" x14ac:dyDescent="0.25">
      <c r="C6" s="142" t="s">
        <v>207</v>
      </c>
      <c r="D6" s="143">
        <v>1</v>
      </c>
    </row>
    <row r="7" spans="3:4" ht="28.5" customHeight="1" x14ac:dyDescent="0.25">
      <c r="C7" s="144" t="s">
        <v>208</v>
      </c>
      <c r="D7" s="143">
        <v>1</v>
      </c>
    </row>
    <row r="8" spans="3:4" ht="28.5" customHeight="1" x14ac:dyDescent="0.25">
      <c r="C8" s="144" t="s">
        <v>209</v>
      </c>
      <c r="D8" s="143">
        <v>1</v>
      </c>
    </row>
    <row r="9" spans="3:4" ht="18.600000000000001" customHeight="1" x14ac:dyDescent="0.25">
      <c r="C9" s="144" t="s">
        <v>210</v>
      </c>
      <c r="D9" s="143">
        <v>1</v>
      </c>
    </row>
    <row r="10" spans="3:4" ht="28.5" customHeight="1" x14ac:dyDescent="0.25">
      <c r="C10" s="144" t="s">
        <v>211</v>
      </c>
      <c r="D10" s="143">
        <v>1</v>
      </c>
    </row>
    <row r="11" spans="3:4" ht="21" customHeight="1" x14ac:dyDescent="0.25">
      <c r="C11" s="142" t="s">
        <v>212</v>
      </c>
      <c r="D11" s="143">
        <v>1</v>
      </c>
    </row>
    <row r="12" spans="3:4" ht="21" customHeight="1" x14ac:dyDescent="0.25">
      <c r="C12" s="142" t="s">
        <v>213</v>
      </c>
      <c r="D12" s="143">
        <v>1</v>
      </c>
    </row>
    <row r="13" spans="3:4" ht="21.6" customHeight="1" x14ac:dyDescent="0.25">
      <c r="C13" s="142" t="s">
        <v>214</v>
      </c>
      <c r="D13" s="143">
        <v>1</v>
      </c>
    </row>
    <row r="14" spans="3:4" ht="28.5" customHeight="1" x14ac:dyDescent="0.25">
      <c r="C14" s="142" t="s">
        <v>215</v>
      </c>
      <c r="D14" s="143">
        <v>1</v>
      </c>
    </row>
    <row r="15" spans="3:4" ht="22.5" customHeight="1" x14ac:dyDescent="0.25">
      <c r="C15" s="145"/>
      <c r="D15" s="143">
        <v>1</v>
      </c>
    </row>
    <row r="16" spans="3:4" ht="28.5" customHeight="1" x14ac:dyDescent="0.25">
      <c r="C16" s="146" t="s">
        <v>216</v>
      </c>
      <c r="D16" s="147"/>
    </row>
    <row r="17" spans="3:4" ht="28.5" customHeight="1" x14ac:dyDescent="0.25">
      <c r="C17" s="140" t="s">
        <v>217</v>
      </c>
      <c r="D17" s="143">
        <v>1</v>
      </c>
    </row>
    <row r="18" spans="3:4" ht="28.5" customHeight="1" x14ac:dyDescent="0.25">
      <c r="C18" s="140" t="s">
        <v>218</v>
      </c>
      <c r="D18" s="143">
        <v>1</v>
      </c>
    </row>
    <row r="19" spans="3:4" ht="28.5" customHeight="1" x14ac:dyDescent="0.25">
      <c r="C19" s="140" t="s">
        <v>219</v>
      </c>
      <c r="D19" s="143">
        <v>1</v>
      </c>
    </row>
    <row r="20" spans="3:4" ht="28.5" customHeight="1" x14ac:dyDescent="0.25">
      <c r="C20" s="142" t="s">
        <v>220</v>
      </c>
      <c r="D20" s="143">
        <v>1</v>
      </c>
    </row>
    <row r="21" spans="3:4" ht="28.5" customHeight="1" x14ac:dyDescent="0.25">
      <c r="C21" s="140" t="s">
        <v>221</v>
      </c>
      <c r="D21" s="143">
        <v>1</v>
      </c>
    </row>
    <row r="22" spans="3:4" ht="28.5" customHeight="1" x14ac:dyDescent="0.25">
      <c r="C22" s="148" t="s">
        <v>222</v>
      </c>
      <c r="D22" s="143">
        <v>1</v>
      </c>
    </row>
    <row r="23" spans="3:4" ht="28.5" customHeight="1" x14ac:dyDescent="0.25">
      <c r="C23" s="140" t="s">
        <v>223</v>
      </c>
      <c r="D23" s="143">
        <v>1</v>
      </c>
    </row>
    <row r="24" spans="3:4" ht="28.5" customHeight="1" x14ac:dyDescent="0.25">
      <c r="C24" s="140" t="s">
        <v>224</v>
      </c>
      <c r="D24" s="143">
        <v>1</v>
      </c>
    </row>
    <row r="25" spans="3:4" ht="28.5" customHeight="1" x14ac:dyDescent="0.25">
      <c r="C25" s="145"/>
      <c r="D25" s="143">
        <v>1</v>
      </c>
    </row>
    <row r="26" spans="3:4" ht="28.5" customHeight="1" x14ac:dyDescent="0.25">
      <c r="C26" s="145"/>
      <c r="D26" s="143">
        <v>1</v>
      </c>
    </row>
    <row r="27" spans="3:4" ht="28.5" customHeight="1" x14ac:dyDescent="0.25">
      <c r="C27" s="146" t="s">
        <v>225</v>
      </c>
      <c r="D27" s="149"/>
    </row>
    <row r="28" spans="3:4" ht="28.5" customHeight="1" x14ac:dyDescent="0.25">
      <c r="C28" s="144" t="s">
        <v>226</v>
      </c>
      <c r="D28" s="143">
        <v>1</v>
      </c>
    </row>
    <row r="29" spans="3:4" ht="28.5" customHeight="1" x14ac:dyDescent="0.25">
      <c r="C29" s="144" t="s">
        <v>227</v>
      </c>
      <c r="D29" s="143">
        <v>1</v>
      </c>
    </row>
    <row r="30" spans="3:4" ht="28.5" customHeight="1" x14ac:dyDescent="0.25">
      <c r="C30" s="144" t="s">
        <v>228</v>
      </c>
      <c r="D30" s="143">
        <v>1</v>
      </c>
    </row>
    <row r="31" spans="3:4" ht="28.5" customHeight="1" x14ac:dyDescent="0.25">
      <c r="C31" s="144" t="s">
        <v>229</v>
      </c>
      <c r="D31" s="143">
        <v>1</v>
      </c>
    </row>
    <row r="32" spans="3:4" ht="28.5" customHeight="1" x14ac:dyDescent="0.25">
      <c r="C32" s="144" t="s">
        <v>230</v>
      </c>
      <c r="D32" s="143">
        <v>1</v>
      </c>
    </row>
    <row r="33" spans="3:4" ht="28.5" customHeight="1" x14ac:dyDescent="0.25">
      <c r="C33" s="150" t="s">
        <v>231</v>
      </c>
      <c r="D33" s="143">
        <v>1</v>
      </c>
    </row>
    <row r="34" spans="3:4" ht="28.5" customHeight="1" x14ac:dyDescent="0.25">
      <c r="C34" s="142" t="s">
        <v>232</v>
      </c>
      <c r="D34" s="143">
        <v>1</v>
      </c>
    </row>
    <row r="35" spans="3:4" ht="28.5" customHeight="1" x14ac:dyDescent="0.25">
      <c r="C35" s="144" t="s">
        <v>233</v>
      </c>
      <c r="D35" s="143">
        <v>1</v>
      </c>
    </row>
    <row r="36" spans="3:4" ht="28.5" customHeight="1" x14ac:dyDescent="0.25">
      <c r="C36" s="144" t="s">
        <v>234</v>
      </c>
      <c r="D36" s="143">
        <v>1</v>
      </c>
    </row>
    <row r="37" spans="3:4" ht="28.5" customHeight="1" x14ac:dyDescent="0.25">
      <c r="C37" s="144" t="s">
        <v>235</v>
      </c>
      <c r="D37" s="143">
        <v>1</v>
      </c>
    </row>
    <row r="38" spans="3:4" ht="28.5" customHeight="1" x14ac:dyDescent="0.25">
      <c r="C38" s="142" t="s">
        <v>236</v>
      </c>
      <c r="D38" s="143">
        <v>1</v>
      </c>
    </row>
    <row r="39" spans="3:4" ht="28.5" customHeight="1" x14ac:dyDescent="0.25">
      <c r="C39" s="150" t="s">
        <v>237</v>
      </c>
      <c r="D39" s="143">
        <v>1</v>
      </c>
    </row>
    <row r="40" spans="3:4" ht="28.5" customHeight="1" x14ac:dyDescent="0.25">
      <c r="C40" s="150" t="s">
        <v>238</v>
      </c>
      <c r="D40" s="143">
        <v>1</v>
      </c>
    </row>
    <row r="41" spans="3:4" ht="28.5" customHeight="1" x14ac:dyDescent="0.25">
      <c r="C41" s="150" t="s">
        <v>239</v>
      </c>
      <c r="D41" s="143">
        <v>1</v>
      </c>
    </row>
    <row r="42" spans="3:4" ht="28.5" customHeight="1" x14ac:dyDescent="0.25">
      <c r="C42" s="150" t="s">
        <v>240</v>
      </c>
      <c r="D42" s="143">
        <v>1</v>
      </c>
    </row>
    <row r="43" spans="3:4" ht="28.5" customHeight="1" x14ac:dyDescent="0.25">
      <c r="C43" s="151"/>
      <c r="D43" s="143"/>
    </row>
    <row r="44" spans="3:4" ht="28.5" customHeight="1" x14ac:dyDescent="0.25">
      <c r="C44" s="151"/>
      <c r="D44" s="143"/>
    </row>
    <row r="45" spans="3:4" ht="28.5" customHeight="1" x14ac:dyDescent="0.25">
      <c r="C45" s="146" t="s">
        <v>241</v>
      </c>
      <c r="D45" s="149"/>
    </row>
    <row r="46" spans="3:4" ht="28.5" customHeight="1" x14ac:dyDescent="0.25">
      <c r="C46" s="150" t="s">
        <v>242</v>
      </c>
      <c r="D46" s="143">
        <v>1</v>
      </c>
    </row>
    <row r="47" spans="3:4" ht="28.5" customHeight="1" x14ac:dyDescent="0.25">
      <c r="C47" s="150" t="s">
        <v>243</v>
      </c>
      <c r="D47" s="143">
        <v>1</v>
      </c>
    </row>
    <row r="48" spans="3:4" ht="28.5" customHeight="1" x14ac:dyDescent="0.25">
      <c r="C48" s="150" t="s">
        <v>244</v>
      </c>
      <c r="D48" s="143">
        <v>1</v>
      </c>
    </row>
    <row r="49" spans="3:4" ht="28.5" customHeight="1" x14ac:dyDescent="0.25">
      <c r="C49" s="150" t="s">
        <v>245</v>
      </c>
      <c r="D49" s="143">
        <v>1</v>
      </c>
    </row>
    <row r="50" spans="3:4" ht="28.5" customHeight="1" x14ac:dyDescent="0.25">
      <c r="C50" s="152" t="s">
        <v>246</v>
      </c>
      <c r="D50" s="143">
        <v>1</v>
      </c>
    </row>
    <row r="51" spans="3:4" ht="28.5" customHeight="1" x14ac:dyDescent="0.25">
      <c r="C51" s="152" t="s">
        <v>247</v>
      </c>
      <c r="D51" s="143">
        <v>1</v>
      </c>
    </row>
    <row r="52" spans="3:4" ht="28.5" customHeight="1" x14ac:dyDescent="0.25">
      <c r="C52" s="152" t="s">
        <v>248</v>
      </c>
      <c r="D52" s="143">
        <v>1</v>
      </c>
    </row>
    <row r="53" spans="3:4" ht="28.5" customHeight="1" x14ac:dyDescent="0.25">
      <c r="C53" s="140" t="s">
        <v>249</v>
      </c>
      <c r="D53" s="143">
        <v>1</v>
      </c>
    </row>
    <row r="54" spans="3:4" ht="28.5" customHeight="1" x14ac:dyDescent="0.25">
      <c r="C54" s="140" t="s">
        <v>250</v>
      </c>
      <c r="D54" s="143">
        <v>1</v>
      </c>
    </row>
    <row r="55" spans="3:4" ht="28.5" customHeight="1" x14ac:dyDescent="0.25"/>
    <row r="56" spans="3:4" ht="11.1" customHeight="1" x14ac:dyDescent="0.25"/>
    <row r="57" spans="3:4" ht="11.1" customHeight="1" x14ac:dyDescent="0.25"/>
    <row r="58" spans="3:4" ht="11.1" customHeight="1" x14ac:dyDescent="0.25"/>
    <row r="59" spans="3:4" ht="11.1" customHeight="1" x14ac:dyDescent="0.25"/>
    <row r="60" spans="3:4" ht="11.1" customHeight="1" x14ac:dyDescent="0.25"/>
    <row r="61" spans="3:4" ht="11.1" customHeight="1" x14ac:dyDescent="0.25"/>
    <row r="62" spans="3:4" ht="11.1" customHeight="1" x14ac:dyDescent="0.25"/>
    <row r="63" spans="3:4" ht="11.1" customHeight="1" x14ac:dyDescent="0.25"/>
    <row r="64" spans="3:4" ht="11.1" customHeight="1" x14ac:dyDescent="0.25"/>
    <row r="65" ht="11.1" customHeight="1" x14ac:dyDescent="0.25"/>
    <row r="66" ht="11.1" customHeight="1" x14ac:dyDescent="0.25"/>
    <row r="67" ht="11.1" customHeight="1" x14ac:dyDescent="0.25"/>
    <row r="68" ht="11.1" customHeight="1" x14ac:dyDescent="0.25"/>
    <row r="69" ht="11.1" customHeight="1" x14ac:dyDescent="0.25"/>
    <row r="70" ht="11.1" customHeight="1" x14ac:dyDescent="0.25"/>
    <row r="71" ht="11.1" customHeight="1" x14ac:dyDescent="0.25"/>
    <row r="72" ht="11.1" customHeight="1" x14ac:dyDescent="0.25"/>
    <row r="73" ht="11.1" customHeight="1" x14ac:dyDescent="0.25"/>
    <row r="74" ht="11.1" customHeight="1" x14ac:dyDescent="0.25"/>
    <row r="75" ht="11.1" customHeight="1" x14ac:dyDescent="0.25"/>
  </sheetData>
  <mergeCells count="1">
    <mergeCell ref="C2:D3"/>
  </mergeCells>
  <conditionalFormatting sqref="D5:D15 D17:D26 D43:D44">
    <cfRule type="iconSet" priority="6">
      <iconSet>
        <cfvo type="percent" val="0"/>
        <cfvo type="percent" val="33"/>
        <cfvo type="percent" val="67"/>
      </iconSet>
    </cfRule>
  </conditionalFormatting>
  <conditionalFormatting sqref="D28:D42">
    <cfRule type="iconSet" priority="4">
      <iconSet>
        <cfvo type="percent" val="0"/>
        <cfvo type="percent" val="33"/>
        <cfvo type="percent" val="67"/>
      </iconSet>
    </cfRule>
  </conditionalFormatting>
  <conditionalFormatting sqref="D46:D54">
    <cfRule type="iconSet" priority="2">
      <iconSet>
        <cfvo type="percent" val="0"/>
        <cfvo type="percent" val="33"/>
        <cfvo type="percent" val="67"/>
      </iconSe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5" id="{06EB6435-C432-4D19-A0A0-EA03417474CA}">
            <x14:iconSet showValue="0" custom="1">
              <x14:cfvo type="percent">
                <xm:f>0</xm:f>
              </x14:cfvo>
              <x14:cfvo type="percent">
                <xm:f>0</xm:f>
              </x14:cfvo>
              <x14:cfvo type="num">
                <xm:f>1</xm:f>
              </x14:cfvo>
              <x14:cfIcon iconSet="3Symbols" iconId="0"/>
              <x14:cfIcon iconSet="3Symbols" iconId="0"/>
              <x14:cfIcon iconSet="3Symbols" iconId="2"/>
            </x14:iconSet>
          </x14:cfRule>
          <xm:sqref>D5:D15 D17:D26 D43:D44</xm:sqref>
        </x14:conditionalFormatting>
        <x14:conditionalFormatting xmlns:xm="http://schemas.microsoft.com/office/excel/2006/main">
          <x14:cfRule type="iconSet" priority="3" id="{381B375A-42D7-49A6-A52D-2130434D1021}">
            <x14:iconSet showValue="0" custom="1">
              <x14:cfvo type="percent">
                <xm:f>0</xm:f>
              </x14:cfvo>
              <x14:cfvo type="percent">
                <xm:f>0</xm:f>
              </x14:cfvo>
              <x14:cfvo type="num">
                <xm:f>1</xm:f>
              </x14:cfvo>
              <x14:cfIcon iconSet="3Symbols" iconId="0"/>
              <x14:cfIcon iconSet="3Symbols" iconId="0"/>
              <x14:cfIcon iconSet="3Symbols" iconId="2"/>
            </x14:iconSet>
          </x14:cfRule>
          <xm:sqref>D28:D42</xm:sqref>
        </x14:conditionalFormatting>
        <x14:conditionalFormatting xmlns:xm="http://schemas.microsoft.com/office/excel/2006/main">
          <x14:cfRule type="iconSet" priority="1" id="{05A66E2B-23A5-4AC3-BFE1-977F769F42E5}">
            <x14:iconSet showValue="0" custom="1">
              <x14:cfvo type="percent">
                <xm:f>0</xm:f>
              </x14:cfvo>
              <x14:cfvo type="percent">
                <xm:f>0</xm:f>
              </x14:cfvo>
              <x14:cfvo type="num">
                <xm:f>1</xm:f>
              </x14:cfvo>
              <x14:cfIcon iconSet="3Symbols" iconId="0"/>
              <x14:cfIcon iconSet="3Symbols" iconId="0"/>
              <x14:cfIcon iconSet="3Symbols" iconId="2"/>
            </x14:iconSet>
          </x14:cfRule>
          <xm:sqref>D46:D54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CW145"/>
  <sheetViews>
    <sheetView showGridLines="0" showRowColHeaders="0" zoomScale="60" zoomScaleNormal="60" workbookViewId="0">
      <pane ySplit="7" topLeftCell="A8" activePane="bottomLeft" state="frozen"/>
      <selection pane="bottomLeft" activeCell="AP3" sqref="AP3:AV3"/>
    </sheetView>
  </sheetViews>
  <sheetFormatPr baseColWidth="10" defaultColWidth="11.42578125" defaultRowHeight="15" x14ac:dyDescent="0.25"/>
  <cols>
    <col min="1" max="1" width="5.28515625" customWidth="1"/>
    <col min="2" max="2" width="8.7109375" customWidth="1"/>
    <col min="3" max="3" width="9" customWidth="1"/>
    <col min="4" max="41" width="5.7109375" customWidth="1"/>
    <col min="43" max="48" width="5.7109375" customWidth="1"/>
  </cols>
  <sheetData>
    <row r="1" spans="1:101" ht="15.75" thickBot="1" x14ac:dyDescent="0.3"/>
    <row r="2" spans="1:101" ht="15" customHeight="1" x14ac:dyDescent="0.25">
      <c r="D2" s="415" t="s">
        <v>251</v>
      </c>
      <c r="E2" s="416"/>
      <c r="F2" s="416"/>
      <c r="G2" s="416"/>
      <c r="H2" s="416"/>
      <c r="I2" s="416"/>
      <c r="J2" s="416"/>
      <c r="K2" s="417"/>
      <c r="L2" s="406" t="s">
        <v>38</v>
      </c>
      <c r="M2" s="407"/>
      <c r="N2" s="407"/>
      <c r="O2" s="407"/>
      <c r="P2" s="407"/>
      <c r="Q2" s="407"/>
      <c r="R2" s="407"/>
      <c r="S2" s="407"/>
      <c r="T2" s="407"/>
      <c r="U2" s="407"/>
      <c r="V2" s="407"/>
      <c r="W2" s="407"/>
      <c r="X2" s="407"/>
      <c r="Y2" s="407"/>
      <c r="Z2" s="407"/>
      <c r="AA2" s="407"/>
      <c r="AB2" s="407"/>
      <c r="AC2" s="407"/>
      <c r="AD2" s="407"/>
      <c r="AE2" s="407"/>
      <c r="AF2" s="407"/>
      <c r="AG2" s="407"/>
      <c r="AH2" s="407"/>
      <c r="AI2" s="407"/>
      <c r="AJ2" s="407"/>
      <c r="AK2" s="407"/>
      <c r="AL2" s="407"/>
      <c r="AM2" s="407"/>
      <c r="AN2" s="407"/>
      <c r="AO2" s="408"/>
      <c r="AP2" s="348" t="s">
        <v>252</v>
      </c>
      <c r="AQ2" s="403"/>
      <c r="AR2" s="403"/>
      <c r="AS2" s="403"/>
      <c r="AT2" s="403"/>
      <c r="AU2" s="403"/>
      <c r="AV2" s="257"/>
    </row>
    <row r="3" spans="1:101" x14ac:dyDescent="0.25">
      <c r="D3" s="418"/>
      <c r="E3" s="419"/>
      <c r="F3" s="419"/>
      <c r="G3" s="419"/>
      <c r="H3" s="419"/>
      <c r="I3" s="419"/>
      <c r="J3" s="419"/>
      <c r="K3" s="420"/>
      <c r="L3" s="409"/>
      <c r="M3" s="410"/>
      <c r="N3" s="410"/>
      <c r="O3" s="410"/>
      <c r="P3" s="410"/>
      <c r="Q3" s="410"/>
      <c r="R3" s="410"/>
      <c r="S3" s="410"/>
      <c r="T3" s="410"/>
      <c r="U3" s="410"/>
      <c r="V3" s="410"/>
      <c r="W3" s="410"/>
      <c r="X3" s="410"/>
      <c r="Y3" s="410"/>
      <c r="Z3" s="410"/>
      <c r="AA3" s="410"/>
      <c r="AB3" s="410"/>
      <c r="AC3" s="410"/>
      <c r="AD3" s="410"/>
      <c r="AE3" s="410"/>
      <c r="AF3" s="410"/>
      <c r="AG3" s="410"/>
      <c r="AH3" s="410"/>
      <c r="AI3" s="410"/>
      <c r="AJ3" s="410"/>
      <c r="AK3" s="410"/>
      <c r="AL3" s="410"/>
      <c r="AM3" s="410"/>
      <c r="AN3" s="410"/>
      <c r="AO3" s="411"/>
      <c r="AP3" s="349" t="s">
        <v>3</v>
      </c>
      <c r="AQ3" s="404"/>
      <c r="AR3" s="404"/>
      <c r="AS3" s="404"/>
      <c r="AT3" s="404"/>
      <c r="AU3" s="404"/>
      <c r="AV3" s="259"/>
    </row>
    <row r="4" spans="1:101" x14ac:dyDescent="0.25">
      <c r="D4" s="418"/>
      <c r="E4" s="419"/>
      <c r="F4" s="419"/>
      <c r="G4" s="419"/>
      <c r="H4" s="419"/>
      <c r="I4" s="419"/>
      <c r="J4" s="419"/>
      <c r="K4" s="420"/>
      <c r="L4" s="409"/>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1"/>
      <c r="AP4" s="349" t="s">
        <v>4</v>
      </c>
      <c r="AQ4" s="404" t="s">
        <v>253</v>
      </c>
      <c r="AR4" s="404"/>
      <c r="AS4" s="404"/>
      <c r="AT4" s="404"/>
      <c r="AU4" s="404"/>
      <c r="AV4" s="259"/>
    </row>
    <row r="5" spans="1:101" ht="15.75" thickBot="1" x14ac:dyDescent="0.3">
      <c r="D5" s="421"/>
      <c r="E5" s="422"/>
      <c r="F5" s="422"/>
      <c r="G5" s="422"/>
      <c r="H5" s="422"/>
      <c r="I5" s="422"/>
      <c r="J5" s="422"/>
      <c r="K5" s="423"/>
      <c r="L5" s="412"/>
      <c r="M5" s="413"/>
      <c r="N5" s="413"/>
      <c r="O5" s="413"/>
      <c r="P5" s="413"/>
      <c r="Q5" s="413"/>
      <c r="R5" s="413"/>
      <c r="S5" s="413"/>
      <c r="T5" s="413"/>
      <c r="U5" s="413"/>
      <c r="V5" s="413"/>
      <c r="W5" s="413"/>
      <c r="X5" s="413"/>
      <c r="Y5" s="413"/>
      <c r="Z5" s="413"/>
      <c r="AA5" s="413"/>
      <c r="AB5" s="413"/>
      <c r="AC5" s="413"/>
      <c r="AD5" s="413"/>
      <c r="AE5" s="413"/>
      <c r="AF5" s="413"/>
      <c r="AG5" s="413"/>
      <c r="AH5" s="413"/>
      <c r="AI5" s="413"/>
      <c r="AJ5" s="413"/>
      <c r="AK5" s="413"/>
      <c r="AL5" s="413"/>
      <c r="AM5" s="413"/>
      <c r="AN5" s="413"/>
      <c r="AO5" s="414"/>
      <c r="AP5" s="350" t="s">
        <v>5</v>
      </c>
      <c r="AQ5" s="405" t="s">
        <v>5</v>
      </c>
      <c r="AR5" s="405"/>
      <c r="AS5" s="405"/>
      <c r="AT5" s="405"/>
      <c r="AU5" s="405"/>
      <c r="AV5" s="261"/>
    </row>
    <row r="7" spans="1:101" ht="18" customHeight="1" x14ac:dyDescent="0.25">
      <c r="C7" s="68"/>
      <c r="D7" s="355" t="s">
        <v>254</v>
      </c>
      <c r="E7" s="355"/>
      <c r="F7" s="355"/>
      <c r="G7" s="355"/>
      <c r="H7" s="355"/>
      <c r="I7" s="355"/>
      <c r="J7" s="355"/>
      <c r="K7" s="355"/>
      <c r="L7" s="462" t="s">
        <v>56</v>
      </c>
      <c r="M7" s="462"/>
      <c r="N7" s="462"/>
      <c r="O7" s="462"/>
      <c r="P7" s="462"/>
      <c r="Q7" s="462"/>
      <c r="R7" s="462"/>
      <c r="S7" s="462"/>
      <c r="T7" s="462"/>
      <c r="U7" s="462"/>
      <c r="V7" s="462"/>
      <c r="W7" s="462"/>
      <c r="X7" s="462"/>
      <c r="Y7" s="462"/>
      <c r="Z7" s="462"/>
      <c r="AA7" s="462"/>
      <c r="AB7" s="462"/>
      <c r="AC7" s="462"/>
      <c r="AD7" s="462"/>
      <c r="AE7" s="462"/>
      <c r="AF7" s="462"/>
      <c r="AG7" s="462"/>
      <c r="AH7" s="462"/>
      <c r="AI7" s="462"/>
      <c r="AJ7" s="462"/>
      <c r="AK7" s="462"/>
      <c r="AL7" s="462"/>
      <c r="AM7" s="462"/>
      <c r="AN7" s="462"/>
      <c r="AO7" s="462"/>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row>
    <row r="8" spans="1:101" ht="18.75" customHeight="1" x14ac:dyDescent="0.25">
      <c r="A8" s="272" t="s">
        <v>9</v>
      </c>
      <c r="B8" s="272"/>
      <c r="C8" s="273"/>
      <c r="D8" s="355"/>
      <c r="E8" s="355"/>
      <c r="F8" s="355"/>
      <c r="G8" s="355"/>
      <c r="H8" s="355"/>
      <c r="I8" s="355"/>
      <c r="J8" s="355"/>
      <c r="K8" s="355"/>
      <c r="L8" s="462"/>
      <c r="M8" s="462"/>
      <c r="N8" s="462"/>
      <c r="O8" s="462"/>
      <c r="P8" s="462"/>
      <c r="Q8" s="462"/>
      <c r="R8" s="462"/>
      <c r="S8" s="462"/>
      <c r="T8" s="462"/>
      <c r="U8" s="462"/>
      <c r="V8" s="462"/>
      <c r="W8" s="462"/>
      <c r="X8" s="462"/>
      <c r="Y8" s="462"/>
      <c r="Z8" s="462"/>
      <c r="AA8" s="462"/>
      <c r="AB8" s="462"/>
      <c r="AC8" s="462"/>
      <c r="AD8" s="462"/>
      <c r="AE8" s="462"/>
      <c r="AF8" s="462"/>
      <c r="AG8" s="462"/>
      <c r="AH8" s="462"/>
      <c r="AI8" s="462"/>
      <c r="AJ8" s="462"/>
      <c r="AK8" s="462"/>
      <c r="AL8" s="462"/>
      <c r="AM8" s="462"/>
      <c r="AN8" s="462"/>
      <c r="AO8" s="462"/>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c r="CO8" s="68"/>
      <c r="CP8" s="68"/>
      <c r="CQ8" s="68"/>
      <c r="CR8" s="68"/>
      <c r="CS8" s="68"/>
      <c r="CT8" s="68"/>
      <c r="CU8" s="68"/>
      <c r="CV8" s="68"/>
      <c r="CW8" s="68"/>
    </row>
    <row r="9" spans="1:101" ht="15" customHeight="1" x14ac:dyDescent="0.25">
      <c r="C9" s="68"/>
      <c r="D9" s="355"/>
      <c r="E9" s="355"/>
      <c r="F9" s="355"/>
      <c r="G9" s="355"/>
      <c r="H9" s="355"/>
      <c r="I9" s="355"/>
      <c r="J9" s="355"/>
      <c r="K9" s="355"/>
      <c r="L9" s="462"/>
      <c r="M9" s="462"/>
      <c r="N9" s="462"/>
      <c r="O9" s="462"/>
      <c r="P9" s="462"/>
      <c r="Q9" s="462"/>
      <c r="R9" s="462"/>
      <c r="S9" s="462"/>
      <c r="T9" s="462"/>
      <c r="U9" s="462"/>
      <c r="V9" s="462"/>
      <c r="W9" s="462"/>
      <c r="X9" s="462"/>
      <c r="Y9" s="462"/>
      <c r="Z9" s="462"/>
      <c r="AA9" s="462"/>
      <c r="AB9" s="462"/>
      <c r="AC9" s="462"/>
      <c r="AD9" s="462"/>
      <c r="AE9" s="462"/>
      <c r="AF9" s="462"/>
      <c r="AG9" s="462"/>
      <c r="AH9" s="462"/>
      <c r="AI9" s="462"/>
      <c r="AJ9" s="462"/>
      <c r="AK9" s="462"/>
      <c r="AL9" s="462"/>
      <c r="AM9" s="462"/>
      <c r="AN9" s="462"/>
      <c r="AO9" s="462"/>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row>
    <row r="10" spans="1:101" ht="15.75" thickBot="1" x14ac:dyDescent="0.3">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row>
    <row r="11" spans="1:101" ht="15" customHeight="1" x14ac:dyDescent="0.25">
      <c r="C11" s="68"/>
      <c r="D11" s="424" t="s">
        <v>255</v>
      </c>
      <c r="E11" s="424"/>
      <c r="F11" s="425"/>
      <c r="G11" s="392" t="s">
        <v>256</v>
      </c>
      <c r="H11" s="394"/>
      <c r="I11" s="394"/>
      <c r="J11" s="394"/>
      <c r="K11" s="394"/>
      <c r="L11" s="389"/>
      <c r="M11" s="390"/>
      <c r="N11" s="390" t="str">
        <f>IF(AND('Mapa final'!$K$15="Muy Alta",'Mapa final'!$O$15="Leve"),CONCATENATE("R",'Mapa final'!$A$18),"")</f>
        <v/>
      </c>
      <c r="O11" s="390"/>
      <c r="P11" s="390" t="str">
        <f>IF(AND('Mapa final'!$K$19="Muy Alta",'Mapa final'!$O$19="Leve"),CONCATENATE("R",'Mapa final'!$A$19),"")</f>
        <v/>
      </c>
      <c r="Q11" s="391"/>
      <c r="R11" s="389"/>
      <c r="S11" s="390"/>
      <c r="T11" s="390" t="str">
        <f>IF(AND('Mapa final'!$P$15="Muy Alta",'Mapa final'!$S$15="Menor"),CONCATENATE("R",'Mapa final'!$A$18),"")</f>
        <v/>
      </c>
      <c r="U11" s="390"/>
      <c r="V11" s="390" t="str">
        <f>IF(AND('Mapa final'!$P$19="Muy Alta",'Mapa final'!$S$19="Menor"),CONCATENATE("R",'Mapa final'!$A$19),"")</f>
        <v/>
      </c>
      <c r="W11" s="390"/>
      <c r="X11" s="389"/>
      <c r="Y11" s="390"/>
      <c r="Z11" s="390" t="str">
        <f>IF(AND('Mapa final'!P$15="Muy Alta",'Mapa final'!$S$15="Moderado"),CONCATENATE("R",'Mapa final'!$A$18),"")</f>
        <v/>
      </c>
      <c r="AA11" s="390"/>
      <c r="AB11" s="390" t="str">
        <f>IF(AND('Mapa final'!$P$19="Muy Alta",'Mapa final'!$S$19="Moderado"),CONCATENATE("R",'Mapa final'!$A$19),"")</f>
        <v/>
      </c>
      <c r="AC11" s="390"/>
      <c r="AD11" s="389"/>
      <c r="AE11" s="390"/>
      <c r="AF11" s="390" t="str">
        <f>IF(AND('Mapa final'!$P$15="Muy Alta",'Mapa final'!$S$15="Mayor"),CONCATENATE("R",'Mapa final'!$A$18),"")</f>
        <v>R</v>
      </c>
      <c r="AG11" s="390"/>
      <c r="AH11" s="390" t="str">
        <f>IF(AND('Mapa final'!$P$19="Muy Alta",'Mapa final'!$S$19="Mayor"),CONCATENATE("R",'Mapa final'!$A$19),"")</f>
        <v/>
      </c>
      <c r="AI11" s="390"/>
      <c r="AJ11" s="380"/>
      <c r="AK11" s="381"/>
      <c r="AL11" s="381" t="str">
        <f>IF(AND('Mapa final'!$P$15="Muy Alta",'Mapa final'!$S$15="Catastrófico"),CONCATENATE("R",'Mapa final'!$A$18),"")</f>
        <v/>
      </c>
      <c r="AM11" s="381"/>
      <c r="AN11" s="381" t="str">
        <f>IF(AND('Mapa final'!$P$19="Muy Alta",'Mapa final'!$S$19="Catastrófico"),CONCATENATE("R",'Mapa final'!$A$19),"")</f>
        <v/>
      </c>
      <c r="AO11" s="382"/>
      <c r="AQ11" s="426" t="s">
        <v>257</v>
      </c>
      <c r="AR11" s="427"/>
      <c r="AS11" s="427"/>
      <c r="AT11" s="427"/>
      <c r="AU11" s="427"/>
      <c r="AV11" s="42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row>
    <row r="12" spans="1:101" ht="15" customHeight="1" x14ac:dyDescent="0.25">
      <c r="C12" s="68"/>
      <c r="D12" s="424"/>
      <c r="E12" s="424"/>
      <c r="F12" s="425"/>
      <c r="G12" s="396"/>
      <c r="H12" s="397"/>
      <c r="I12" s="397"/>
      <c r="J12" s="397"/>
      <c r="K12" s="397"/>
      <c r="L12" s="383"/>
      <c r="M12" s="384"/>
      <c r="N12" s="384"/>
      <c r="O12" s="384"/>
      <c r="P12" s="384"/>
      <c r="Q12" s="385"/>
      <c r="R12" s="383"/>
      <c r="S12" s="384"/>
      <c r="T12" s="384"/>
      <c r="U12" s="384"/>
      <c r="V12" s="384"/>
      <c r="W12" s="384"/>
      <c r="X12" s="383"/>
      <c r="Y12" s="384"/>
      <c r="Z12" s="384"/>
      <c r="AA12" s="384"/>
      <c r="AB12" s="384"/>
      <c r="AC12" s="384"/>
      <c r="AD12" s="383"/>
      <c r="AE12" s="384"/>
      <c r="AF12" s="384"/>
      <c r="AG12" s="384"/>
      <c r="AH12" s="384"/>
      <c r="AI12" s="384"/>
      <c r="AJ12" s="374"/>
      <c r="AK12" s="375"/>
      <c r="AL12" s="375"/>
      <c r="AM12" s="375"/>
      <c r="AN12" s="375"/>
      <c r="AO12" s="376"/>
      <c r="AP12" s="68"/>
      <c r="AQ12" s="429"/>
      <c r="AR12" s="430"/>
      <c r="AS12" s="430"/>
      <c r="AT12" s="430"/>
      <c r="AU12" s="430"/>
      <c r="AV12" s="431"/>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row>
    <row r="13" spans="1:101" ht="15" customHeight="1" x14ac:dyDescent="0.25">
      <c r="C13" s="68"/>
      <c r="D13" s="424"/>
      <c r="E13" s="424"/>
      <c r="F13" s="425"/>
      <c r="G13" s="396"/>
      <c r="H13" s="397"/>
      <c r="I13" s="397"/>
      <c r="J13" s="397"/>
      <c r="K13" s="397"/>
      <c r="L13" s="383" t="e">
        <f>IF(AND('Mapa final'!#REF!="Muy Alta",'Mapa final'!#REF!="Leve"),CONCATENATE("R",'Mapa final'!#REF!),"")</f>
        <v>#REF!</v>
      </c>
      <c r="M13" s="384"/>
      <c r="N13" s="384" t="e">
        <f>IF(AND('Mapa final'!#REF!="Muy Alta",'Mapa final'!#REF!="Leve"),CONCATENATE("R",'Mapa final'!#REF!),"")</f>
        <v>#REF!</v>
      </c>
      <c r="O13" s="384"/>
      <c r="P13" s="384" t="e">
        <f>IF(AND('Mapa final'!#REF!="Muy Alta",'Mapa final'!#REF!="Leve"),CONCATENATE("R",'Mapa final'!#REF!),"")</f>
        <v>#REF!</v>
      </c>
      <c r="Q13" s="385"/>
      <c r="R13" s="383" t="e">
        <f>IF(AND('Mapa final'!#REF!="Muy Alta",'Mapa final'!#REF!="Menor"),CONCATENATE("R",'Mapa final'!#REF!),"")</f>
        <v>#REF!</v>
      </c>
      <c r="S13" s="384"/>
      <c r="T13" s="384" t="e">
        <f>IF(AND('Mapa final'!#REF!="Muy Alta",'Mapa final'!#REF!="Menor"),CONCATENATE("R",'Mapa final'!#REF!),"")</f>
        <v>#REF!</v>
      </c>
      <c r="U13" s="384"/>
      <c r="V13" s="384" t="e">
        <f>IF(AND('Mapa final'!#REF!="Muy Alta",'Mapa final'!#REF!="Menor"),CONCATENATE("R",'Mapa final'!#REF!),"")</f>
        <v>#REF!</v>
      </c>
      <c r="W13" s="384"/>
      <c r="X13" s="383" t="e">
        <f>IF(AND('Mapa final'!#REF!="Muy Alta",'Mapa final'!#REF!="Moderado"),CONCATENATE("R",'Mapa final'!#REF!),"")</f>
        <v>#REF!</v>
      </c>
      <c r="Y13" s="384"/>
      <c r="Z13" s="384" t="e">
        <f>IF(AND('Mapa final'!#REF!="Muy Alta",'Mapa final'!#REF!="Moderado"),CONCATENATE("R",'Mapa final'!#REF!),"")</f>
        <v>#REF!</v>
      </c>
      <c r="AA13" s="384"/>
      <c r="AB13" s="384" t="e">
        <f>IF(AND('Mapa final'!#REF!="Muy Alta",'Mapa final'!#REF!="Moderado"),CONCATENATE("R",'Mapa final'!#REF!),"")</f>
        <v>#REF!</v>
      </c>
      <c r="AC13" s="384"/>
      <c r="AD13" s="383" t="e">
        <f>IF(AND('Mapa final'!#REF!="Muy Alta",'Mapa final'!#REF!="Mayor"),CONCATENATE("R",'Mapa final'!#REF!),"")</f>
        <v>#REF!</v>
      </c>
      <c r="AE13" s="384"/>
      <c r="AF13" s="384" t="e">
        <f>IF(AND('Mapa final'!#REF!="Muy Alta",'Mapa final'!#REF!="Mayor"),CONCATENATE("R",'Mapa final'!#REF!),"")</f>
        <v>#REF!</v>
      </c>
      <c r="AG13" s="384"/>
      <c r="AH13" s="384" t="e">
        <f>IF(AND('Mapa final'!#REF!="Muy Alta",'Mapa final'!#REF!="Mayor"),CONCATENATE("R",'Mapa final'!#REF!),"")</f>
        <v>#REF!</v>
      </c>
      <c r="AI13" s="384"/>
      <c r="AJ13" s="374" t="e">
        <f>IF(AND('Mapa final'!#REF!="Muy Alta",'Mapa final'!#REF!="Catastrófico"),CONCATENATE("R",'Mapa final'!#REF!),"")</f>
        <v>#REF!</v>
      </c>
      <c r="AK13" s="375"/>
      <c r="AL13" s="375" t="e">
        <f>IF(AND('Mapa final'!#REF!="Muy Alta",'Mapa final'!#REF!="Catastrófico"),CONCATENATE("R",'Mapa final'!#REF!),"")</f>
        <v>#REF!</v>
      </c>
      <c r="AM13" s="375"/>
      <c r="AN13" s="375" t="e">
        <f>IF(AND('Mapa final'!#REF!="Muy Alta",'Mapa final'!#REF!="Catastrófico"),CONCATENATE("R",'Mapa final'!#REF!),"")</f>
        <v>#REF!</v>
      </c>
      <c r="AO13" s="376"/>
      <c r="AP13" s="68"/>
      <c r="AQ13" s="429"/>
      <c r="AR13" s="430"/>
      <c r="AS13" s="430"/>
      <c r="AT13" s="430"/>
      <c r="AU13" s="430"/>
      <c r="AV13" s="431"/>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row>
    <row r="14" spans="1:101" ht="15" customHeight="1" x14ac:dyDescent="0.25">
      <c r="C14" s="68"/>
      <c r="D14" s="424"/>
      <c r="E14" s="424"/>
      <c r="F14" s="425"/>
      <c r="G14" s="396"/>
      <c r="H14" s="397"/>
      <c r="I14" s="397"/>
      <c r="J14" s="397"/>
      <c r="K14" s="397"/>
      <c r="L14" s="383"/>
      <c r="M14" s="384"/>
      <c r="N14" s="384"/>
      <c r="O14" s="384"/>
      <c r="P14" s="384"/>
      <c r="Q14" s="385"/>
      <c r="R14" s="383"/>
      <c r="S14" s="384"/>
      <c r="T14" s="384"/>
      <c r="U14" s="384"/>
      <c r="V14" s="384"/>
      <c r="W14" s="384"/>
      <c r="X14" s="383"/>
      <c r="Y14" s="384"/>
      <c r="Z14" s="384"/>
      <c r="AA14" s="384"/>
      <c r="AB14" s="384"/>
      <c r="AC14" s="384"/>
      <c r="AD14" s="383"/>
      <c r="AE14" s="384"/>
      <c r="AF14" s="384"/>
      <c r="AG14" s="384"/>
      <c r="AH14" s="384"/>
      <c r="AI14" s="384"/>
      <c r="AJ14" s="374"/>
      <c r="AK14" s="375"/>
      <c r="AL14" s="375"/>
      <c r="AM14" s="375"/>
      <c r="AN14" s="375"/>
      <c r="AO14" s="376"/>
      <c r="AP14" s="68"/>
      <c r="AQ14" s="429"/>
      <c r="AR14" s="430"/>
      <c r="AS14" s="430"/>
      <c r="AT14" s="430"/>
      <c r="AU14" s="430"/>
      <c r="AV14" s="431"/>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row>
    <row r="15" spans="1:101" ht="15" customHeight="1" x14ac:dyDescent="0.25">
      <c r="C15" s="68"/>
      <c r="D15" s="424"/>
      <c r="E15" s="424"/>
      <c r="F15" s="425"/>
      <c r="G15" s="396"/>
      <c r="H15" s="397"/>
      <c r="I15" s="397"/>
      <c r="J15" s="397"/>
      <c r="K15" s="397"/>
      <c r="L15" s="383" t="e">
        <f>IF(AND('Mapa final'!#REF!="Muy Alta",'Mapa final'!#REF!="Leve"),CONCATENATE("R",'Mapa final'!#REF!),"")</f>
        <v>#REF!</v>
      </c>
      <c r="M15" s="384"/>
      <c r="N15" s="384" t="e">
        <f>IF(AND('Mapa final'!#REF!="Muy Alta",'Mapa final'!#REF!="Leve"),CONCATENATE("R",'Mapa final'!#REF!),"")</f>
        <v>#REF!</v>
      </c>
      <c r="O15" s="384"/>
      <c r="P15" s="384" t="str">
        <f>IF(AND('Mapa final'!$K$22="Muy Alta",'Mapa final'!$O$22="Leve"),CONCATENATE("R",'Mapa final'!$A$22),"")</f>
        <v/>
      </c>
      <c r="Q15" s="385"/>
      <c r="R15" s="383" t="e">
        <f>IF(AND('Mapa final'!#REF!="Muy Alta",'Mapa final'!#REF!="Menor"),CONCATENATE("R",'Mapa final'!#REF!),"")</f>
        <v>#REF!</v>
      </c>
      <c r="S15" s="384"/>
      <c r="T15" s="384" t="e">
        <f>IF(AND('Mapa final'!#REF!="Muy Alta",'Mapa final'!#REF!="Menor"),CONCATENATE("R",'Mapa final'!#REF!),"")</f>
        <v>#REF!</v>
      </c>
      <c r="U15" s="384"/>
      <c r="V15" s="384" t="str">
        <f>IF(AND('Mapa final'!$P$22="Muy Alta",'Mapa final'!$S$22="Menor"),CONCATENATE("R",'Mapa final'!$A$22),"")</f>
        <v/>
      </c>
      <c r="W15" s="384"/>
      <c r="X15" s="383" t="e">
        <f>IF(AND('Mapa final'!#REF!="Muy Alta",'Mapa final'!#REF!="Moderado"),CONCATENATE("R",'Mapa final'!#REF!),"")</f>
        <v>#REF!</v>
      </c>
      <c r="Y15" s="384"/>
      <c r="Z15" s="384" t="e">
        <f>IF(AND('Mapa final'!#REF!="Muy Alta",'Mapa final'!#REF!="Moderado"),CONCATENATE("R",'Mapa final'!#REF!),"")</f>
        <v>#REF!</v>
      </c>
      <c r="AA15" s="384"/>
      <c r="AB15" s="384" t="str">
        <f>IF(AND('Mapa final'!$P$22="Muy Alta",'Mapa final'!$S$22="Moderado"),CONCATENATE("R",'Mapa final'!$A$22),"")</f>
        <v/>
      </c>
      <c r="AC15" s="384"/>
      <c r="AD15" s="383" t="e">
        <f>IF(AND('Mapa final'!#REF!="Muy Alta",'Mapa final'!#REF!="Mayor"),CONCATENATE("R",'Mapa final'!#REF!),"")</f>
        <v>#REF!</v>
      </c>
      <c r="AE15" s="384"/>
      <c r="AF15" s="384" t="e">
        <f>IF(AND('Mapa final'!#REF!="Muy Alta",'Mapa final'!#REF!="Mayor"),CONCATENATE("R",'Mapa final'!#REF!),"")</f>
        <v>#REF!</v>
      </c>
      <c r="AG15" s="384"/>
      <c r="AH15" s="384" t="str">
        <f>IF(AND('Mapa final'!$P$22="Muy Alta",'Mapa final'!$S$22="Mayor"),CONCATENATE("R",'Mapa final'!$A$22),"")</f>
        <v/>
      </c>
      <c r="AI15" s="384"/>
      <c r="AJ15" s="374" t="e">
        <f>IF(AND('Mapa final'!#REF!="Muy Alta",'Mapa final'!#REF!="Catastrófico"),CONCATENATE("R",'Mapa final'!#REF!),"")</f>
        <v>#REF!</v>
      </c>
      <c r="AK15" s="375"/>
      <c r="AL15" s="375" t="e">
        <f>IF(AND('Mapa final'!#REF!="Muy Alta",'Mapa final'!#REF!="Catastrófico"),CONCATENATE("R",'Mapa final'!#REF!),"")</f>
        <v>#REF!</v>
      </c>
      <c r="AM15" s="375"/>
      <c r="AN15" s="375" t="str">
        <f>IF(AND('Mapa final'!$P$22="Muy Alta",'Mapa final'!$S$22="Catastrófico"),CONCATENATE("R",'Mapa final'!$A$22),"")</f>
        <v/>
      </c>
      <c r="AO15" s="376"/>
      <c r="AP15" s="68"/>
      <c r="AQ15" s="429"/>
      <c r="AR15" s="430"/>
      <c r="AS15" s="430"/>
      <c r="AT15" s="430"/>
      <c r="AU15" s="430"/>
      <c r="AV15" s="431"/>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row>
    <row r="16" spans="1:101" ht="15" customHeight="1" x14ac:dyDescent="0.25">
      <c r="C16" s="68"/>
      <c r="D16" s="424"/>
      <c r="E16" s="424"/>
      <c r="F16" s="425"/>
      <c r="G16" s="396"/>
      <c r="H16" s="397"/>
      <c r="I16" s="397"/>
      <c r="J16" s="397"/>
      <c r="K16" s="397"/>
      <c r="L16" s="383"/>
      <c r="M16" s="384"/>
      <c r="N16" s="384"/>
      <c r="O16" s="384"/>
      <c r="P16" s="384"/>
      <c r="Q16" s="385"/>
      <c r="R16" s="383"/>
      <c r="S16" s="384"/>
      <c r="T16" s="384"/>
      <c r="U16" s="384"/>
      <c r="V16" s="384"/>
      <c r="W16" s="384"/>
      <c r="X16" s="383"/>
      <c r="Y16" s="384"/>
      <c r="Z16" s="384"/>
      <c r="AA16" s="384"/>
      <c r="AB16" s="384"/>
      <c r="AC16" s="384"/>
      <c r="AD16" s="383"/>
      <c r="AE16" s="384"/>
      <c r="AF16" s="384"/>
      <c r="AG16" s="384"/>
      <c r="AH16" s="384"/>
      <c r="AI16" s="384"/>
      <c r="AJ16" s="374"/>
      <c r="AK16" s="375"/>
      <c r="AL16" s="375"/>
      <c r="AM16" s="375"/>
      <c r="AN16" s="375"/>
      <c r="AO16" s="376"/>
      <c r="AP16" s="68"/>
      <c r="AQ16" s="429"/>
      <c r="AR16" s="430"/>
      <c r="AS16" s="430"/>
      <c r="AT16" s="430"/>
      <c r="AU16" s="430"/>
      <c r="AV16" s="431"/>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row>
    <row r="17" spans="3:82" ht="15" customHeight="1" x14ac:dyDescent="0.25">
      <c r="C17" s="68"/>
      <c r="D17" s="424"/>
      <c r="E17" s="424"/>
      <c r="F17" s="425"/>
      <c r="G17" s="396"/>
      <c r="H17" s="397"/>
      <c r="I17" s="397"/>
      <c r="J17" s="397"/>
      <c r="K17" s="397"/>
      <c r="L17" s="383" t="str">
        <f>IF(AND('Mapa final'!$P$23="Muy Alta",'Mapa final'!$S$23="Leve"),CONCATENATE("R",'Mapa final'!$A$23),"")</f>
        <v/>
      </c>
      <c r="M17" s="384"/>
      <c r="N17" s="384" t="str">
        <f>IF(AND('Mapa final'!$K$24="Muy Alta",'Mapa final'!$O$24="Leve"),CONCATENATE("R",'Mapa final'!$A$24),"")</f>
        <v/>
      </c>
      <c r="O17" s="384"/>
      <c r="P17" s="384" t="str">
        <f>IF(AND('Mapa final'!$K$25="Muy Alta",'Mapa final'!$O$25="Leve"),CONCATENATE("R",'Mapa final'!$A$25),"")</f>
        <v/>
      </c>
      <c r="Q17" s="385"/>
      <c r="R17" s="383" t="str">
        <f>IF(AND('Mapa final'!$P$23="Muy Alta",'Mapa final'!$S$23="Menor"),CONCATENATE("R",'Mapa final'!$A$23),"")</f>
        <v/>
      </c>
      <c r="S17" s="384"/>
      <c r="T17" s="384" t="str">
        <f>IF(AND('Mapa final'!$P$24="Muy Alta",'Mapa final'!$S$24="Menor"),CONCATENATE("R",'Mapa final'!$A$24),"")</f>
        <v/>
      </c>
      <c r="U17" s="384"/>
      <c r="V17" s="384" t="str">
        <f>IF(AND('Mapa final'!$P$25="Muy Alta",'Mapa final'!$S$25="Menor"),CONCATENATE("R",'Mapa final'!$A$25),"")</f>
        <v/>
      </c>
      <c r="W17" s="384"/>
      <c r="X17" s="383" t="str">
        <f>IF(AND('Mapa final'!$P$23="Muy Alta",'Mapa final'!$S$23="Moderado"),CONCATENATE("R",'Mapa final'!$A$23),"")</f>
        <v/>
      </c>
      <c r="Y17" s="384"/>
      <c r="Z17" s="384" t="str">
        <f>IF(AND('Mapa final'!$P$24="Muy Alta",'Mapa final'!$S$24="Moderado"),CONCATENATE("R",'Mapa final'!$A$24),"")</f>
        <v/>
      </c>
      <c r="AA17" s="384"/>
      <c r="AB17" s="384" t="str">
        <f>IF(AND('Mapa final'!$P$25="Muy Alta",'Mapa final'!$S$25="Moderado"),CONCATENATE("R",'Mapa final'!$A$25),"")</f>
        <v/>
      </c>
      <c r="AC17" s="384"/>
      <c r="AD17" s="383" t="str">
        <f>IF(AND('Mapa final'!$P$23="Muy Alta",'Mapa final'!$S$23="Mayor"),CONCATENATE("R",'Mapa final'!$A$23),"")</f>
        <v/>
      </c>
      <c r="AE17" s="384"/>
      <c r="AF17" s="384" t="str">
        <f>IF(AND('Mapa final'!$P$24="Muy Alta",'Mapa final'!$S$24="Mayor"),CONCATENATE("R",'Mapa final'!$A$24),"")</f>
        <v/>
      </c>
      <c r="AG17" s="384"/>
      <c r="AH17" s="384" t="str">
        <f>IF(AND('Mapa final'!$P$25="Muy Alta",'Mapa final'!$S$25="Mayor"),CONCATENATE("R",'Mapa final'!$A$25),"")</f>
        <v/>
      </c>
      <c r="AI17" s="384"/>
      <c r="AJ17" s="374" t="str">
        <f>IF(AND('Mapa final'!$P$23="Muy Alta",'Mapa final'!$S$23="Catastrófico"),CONCATENATE("R",'Mapa final'!$A$23),"")</f>
        <v/>
      </c>
      <c r="AK17" s="375"/>
      <c r="AL17" s="375" t="str">
        <f>IF(AND('Mapa final'!$P$24="Muy Alta",'Mapa final'!$S$24="Catastrófico"),CONCATENATE("R",'Mapa final'!$A$24),"")</f>
        <v/>
      </c>
      <c r="AM17" s="375"/>
      <c r="AN17" s="375" t="str">
        <f>IF(AND('Mapa final'!$P$25="Muy Alta",'Mapa final'!$S$25="Catastrófico"),CONCATENATE("R",'Mapa final'!$A$25),"")</f>
        <v/>
      </c>
      <c r="AO17" s="376"/>
      <c r="AP17" s="68"/>
      <c r="AQ17" s="429"/>
      <c r="AR17" s="430"/>
      <c r="AS17" s="430"/>
      <c r="AT17" s="430"/>
      <c r="AU17" s="430"/>
      <c r="AV17" s="431"/>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row>
    <row r="18" spans="3:82" ht="15.75" customHeight="1" thickBot="1" x14ac:dyDescent="0.3">
      <c r="C18" s="68"/>
      <c r="D18" s="424"/>
      <c r="E18" s="424"/>
      <c r="F18" s="425"/>
      <c r="G18" s="399"/>
      <c r="H18" s="400"/>
      <c r="I18" s="400"/>
      <c r="J18" s="400"/>
      <c r="K18" s="400"/>
      <c r="L18" s="386"/>
      <c r="M18" s="387"/>
      <c r="N18" s="387"/>
      <c r="O18" s="387"/>
      <c r="P18" s="387"/>
      <c r="Q18" s="388"/>
      <c r="R18" s="386"/>
      <c r="S18" s="387"/>
      <c r="T18" s="387"/>
      <c r="U18" s="387"/>
      <c r="V18" s="387"/>
      <c r="W18" s="387"/>
      <c r="X18" s="383"/>
      <c r="Y18" s="384"/>
      <c r="Z18" s="384"/>
      <c r="AA18" s="384"/>
      <c r="AB18" s="384"/>
      <c r="AC18" s="384"/>
      <c r="AD18" s="383"/>
      <c r="AE18" s="384"/>
      <c r="AF18" s="384"/>
      <c r="AG18" s="384"/>
      <c r="AH18" s="384"/>
      <c r="AI18" s="384"/>
      <c r="AJ18" s="374"/>
      <c r="AK18" s="375"/>
      <c r="AL18" s="375"/>
      <c r="AM18" s="375"/>
      <c r="AN18" s="375"/>
      <c r="AO18" s="376"/>
      <c r="AP18" s="68"/>
      <c r="AQ18" s="432"/>
      <c r="AR18" s="433"/>
      <c r="AS18" s="433"/>
      <c r="AT18" s="433"/>
      <c r="AU18" s="433"/>
      <c r="AV18" s="434"/>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row>
    <row r="19" spans="3:82" ht="15" customHeight="1" x14ac:dyDescent="0.25">
      <c r="C19" s="68"/>
      <c r="D19" s="424"/>
      <c r="E19" s="424"/>
      <c r="F19" s="425"/>
      <c r="G19" s="392" t="s">
        <v>258</v>
      </c>
      <c r="H19" s="394"/>
      <c r="I19" s="394"/>
      <c r="J19" s="394"/>
      <c r="K19" s="394"/>
      <c r="L19" s="371"/>
      <c r="M19" s="372"/>
      <c r="N19" s="372" t="str">
        <f>IF(AND('Mapa final'!$K$15="Alta",'Mapa final'!$O$15="Leve"),CONCATENATE("R",'Mapa final'!$A$18),"")</f>
        <v/>
      </c>
      <c r="O19" s="372"/>
      <c r="P19" s="372" t="str">
        <f>IF(AND('Mapa final'!$K$19="Alta",'Mapa final'!$O$19="Leve"),CONCATENATE("R",'Mapa final'!$A$19),"")</f>
        <v/>
      </c>
      <c r="Q19" s="373"/>
      <c r="R19" s="371"/>
      <c r="S19" s="372"/>
      <c r="T19" s="366" t="str">
        <f>IF(AND('Mapa final'!$P$15="Alta",'Mapa final'!$S$15="Menor"),CONCATENATE("R",'Mapa final'!$A$18),"")</f>
        <v/>
      </c>
      <c r="U19" s="366"/>
      <c r="V19" s="366" t="str">
        <f>IF(AND('Mapa final'!$P$19="Alta",'Mapa final'!$S$19="Menor"),CONCATENATE("R",'Mapa final'!$A$19),"")</f>
        <v/>
      </c>
      <c r="W19" s="366"/>
      <c r="X19" s="389"/>
      <c r="Y19" s="390"/>
      <c r="Z19" s="390" t="str">
        <f>IF(AND('Mapa final'!P$15="Alta",'Mapa final'!$S$15="Moderado"),CONCATENATE("R",'Mapa final'!$A$18),"")</f>
        <v/>
      </c>
      <c r="AA19" s="390"/>
      <c r="AB19" s="390" t="str">
        <f>IF(AND('Mapa final'!$P$19="Alta",'Mapa final'!$S$19="Moderado"),CONCATENATE("R",'Mapa final'!$A$19),"")</f>
        <v/>
      </c>
      <c r="AC19" s="390"/>
      <c r="AD19" s="389"/>
      <c r="AE19" s="390"/>
      <c r="AF19" s="390" t="str">
        <f>IF(AND('Mapa final'!$P$15="Alta",'Mapa final'!$S$15="Mayor"),CONCATENATE("R",'Mapa final'!$A$18),"")</f>
        <v/>
      </c>
      <c r="AG19" s="390"/>
      <c r="AH19" s="390" t="str">
        <f>IF(AND('Mapa final'!$P$19="Alta",'Mapa final'!$S$19="Mayor"),CONCATENATE("R",'Mapa final'!$A$19),"")</f>
        <v/>
      </c>
      <c r="AI19" s="390"/>
      <c r="AJ19" s="380"/>
      <c r="AK19" s="381"/>
      <c r="AL19" s="381" t="str">
        <f>IF(AND('Mapa final'!$P$15="Alta",'Mapa final'!$S$15="Catastrófico"),CONCATENATE("R",'Mapa final'!$A$18),"")</f>
        <v/>
      </c>
      <c r="AM19" s="381"/>
      <c r="AN19" s="381" t="str">
        <f>IF(AND('Mapa final'!$P$19="Alta",'Mapa final'!$S$19="Catastrófico"),CONCATENATE("R",'Mapa final'!$A$19),"")</f>
        <v/>
      </c>
      <c r="AO19" s="382"/>
      <c r="AP19" s="68"/>
      <c r="AQ19" s="435" t="s">
        <v>259</v>
      </c>
      <c r="AR19" s="436"/>
      <c r="AS19" s="436"/>
      <c r="AT19" s="436"/>
      <c r="AU19" s="436"/>
      <c r="AV19" s="437"/>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row>
    <row r="20" spans="3:82" ht="15" customHeight="1" x14ac:dyDescent="0.25">
      <c r="C20" s="68"/>
      <c r="D20" s="424"/>
      <c r="E20" s="424"/>
      <c r="F20" s="425"/>
      <c r="G20" s="396"/>
      <c r="H20" s="397"/>
      <c r="I20" s="397"/>
      <c r="J20" s="397"/>
      <c r="K20" s="397"/>
      <c r="L20" s="365"/>
      <c r="M20" s="366"/>
      <c r="N20" s="366"/>
      <c r="O20" s="366"/>
      <c r="P20" s="366"/>
      <c r="Q20" s="367"/>
      <c r="R20" s="365"/>
      <c r="S20" s="366"/>
      <c r="T20" s="366"/>
      <c r="U20" s="366"/>
      <c r="V20" s="366"/>
      <c r="W20" s="366"/>
      <c r="X20" s="383"/>
      <c r="Y20" s="384"/>
      <c r="Z20" s="384"/>
      <c r="AA20" s="384"/>
      <c r="AB20" s="384"/>
      <c r="AC20" s="384"/>
      <c r="AD20" s="383"/>
      <c r="AE20" s="384"/>
      <c r="AF20" s="384"/>
      <c r="AG20" s="384"/>
      <c r="AH20" s="384"/>
      <c r="AI20" s="384"/>
      <c r="AJ20" s="374"/>
      <c r="AK20" s="375"/>
      <c r="AL20" s="375"/>
      <c r="AM20" s="375"/>
      <c r="AN20" s="375"/>
      <c r="AO20" s="376"/>
      <c r="AP20" s="68"/>
      <c r="AQ20" s="438"/>
      <c r="AR20" s="439"/>
      <c r="AS20" s="439"/>
      <c r="AT20" s="439"/>
      <c r="AU20" s="439"/>
      <c r="AV20" s="440"/>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row>
    <row r="21" spans="3:82" ht="15" customHeight="1" x14ac:dyDescent="0.25">
      <c r="C21" s="68"/>
      <c r="D21" s="424"/>
      <c r="E21" s="424"/>
      <c r="F21" s="425"/>
      <c r="G21" s="396"/>
      <c r="H21" s="397"/>
      <c r="I21" s="397"/>
      <c r="J21" s="397"/>
      <c r="K21" s="397"/>
      <c r="L21" s="365" t="e">
        <f>IF(AND('Mapa final'!#REF!="Alta",'Mapa final'!#REF!="Leve"),CONCATENATE("R",'Mapa final'!#REF!),"")</f>
        <v>#REF!</v>
      </c>
      <c r="M21" s="366"/>
      <c r="N21" s="366" t="e">
        <f>IF(AND('Mapa final'!#REF!="Alta",'Mapa final'!#REF!="Leve"),CONCATENATE("R",'Mapa final'!#REF!),"")</f>
        <v>#REF!</v>
      </c>
      <c r="O21" s="366"/>
      <c r="P21" s="366" t="e">
        <f>IF(AND('Mapa final'!#REF!="Alta",'Mapa final'!#REF!="Leve"),CONCATENATE("R",'Mapa final'!#REF!),"")</f>
        <v>#REF!</v>
      </c>
      <c r="Q21" s="367"/>
      <c r="R21" s="365" t="e">
        <f>IF(AND('Mapa final'!#REF!="Alta",'Mapa final'!#REF!="Menor"),CONCATENATE("R",'Mapa final'!#REF!),"")</f>
        <v>#REF!</v>
      </c>
      <c r="S21" s="366"/>
      <c r="T21" s="366" t="e">
        <f>IF(AND('Mapa final'!#REF!="Alta",'Mapa final'!#REF!="Menor"),CONCATENATE("R",'Mapa final'!#REF!),"")</f>
        <v>#REF!</v>
      </c>
      <c r="U21" s="366"/>
      <c r="V21" s="366" t="e">
        <f>IF(AND('Mapa final'!#REF!="Alta",'Mapa final'!#REF!="Menor"),CONCATENATE("R",'Mapa final'!#REF!),"")</f>
        <v>#REF!</v>
      </c>
      <c r="W21" s="366"/>
      <c r="X21" s="383" t="e">
        <f>IF(AND('Mapa final'!#REF!="Alta",'Mapa final'!#REF!="Moderado"),CONCATENATE("R",'Mapa final'!#REF!),"")</f>
        <v>#REF!</v>
      </c>
      <c r="Y21" s="384"/>
      <c r="Z21" s="384" t="e">
        <f>IF(AND('Mapa final'!#REF!="Alta",'Mapa final'!#REF!="Moderado"),CONCATENATE("R",'Mapa final'!#REF!),"")</f>
        <v>#REF!</v>
      </c>
      <c r="AA21" s="384"/>
      <c r="AB21" s="384" t="e">
        <f>IF(AND('Mapa final'!#REF!="Alta",'Mapa final'!#REF!="Moderado"),CONCATENATE("R",'Mapa final'!#REF!),"")</f>
        <v>#REF!</v>
      </c>
      <c r="AC21" s="384"/>
      <c r="AD21" s="383" t="e">
        <f>IF(AND('Mapa final'!#REF!="Alta",'Mapa final'!#REF!="Mayor"),CONCATENATE("R",'Mapa final'!#REF!),"")</f>
        <v>#REF!</v>
      </c>
      <c r="AE21" s="384"/>
      <c r="AF21" s="384" t="e">
        <f>IF(AND('Mapa final'!#REF!="Alta",'Mapa final'!#REF!="Mayor"),CONCATENATE("R",'Mapa final'!#REF!),"")</f>
        <v>#REF!</v>
      </c>
      <c r="AG21" s="384"/>
      <c r="AH21" s="384" t="e">
        <f>IF(AND('Mapa final'!#REF!="Alta",'Mapa final'!#REF!="Mayor"),CONCATENATE("R",'Mapa final'!#REF!),"")</f>
        <v>#REF!</v>
      </c>
      <c r="AI21" s="384"/>
      <c r="AJ21" s="374" t="e">
        <f>IF(AND('Mapa final'!#REF!="Alta",'Mapa final'!#REF!="Catastrófico"),CONCATENATE("R",'Mapa final'!#REF!),"")</f>
        <v>#REF!</v>
      </c>
      <c r="AK21" s="375"/>
      <c r="AL21" s="375" t="e">
        <f>IF(AND('Mapa final'!#REF!="Alta",'Mapa final'!#REF!="Catastrófico"),CONCATENATE("R",'Mapa final'!#REF!),"")</f>
        <v>#REF!</v>
      </c>
      <c r="AM21" s="375"/>
      <c r="AN21" s="375" t="e">
        <f>IF(AND('Mapa final'!#REF!="Alta",'Mapa final'!#REF!="Catastrófico"),CONCATENATE("R",'Mapa final'!#REF!),"")</f>
        <v>#REF!</v>
      </c>
      <c r="AO21" s="376"/>
      <c r="AP21" s="68"/>
      <c r="AQ21" s="438"/>
      <c r="AR21" s="439"/>
      <c r="AS21" s="439"/>
      <c r="AT21" s="439"/>
      <c r="AU21" s="439"/>
      <c r="AV21" s="440"/>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row>
    <row r="22" spans="3:82" ht="15" customHeight="1" x14ac:dyDescent="0.25">
      <c r="C22" s="68"/>
      <c r="D22" s="424"/>
      <c r="E22" s="424"/>
      <c r="F22" s="425"/>
      <c r="G22" s="396"/>
      <c r="H22" s="397"/>
      <c r="I22" s="397"/>
      <c r="J22" s="397"/>
      <c r="K22" s="397"/>
      <c r="L22" s="365"/>
      <c r="M22" s="366"/>
      <c r="N22" s="366"/>
      <c r="O22" s="366"/>
      <c r="P22" s="366"/>
      <c r="Q22" s="367"/>
      <c r="R22" s="365"/>
      <c r="S22" s="366"/>
      <c r="T22" s="366"/>
      <c r="U22" s="366"/>
      <c r="V22" s="366"/>
      <c r="W22" s="366"/>
      <c r="X22" s="383"/>
      <c r="Y22" s="384"/>
      <c r="Z22" s="384"/>
      <c r="AA22" s="384"/>
      <c r="AB22" s="384"/>
      <c r="AC22" s="384"/>
      <c r="AD22" s="383"/>
      <c r="AE22" s="384"/>
      <c r="AF22" s="384"/>
      <c r="AG22" s="384"/>
      <c r="AH22" s="384"/>
      <c r="AI22" s="384"/>
      <c r="AJ22" s="374"/>
      <c r="AK22" s="375"/>
      <c r="AL22" s="375"/>
      <c r="AM22" s="375"/>
      <c r="AN22" s="375"/>
      <c r="AO22" s="376"/>
      <c r="AP22" s="68"/>
      <c r="AQ22" s="438"/>
      <c r="AR22" s="439"/>
      <c r="AS22" s="439"/>
      <c r="AT22" s="439"/>
      <c r="AU22" s="439"/>
      <c r="AV22" s="440"/>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row>
    <row r="23" spans="3:82" ht="15" customHeight="1" x14ac:dyDescent="0.25">
      <c r="C23" s="68"/>
      <c r="D23" s="424"/>
      <c r="E23" s="424"/>
      <c r="F23" s="425"/>
      <c r="G23" s="396"/>
      <c r="H23" s="397"/>
      <c r="I23" s="397"/>
      <c r="J23" s="397"/>
      <c r="K23" s="397"/>
      <c r="L23" s="365" t="e">
        <f>IF(AND('Mapa final'!#REF!="Alta",'Mapa final'!#REF!="Leve"),CONCATENATE("R",'Mapa final'!#REF!),"")</f>
        <v>#REF!</v>
      </c>
      <c r="M23" s="366"/>
      <c r="N23" s="366" t="e">
        <f>IF(AND('Mapa final'!#REF!="Alta",'Mapa final'!#REF!="Leve"),CONCATENATE("R",'Mapa final'!#REF!),"")</f>
        <v>#REF!</v>
      </c>
      <c r="O23" s="366"/>
      <c r="P23" s="366" t="str">
        <f>IF(AND('Mapa final'!$K$22="Alta",'Mapa final'!$O$22="Leve"),CONCATENATE("R",'Mapa final'!$A$22),"")</f>
        <v/>
      </c>
      <c r="Q23" s="367"/>
      <c r="R23" s="365" t="e">
        <f>IF(AND('Mapa final'!#REF!="Alta",'Mapa final'!#REF!="Menor"),CONCATENATE("R",'Mapa final'!#REF!),"")</f>
        <v>#REF!</v>
      </c>
      <c r="S23" s="366"/>
      <c r="T23" s="366" t="e">
        <f>IF(AND('Mapa final'!#REF!="Alta",'Mapa final'!#REF!="Menor"),CONCATENATE("R",'Mapa final'!#REF!),"")</f>
        <v>#REF!</v>
      </c>
      <c r="U23" s="366"/>
      <c r="V23" s="366" t="str">
        <f>IF(AND('Mapa final'!$P$22="Alta",'Mapa final'!$S$22="Menor"),CONCATENATE("R",'Mapa final'!$A$22),"")</f>
        <v/>
      </c>
      <c r="W23" s="366"/>
      <c r="X23" s="383" t="e">
        <f>IF(AND('Mapa final'!#REF!="Alta",'Mapa final'!#REF!="Moderado"),CONCATENATE("R",'Mapa final'!#REF!),"")</f>
        <v>#REF!</v>
      </c>
      <c r="Y23" s="384"/>
      <c r="Z23" s="384" t="e">
        <f>IF(AND('Mapa final'!#REF!="Alta",'Mapa final'!#REF!="Moderado"),CONCATENATE("R",'Mapa final'!#REF!),"")</f>
        <v>#REF!</v>
      </c>
      <c r="AA23" s="384"/>
      <c r="AB23" s="384" t="str">
        <f>IF(AND('Mapa final'!$P$22="Alta",'Mapa final'!$S$22="Moderado"),CONCATENATE("R",'Mapa final'!$A$22),"")</f>
        <v/>
      </c>
      <c r="AC23" s="384"/>
      <c r="AD23" s="383" t="e">
        <f>IF(AND('Mapa final'!#REF!="Alta",'Mapa final'!#REF!="Mayor"),CONCATENATE("R",'Mapa final'!#REF!),"")</f>
        <v>#REF!</v>
      </c>
      <c r="AE23" s="384"/>
      <c r="AF23" s="384" t="e">
        <f>IF(AND('Mapa final'!#REF!="Alta",'Mapa final'!#REF!="Mayor"),CONCATENATE("R",'Mapa final'!#REF!),"")</f>
        <v>#REF!</v>
      </c>
      <c r="AG23" s="384"/>
      <c r="AH23" s="384" t="str">
        <f>IF(AND('Mapa final'!$P$22="Alta",'Mapa final'!$S$22="Mayor"),CONCATENATE("R",'Mapa final'!$A$22),"")</f>
        <v/>
      </c>
      <c r="AI23" s="384"/>
      <c r="AJ23" s="374" t="e">
        <f>IF(AND('Mapa final'!#REF!="Alta",'Mapa final'!#REF!="Catastrófico"),CONCATENATE("R",'Mapa final'!#REF!),"")</f>
        <v>#REF!</v>
      </c>
      <c r="AK23" s="375"/>
      <c r="AL23" s="375" t="e">
        <f>IF(AND('Mapa final'!#REF!="Alta",'Mapa final'!#REF!="Catastrófico"),CONCATENATE("R",'Mapa final'!#REF!),"")</f>
        <v>#REF!</v>
      </c>
      <c r="AM23" s="375"/>
      <c r="AN23" s="375" t="str">
        <f>IF(AND('Mapa final'!$P$22="Alta",'Mapa final'!$S$22="Catastrófico"),CONCATENATE("R",'Mapa final'!$A$22),"")</f>
        <v/>
      </c>
      <c r="AO23" s="376"/>
      <c r="AP23" s="68"/>
      <c r="AQ23" s="438"/>
      <c r="AR23" s="439"/>
      <c r="AS23" s="439"/>
      <c r="AT23" s="439"/>
      <c r="AU23" s="439"/>
      <c r="AV23" s="440"/>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row>
    <row r="24" spans="3:82" ht="15" customHeight="1" x14ac:dyDescent="0.25">
      <c r="C24" s="68"/>
      <c r="D24" s="424"/>
      <c r="E24" s="424"/>
      <c r="F24" s="425"/>
      <c r="G24" s="396"/>
      <c r="H24" s="397"/>
      <c r="I24" s="397"/>
      <c r="J24" s="397"/>
      <c r="K24" s="397"/>
      <c r="L24" s="365"/>
      <c r="M24" s="366"/>
      <c r="N24" s="366"/>
      <c r="O24" s="366"/>
      <c r="P24" s="366"/>
      <c r="Q24" s="367"/>
      <c r="R24" s="365"/>
      <c r="S24" s="366"/>
      <c r="T24" s="366"/>
      <c r="U24" s="366"/>
      <c r="V24" s="366"/>
      <c r="W24" s="366"/>
      <c r="X24" s="383"/>
      <c r="Y24" s="384"/>
      <c r="Z24" s="384"/>
      <c r="AA24" s="384"/>
      <c r="AB24" s="384"/>
      <c r="AC24" s="384"/>
      <c r="AD24" s="383"/>
      <c r="AE24" s="384"/>
      <c r="AF24" s="384"/>
      <c r="AG24" s="384"/>
      <c r="AH24" s="384"/>
      <c r="AI24" s="384"/>
      <c r="AJ24" s="374"/>
      <c r="AK24" s="375"/>
      <c r="AL24" s="375"/>
      <c r="AM24" s="375"/>
      <c r="AN24" s="375"/>
      <c r="AO24" s="376"/>
      <c r="AP24" s="68"/>
      <c r="AQ24" s="438"/>
      <c r="AR24" s="439"/>
      <c r="AS24" s="439"/>
      <c r="AT24" s="439"/>
      <c r="AU24" s="439"/>
      <c r="AV24" s="440"/>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row>
    <row r="25" spans="3:82" ht="15" customHeight="1" x14ac:dyDescent="0.25">
      <c r="C25" s="68"/>
      <c r="D25" s="424"/>
      <c r="E25" s="424"/>
      <c r="F25" s="425"/>
      <c r="G25" s="396"/>
      <c r="H25" s="397"/>
      <c r="I25" s="397"/>
      <c r="J25" s="397"/>
      <c r="K25" s="397"/>
      <c r="L25" s="365" t="str">
        <f>IF(AND('Mapa final'!$P$23="Alta",'Mapa final'!$S$23="Leve"),CONCATENATE("R",'Mapa final'!$A$23),"")</f>
        <v/>
      </c>
      <c r="M25" s="366"/>
      <c r="N25" s="366" t="str">
        <f>IF(AND('Mapa final'!$K$24="Alta",'Mapa final'!$O$24="Leve"),CONCATENATE("R",'Mapa final'!$A$24),"")</f>
        <v/>
      </c>
      <c r="O25" s="366"/>
      <c r="P25" s="366" t="str">
        <f>IF(AND('Mapa final'!$K$25="Alta",'Mapa final'!$O$25="Leve"),CONCATENATE("R",'Mapa final'!$A$25),"")</f>
        <v/>
      </c>
      <c r="Q25" s="367"/>
      <c r="R25" s="365" t="str">
        <f>IF(AND('Mapa final'!$P$23="Alta",'Mapa final'!$S$23="Menor"),CONCATENATE("R",'Mapa final'!$A$23),"")</f>
        <v/>
      </c>
      <c r="S25" s="366"/>
      <c r="T25" s="366" t="str">
        <f>IF(AND('Mapa final'!$P$24="Alta",'Mapa final'!$S$24="Menor"),CONCATENATE("R",'Mapa final'!$A$24),"")</f>
        <v/>
      </c>
      <c r="U25" s="366"/>
      <c r="V25" s="366" t="str">
        <f>IF(AND('Mapa final'!$P$25="Alta",'Mapa final'!$S$25="Menor"),CONCATENATE("R",'Mapa final'!$A$25),"")</f>
        <v/>
      </c>
      <c r="W25" s="366"/>
      <c r="X25" s="383" t="str">
        <f>IF(AND('Mapa final'!$P$23="Alta",'Mapa final'!$S$23="Moderado"),CONCATENATE("R",'Mapa final'!$A$23),"")</f>
        <v/>
      </c>
      <c r="Y25" s="384"/>
      <c r="Z25" s="384" t="str">
        <f>IF(AND('Mapa final'!$P$24="Alta",'Mapa final'!$S$24="Moderado"),CONCATENATE("R",'Mapa final'!$A$24),"")</f>
        <v/>
      </c>
      <c r="AA25" s="384"/>
      <c r="AB25" s="384" t="str">
        <f>IF(AND('Mapa final'!$P$25="Alta",'Mapa final'!$S$25="Moderado"),CONCATENATE("R",'Mapa final'!$A$25),"")</f>
        <v/>
      </c>
      <c r="AC25" s="384"/>
      <c r="AD25" s="383" t="str">
        <f>IF(AND('Mapa final'!$P$23="Alta",'Mapa final'!$S$23="Mayor"),CONCATENATE("R",'Mapa final'!$A$23),"")</f>
        <v/>
      </c>
      <c r="AE25" s="384"/>
      <c r="AF25" s="384" t="str">
        <f>IF(AND('Mapa final'!$P$24="Alta",'Mapa final'!$S$24="Mayor"),CONCATENATE("R",'Mapa final'!$A$24),"")</f>
        <v/>
      </c>
      <c r="AG25" s="384"/>
      <c r="AH25" s="384" t="str">
        <f>IF(AND('Mapa final'!$P$25="Alta",'Mapa final'!$S$25="Mayor"),CONCATENATE("R",'Mapa final'!$A$25),"")</f>
        <v/>
      </c>
      <c r="AI25" s="384"/>
      <c r="AJ25" s="374" t="str">
        <f>IF(AND('Mapa final'!$P$23="Alta",'Mapa final'!$S$23="Catastrófico"),CONCATENATE("R",'Mapa final'!$A$23),"")</f>
        <v/>
      </c>
      <c r="AK25" s="375"/>
      <c r="AL25" s="375" t="str">
        <f>IF(AND('Mapa final'!$P$24="Alta",'Mapa final'!$S$24="Catastrófico"),CONCATENATE("R",'Mapa final'!$A$24),"")</f>
        <v/>
      </c>
      <c r="AM25" s="375"/>
      <c r="AN25" s="375" t="str">
        <f>IF(AND('Mapa final'!$P$25="Alta",'Mapa final'!$S$25="Catastrófico"),CONCATENATE("R",'Mapa final'!$A$25),"")</f>
        <v/>
      </c>
      <c r="AO25" s="376"/>
      <c r="AP25" s="68"/>
      <c r="AQ25" s="438"/>
      <c r="AR25" s="439"/>
      <c r="AS25" s="439"/>
      <c r="AT25" s="439"/>
      <c r="AU25" s="439"/>
      <c r="AV25" s="440"/>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row>
    <row r="26" spans="3:82" ht="15.75" customHeight="1" thickBot="1" x14ac:dyDescent="0.3">
      <c r="C26" s="68"/>
      <c r="D26" s="424"/>
      <c r="E26" s="424"/>
      <c r="F26" s="425"/>
      <c r="G26" s="399"/>
      <c r="H26" s="400"/>
      <c r="I26" s="400"/>
      <c r="J26" s="400"/>
      <c r="K26" s="400"/>
      <c r="L26" s="368"/>
      <c r="M26" s="369"/>
      <c r="N26" s="369"/>
      <c r="O26" s="369"/>
      <c r="P26" s="369"/>
      <c r="Q26" s="370"/>
      <c r="R26" s="368"/>
      <c r="S26" s="369"/>
      <c r="T26" s="366"/>
      <c r="U26" s="366"/>
      <c r="V26" s="366"/>
      <c r="W26" s="366"/>
      <c r="X26" s="383"/>
      <c r="Y26" s="384"/>
      <c r="Z26" s="384"/>
      <c r="AA26" s="384"/>
      <c r="AB26" s="384"/>
      <c r="AC26" s="384"/>
      <c r="AD26" s="383"/>
      <c r="AE26" s="384"/>
      <c r="AF26" s="384"/>
      <c r="AG26" s="384"/>
      <c r="AH26" s="384"/>
      <c r="AI26" s="384"/>
      <c r="AJ26" s="374"/>
      <c r="AK26" s="375"/>
      <c r="AL26" s="375"/>
      <c r="AM26" s="375"/>
      <c r="AN26" s="375"/>
      <c r="AO26" s="376"/>
      <c r="AP26" s="68"/>
      <c r="AQ26" s="441"/>
      <c r="AR26" s="442"/>
      <c r="AS26" s="442"/>
      <c r="AT26" s="442"/>
      <c r="AU26" s="442"/>
      <c r="AV26" s="443"/>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row>
    <row r="27" spans="3:82" ht="15" customHeight="1" x14ac:dyDescent="0.25">
      <c r="C27" s="68"/>
      <c r="D27" s="424"/>
      <c r="E27" s="424"/>
      <c r="F27" s="425"/>
      <c r="G27" s="392" t="s">
        <v>260</v>
      </c>
      <c r="H27" s="394"/>
      <c r="I27" s="394"/>
      <c r="J27" s="394"/>
      <c r="K27" s="394"/>
      <c r="L27" s="371"/>
      <c r="M27" s="372"/>
      <c r="N27" s="372" t="str">
        <f>IF(AND('Mapa final'!$K$15="Media",'Mapa final'!$O$15="Leve"),CONCATENATE("R",'Mapa final'!$A$18),"")</f>
        <v/>
      </c>
      <c r="O27" s="372"/>
      <c r="P27" s="372" t="str">
        <f>IF(AND('Mapa final'!$K$19="Media",'Mapa final'!$O$19="Leve"),CONCATENATE("R",'Mapa final'!$A$19),"")</f>
        <v/>
      </c>
      <c r="Q27" s="373"/>
      <c r="R27" s="371"/>
      <c r="S27" s="372"/>
      <c r="T27" s="372" t="str">
        <f>IF(AND('Mapa final'!$P$15="Media",'Mapa final'!$S$15="Menor"),CONCATENATE("R",'Mapa final'!$A$18),"")</f>
        <v/>
      </c>
      <c r="U27" s="372"/>
      <c r="V27" s="372" t="str">
        <f>IF(AND('Mapa final'!$P$19="Media",'Mapa final'!$S$19="Menor"),CONCATENATE("R",'Mapa final'!$A$19),"")</f>
        <v/>
      </c>
      <c r="W27" s="372"/>
      <c r="X27" s="371"/>
      <c r="Y27" s="372"/>
      <c r="Z27" s="372" t="str">
        <f>IF(AND('Mapa final'!P$15="Media",'Mapa final'!$S$15="Moderado"),CONCATENATE("R",'Mapa final'!$A$18),"")</f>
        <v/>
      </c>
      <c r="AA27" s="372"/>
      <c r="AB27" s="372" t="str">
        <f>IF(AND('Mapa final'!$P$19="Media",'Mapa final'!$S$19="Moderado"),CONCATENATE("R",'Mapa final'!$A$19),"")</f>
        <v/>
      </c>
      <c r="AC27" s="372"/>
      <c r="AD27" s="389"/>
      <c r="AE27" s="390"/>
      <c r="AF27" s="390" t="str">
        <f>IF(AND('Mapa final'!$P$15="Media",'Mapa final'!$S$15="Mayor"),CONCATENATE("R",'Mapa final'!$A$18),"")</f>
        <v/>
      </c>
      <c r="AG27" s="390"/>
      <c r="AH27" s="390" t="str">
        <f>IF(AND('Mapa final'!$P$19="Media",'Mapa final'!$S$19="Mayor"),CONCATENATE("R",'Mapa final'!$A$19),"")</f>
        <v>R</v>
      </c>
      <c r="AI27" s="390"/>
      <c r="AJ27" s="380"/>
      <c r="AK27" s="381"/>
      <c r="AL27" s="381" t="str">
        <f>IF(AND('Mapa final'!$P$15="Media",'Mapa final'!$S$15="Catastrófico"),CONCATENATE("R",'Mapa final'!$A$18),"")</f>
        <v/>
      </c>
      <c r="AM27" s="381"/>
      <c r="AN27" s="381" t="str">
        <f>IF(AND('Mapa final'!$P$19="Media",'Mapa final'!$S$19="Catastrófico"),CONCATENATE("R",'Mapa final'!$A$19),"")</f>
        <v/>
      </c>
      <c r="AO27" s="382"/>
      <c r="AP27" s="68"/>
      <c r="AQ27" s="444" t="s">
        <v>124</v>
      </c>
      <c r="AR27" s="445"/>
      <c r="AS27" s="445"/>
      <c r="AT27" s="445"/>
      <c r="AU27" s="445"/>
      <c r="AV27" s="446"/>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row>
    <row r="28" spans="3:82" ht="15" customHeight="1" x14ac:dyDescent="0.25">
      <c r="C28" s="68"/>
      <c r="D28" s="424"/>
      <c r="E28" s="424"/>
      <c r="F28" s="425"/>
      <c r="G28" s="396"/>
      <c r="H28" s="397"/>
      <c r="I28" s="397"/>
      <c r="J28" s="397"/>
      <c r="K28" s="397"/>
      <c r="L28" s="365"/>
      <c r="M28" s="366"/>
      <c r="N28" s="366"/>
      <c r="O28" s="366"/>
      <c r="P28" s="366"/>
      <c r="Q28" s="367"/>
      <c r="R28" s="365"/>
      <c r="S28" s="366"/>
      <c r="T28" s="366"/>
      <c r="U28" s="366"/>
      <c r="V28" s="366"/>
      <c r="W28" s="366"/>
      <c r="X28" s="365"/>
      <c r="Y28" s="366"/>
      <c r="Z28" s="366"/>
      <c r="AA28" s="366"/>
      <c r="AB28" s="366"/>
      <c r="AC28" s="366"/>
      <c r="AD28" s="383"/>
      <c r="AE28" s="384"/>
      <c r="AF28" s="384"/>
      <c r="AG28" s="384"/>
      <c r="AH28" s="384"/>
      <c r="AI28" s="384"/>
      <c r="AJ28" s="374"/>
      <c r="AK28" s="375"/>
      <c r="AL28" s="375"/>
      <c r="AM28" s="375"/>
      <c r="AN28" s="375"/>
      <c r="AO28" s="376"/>
      <c r="AP28" s="68"/>
      <c r="AQ28" s="447"/>
      <c r="AR28" s="448"/>
      <c r="AS28" s="448"/>
      <c r="AT28" s="448"/>
      <c r="AU28" s="448"/>
      <c r="AV28" s="449"/>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row>
    <row r="29" spans="3:82" ht="15" customHeight="1" x14ac:dyDescent="0.25">
      <c r="C29" s="68"/>
      <c r="D29" s="424"/>
      <c r="E29" s="424"/>
      <c r="F29" s="425"/>
      <c r="G29" s="396"/>
      <c r="H29" s="397"/>
      <c r="I29" s="397"/>
      <c r="J29" s="397"/>
      <c r="K29" s="397"/>
      <c r="L29" s="365" t="e">
        <f>IF(AND('Mapa final'!#REF!="Media",'Mapa final'!#REF!="Leve"),CONCATENATE("R",'Mapa final'!#REF!),"")</f>
        <v>#REF!</v>
      </c>
      <c r="M29" s="366"/>
      <c r="N29" s="366" t="e">
        <f>IF(AND('Mapa final'!#REF!="Media",'Mapa final'!#REF!="Leve"),CONCATENATE("R",'Mapa final'!#REF!),"")</f>
        <v>#REF!</v>
      </c>
      <c r="O29" s="366"/>
      <c r="P29" s="366" t="e">
        <f>IF(AND('Mapa final'!#REF!="Media",'Mapa final'!#REF!="Leve"),CONCATENATE("R",'Mapa final'!#REF!),"")</f>
        <v>#REF!</v>
      </c>
      <c r="Q29" s="367"/>
      <c r="R29" s="365" t="e">
        <f>IF(AND('Mapa final'!#REF!="Media",'Mapa final'!#REF!="Menor"),CONCATENATE("R",'Mapa final'!#REF!),"")</f>
        <v>#REF!</v>
      </c>
      <c r="S29" s="366"/>
      <c r="T29" s="366" t="e">
        <f>IF(AND('Mapa final'!#REF!="Media",'Mapa final'!#REF!="Menor"),CONCATENATE("R",'Mapa final'!#REF!),"")</f>
        <v>#REF!</v>
      </c>
      <c r="U29" s="366"/>
      <c r="V29" s="366" t="e">
        <f>IF(AND('Mapa final'!#REF!="Media",'Mapa final'!#REF!="Menor"),CONCATENATE("R",'Mapa final'!#REF!),"")</f>
        <v>#REF!</v>
      </c>
      <c r="W29" s="366"/>
      <c r="X29" s="365" t="e">
        <f>IF(AND('Mapa final'!#REF!="Media",'Mapa final'!#REF!="Moderado"),CONCATENATE("R",'Mapa final'!#REF!),"")</f>
        <v>#REF!</v>
      </c>
      <c r="Y29" s="366"/>
      <c r="Z29" s="366" t="e">
        <f>IF(AND('Mapa final'!#REF!="Media",'Mapa final'!#REF!="Moderado"),CONCATENATE("R",'Mapa final'!#REF!),"")</f>
        <v>#REF!</v>
      </c>
      <c r="AA29" s="366"/>
      <c r="AB29" s="366" t="e">
        <f>IF(AND('Mapa final'!#REF!="Media",'Mapa final'!#REF!="Moderado"),CONCATENATE("R",'Mapa final'!#REF!),"")</f>
        <v>#REF!</v>
      </c>
      <c r="AC29" s="366"/>
      <c r="AD29" s="383" t="e">
        <f>IF(AND('Mapa final'!#REF!="Media",'Mapa final'!#REF!="Mayor"),CONCATENATE("R",'Mapa final'!#REF!),"")</f>
        <v>#REF!</v>
      </c>
      <c r="AE29" s="384"/>
      <c r="AF29" s="384" t="e">
        <f>IF(AND('Mapa final'!#REF!="Media",'Mapa final'!#REF!="Mayor"),CONCATENATE("R",'Mapa final'!#REF!),"")</f>
        <v>#REF!</v>
      </c>
      <c r="AG29" s="384"/>
      <c r="AH29" s="384" t="e">
        <f>IF(AND('Mapa final'!#REF!="Media",'Mapa final'!#REF!="Mayor"),CONCATENATE("R",'Mapa final'!#REF!),"")</f>
        <v>#REF!</v>
      </c>
      <c r="AI29" s="384"/>
      <c r="AJ29" s="374" t="e">
        <f>IF(AND('Mapa final'!#REF!="Media",'Mapa final'!#REF!="Catastrófico"),CONCATENATE("R",'Mapa final'!#REF!),"")</f>
        <v>#REF!</v>
      </c>
      <c r="AK29" s="375"/>
      <c r="AL29" s="375" t="e">
        <f>IF(AND('Mapa final'!#REF!="Media",'Mapa final'!#REF!="Catastrófico"),CONCATENATE("R",'Mapa final'!#REF!),"")</f>
        <v>#REF!</v>
      </c>
      <c r="AM29" s="375"/>
      <c r="AN29" s="375" t="e">
        <f>IF(AND('Mapa final'!#REF!="Media",'Mapa final'!#REF!="Catastrófico"),CONCATENATE("R",'Mapa final'!#REF!),"")</f>
        <v>#REF!</v>
      </c>
      <c r="AO29" s="376"/>
      <c r="AP29" s="68"/>
      <c r="AQ29" s="447"/>
      <c r="AR29" s="448"/>
      <c r="AS29" s="448"/>
      <c r="AT29" s="448"/>
      <c r="AU29" s="448"/>
      <c r="AV29" s="449"/>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row>
    <row r="30" spans="3:82" ht="15" customHeight="1" x14ac:dyDescent="0.25">
      <c r="C30" s="68"/>
      <c r="D30" s="424"/>
      <c r="E30" s="424"/>
      <c r="F30" s="425"/>
      <c r="G30" s="396"/>
      <c r="H30" s="397"/>
      <c r="I30" s="397"/>
      <c r="J30" s="397"/>
      <c r="K30" s="397"/>
      <c r="L30" s="365"/>
      <c r="M30" s="366"/>
      <c r="N30" s="366"/>
      <c r="O30" s="366"/>
      <c r="P30" s="366"/>
      <c r="Q30" s="367"/>
      <c r="R30" s="365"/>
      <c r="S30" s="366"/>
      <c r="T30" s="366"/>
      <c r="U30" s="366"/>
      <c r="V30" s="366"/>
      <c r="W30" s="366"/>
      <c r="X30" s="365"/>
      <c r="Y30" s="366"/>
      <c r="Z30" s="366"/>
      <c r="AA30" s="366"/>
      <c r="AB30" s="366"/>
      <c r="AC30" s="366"/>
      <c r="AD30" s="383"/>
      <c r="AE30" s="384"/>
      <c r="AF30" s="384"/>
      <c r="AG30" s="384"/>
      <c r="AH30" s="384"/>
      <c r="AI30" s="384"/>
      <c r="AJ30" s="374"/>
      <c r="AK30" s="375"/>
      <c r="AL30" s="375"/>
      <c r="AM30" s="375"/>
      <c r="AN30" s="375"/>
      <c r="AO30" s="376"/>
      <c r="AP30" s="68"/>
      <c r="AQ30" s="447"/>
      <c r="AR30" s="448"/>
      <c r="AS30" s="448"/>
      <c r="AT30" s="448"/>
      <c r="AU30" s="448"/>
      <c r="AV30" s="449"/>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row>
    <row r="31" spans="3:82" ht="15" customHeight="1" x14ac:dyDescent="0.25">
      <c r="C31" s="68"/>
      <c r="D31" s="424"/>
      <c r="E31" s="424"/>
      <c r="F31" s="425"/>
      <c r="G31" s="396"/>
      <c r="H31" s="397"/>
      <c r="I31" s="397"/>
      <c r="J31" s="397"/>
      <c r="K31" s="397"/>
      <c r="L31" s="365" t="e">
        <f>IF(AND('Mapa final'!#REF!="Media",'Mapa final'!#REF!="Leve"),CONCATENATE("R",'Mapa final'!#REF!),"")</f>
        <v>#REF!</v>
      </c>
      <c r="M31" s="366"/>
      <c r="N31" s="366" t="e">
        <f>IF(AND('Mapa final'!#REF!="Media",'Mapa final'!#REF!="Leve"),CONCATENATE("R",'Mapa final'!#REF!),"")</f>
        <v>#REF!</v>
      </c>
      <c r="O31" s="366"/>
      <c r="P31" s="366" t="str">
        <f>IF(AND('Mapa final'!$K$22="Media",'Mapa final'!$O$22="Leve"),CONCATENATE("R",'Mapa final'!$A$22),"")</f>
        <v/>
      </c>
      <c r="Q31" s="367"/>
      <c r="R31" s="365" t="e">
        <f>IF(AND('Mapa final'!#REF!="Media",'Mapa final'!#REF!="Menor"),CONCATENATE("R",'Mapa final'!#REF!),"")</f>
        <v>#REF!</v>
      </c>
      <c r="S31" s="366"/>
      <c r="T31" s="366" t="e">
        <f>IF(AND('Mapa final'!#REF!="Media",'Mapa final'!#REF!="Menor"),CONCATENATE("R",'Mapa final'!#REF!),"")</f>
        <v>#REF!</v>
      </c>
      <c r="U31" s="366"/>
      <c r="V31" s="366" t="str">
        <f>IF(AND('Mapa final'!$P$22="Media",'Mapa final'!$S$22="Menor"),CONCATENATE("R",'Mapa final'!$A$22),"")</f>
        <v/>
      </c>
      <c r="W31" s="366"/>
      <c r="X31" s="365" t="e">
        <f>IF(AND('Mapa final'!#REF!="Media",'Mapa final'!#REF!="Moderado"),CONCATENATE("R",'Mapa final'!#REF!),"")</f>
        <v>#REF!</v>
      </c>
      <c r="Y31" s="366"/>
      <c r="Z31" s="366" t="e">
        <f>IF(AND('Mapa final'!#REF!="Media",'Mapa final'!#REF!="Moderado"),CONCATENATE("R",'Mapa final'!#REF!),"")</f>
        <v>#REF!</v>
      </c>
      <c r="AA31" s="366"/>
      <c r="AB31" s="366" t="str">
        <f>IF(AND('Mapa final'!$P$22="Media",'Mapa final'!$S$22="Moderado"),CONCATENATE("R",'Mapa final'!$A$22),"")</f>
        <v/>
      </c>
      <c r="AC31" s="366"/>
      <c r="AD31" s="383" t="e">
        <f>IF(AND('Mapa final'!#REF!="Media",'Mapa final'!#REF!="Mayor"),CONCATENATE("R",'Mapa final'!#REF!),"")</f>
        <v>#REF!</v>
      </c>
      <c r="AE31" s="384"/>
      <c r="AF31" s="384" t="e">
        <f>IF(AND('Mapa final'!#REF!="Media",'Mapa final'!#REF!="Mayor"),CONCATENATE("R",'Mapa final'!#REF!),"")</f>
        <v>#REF!</v>
      </c>
      <c r="AG31" s="384"/>
      <c r="AH31" s="384" t="str">
        <f>IF(AND('Mapa final'!$P$22="Media",'Mapa final'!$S$22="Mayor"),CONCATENATE("R",'Mapa final'!$A$22),"")</f>
        <v/>
      </c>
      <c r="AI31" s="384"/>
      <c r="AJ31" s="374" t="e">
        <f>IF(AND('Mapa final'!#REF!="Media",'Mapa final'!#REF!="Catastrófico"),CONCATENATE("R",'Mapa final'!#REF!),"")</f>
        <v>#REF!</v>
      </c>
      <c r="AK31" s="375"/>
      <c r="AL31" s="375" t="e">
        <f>IF(AND('Mapa final'!#REF!="Media",'Mapa final'!#REF!="Catastrófico"),CONCATENATE("R",'Mapa final'!#REF!),"")</f>
        <v>#REF!</v>
      </c>
      <c r="AM31" s="375"/>
      <c r="AN31" s="375" t="str">
        <f>IF(AND('Mapa final'!$P$22="Media",'Mapa final'!$S$22="Catastrófico"),CONCATENATE("R",'Mapa final'!$A$22),"")</f>
        <v/>
      </c>
      <c r="AO31" s="376"/>
      <c r="AP31" s="68"/>
      <c r="AQ31" s="447"/>
      <c r="AR31" s="448"/>
      <c r="AS31" s="448"/>
      <c r="AT31" s="448"/>
      <c r="AU31" s="448"/>
      <c r="AV31" s="449"/>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row>
    <row r="32" spans="3:82" ht="15" customHeight="1" x14ac:dyDescent="0.25">
      <c r="C32" s="68"/>
      <c r="D32" s="424"/>
      <c r="E32" s="424"/>
      <c r="F32" s="425"/>
      <c r="G32" s="396"/>
      <c r="H32" s="397"/>
      <c r="I32" s="397"/>
      <c r="J32" s="397"/>
      <c r="K32" s="397"/>
      <c r="L32" s="365"/>
      <c r="M32" s="366"/>
      <c r="N32" s="366"/>
      <c r="O32" s="366"/>
      <c r="P32" s="366"/>
      <c r="Q32" s="367"/>
      <c r="R32" s="365"/>
      <c r="S32" s="366"/>
      <c r="T32" s="366"/>
      <c r="U32" s="366"/>
      <c r="V32" s="366"/>
      <c r="W32" s="366"/>
      <c r="X32" s="365"/>
      <c r="Y32" s="366"/>
      <c r="Z32" s="366"/>
      <c r="AA32" s="366"/>
      <c r="AB32" s="366"/>
      <c r="AC32" s="366"/>
      <c r="AD32" s="383"/>
      <c r="AE32" s="384"/>
      <c r="AF32" s="384"/>
      <c r="AG32" s="384"/>
      <c r="AH32" s="384"/>
      <c r="AI32" s="384"/>
      <c r="AJ32" s="374"/>
      <c r="AK32" s="375"/>
      <c r="AL32" s="375"/>
      <c r="AM32" s="375"/>
      <c r="AN32" s="375"/>
      <c r="AO32" s="376"/>
      <c r="AP32" s="68"/>
      <c r="AQ32" s="447"/>
      <c r="AR32" s="448"/>
      <c r="AS32" s="448"/>
      <c r="AT32" s="448"/>
      <c r="AU32" s="448"/>
      <c r="AV32" s="449"/>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row>
    <row r="33" spans="3:82" ht="15" customHeight="1" x14ac:dyDescent="0.25">
      <c r="C33" s="68"/>
      <c r="D33" s="424"/>
      <c r="E33" s="424"/>
      <c r="F33" s="425"/>
      <c r="G33" s="396"/>
      <c r="H33" s="397"/>
      <c r="I33" s="397"/>
      <c r="J33" s="397"/>
      <c r="K33" s="397"/>
      <c r="L33" s="365" t="str">
        <f>IF(AND('Mapa final'!$P$23="Mediaa",'Mapa final'!$S$23="Leve"),CONCATENATE("R",'Mapa final'!$A$23),"")</f>
        <v/>
      </c>
      <c r="M33" s="366"/>
      <c r="N33" s="366" t="str">
        <f>IF(AND('Mapa final'!$K$24="Media",'Mapa final'!$O$24="Leve"),CONCATENATE("R",'Mapa final'!$A$24),"")</f>
        <v/>
      </c>
      <c r="O33" s="366"/>
      <c r="P33" s="366" t="str">
        <f>IF(AND('Mapa final'!$K$25="Media",'Mapa final'!$O$25="Leve"),CONCATENATE("R",'Mapa final'!$A$25),"")</f>
        <v/>
      </c>
      <c r="Q33" s="367"/>
      <c r="R33" s="365" t="str">
        <f>IF(AND('Mapa final'!$P$23="Media",'Mapa final'!$S$23="Menor"),CONCATENATE("R",'Mapa final'!$A$23),"")</f>
        <v/>
      </c>
      <c r="S33" s="366"/>
      <c r="T33" s="366" t="str">
        <f>IF(AND('Mapa final'!$P$24="Media",'Mapa final'!$S$24="Menor"),CONCATENATE("R",'Mapa final'!$A$24),"")</f>
        <v/>
      </c>
      <c r="U33" s="366"/>
      <c r="V33" s="366" t="str">
        <f>IF(AND('Mapa final'!$P$25="Media",'Mapa final'!$S$25="Menor"),CONCATENATE("R",'Mapa final'!$A$25),"")</f>
        <v/>
      </c>
      <c r="W33" s="366"/>
      <c r="X33" s="365" t="str">
        <f>IF(AND('Mapa final'!$P$23="Media",'Mapa final'!$S$23="Moderado"),CONCATENATE("R",'Mapa final'!$A$23),"")</f>
        <v/>
      </c>
      <c r="Y33" s="366"/>
      <c r="Z33" s="366" t="str">
        <f>IF(AND('Mapa final'!$P$24="Media",'Mapa final'!$S$24="Moderado"),CONCATENATE("R",'Mapa final'!$A$24),"")</f>
        <v/>
      </c>
      <c r="AA33" s="366"/>
      <c r="AB33" s="366" t="str">
        <f>IF(AND('Mapa final'!$P$25="Media",'Mapa final'!$S$25="Moderado"),CONCATENATE("R",'Mapa final'!$A$25),"")</f>
        <v/>
      </c>
      <c r="AC33" s="366"/>
      <c r="AD33" s="383" t="str">
        <f>IF(AND('Mapa final'!$P$23="Media",'Mapa final'!$S$23="Mayor"),CONCATENATE("R",'Mapa final'!$A$23),"")</f>
        <v/>
      </c>
      <c r="AE33" s="384"/>
      <c r="AF33" s="384" t="str">
        <f>IF(AND('Mapa final'!$P$24="Media",'Mapa final'!$S$24="Mayor"),CONCATENATE("R",'Mapa final'!$A$24),"")</f>
        <v/>
      </c>
      <c r="AG33" s="384"/>
      <c r="AH33" s="384" t="str">
        <f>IF(AND('Mapa final'!$P$25="Media",'Mapa final'!$S$25="Mayor"),CONCATENATE("R",'Mapa final'!$A$25),"")</f>
        <v/>
      </c>
      <c r="AI33" s="384"/>
      <c r="AJ33" s="374" t="str">
        <f>IF(AND('Mapa final'!$P$23="Media",'Mapa final'!$S$23="Catastrófico"),CONCATENATE("R",'Mapa final'!$A$23),"")</f>
        <v/>
      </c>
      <c r="AK33" s="375"/>
      <c r="AL33" s="375" t="str">
        <f>IF(AND('Mapa final'!$P$24="Media",'Mapa final'!$S$24="Catastrófico"),CONCATENATE("R",'Mapa final'!$A$24),"")</f>
        <v/>
      </c>
      <c r="AM33" s="375"/>
      <c r="AN33" s="375" t="str">
        <f>IF(AND('Mapa final'!$P$25="Media",'Mapa final'!$S$25="Catastrófico"),CONCATENATE("R",'Mapa final'!$A$25),"")</f>
        <v/>
      </c>
      <c r="AO33" s="376"/>
      <c r="AP33" s="68"/>
      <c r="AQ33" s="447"/>
      <c r="AR33" s="448"/>
      <c r="AS33" s="448"/>
      <c r="AT33" s="448"/>
      <c r="AU33" s="448"/>
      <c r="AV33" s="449"/>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row>
    <row r="34" spans="3:82" ht="15.75" customHeight="1" thickBot="1" x14ac:dyDescent="0.3">
      <c r="C34" s="68"/>
      <c r="D34" s="424"/>
      <c r="E34" s="424"/>
      <c r="F34" s="425"/>
      <c r="G34" s="399"/>
      <c r="H34" s="400"/>
      <c r="I34" s="400"/>
      <c r="J34" s="400"/>
      <c r="K34" s="400"/>
      <c r="L34" s="368"/>
      <c r="M34" s="369"/>
      <c r="N34" s="369"/>
      <c r="O34" s="369"/>
      <c r="P34" s="369"/>
      <c r="Q34" s="370"/>
      <c r="R34" s="368"/>
      <c r="S34" s="369"/>
      <c r="T34" s="369"/>
      <c r="U34" s="369"/>
      <c r="V34" s="369"/>
      <c r="W34" s="369"/>
      <c r="X34" s="368"/>
      <c r="Y34" s="369"/>
      <c r="Z34" s="369"/>
      <c r="AA34" s="369"/>
      <c r="AB34" s="369"/>
      <c r="AC34" s="369"/>
      <c r="AD34" s="386"/>
      <c r="AE34" s="387"/>
      <c r="AF34" s="387"/>
      <c r="AG34" s="387"/>
      <c r="AH34" s="387"/>
      <c r="AI34" s="387"/>
      <c r="AJ34" s="374"/>
      <c r="AK34" s="375"/>
      <c r="AL34" s="375"/>
      <c r="AM34" s="375"/>
      <c r="AN34" s="375"/>
      <c r="AO34" s="376"/>
      <c r="AP34" s="68"/>
      <c r="AQ34" s="450"/>
      <c r="AR34" s="451"/>
      <c r="AS34" s="451"/>
      <c r="AT34" s="451"/>
      <c r="AU34" s="451"/>
      <c r="AV34" s="452"/>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row>
    <row r="35" spans="3:82" ht="15" customHeight="1" x14ac:dyDescent="0.25">
      <c r="C35" s="68"/>
      <c r="D35" s="424"/>
      <c r="E35" s="424"/>
      <c r="F35" s="425"/>
      <c r="G35" s="392" t="s">
        <v>261</v>
      </c>
      <c r="H35" s="394"/>
      <c r="I35" s="394"/>
      <c r="J35" s="394"/>
      <c r="K35" s="394"/>
      <c r="L35" s="361"/>
      <c r="M35" s="362"/>
      <c r="N35" s="362" t="str">
        <f>IF(AND('Mapa final'!$K$15="Baja",'Mapa final'!$O$15="Leve"),CONCATENATE("R",'Mapa final'!$A$18),"")</f>
        <v/>
      </c>
      <c r="O35" s="362"/>
      <c r="P35" s="362" t="str">
        <f>IF(AND('Mapa final'!$K$19="Baja",'Mapa final'!$O$19="Leve"),CONCATENATE("R",'Mapa final'!$A$19),"")</f>
        <v/>
      </c>
      <c r="Q35" s="363"/>
      <c r="R35" s="371"/>
      <c r="S35" s="372"/>
      <c r="T35" s="366" t="str">
        <f>IF(AND('Mapa final'!$P$15="Baja",'Mapa final'!$S$15="Menor"),CONCATENATE("R",'Mapa final'!$A$18),"")</f>
        <v/>
      </c>
      <c r="U35" s="366"/>
      <c r="V35" s="366" t="str">
        <f>IF(AND('Mapa final'!$P$19="Baja",'Mapa final'!$S$19="Menor"),CONCATENATE("R",'Mapa final'!$A$19),"")</f>
        <v/>
      </c>
      <c r="W35" s="367"/>
      <c r="X35" s="365"/>
      <c r="Y35" s="366"/>
      <c r="Z35" s="366" t="str">
        <f>IF(AND('Mapa final'!P$15="Baja",'Mapa final'!$S$15="Moderado"),CONCATENATE("R",'Mapa final'!$A$18),"")</f>
        <v/>
      </c>
      <c r="AA35" s="366"/>
      <c r="AB35" s="366" t="str">
        <f>IF(AND('Mapa final'!$P$19="Baja",'Mapa final'!$S$19="Moderado"),CONCATENATE("R",'Mapa final'!$A$19),"")</f>
        <v/>
      </c>
      <c r="AC35" s="367"/>
      <c r="AD35" s="383"/>
      <c r="AE35" s="384"/>
      <c r="AF35" s="384" t="str">
        <f>IF(AND('Mapa final'!$P$15="Baja",'Mapa final'!$S$15="Mayor"),CONCATENATE("R",'Mapa final'!$A$18),"")</f>
        <v/>
      </c>
      <c r="AG35" s="384"/>
      <c r="AH35" s="384" t="str">
        <f>IF(AND('Mapa final'!$P$19="Baja",'Mapa final'!$S$19="Mayor"),CONCATENATE("R",'Mapa final'!$A$19),"")</f>
        <v/>
      </c>
      <c r="AI35" s="384"/>
      <c r="AJ35" s="380"/>
      <c r="AK35" s="381"/>
      <c r="AL35" s="381" t="str">
        <f>IF(AND('Mapa final'!$P$15="Baja",'Mapa final'!$S$15="Catastrófico"),CONCATENATE("R",'Mapa final'!$A$18),"")</f>
        <v/>
      </c>
      <c r="AM35" s="381"/>
      <c r="AN35" s="381" t="str">
        <f>IF(AND('Mapa final'!$P$19="Baja",'Mapa final'!$S$19="Catastrófico"),CONCATENATE("R",'Mapa final'!$A$19),"")</f>
        <v/>
      </c>
      <c r="AO35" s="382"/>
      <c r="AP35" s="68"/>
      <c r="AQ35" s="453" t="s">
        <v>262</v>
      </c>
      <c r="AR35" s="454"/>
      <c r="AS35" s="454"/>
      <c r="AT35" s="454"/>
      <c r="AU35" s="454"/>
      <c r="AV35" s="455"/>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row>
    <row r="36" spans="3:82" ht="15" customHeight="1" x14ac:dyDescent="0.25">
      <c r="C36" s="68"/>
      <c r="D36" s="424"/>
      <c r="E36" s="424"/>
      <c r="F36" s="425"/>
      <c r="G36" s="396"/>
      <c r="H36" s="397"/>
      <c r="I36" s="397"/>
      <c r="J36" s="397"/>
      <c r="K36" s="397"/>
      <c r="L36" s="356"/>
      <c r="M36" s="357"/>
      <c r="N36" s="357"/>
      <c r="O36" s="357"/>
      <c r="P36" s="357"/>
      <c r="Q36" s="358"/>
      <c r="R36" s="365"/>
      <c r="S36" s="366"/>
      <c r="T36" s="366"/>
      <c r="U36" s="366"/>
      <c r="V36" s="366"/>
      <c r="W36" s="367"/>
      <c r="X36" s="365"/>
      <c r="Y36" s="366"/>
      <c r="Z36" s="366"/>
      <c r="AA36" s="366"/>
      <c r="AB36" s="366"/>
      <c r="AC36" s="367"/>
      <c r="AD36" s="383"/>
      <c r="AE36" s="384"/>
      <c r="AF36" s="384"/>
      <c r="AG36" s="384"/>
      <c r="AH36" s="384"/>
      <c r="AI36" s="384"/>
      <c r="AJ36" s="374"/>
      <c r="AK36" s="375"/>
      <c r="AL36" s="375"/>
      <c r="AM36" s="375"/>
      <c r="AN36" s="375"/>
      <c r="AO36" s="376"/>
      <c r="AP36" s="68"/>
      <c r="AQ36" s="456"/>
      <c r="AR36" s="457"/>
      <c r="AS36" s="457"/>
      <c r="AT36" s="457"/>
      <c r="AU36" s="457"/>
      <c r="AV36" s="45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row>
    <row r="37" spans="3:82" ht="15" customHeight="1" x14ac:dyDescent="0.25">
      <c r="C37" s="68"/>
      <c r="D37" s="424"/>
      <c r="E37" s="424"/>
      <c r="F37" s="425"/>
      <c r="G37" s="396"/>
      <c r="H37" s="397"/>
      <c r="I37" s="397"/>
      <c r="J37" s="397"/>
      <c r="K37" s="397"/>
      <c r="L37" s="356" t="e">
        <f>IF(AND('Mapa final'!#REF!="Baja",'Mapa final'!#REF!="Leve"),CONCATENATE("R",'Mapa final'!#REF!),"")</f>
        <v>#REF!</v>
      </c>
      <c r="M37" s="357"/>
      <c r="N37" s="357" t="e">
        <f>IF(AND('Mapa final'!#REF!="Baja",'Mapa final'!#REF!="Leve"),CONCATENATE("R",'Mapa final'!#REF!),"")</f>
        <v>#REF!</v>
      </c>
      <c r="O37" s="357"/>
      <c r="P37" s="357" t="e">
        <f>IF(AND('Mapa final'!#REF!="Baja",'Mapa final'!#REF!="Leve"),CONCATENATE("R",'Mapa final'!#REF!),"")</f>
        <v>#REF!</v>
      </c>
      <c r="Q37" s="358"/>
      <c r="R37" s="365" t="e">
        <f>IF(AND('Mapa final'!#REF!="Baja",'Mapa final'!#REF!="Menor"),CONCATENATE("R",'Mapa final'!#REF!),"")</f>
        <v>#REF!</v>
      </c>
      <c r="S37" s="366"/>
      <c r="T37" s="366" t="e">
        <f>IF(AND('Mapa final'!#REF!="Baja",'Mapa final'!#REF!="Menor"),CONCATENATE("R",'Mapa final'!#REF!),"")</f>
        <v>#REF!</v>
      </c>
      <c r="U37" s="366"/>
      <c r="V37" s="366" t="e">
        <f>IF(AND('Mapa final'!#REF!="Baja",'Mapa final'!#REF!="Menor"),CONCATENATE("R",'Mapa final'!#REF!),"")</f>
        <v>#REF!</v>
      </c>
      <c r="W37" s="367"/>
      <c r="X37" s="365" t="e">
        <f>IF(AND('Mapa final'!#REF!="Baja",'Mapa final'!#REF!="Moderado"),CONCATENATE("R",'Mapa final'!$D$21),"")</f>
        <v>#REF!</v>
      </c>
      <c r="Y37" s="366"/>
      <c r="Z37" s="366" t="e">
        <f>IF(AND('Mapa final'!#REF!="Baja",'Mapa final'!#REF!="Moderado"),CONCATENATE("R",'Mapa final'!#REF!),"")</f>
        <v>#REF!</v>
      </c>
      <c r="AA37" s="366"/>
      <c r="AB37" s="366" t="e">
        <f>IF(AND('Mapa final'!#REF!="Baja",'Mapa final'!#REF!="Moderado"),CONCATENATE("R",'Mapa final'!#REF!),"")</f>
        <v>#REF!</v>
      </c>
      <c r="AC37" s="367"/>
      <c r="AD37" s="383" t="e">
        <f>IF(AND('Mapa final'!#REF!="Baja",'Mapa final'!#REF!="Mayor"),CONCATENATE("R",'Mapa final'!#REF!),"")</f>
        <v>#REF!</v>
      </c>
      <c r="AE37" s="384"/>
      <c r="AF37" s="384" t="e">
        <f>IF(AND('Mapa final'!#REF!="Baja",'Mapa final'!#REF!="Mayor"),CONCATENATE("R",'Mapa final'!#REF!),"")</f>
        <v>#REF!</v>
      </c>
      <c r="AG37" s="384"/>
      <c r="AH37" s="384" t="e">
        <f>IF(AND('Mapa final'!#REF!="Baja",'Mapa final'!#REF!="Mayor"),CONCATENATE("R",'Mapa final'!#REF!),"")</f>
        <v>#REF!</v>
      </c>
      <c r="AI37" s="384"/>
      <c r="AJ37" s="374" t="e">
        <f>IF(AND('Mapa final'!#REF!="Baja",'Mapa final'!#REF!="Catastrófico"),CONCATENATE("R",'Mapa final'!#REF!),"")</f>
        <v>#REF!</v>
      </c>
      <c r="AK37" s="375"/>
      <c r="AL37" s="375" t="e">
        <f>IF(AND('Mapa final'!#REF!="Baja",'Mapa final'!#REF!="Catastrófico"),CONCATENATE("R",'Mapa final'!#REF!),"")</f>
        <v>#REF!</v>
      </c>
      <c r="AM37" s="375"/>
      <c r="AN37" s="375" t="e">
        <f>IF(AND('Mapa final'!#REF!="Baja",'Mapa final'!#REF!="Catastrófico"),CONCATENATE("R",'Mapa final'!#REF!),"")</f>
        <v>#REF!</v>
      </c>
      <c r="AO37" s="376"/>
      <c r="AP37" s="68"/>
      <c r="AQ37" s="456"/>
      <c r="AR37" s="457"/>
      <c r="AS37" s="457"/>
      <c r="AT37" s="457"/>
      <c r="AU37" s="457"/>
      <c r="AV37" s="45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row>
    <row r="38" spans="3:82" ht="15" customHeight="1" x14ac:dyDescent="0.25">
      <c r="C38" s="68"/>
      <c r="D38" s="424"/>
      <c r="E38" s="424"/>
      <c r="F38" s="425"/>
      <c r="G38" s="396"/>
      <c r="H38" s="397"/>
      <c r="I38" s="397"/>
      <c r="J38" s="397"/>
      <c r="K38" s="397"/>
      <c r="L38" s="356"/>
      <c r="M38" s="357"/>
      <c r="N38" s="357"/>
      <c r="O38" s="357"/>
      <c r="P38" s="357"/>
      <c r="Q38" s="358"/>
      <c r="R38" s="365"/>
      <c r="S38" s="366"/>
      <c r="T38" s="366"/>
      <c r="U38" s="366"/>
      <c r="V38" s="366"/>
      <c r="W38" s="367"/>
      <c r="X38" s="365"/>
      <c r="Y38" s="366"/>
      <c r="Z38" s="366"/>
      <c r="AA38" s="366"/>
      <c r="AB38" s="366"/>
      <c r="AC38" s="367"/>
      <c r="AD38" s="383"/>
      <c r="AE38" s="384"/>
      <c r="AF38" s="384"/>
      <c r="AG38" s="384"/>
      <c r="AH38" s="384"/>
      <c r="AI38" s="384"/>
      <c r="AJ38" s="374"/>
      <c r="AK38" s="375"/>
      <c r="AL38" s="375"/>
      <c r="AM38" s="375"/>
      <c r="AN38" s="375"/>
      <c r="AO38" s="376"/>
      <c r="AP38" s="68"/>
      <c r="AQ38" s="456"/>
      <c r="AR38" s="457"/>
      <c r="AS38" s="457"/>
      <c r="AT38" s="457"/>
      <c r="AU38" s="457"/>
      <c r="AV38" s="45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row>
    <row r="39" spans="3:82" ht="15" customHeight="1" x14ac:dyDescent="0.25">
      <c r="C39" s="68"/>
      <c r="D39" s="424"/>
      <c r="E39" s="424"/>
      <c r="F39" s="425"/>
      <c r="G39" s="396"/>
      <c r="H39" s="397"/>
      <c r="I39" s="397"/>
      <c r="J39" s="397"/>
      <c r="K39" s="397"/>
      <c r="L39" s="356" t="e">
        <f>IF(AND('Mapa final'!#REF!="Baja",'Mapa final'!#REF!="Leve"),CONCATENATE("R",'Mapa final'!#REF!),"")</f>
        <v>#REF!</v>
      </c>
      <c r="M39" s="357"/>
      <c r="N39" s="357" t="e">
        <f>IF(AND('Mapa final'!#REF!="Baja",'Mapa final'!#REF!="Leve"),CONCATENATE("R",'Mapa final'!#REF!),"")</f>
        <v>#REF!</v>
      </c>
      <c r="O39" s="357"/>
      <c r="P39" s="357" t="str">
        <f>IF(AND('Mapa final'!$K$22="Baja",'Mapa final'!$O$22="Leve"),CONCATENATE("R",'Mapa final'!$A$22),"")</f>
        <v/>
      </c>
      <c r="Q39" s="358"/>
      <c r="R39" s="365" t="e">
        <f>IF(AND('Mapa final'!#REF!="Baja",'Mapa final'!#REF!="Menor"),CONCATENATE("R",'Mapa final'!#REF!),"")</f>
        <v>#REF!</v>
      </c>
      <c r="S39" s="366"/>
      <c r="T39" s="366" t="e">
        <f>IF(AND('Mapa final'!#REF!="Baja",'Mapa final'!#REF!="Menor"),CONCATENATE("R",'Mapa final'!#REF!),"")</f>
        <v>#REF!</v>
      </c>
      <c r="U39" s="366"/>
      <c r="V39" s="366" t="str">
        <f>IF(AND('Mapa final'!$P$22="Baja",'Mapa final'!$S$22="Menor"),CONCATENATE("R",'Mapa final'!$A$22),"")</f>
        <v/>
      </c>
      <c r="W39" s="367"/>
      <c r="X39" s="365" t="e">
        <f>IF(AND('Mapa final'!#REF!="Baja",'Mapa final'!#REF!="Moderado"),CONCATENATE("R",'Mapa final'!#REF!),"")</f>
        <v>#REF!</v>
      </c>
      <c r="Y39" s="366"/>
      <c r="Z39" s="366" t="e">
        <f>IF(AND('Mapa final'!#REF!="Baja",'Mapa final'!#REF!="Moderado"),CONCATENATE("R",'Mapa final'!#REF!),"")</f>
        <v>#REF!</v>
      </c>
      <c r="AA39" s="366"/>
      <c r="AB39" s="366" t="str">
        <f>IF(AND('Mapa final'!$P$22="Baja",'Mapa final'!$S$22="Moderado"),CONCATENATE("R",'Mapa final'!$A$22),"")</f>
        <v/>
      </c>
      <c r="AC39" s="367"/>
      <c r="AD39" s="383" t="e">
        <f>IF(AND('Mapa final'!#REF!="Baja",'Mapa final'!#REF!="Mayor"),CONCATENATE("R",'Mapa final'!#REF!),"")</f>
        <v>#REF!</v>
      </c>
      <c r="AE39" s="384"/>
      <c r="AF39" s="384" t="e">
        <f>IF(AND('Mapa final'!#REF!="Baja",'Mapa final'!#REF!="Mayor"),CONCATENATE("R",'Mapa final'!#REF!),"")</f>
        <v>#REF!</v>
      </c>
      <c r="AG39" s="384"/>
      <c r="AH39" s="384" t="str">
        <f>IF(AND('Mapa final'!$P$22="Baja",'Mapa final'!$S$22="Mayor"),CONCATENATE("R",'Mapa final'!$A$22),"")</f>
        <v/>
      </c>
      <c r="AI39" s="384"/>
      <c r="AJ39" s="374" t="e">
        <f>IF(AND('Mapa final'!#REF!="Baja",'Mapa final'!#REF!="Catastrófico"),CONCATENATE("R",'Mapa final'!#REF!),"")</f>
        <v>#REF!</v>
      </c>
      <c r="AK39" s="375"/>
      <c r="AL39" s="375" t="e">
        <f>IF(AND('Mapa final'!#REF!="Baja",'Mapa final'!#REF!="Catastrófico"),CONCATENATE("R",'Mapa final'!#REF!),"")</f>
        <v>#REF!</v>
      </c>
      <c r="AM39" s="375"/>
      <c r="AN39" s="375" t="str">
        <f>IF(AND('Mapa final'!$P$22="Baja",'Mapa final'!$S$22="Catastrófico"),CONCATENATE("R",'Mapa final'!$A$22),"")</f>
        <v/>
      </c>
      <c r="AO39" s="376"/>
      <c r="AP39" s="68"/>
      <c r="AQ39" s="456"/>
      <c r="AR39" s="457"/>
      <c r="AS39" s="457"/>
      <c r="AT39" s="457"/>
      <c r="AU39" s="457"/>
      <c r="AV39" s="45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row>
    <row r="40" spans="3:82" ht="15" customHeight="1" x14ac:dyDescent="0.25">
      <c r="C40" s="68"/>
      <c r="D40" s="424"/>
      <c r="E40" s="424"/>
      <c r="F40" s="425"/>
      <c r="G40" s="396"/>
      <c r="H40" s="397"/>
      <c r="I40" s="397"/>
      <c r="J40" s="397"/>
      <c r="K40" s="397"/>
      <c r="L40" s="356"/>
      <c r="M40" s="357"/>
      <c r="N40" s="357"/>
      <c r="O40" s="357"/>
      <c r="P40" s="357"/>
      <c r="Q40" s="358"/>
      <c r="R40" s="365"/>
      <c r="S40" s="366"/>
      <c r="T40" s="366"/>
      <c r="U40" s="366"/>
      <c r="V40" s="366"/>
      <c r="W40" s="367"/>
      <c r="X40" s="365"/>
      <c r="Y40" s="366"/>
      <c r="Z40" s="366"/>
      <c r="AA40" s="366"/>
      <c r="AB40" s="366"/>
      <c r="AC40" s="367"/>
      <c r="AD40" s="383"/>
      <c r="AE40" s="384"/>
      <c r="AF40" s="384"/>
      <c r="AG40" s="384"/>
      <c r="AH40" s="384"/>
      <c r="AI40" s="384"/>
      <c r="AJ40" s="374"/>
      <c r="AK40" s="375"/>
      <c r="AL40" s="375"/>
      <c r="AM40" s="375"/>
      <c r="AN40" s="375"/>
      <c r="AO40" s="376"/>
      <c r="AP40" s="68"/>
      <c r="AQ40" s="456"/>
      <c r="AR40" s="457"/>
      <c r="AS40" s="457"/>
      <c r="AT40" s="457"/>
      <c r="AU40" s="457"/>
      <c r="AV40" s="45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row>
    <row r="41" spans="3:82" ht="15" customHeight="1" x14ac:dyDescent="0.25">
      <c r="C41" s="68"/>
      <c r="D41" s="424"/>
      <c r="E41" s="424"/>
      <c r="F41" s="425"/>
      <c r="G41" s="396"/>
      <c r="H41" s="397"/>
      <c r="I41" s="397"/>
      <c r="J41" s="397"/>
      <c r="K41" s="397"/>
      <c r="L41" s="356" t="str">
        <f>IF(AND('Mapa final'!$P$23="Baja",'Mapa final'!$S$23="Leve"),CONCATENATE("R",'Mapa final'!$A$23),"")</f>
        <v/>
      </c>
      <c r="M41" s="357"/>
      <c r="N41" s="357" t="str">
        <f>IF(AND('Mapa final'!$K$24="Baja",'Mapa final'!$O$24="Leve"),CONCATENATE("R",'Mapa final'!$A$24),"")</f>
        <v/>
      </c>
      <c r="O41" s="357"/>
      <c r="P41" s="357" t="str">
        <f>IF(AND('Mapa final'!$K$25="Baja",'Mapa final'!$O$25="Leve"),CONCATENATE("R",'Mapa final'!$A$25),"")</f>
        <v/>
      </c>
      <c r="Q41" s="358"/>
      <c r="R41" s="365" t="str">
        <f>IF(AND('Mapa final'!$P$23="Baja",'Mapa final'!$S$23="Menor"),CONCATENATE("R",'Mapa final'!$A$23),"")</f>
        <v/>
      </c>
      <c r="S41" s="366"/>
      <c r="T41" s="366" t="str">
        <f>IF(AND('Mapa final'!$P$24="Baja",'Mapa final'!$S$24="Menor"),CONCATENATE("R",'Mapa final'!$A$24),"")</f>
        <v/>
      </c>
      <c r="U41" s="366"/>
      <c r="V41" s="366" t="str">
        <f>IF(AND('Mapa final'!$P$25="Baja",'Mapa final'!$S$25="Menor"),CONCATENATE("R",'Mapa final'!$A$25),"")</f>
        <v/>
      </c>
      <c r="W41" s="367"/>
      <c r="X41" s="365" t="str">
        <f>IF(AND('Mapa final'!$P$23="Baja",'Mapa final'!$S$23="Moderado"),CONCATENATE("R",'Mapa final'!$A$23),"")</f>
        <v/>
      </c>
      <c r="Y41" s="366"/>
      <c r="Z41" s="366" t="str">
        <f>IF(AND('Mapa final'!$P$24="Baja",'Mapa final'!$S$24="Moderado"),CONCATENATE("R",'Mapa final'!$A$24),"")</f>
        <v/>
      </c>
      <c r="AA41" s="366"/>
      <c r="AB41" s="366" t="str">
        <f>IF(AND('Mapa final'!$P$25="Baja",'Mapa final'!$S$25="Moderado"),CONCATENATE("R",'Mapa final'!$A$25),"")</f>
        <v/>
      </c>
      <c r="AC41" s="367"/>
      <c r="AD41" s="383" t="str">
        <f>IF(AND('Mapa final'!$P$23="Baja",'Mapa final'!$S$23="Mayor"),CONCATENATE("R",'Mapa final'!$A$23),"")</f>
        <v/>
      </c>
      <c r="AE41" s="384"/>
      <c r="AF41" s="384" t="str">
        <f>IF(AND('Mapa final'!$P$24="Baja",'Mapa final'!$S$24="Mayor"),CONCATENATE("R",'Mapa final'!$A$24),"")</f>
        <v/>
      </c>
      <c r="AG41" s="384"/>
      <c r="AH41" s="384" t="str">
        <f>IF(AND('Mapa final'!$P$25="Baja",'Mapa final'!$S$25="Mayor"),CONCATENATE("R",'Mapa final'!$A$25),"")</f>
        <v/>
      </c>
      <c r="AI41" s="384"/>
      <c r="AJ41" s="374" t="str">
        <f>IF(AND('Mapa final'!$P$23="Baja",'Mapa final'!$S$23="Catastrófico"),CONCATENATE("R",'Mapa final'!$A$23),"")</f>
        <v/>
      </c>
      <c r="AK41" s="375"/>
      <c r="AL41" s="375" t="str">
        <f>IF(AND('Mapa final'!$P$24="Baja",'Mapa final'!$S$24="Catastrófico"),CONCATENATE("R",'Mapa final'!$A$24),"")</f>
        <v/>
      </c>
      <c r="AM41" s="375"/>
      <c r="AN41" s="375" t="str">
        <f>IF(AND('Mapa final'!$P$25="Baja",'Mapa final'!$S$25="Catastrófico"),CONCATENATE("R",'Mapa final'!$A$25),"")</f>
        <v/>
      </c>
      <c r="AO41" s="376"/>
      <c r="AP41" s="68"/>
      <c r="AQ41" s="456"/>
      <c r="AR41" s="457"/>
      <c r="AS41" s="457"/>
      <c r="AT41" s="457"/>
      <c r="AU41" s="457"/>
      <c r="AV41" s="45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row>
    <row r="42" spans="3:82" ht="15.75" customHeight="1" thickBot="1" x14ac:dyDescent="0.3">
      <c r="C42" s="68"/>
      <c r="D42" s="424"/>
      <c r="E42" s="424"/>
      <c r="F42" s="425"/>
      <c r="G42" s="399"/>
      <c r="H42" s="400"/>
      <c r="I42" s="400"/>
      <c r="J42" s="400"/>
      <c r="K42" s="400"/>
      <c r="L42" s="364"/>
      <c r="M42" s="359"/>
      <c r="N42" s="359"/>
      <c r="O42" s="359"/>
      <c r="P42" s="359"/>
      <c r="Q42" s="360"/>
      <c r="R42" s="368"/>
      <c r="S42" s="369"/>
      <c r="T42" s="369"/>
      <c r="U42" s="369"/>
      <c r="V42" s="369"/>
      <c r="W42" s="370"/>
      <c r="X42" s="368"/>
      <c r="Y42" s="369"/>
      <c r="Z42" s="369"/>
      <c r="AA42" s="369"/>
      <c r="AB42" s="369"/>
      <c r="AC42" s="370"/>
      <c r="AD42" s="386"/>
      <c r="AE42" s="387"/>
      <c r="AF42" s="387"/>
      <c r="AG42" s="387"/>
      <c r="AH42" s="387"/>
      <c r="AI42" s="387"/>
      <c r="AJ42" s="377"/>
      <c r="AK42" s="378"/>
      <c r="AL42" s="378"/>
      <c r="AM42" s="378"/>
      <c r="AN42" s="378"/>
      <c r="AO42" s="379"/>
      <c r="AP42" s="68"/>
      <c r="AQ42" s="459"/>
      <c r="AR42" s="460"/>
      <c r="AS42" s="460"/>
      <c r="AT42" s="460"/>
      <c r="AU42" s="460"/>
      <c r="AV42" s="461"/>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row>
    <row r="43" spans="3:82" ht="15" customHeight="1" x14ac:dyDescent="0.25">
      <c r="C43" s="68"/>
      <c r="D43" s="424"/>
      <c r="E43" s="424"/>
      <c r="F43" s="425"/>
      <c r="G43" s="392" t="s">
        <v>263</v>
      </c>
      <c r="H43" s="394"/>
      <c r="I43" s="394"/>
      <c r="J43" s="394"/>
      <c r="K43" s="394"/>
      <c r="L43" s="361"/>
      <c r="M43" s="362"/>
      <c r="N43" s="362" t="str">
        <f>IF(AND('Mapa final'!$K$15="Muy Baja",'Mapa final'!$O$15="Leve"),CONCATENATE("R",'Mapa final'!$A$18),"")</f>
        <v/>
      </c>
      <c r="O43" s="362"/>
      <c r="P43" s="362" t="str">
        <f>IF(AND('Mapa final'!$K$19="Muy Baja",'Mapa final'!$O$19="Leve"),CONCATENATE("R",'Mapa final'!$A$19),"")</f>
        <v/>
      </c>
      <c r="Q43" s="363"/>
      <c r="R43" s="361"/>
      <c r="S43" s="362"/>
      <c r="T43" s="362" t="str">
        <f>IF(AND('Mapa final'!$P$15="Muy Baja",'Mapa final'!$S$15="Menor"),CONCATENATE("R",'Mapa final'!$A$18),"")</f>
        <v/>
      </c>
      <c r="U43" s="362"/>
      <c r="V43" s="362" t="str">
        <f>IF(AND('Mapa final'!$P$19="Muy Baja",'Mapa final'!$S$19="Menor"),CONCATENATE("R",'Mapa final'!$A$19),"")</f>
        <v/>
      </c>
      <c r="W43" s="363"/>
      <c r="X43" s="371"/>
      <c r="Y43" s="372"/>
      <c r="Z43" s="372" t="str">
        <f>IF(AND('Mapa final'!P$15="Muy Baja",'Mapa final'!$S$15="Moderado"),CONCATENATE("R",'Mapa final'!$D$15),"")</f>
        <v/>
      </c>
      <c r="AA43" s="372"/>
      <c r="AB43" s="372" t="str">
        <f>IF(AND('Mapa final'!$P$19="Muy Baja",'Mapa final'!$S$19="Moderado"),CONCATENATE("R",'Mapa final'!$A$19),"")</f>
        <v/>
      </c>
      <c r="AC43" s="373"/>
      <c r="AD43" s="389"/>
      <c r="AE43" s="390"/>
      <c r="AF43" s="390" t="str">
        <f>IF(AND('Mapa final'!$P$15="Muy Baja",'Mapa final'!$S$15="Mayor"),CONCATENATE("R",'Mapa final'!$A$18),"")</f>
        <v/>
      </c>
      <c r="AG43" s="390"/>
      <c r="AH43" s="390" t="str">
        <f>IF(AND('Mapa final'!$P$19="Muy Baja",'Mapa final'!$S$19="Mayor"),CONCATENATE("R",'Mapa final'!$D$19),"")</f>
        <v/>
      </c>
      <c r="AI43" s="391"/>
      <c r="AJ43" s="374"/>
      <c r="AK43" s="375"/>
      <c r="AL43" s="375" t="str">
        <f>IF(AND('Mapa final'!$P$15="Muy Baja",'Mapa final'!$S$15="Catastrófico"),CONCATENATE("R",'Mapa final'!$D$15),"")</f>
        <v/>
      </c>
      <c r="AM43" s="375"/>
      <c r="AN43" s="375" t="str">
        <f>IF(AND('Mapa final'!$P$19="Muy Baja",'Mapa final'!$S$19="Catastrófico"),CONCATENATE("R",'Mapa final'!$A$19),"")</f>
        <v/>
      </c>
      <c r="AO43" s="376"/>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row>
    <row r="44" spans="3:82" ht="15" customHeight="1" x14ac:dyDescent="0.25">
      <c r="C44" s="68"/>
      <c r="D44" s="424"/>
      <c r="E44" s="424"/>
      <c r="F44" s="425"/>
      <c r="G44" s="396"/>
      <c r="H44" s="397"/>
      <c r="I44" s="397"/>
      <c r="J44" s="397"/>
      <c r="K44" s="397"/>
      <c r="L44" s="356"/>
      <c r="M44" s="357"/>
      <c r="N44" s="357"/>
      <c r="O44" s="357"/>
      <c r="P44" s="357"/>
      <c r="Q44" s="358"/>
      <c r="R44" s="356"/>
      <c r="S44" s="357"/>
      <c r="T44" s="357"/>
      <c r="U44" s="357"/>
      <c r="V44" s="357"/>
      <c r="W44" s="358"/>
      <c r="X44" s="365"/>
      <c r="Y44" s="366"/>
      <c r="Z44" s="366"/>
      <c r="AA44" s="366"/>
      <c r="AB44" s="366"/>
      <c r="AC44" s="367"/>
      <c r="AD44" s="383"/>
      <c r="AE44" s="384"/>
      <c r="AF44" s="384"/>
      <c r="AG44" s="384"/>
      <c r="AH44" s="384"/>
      <c r="AI44" s="385"/>
      <c r="AJ44" s="374"/>
      <c r="AK44" s="375"/>
      <c r="AL44" s="375"/>
      <c r="AM44" s="375"/>
      <c r="AN44" s="375"/>
      <c r="AO44" s="376"/>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row>
    <row r="45" spans="3:82" ht="15" customHeight="1" x14ac:dyDescent="0.25">
      <c r="C45" s="68"/>
      <c r="D45" s="424"/>
      <c r="E45" s="424"/>
      <c r="F45" s="425"/>
      <c r="G45" s="396"/>
      <c r="H45" s="397"/>
      <c r="I45" s="397"/>
      <c r="J45" s="397"/>
      <c r="K45" s="397"/>
      <c r="L45" s="356" t="e">
        <f>IF(AND('Mapa final'!#REF!="Muy Baja",'Mapa final'!#REF!="Leve"),CONCATENATE("R",'Mapa final'!#REF!),"")</f>
        <v>#REF!</v>
      </c>
      <c r="M45" s="357"/>
      <c r="N45" s="357" t="e">
        <f>IF(AND('Mapa final'!#REF!="Muy Baja",'Mapa final'!#REF!="Leve"),CONCATENATE("R",'Mapa final'!#REF!),"")</f>
        <v>#REF!</v>
      </c>
      <c r="O45" s="357"/>
      <c r="P45" s="357" t="e">
        <f>IF(AND('Mapa final'!#REF!="Muy Baja",'Mapa final'!#REF!="Leve"),CONCATENATE("R",'Mapa final'!#REF!),"")</f>
        <v>#REF!</v>
      </c>
      <c r="Q45" s="358"/>
      <c r="R45" s="356" t="e">
        <f>IF(AND('Mapa final'!#REF!="Muy Baja",'Mapa final'!#REF!="Menor"),CONCATENATE("R",'Mapa final'!#REF!),"")</f>
        <v>#REF!</v>
      </c>
      <c r="S45" s="357"/>
      <c r="T45" s="357" t="e">
        <f>IF(AND('Mapa final'!#REF!="Muy Baja",'Mapa final'!#REF!="Menor"),CONCATENATE("R",'Mapa final'!#REF!),"")</f>
        <v>#REF!</v>
      </c>
      <c r="U45" s="357"/>
      <c r="V45" s="357" t="e">
        <f>IF(AND('Mapa final'!#REF!="Muy Baja",'Mapa final'!#REF!="Menor"),CONCATENATE("R",'Mapa final'!#REF!),"")</f>
        <v>#REF!</v>
      </c>
      <c r="W45" s="358"/>
      <c r="X45" s="365" t="e">
        <f>IF(AND('Mapa final'!#REF!="Muy Baja",'Mapa final'!#REF!="Moderado"),CONCATENATE("R",'Mapa final'!#REF!),"")</f>
        <v>#REF!</v>
      </c>
      <c r="Y45" s="366"/>
      <c r="Z45" s="366" t="e">
        <f>IF(AND('Mapa final'!#REF!="Muy Baja",'Mapa final'!#REF!="Moderado"),CONCATENATE("R",'Mapa final'!#REF!),"")</f>
        <v>#REF!</v>
      </c>
      <c r="AA45" s="366"/>
      <c r="AB45" s="366" t="e">
        <f>IF(AND('Mapa final'!#REF!="Muy Baja",'Mapa final'!#REF!="Moderado"),CONCATENATE("R",'Mapa final'!#REF!),"")</f>
        <v>#REF!</v>
      </c>
      <c r="AC45" s="367"/>
      <c r="AD45" s="383" t="e">
        <f>IF(AND('Mapa final'!#REF!="Muy Baja",'Mapa final'!#REF!="Mayor"),CONCATENATE("R",'Mapa final'!#REF!),"")</f>
        <v>#REF!</v>
      </c>
      <c r="AE45" s="384"/>
      <c r="AF45" s="384" t="e">
        <f>IF(AND('Mapa final'!#REF!="Muy Baja",'Mapa final'!#REF!="Mayor"),CONCATENATE("R",'Mapa final'!#REF!),"")</f>
        <v>#REF!</v>
      </c>
      <c r="AG45" s="384"/>
      <c r="AH45" s="384" t="e">
        <f>IF(AND('Mapa final'!#REF!="Muy Baja",'Mapa final'!#REF!="Mayor"),CONCATENATE("R",'Mapa final'!#REF!),"")</f>
        <v>#REF!</v>
      </c>
      <c r="AI45" s="385"/>
      <c r="AJ45" s="374" t="e">
        <f>IF(AND('Mapa final'!#REF!="Muy Baja",'Mapa final'!#REF!="Catastrófico"),CONCATENATE("R",'Mapa final'!#REF!),"")</f>
        <v>#REF!</v>
      </c>
      <c r="AK45" s="375"/>
      <c r="AL45" s="375" t="e">
        <f>IF(AND('Mapa final'!#REF!="Muy Baja",'Mapa final'!#REF!="Catastrófico"),CONCATENATE("R",'Mapa final'!#REF!),"")</f>
        <v>#REF!</v>
      </c>
      <c r="AM45" s="375"/>
      <c r="AN45" s="375" t="e">
        <f>IF(AND('Mapa final'!#REF!="Muy Baja",'Mapa final'!#REF!="Catastrófico"),CONCATENATE("R",'Mapa final'!#REF!),"")</f>
        <v>#REF!</v>
      </c>
      <c r="AO45" s="376"/>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row>
    <row r="46" spans="3:82" ht="15" customHeight="1" x14ac:dyDescent="0.25">
      <c r="C46" s="68"/>
      <c r="D46" s="424"/>
      <c r="E46" s="424"/>
      <c r="F46" s="425"/>
      <c r="G46" s="396"/>
      <c r="H46" s="397"/>
      <c r="I46" s="397"/>
      <c r="J46" s="397"/>
      <c r="K46" s="397"/>
      <c r="L46" s="356"/>
      <c r="M46" s="357"/>
      <c r="N46" s="357"/>
      <c r="O46" s="357"/>
      <c r="P46" s="357"/>
      <c r="Q46" s="358"/>
      <c r="R46" s="356"/>
      <c r="S46" s="357"/>
      <c r="T46" s="357"/>
      <c r="U46" s="357"/>
      <c r="V46" s="357"/>
      <c r="W46" s="358"/>
      <c r="X46" s="365"/>
      <c r="Y46" s="366"/>
      <c r="Z46" s="366"/>
      <c r="AA46" s="366"/>
      <c r="AB46" s="366"/>
      <c r="AC46" s="367"/>
      <c r="AD46" s="383"/>
      <c r="AE46" s="384"/>
      <c r="AF46" s="384"/>
      <c r="AG46" s="384"/>
      <c r="AH46" s="384"/>
      <c r="AI46" s="385"/>
      <c r="AJ46" s="374"/>
      <c r="AK46" s="375"/>
      <c r="AL46" s="375"/>
      <c r="AM46" s="375"/>
      <c r="AN46" s="375"/>
      <c r="AO46" s="376"/>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row>
    <row r="47" spans="3:82" ht="15" customHeight="1" x14ac:dyDescent="0.25">
      <c r="C47" s="68"/>
      <c r="D47" s="424"/>
      <c r="E47" s="424"/>
      <c r="F47" s="425"/>
      <c r="G47" s="396"/>
      <c r="H47" s="397"/>
      <c r="I47" s="397"/>
      <c r="J47" s="397"/>
      <c r="K47" s="397"/>
      <c r="L47" s="356" t="e">
        <f>IF(AND('Mapa final'!#REF!="Muy Baja",'Mapa final'!#REF!="Leve"),CONCATENATE("R",'Mapa final'!#REF!),"")</f>
        <v>#REF!</v>
      </c>
      <c r="M47" s="357"/>
      <c r="N47" s="357" t="e">
        <f>IF(AND('Mapa final'!#REF!="Muy Baja",'Mapa final'!#REF!="Leve"),CONCATENATE("R",'Mapa final'!#REF!),"")</f>
        <v>#REF!</v>
      </c>
      <c r="O47" s="357"/>
      <c r="P47" s="357" t="str">
        <f>IF(AND('Mapa final'!$K$22="Muy Baja",'Mapa final'!$O$22="Leve"),CONCATENATE("R",'Mapa final'!$A$22),"")</f>
        <v/>
      </c>
      <c r="Q47" s="358"/>
      <c r="R47" s="356" t="e">
        <f>IF(AND('Mapa final'!#REF!="Muy Baja",'Mapa final'!#REF!="Menor"),CONCATENATE("R",'Mapa final'!#REF!),"")</f>
        <v>#REF!</v>
      </c>
      <c r="S47" s="357"/>
      <c r="T47" s="357" t="e">
        <f>IF(AND('Mapa final'!#REF!="Muy Baja",'Mapa final'!#REF!="Menor"),CONCATENATE("R",'Mapa final'!#REF!),"")</f>
        <v>#REF!</v>
      </c>
      <c r="U47" s="357"/>
      <c r="V47" s="357" t="str">
        <f>IF(AND('Mapa final'!$P$22="Muy Baja",'Mapa final'!$S$22="Menor"),CONCATENATE("R",'Mapa final'!$A$22),"")</f>
        <v/>
      </c>
      <c r="W47" s="358"/>
      <c r="X47" s="365" t="e">
        <f>IF(AND('Mapa final'!#REF!="Muy Baja",'Mapa final'!#REF!="Moderado"),CONCATENATE("R",'Mapa final'!#REF!),"")</f>
        <v>#REF!</v>
      </c>
      <c r="Y47" s="366"/>
      <c r="Z47" s="366" t="e">
        <f>IF(AND('Mapa final'!#REF!="Muy Baja",'Mapa final'!#REF!="Moderado"),CONCATENATE("R",'Mapa final'!#REF!),"")</f>
        <v>#REF!</v>
      </c>
      <c r="AA47" s="366"/>
      <c r="AB47" s="366" t="str">
        <f>IF(AND('Mapa final'!$P$22="Muy Baja",'Mapa final'!$S$22="Moderado"),CONCATENATE("R",'Mapa final'!$A$22),"")</f>
        <v/>
      </c>
      <c r="AC47" s="367"/>
      <c r="AD47" s="383" t="e">
        <f>IF(AND('Mapa final'!#REF!="Muy Baja",'Mapa final'!#REF!="Mayor"),CONCATENATE("R",'Mapa final'!#REF!),"")</f>
        <v>#REF!</v>
      </c>
      <c r="AE47" s="384"/>
      <c r="AF47" s="384" t="e">
        <f>IF(AND('Mapa final'!#REF!="Muy Baja",'Mapa final'!#REF!="Mayor"),CONCATENATE("R",'Mapa final'!#REF!),"")</f>
        <v>#REF!</v>
      </c>
      <c r="AG47" s="384"/>
      <c r="AH47" s="384" t="str">
        <f>IF(AND('Mapa final'!$P$22="Muy Baja",'Mapa final'!$S$22="Mayor"),CONCATENATE("R",'Mapa final'!$A$22),"")</f>
        <v/>
      </c>
      <c r="AI47" s="385"/>
      <c r="AJ47" s="374" t="e">
        <f>IF(AND('Mapa final'!#REF!="Muy Baja",'Mapa final'!#REF!="Catastrófico"),CONCATENATE("R",'Mapa final'!#REF!),"")</f>
        <v>#REF!</v>
      </c>
      <c r="AK47" s="375"/>
      <c r="AL47" s="375" t="e">
        <f>IF(AND('Mapa final'!#REF!="Muy Baja",'Mapa final'!#REF!="Catastrófico"),CONCATENATE("R",'Mapa final'!#REF!),"")</f>
        <v>#REF!</v>
      </c>
      <c r="AM47" s="375"/>
      <c r="AN47" s="375" t="str">
        <f>IF(AND('Mapa final'!$P$22="Muy Baja",'Mapa final'!$S$22="Catastrófico"),CONCATENATE("R",'Mapa final'!$A$22),"")</f>
        <v/>
      </c>
      <c r="AO47" s="376"/>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row>
    <row r="48" spans="3:82" ht="15" customHeight="1" x14ac:dyDescent="0.25">
      <c r="C48" s="68"/>
      <c r="D48" s="424"/>
      <c r="E48" s="424"/>
      <c r="F48" s="425"/>
      <c r="G48" s="396"/>
      <c r="H48" s="397"/>
      <c r="I48" s="397"/>
      <c r="J48" s="397"/>
      <c r="K48" s="397"/>
      <c r="L48" s="356"/>
      <c r="M48" s="357"/>
      <c r="N48" s="357"/>
      <c r="O48" s="357"/>
      <c r="P48" s="357"/>
      <c r="Q48" s="358"/>
      <c r="R48" s="356"/>
      <c r="S48" s="357"/>
      <c r="T48" s="357"/>
      <c r="U48" s="357"/>
      <c r="V48" s="357"/>
      <c r="W48" s="358"/>
      <c r="X48" s="365"/>
      <c r="Y48" s="366"/>
      <c r="Z48" s="366"/>
      <c r="AA48" s="366"/>
      <c r="AB48" s="366"/>
      <c r="AC48" s="367"/>
      <c r="AD48" s="383"/>
      <c r="AE48" s="384"/>
      <c r="AF48" s="384"/>
      <c r="AG48" s="384"/>
      <c r="AH48" s="384"/>
      <c r="AI48" s="385"/>
      <c r="AJ48" s="374"/>
      <c r="AK48" s="375"/>
      <c r="AL48" s="375"/>
      <c r="AM48" s="375"/>
      <c r="AN48" s="375"/>
      <c r="AO48" s="376"/>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row>
    <row r="49" spans="3:82" ht="15" customHeight="1" x14ac:dyDescent="0.25">
      <c r="C49" s="68"/>
      <c r="D49" s="424"/>
      <c r="E49" s="424"/>
      <c r="F49" s="425"/>
      <c r="G49" s="396"/>
      <c r="H49" s="397"/>
      <c r="I49" s="397"/>
      <c r="J49" s="397"/>
      <c r="K49" s="397"/>
      <c r="L49" s="356" t="str">
        <f>IF(AND('Mapa final'!$P$23="Muy Baja",'Mapa final'!$S$23="Leve"),CONCATENATE("R",'Mapa final'!$A$23),"")</f>
        <v/>
      </c>
      <c r="M49" s="357"/>
      <c r="N49" s="357" t="str">
        <f>IF(AND('Mapa final'!$K$24="Muy Baja",'Mapa final'!$O$24="Leve"),CONCATENATE("R",'Mapa final'!$A$24),"")</f>
        <v/>
      </c>
      <c r="O49" s="357"/>
      <c r="P49" s="357" t="str">
        <f>IF(AND('Mapa final'!$K$25="Muy Baja",'Mapa final'!$O$25="Leve"),CONCATENATE("R",'Mapa final'!$A$25),"")</f>
        <v/>
      </c>
      <c r="Q49" s="358"/>
      <c r="R49" s="357" t="str">
        <f>IF(AND('Mapa final'!$P$23="Muy Baja",'Mapa final'!$S$23="Menor"),CONCATENATE("R",'Mapa final'!$A$23),"")</f>
        <v/>
      </c>
      <c r="S49" s="357"/>
      <c r="T49" s="357" t="str">
        <f>IF(AND('Mapa final'!$P$24="Muy Baja",'Mapa final'!$S$24="Menor"),CONCATENATE("R",'Mapa final'!$A$24),"")</f>
        <v/>
      </c>
      <c r="U49" s="357"/>
      <c r="V49" s="357" t="str">
        <f>IF(AND('Mapa final'!$P$25="Muy Baja",'Mapa final'!$S$25="Menor"),CONCATENATE("R",'Mapa final'!$A$25),"")</f>
        <v/>
      </c>
      <c r="W49" s="358"/>
      <c r="X49" s="365" t="str">
        <f>IF(AND('Mapa final'!$P$23="Muy Baja",'Mapa final'!$S$23="Moderado"),CONCATENATE("R",'Mapa final'!$A$23),"")</f>
        <v/>
      </c>
      <c r="Y49" s="366"/>
      <c r="Z49" s="366" t="str">
        <f>IF(AND('Mapa final'!$P$24="Muy Baja",'Mapa final'!$S$24="Moderado"),CONCATENATE("R",'Mapa final'!$A$24),"")</f>
        <v/>
      </c>
      <c r="AA49" s="366"/>
      <c r="AB49" s="366" t="str">
        <f>IF(AND('Mapa final'!$P$25="Muy Baja",'Mapa final'!$S$25="Moderado"),CONCATENATE("R",'Mapa final'!$A$25),"")</f>
        <v/>
      </c>
      <c r="AC49" s="367"/>
      <c r="AD49" s="383" t="str">
        <f>IF(AND('Mapa final'!$P$23="Muy Baja",'Mapa final'!$S$23="Mayor"),CONCATENATE("R",'Mapa final'!$A$23),"")</f>
        <v/>
      </c>
      <c r="AE49" s="384"/>
      <c r="AF49" s="384" t="str">
        <f>IF(AND('Mapa final'!$P$24="Muy Baja",'Mapa final'!$S$24="Mayor"),CONCATENATE("R",'Mapa final'!$A$24),"")</f>
        <v/>
      </c>
      <c r="AG49" s="384"/>
      <c r="AH49" s="384" t="str">
        <f>IF(AND('Mapa final'!$P$25="Muy Baja",'Mapa final'!$S$25="Mayor"),CONCATENATE("R",'Mapa final'!$A$25),"")</f>
        <v/>
      </c>
      <c r="AI49" s="385"/>
      <c r="AJ49" s="374" t="str">
        <f>IF(AND('Mapa final'!$P$23="Muy Baja",'Mapa final'!$S$23="Catastrófico"),CONCATENATE("R",'Mapa final'!$A$23),"")</f>
        <v/>
      </c>
      <c r="AK49" s="375"/>
      <c r="AL49" s="375" t="str">
        <f>IF(AND('Mapa final'!$P$24="Muy Baja",'Mapa final'!$S$24="Catastrófico"),CONCATENATE("R",'Mapa final'!$A$24),"")</f>
        <v/>
      </c>
      <c r="AM49" s="375"/>
      <c r="AN49" s="375" t="str">
        <f>IF(AND('Mapa final'!$P$25="Muy Baja",'Mapa final'!$S$25="Catastrófico"),CONCATENATE("R",'Mapa final'!$A$25),"")</f>
        <v/>
      </c>
      <c r="AO49" s="376"/>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row>
    <row r="50" spans="3:82" ht="15.75" customHeight="1" thickBot="1" x14ac:dyDescent="0.3">
      <c r="C50" s="68"/>
      <c r="D50" s="424"/>
      <c r="E50" s="424"/>
      <c r="F50" s="425"/>
      <c r="G50" s="399"/>
      <c r="H50" s="400"/>
      <c r="I50" s="400"/>
      <c r="J50" s="400"/>
      <c r="K50" s="400"/>
      <c r="L50" s="364"/>
      <c r="M50" s="359"/>
      <c r="N50" s="359"/>
      <c r="O50" s="359"/>
      <c r="P50" s="359"/>
      <c r="Q50" s="360"/>
      <c r="R50" s="359"/>
      <c r="S50" s="359"/>
      <c r="T50" s="359"/>
      <c r="U50" s="359"/>
      <c r="V50" s="359"/>
      <c r="W50" s="360"/>
      <c r="X50" s="368"/>
      <c r="Y50" s="369"/>
      <c r="Z50" s="369"/>
      <c r="AA50" s="369"/>
      <c r="AB50" s="369"/>
      <c r="AC50" s="370"/>
      <c r="AD50" s="386"/>
      <c r="AE50" s="387"/>
      <c r="AF50" s="387"/>
      <c r="AG50" s="387"/>
      <c r="AH50" s="387"/>
      <c r="AI50" s="388"/>
      <c r="AJ50" s="377"/>
      <c r="AK50" s="378"/>
      <c r="AL50" s="378"/>
      <c r="AM50" s="378"/>
      <c r="AN50" s="378"/>
      <c r="AO50" s="379"/>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row>
    <row r="51" spans="3:82" x14ac:dyDescent="0.25">
      <c r="C51" s="68"/>
      <c r="D51" s="68"/>
      <c r="E51" s="68"/>
      <c r="F51" s="68"/>
      <c r="G51" s="68"/>
      <c r="H51" s="68"/>
      <c r="I51" s="68"/>
      <c r="J51" s="68"/>
      <c r="K51" s="68"/>
      <c r="L51" s="402" t="s">
        <v>264</v>
      </c>
      <c r="M51" s="397"/>
      <c r="N51" s="397"/>
      <c r="O51" s="397"/>
      <c r="P51" s="397"/>
      <c r="Q51" s="398"/>
      <c r="R51" s="392" t="s">
        <v>265</v>
      </c>
      <c r="S51" s="394"/>
      <c r="T51" s="394"/>
      <c r="U51" s="394"/>
      <c r="V51" s="394"/>
      <c r="W51" s="395"/>
      <c r="X51" s="392" t="s">
        <v>266</v>
      </c>
      <c r="Y51" s="394"/>
      <c r="Z51" s="394"/>
      <c r="AA51" s="394"/>
      <c r="AB51" s="394"/>
      <c r="AC51" s="395"/>
      <c r="AD51" s="392" t="s">
        <v>267</v>
      </c>
      <c r="AE51" s="393"/>
      <c r="AF51" s="394"/>
      <c r="AG51" s="394"/>
      <c r="AH51" s="394"/>
      <c r="AI51" s="395"/>
      <c r="AJ51" s="392" t="s">
        <v>268</v>
      </c>
      <c r="AK51" s="394"/>
      <c r="AL51" s="394"/>
      <c r="AM51" s="394"/>
      <c r="AN51" s="394"/>
      <c r="AO51" s="395"/>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row>
    <row r="52" spans="3:82" x14ac:dyDescent="0.25">
      <c r="C52" s="68"/>
      <c r="D52" s="68"/>
      <c r="E52" s="68"/>
      <c r="F52" s="68"/>
      <c r="G52" s="68"/>
      <c r="H52" s="68"/>
      <c r="I52" s="68"/>
      <c r="J52" s="68"/>
      <c r="K52" s="68"/>
      <c r="L52" s="396"/>
      <c r="M52" s="397"/>
      <c r="N52" s="397"/>
      <c r="O52" s="397"/>
      <c r="P52" s="397"/>
      <c r="Q52" s="398"/>
      <c r="R52" s="396"/>
      <c r="S52" s="397"/>
      <c r="T52" s="397"/>
      <c r="U52" s="397"/>
      <c r="V52" s="397"/>
      <c r="W52" s="398"/>
      <c r="X52" s="396"/>
      <c r="Y52" s="397"/>
      <c r="Z52" s="397"/>
      <c r="AA52" s="397"/>
      <c r="AB52" s="397"/>
      <c r="AC52" s="398"/>
      <c r="AD52" s="396"/>
      <c r="AE52" s="397"/>
      <c r="AF52" s="397"/>
      <c r="AG52" s="397"/>
      <c r="AH52" s="397"/>
      <c r="AI52" s="398"/>
      <c r="AJ52" s="396"/>
      <c r="AK52" s="397"/>
      <c r="AL52" s="397"/>
      <c r="AM52" s="397"/>
      <c r="AN52" s="397"/>
      <c r="AO52" s="39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row>
    <row r="53" spans="3:82" x14ac:dyDescent="0.25">
      <c r="C53" s="68"/>
      <c r="D53" s="68"/>
      <c r="E53" s="68"/>
      <c r="F53" s="68"/>
      <c r="G53" s="68"/>
      <c r="H53" s="68"/>
      <c r="I53" s="68"/>
      <c r="J53" s="68"/>
      <c r="K53" s="68"/>
      <c r="L53" s="396"/>
      <c r="M53" s="397"/>
      <c r="N53" s="397"/>
      <c r="O53" s="397"/>
      <c r="P53" s="397"/>
      <c r="Q53" s="398"/>
      <c r="R53" s="396"/>
      <c r="S53" s="397"/>
      <c r="T53" s="397"/>
      <c r="U53" s="397"/>
      <c r="V53" s="397"/>
      <c r="W53" s="398"/>
      <c r="X53" s="396"/>
      <c r="Y53" s="397"/>
      <c r="Z53" s="397"/>
      <c r="AA53" s="397"/>
      <c r="AB53" s="397"/>
      <c r="AC53" s="398"/>
      <c r="AD53" s="396"/>
      <c r="AE53" s="397"/>
      <c r="AF53" s="397"/>
      <c r="AG53" s="397"/>
      <c r="AH53" s="397"/>
      <c r="AI53" s="398"/>
      <c r="AJ53" s="396"/>
      <c r="AK53" s="397"/>
      <c r="AL53" s="397"/>
      <c r="AM53" s="397"/>
      <c r="AN53" s="397"/>
      <c r="AO53" s="39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row>
    <row r="54" spans="3:82" x14ac:dyDescent="0.25">
      <c r="C54" s="68"/>
      <c r="D54" s="68"/>
      <c r="E54" s="68"/>
      <c r="F54" s="68"/>
      <c r="G54" s="68"/>
      <c r="H54" s="68"/>
      <c r="I54" s="68"/>
      <c r="J54" s="68"/>
      <c r="K54" s="68"/>
      <c r="L54" s="396"/>
      <c r="M54" s="397"/>
      <c r="N54" s="397"/>
      <c r="O54" s="397"/>
      <c r="P54" s="397"/>
      <c r="Q54" s="398"/>
      <c r="R54" s="396"/>
      <c r="S54" s="397"/>
      <c r="T54" s="397"/>
      <c r="U54" s="397"/>
      <c r="V54" s="397"/>
      <c r="W54" s="398"/>
      <c r="X54" s="396"/>
      <c r="Y54" s="397"/>
      <c r="Z54" s="397"/>
      <c r="AA54" s="397"/>
      <c r="AB54" s="397"/>
      <c r="AC54" s="398"/>
      <c r="AD54" s="396"/>
      <c r="AE54" s="397"/>
      <c r="AF54" s="397"/>
      <c r="AG54" s="397"/>
      <c r="AH54" s="397"/>
      <c r="AI54" s="398"/>
      <c r="AJ54" s="396"/>
      <c r="AK54" s="397"/>
      <c r="AL54" s="397"/>
      <c r="AM54" s="397"/>
      <c r="AN54" s="397"/>
      <c r="AO54" s="39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row>
    <row r="55" spans="3:82" x14ac:dyDescent="0.25">
      <c r="C55" s="68"/>
      <c r="D55" s="68"/>
      <c r="E55" s="68"/>
      <c r="F55" s="68"/>
      <c r="G55" s="68"/>
      <c r="H55" s="68"/>
      <c r="I55" s="68"/>
      <c r="J55" s="68"/>
      <c r="K55" s="68"/>
      <c r="L55" s="396"/>
      <c r="M55" s="397"/>
      <c r="N55" s="397"/>
      <c r="O55" s="397"/>
      <c r="P55" s="397"/>
      <c r="Q55" s="398"/>
      <c r="R55" s="396"/>
      <c r="S55" s="397"/>
      <c r="T55" s="397"/>
      <c r="U55" s="397"/>
      <c r="V55" s="397"/>
      <c r="W55" s="398"/>
      <c r="X55" s="396"/>
      <c r="Y55" s="397"/>
      <c r="Z55" s="397"/>
      <c r="AA55" s="397"/>
      <c r="AB55" s="397"/>
      <c r="AC55" s="398"/>
      <c r="AD55" s="396"/>
      <c r="AE55" s="397"/>
      <c r="AF55" s="397"/>
      <c r="AG55" s="397"/>
      <c r="AH55" s="397"/>
      <c r="AI55" s="398"/>
      <c r="AJ55" s="396"/>
      <c r="AK55" s="397"/>
      <c r="AL55" s="397"/>
      <c r="AM55" s="397"/>
      <c r="AN55" s="397"/>
      <c r="AO55" s="39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row>
    <row r="56" spans="3:82" ht="15.75" thickBot="1" x14ac:dyDescent="0.3">
      <c r="C56" s="68"/>
      <c r="D56" s="68"/>
      <c r="E56" s="68"/>
      <c r="F56" s="68"/>
      <c r="G56" s="68"/>
      <c r="H56" s="68"/>
      <c r="I56" s="68"/>
      <c r="J56" s="68"/>
      <c r="K56" s="68"/>
      <c r="L56" s="399"/>
      <c r="M56" s="400"/>
      <c r="N56" s="400"/>
      <c r="O56" s="400"/>
      <c r="P56" s="400"/>
      <c r="Q56" s="401"/>
      <c r="R56" s="399"/>
      <c r="S56" s="400"/>
      <c r="T56" s="400"/>
      <c r="U56" s="400"/>
      <c r="V56" s="400"/>
      <c r="W56" s="401"/>
      <c r="X56" s="399"/>
      <c r="Y56" s="400"/>
      <c r="Z56" s="400"/>
      <c r="AA56" s="400"/>
      <c r="AB56" s="400"/>
      <c r="AC56" s="401"/>
      <c r="AD56" s="399"/>
      <c r="AE56" s="400"/>
      <c r="AF56" s="400"/>
      <c r="AG56" s="400"/>
      <c r="AH56" s="400"/>
      <c r="AI56" s="401"/>
      <c r="AJ56" s="399"/>
      <c r="AK56" s="400"/>
      <c r="AL56" s="400"/>
      <c r="AM56" s="400"/>
      <c r="AN56" s="400"/>
      <c r="AO56" s="401"/>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row>
    <row r="57" spans="3:82" x14ac:dyDescent="0.25">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row>
    <row r="58" spans="3:82" ht="15" customHeight="1" x14ac:dyDescent="0.25">
      <c r="C58" s="68"/>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row>
    <row r="59" spans="3:82" ht="15" customHeight="1" x14ac:dyDescent="0.25">
      <c r="C59" s="68"/>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row>
    <row r="60" spans="3:82" x14ac:dyDescent="0.25">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row>
    <row r="61" spans="3:82" x14ac:dyDescent="0.25">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row>
    <row r="62" spans="3:82" x14ac:dyDescent="0.25">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row>
    <row r="63" spans="3:82" x14ac:dyDescent="0.25">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row>
    <row r="64" spans="3:82" x14ac:dyDescent="0.25">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row>
    <row r="65" spans="3:82" x14ac:dyDescent="0.25">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row>
    <row r="66" spans="3:82" x14ac:dyDescent="0.25">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row>
    <row r="67" spans="3:82" x14ac:dyDescent="0.25">
      <c r="C67" s="68"/>
      <c r="D67" s="68"/>
      <c r="E67" s="68"/>
      <c r="F67" s="68"/>
      <c r="G67" s="68"/>
      <c r="H67" s="68" t="s">
        <v>269</v>
      </c>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row>
    <row r="68" spans="3:82" x14ac:dyDescent="0.25">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row>
    <row r="69" spans="3:82" x14ac:dyDescent="0.25">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row>
    <row r="70" spans="3:82" x14ac:dyDescent="0.25">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row>
    <row r="71" spans="3:82" x14ac:dyDescent="0.25">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row>
    <row r="72" spans="3:82" x14ac:dyDescent="0.25">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row>
    <row r="73" spans="3:82" x14ac:dyDescent="0.25">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row>
    <row r="74" spans="3:82" x14ac:dyDescent="0.25">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row>
    <row r="75" spans="3:82" x14ac:dyDescent="0.25">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row>
    <row r="76" spans="3:82" x14ac:dyDescent="0.25">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row>
    <row r="77" spans="3:82" x14ac:dyDescent="0.25">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row>
    <row r="78" spans="3:82" x14ac:dyDescent="0.25">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row>
    <row r="79" spans="3:82" x14ac:dyDescent="0.25">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row>
    <row r="80" spans="3:82" x14ac:dyDescent="0.25">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row>
    <row r="81" spans="3:82" x14ac:dyDescent="0.25">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row>
    <row r="82" spans="3:82" x14ac:dyDescent="0.25">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row>
    <row r="83" spans="3:82" x14ac:dyDescent="0.25">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row>
    <row r="84" spans="3:82" x14ac:dyDescent="0.25">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row>
    <row r="85" spans="3:82" x14ac:dyDescent="0.25">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row>
    <row r="86" spans="3:82" x14ac:dyDescent="0.25">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row>
    <row r="87" spans="3:82" x14ac:dyDescent="0.25">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row>
    <row r="88" spans="3:82" x14ac:dyDescent="0.25">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row>
    <row r="89" spans="3:82" x14ac:dyDescent="0.25">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row>
    <row r="90" spans="3:82" x14ac:dyDescent="0.25">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row>
    <row r="91" spans="3:82" x14ac:dyDescent="0.25">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row>
    <row r="92" spans="3:82" x14ac:dyDescent="0.25">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row>
    <row r="93" spans="3:82" x14ac:dyDescent="0.25">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row>
    <row r="94" spans="3:82" x14ac:dyDescent="0.25">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row>
    <row r="95" spans="3:82" x14ac:dyDescent="0.25">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row>
    <row r="96" spans="3:82" x14ac:dyDescent="0.25">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row>
    <row r="97" spans="3:65" x14ac:dyDescent="0.25">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row>
    <row r="98" spans="3:65" x14ac:dyDescent="0.25">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row>
    <row r="99" spans="3:65" x14ac:dyDescent="0.25">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row>
    <row r="100" spans="3:65" x14ac:dyDescent="0.25">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row>
    <row r="101" spans="3:65" x14ac:dyDescent="0.25">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row>
    <row r="102" spans="3:65" x14ac:dyDescent="0.25">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row>
    <row r="103" spans="3:65" x14ac:dyDescent="0.25">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row>
    <row r="104" spans="3:65" x14ac:dyDescent="0.25">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row>
    <row r="105" spans="3:65" x14ac:dyDescent="0.25">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row>
    <row r="106" spans="3:65" x14ac:dyDescent="0.25">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row>
    <row r="107" spans="3:65" x14ac:dyDescent="0.25">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row>
    <row r="108" spans="3:65" x14ac:dyDescent="0.25">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row>
    <row r="109" spans="3:65" x14ac:dyDescent="0.25">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row>
    <row r="110" spans="3:65" x14ac:dyDescent="0.25">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row>
    <row r="111" spans="3:65" x14ac:dyDescent="0.25">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row>
    <row r="112" spans="3:65" x14ac:dyDescent="0.25">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row>
    <row r="113" spans="3:65" x14ac:dyDescent="0.25">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row>
    <row r="114" spans="3:65" x14ac:dyDescent="0.25">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row>
    <row r="115" spans="3:65" x14ac:dyDescent="0.25">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row>
    <row r="116" spans="3:65" x14ac:dyDescent="0.25">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row>
    <row r="117" spans="3:65" x14ac:dyDescent="0.25">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row>
    <row r="118" spans="3:65" x14ac:dyDescent="0.25">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row>
    <row r="119" spans="3:65" x14ac:dyDescent="0.25">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row>
    <row r="120" spans="3:65" x14ac:dyDescent="0.25">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row>
    <row r="121" spans="3:65" x14ac:dyDescent="0.25">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row>
    <row r="122" spans="3:65" x14ac:dyDescent="0.25">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row>
    <row r="123" spans="3:65" x14ac:dyDescent="0.25">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row>
    <row r="124" spans="3:65" x14ac:dyDescent="0.25">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row>
    <row r="125" spans="3:65" x14ac:dyDescent="0.25">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row>
    <row r="126" spans="3:65" x14ac:dyDescent="0.25">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row>
    <row r="127" spans="3:65" x14ac:dyDescent="0.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row>
    <row r="128" spans="3:65" x14ac:dyDescent="0.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row>
    <row r="129" spans="4:65" x14ac:dyDescent="0.25">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row>
    <row r="130" spans="4:65" x14ac:dyDescent="0.25">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row>
    <row r="131" spans="4:65" x14ac:dyDescent="0.25">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row>
    <row r="132" spans="4:65" x14ac:dyDescent="0.25">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row>
    <row r="133" spans="4:65" x14ac:dyDescent="0.25">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row>
    <row r="134" spans="4:65" x14ac:dyDescent="0.25">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row>
    <row r="135" spans="4:65" x14ac:dyDescent="0.25">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row>
    <row r="136" spans="4:65" x14ac:dyDescent="0.25">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row>
    <row r="137" spans="4:65" x14ac:dyDescent="0.25">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row>
    <row r="138" spans="4:65" x14ac:dyDescent="0.25">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row>
    <row r="139" spans="4:65" x14ac:dyDescent="0.25">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row>
    <row r="140" spans="4:65" x14ac:dyDescent="0.25">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row>
    <row r="141" spans="4:65" x14ac:dyDescent="0.25">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row>
    <row r="142" spans="4:65" x14ac:dyDescent="0.25">
      <c r="D142" s="68"/>
      <c r="E142" s="68"/>
      <c r="F142" s="68"/>
      <c r="G142" s="68"/>
      <c r="H142" s="68"/>
      <c r="I142" s="68"/>
      <c r="J142" s="68"/>
      <c r="K142" s="68"/>
    </row>
    <row r="143" spans="4:65" x14ac:dyDescent="0.25">
      <c r="D143" s="68"/>
      <c r="E143" s="68"/>
      <c r="F143" s="68"/>
      <c r="G143" s="68"/>
      <c r="H143" s="68"/>
      <c r="I143" s="68"/>
      <c r="J143" s="68"/>
      <c r="K143" s="68"/>
    </row>
    <row r="144" spans="4:65" x14ac:dyDescent="0.25">
      <c r="D144" s="68"/>
      <c r="E144" s="68"/>
      <c r="F144" s="68"/>
      <c r="G144" s="68"/>
      <c r="H144" s="68"/>
      <c r="I144" s="68"/>
      <c r="J144" s="68"/>
      <c r="K144" s="68"/>
    </row>
    <row r="145" spans="4:11" x14ac:dyDescent="0.25">
      <c r="D145" s="68"/>
      <c r="E145" s="68"/>
      <c r="F145" s="68"/>
      <c r="G145" s="68"/>
      <c r="H145" s="68"/>
      <c r="I145" s="68"/>
      <c r="J145" s="68"/>
      <c r="K145" s="68"/>
    </row>
  </sheetData>
  <mergeCells count="324">
    <mergeCell ref="AP2:AV2"/>
    <mergeCell ref="AP3:AV3"/>
    <mergeCell ref="AP4:AV4"/>
    <mergeCell ref="AP5:AV5"/>
    <mergeCell ref="L2:AO5"/>
    <mergeCell ref="D2:K5"/>
    <mergeCell ref="D11:F50"/>
    <mergeCell ref="AQ11:AV18"/>
    <mergeCell ref="AQ19:AV26"/>
    <mergeCell ref="AQ27:AV34"/>
    <mergeCell ref="AQ35:AV42"/>
    <mergeCell ref="G27:K34"/>
    <mergeCell ref="G43:K50"/>
    <mergeCell ref="L7:AO9"/>
    <mergeCell ref="G11:K18"/>
    <mergeCell ref="G19:K26"/>
    <mergeCell ref="G35:K42"/>
    <mergeCell ref="AF15:AG16"/>
    <mergeCell ref="AH15:AI16"/>
    <mergeCell ref="AD11:AE12"/>
    <mergeCell ref="AF11:AG12"/>
    <mergeCell ref="AD17:AE18"/>
    <mergeCell ref="AF17:AG18"/>
    <mergeCell ref="AH17:AI18"/>
    <mergeCell ref="L51:Q56"/>
    <mergeCell ref="R51:W56"/>
    <mergeCell ref="X51:AC56"/>
    <mergeCell ref="P15:Q16"/>
    <mergeCell ref="P17:Q18"/>
    <mergeCell ref="T17:U18"/>
    <mergeCell ref="V17:W18"/>
    <mergeCell ref="X11:Y12"/>
    <mergeCell ref="Z11:AA12"/>
    <mergeCell ref="AB11:AC12"/>
    <mergeCell ref="X13:Y14"/>
    <mergeCell ref="Z13:AA14"/>
    <mergeCell ref="AB13:AC14"/>
    <mergeCell ref="X15:Y16"/>
    <mergeCell ref="Z15:AA16"/>
    <mergeCell ref="T11:U12"/>
    <mergeCell ref="V11:W12"/>
    <mergeCell ref="L11:M12"/>
    <mergeCell ref="AB15:AC16"/>
    <mergeCell ref="X17:Y18"/>
    <mergeCell ref="Z17:AA18"/>
    <mergeCell ref="AB17:AC18"/>
    <mergeCell ref="L23:M24"/>
    <mergeCell ref="N23:O24"/>
    <mergeCell ref="AD51:AI56"/>
    <mergeCell ref="AJ51:AO56"/>
    <mergeCell ref="R11:S12"/>
    <mergeCell ref="R17:S18"/>
    <mergeCell ref="N11:O12"/>
    <mergeCell ref="P11:Q12"/>
    <mergeCell ref="P13:Q14"/>
    <mergeCell ref="N13:O14"/>
    <mergeCell ref="L13:M14"/>
    <mergeCell ref="L15:M16"/>
    <mergeCell ref="R13:S14"/>
    <mergeCell ref="T13:U14"/>
    <mergeCell ref="V13:W14"/>
    <mergeCell ref="R15:S16"/>
    <mergeCell ref="T15:U16"/>
    <mergeCell ref="V15:W16"/>
    <mergeCell ref="L17:M18"/>
    <mergeCell ref="N15:O16"/>
    <mergeCell ref="N17:O18"/>
    <mergeCell ref="AH11:AI12"/>
    <mergeCell ref="AD13:AE14"/>
    <mergeCell ref="AF13:AG14"/>
    <mergeCell ref="AH13:AI14"/>
    <mergeCell ref="AD15:AE16"/>
    <mergeCell ref="AD19:AE20"/>
    <mergeCell ref="AF19:AG20"/>
    <mergeCell ref="AH19:AI20"/>
    <mergeCell ref="AD21:AE22"/>
    <mergeCell ref="AF21:AG22"/>
    <mergeCell ref="AH21:AI22"/>
    <mergeCell ref="X25:Y26"/>
    <mergeCell ref="Z25:AA26"/>
    <mergeCell ref="AB25:AC26"/>
    <mergeCell ref="X19:Y20"/>
    <mergeCell ref="Z19:AA20"/>
    <mergeCell ref="AB19:AC20"/>
    <mergeCell ref="X21:Y22"/>
    <mergeCell ref="Z21:AA22"/>
    <mergeCell ref="AB21:AC22"/>
    <mergeCell ref="AD23:AE24"/>
    <mergeCell ref="AF23:AG24"/>
    <mergeCell ref="X23:Y24"/>
    <mergeCell ref="Z23:AA24"/>
    <mergeCell ref="AB23:AC24"/>
    <mergeCell ref="AH23:AI24"/>
    <mergeCell ref="AD25:AE26"/>
    <mergeCell ref="AF25:AG26"/>
    <mergeCell ref="AH25:AI26"/>
    <mergeCell ref="AD31:AE32"/>
    <mergeCell ref="AF31:AG32"/>
    <mergeCell ref="AH31:AI32"/>
    <mergeCell ref="AD33:AE34"/>
    <mergeCell ref="AF33:AG34"/>
    <mergeCell ref="AH33:AI34"/>
    <mergeCell ref="AD27:AE28"/>
    <mergeCell ref="AF27:AG28"/>
    <mergeCell ref="AH27:AI28"/>
    <mergeCell ref="AD29:AE30"/>
    <mergeCell ref="AF29:AG30"/>
    <mergeCell ref="AH29:AI30"/>
    <mergeCell ref="AD39:AE40"/>
    <mergeCell ref="AF39:AG40"/>
    <mergeCell ref="AH39:AI40"/>
    <mergeCell ref="AD41:AE42"/>
    <mergeCell ref="AF41:AG42"/>
    <mergeCell ref="AH41:AI42"/>
    <mergeCell ref="AD35:AE36"/>
    <mergeCell ref="AF35:AG36"/>
    <mergeCell ref="AH35:AI36"/>
    <mergeCell ref="AD37:AE38"/>
    <mergeCell ref="AF37:AG38"/>
    <mergeCell ref="AH37:AI38"/>
    <mergeCell ref="AD47:AE48"/>
    <mergeCell ref="AF47:AG48"/>
    <mergeCell ref="AH47:AI48"/>
    <mergeCell ref="AD49:AE50"/>
    <mergeCell ref="AF49:AG50"/>
    <mergeCell ref="AH49:AI50"/>
    <mergeCell ref="AD43:AE44"/>
    <mergeCell ref="AF43:AG44"/>
    <mergeCell ref="AH43:AI44"/>
    <mergeCell ref="AD45:AE46"/>
    <mergeCell ref="AF45:AG46"/>
    <mergeCell ref="AH45:AI46"/>
    <mergeCell ref="AJ15:AK16"/>
    <mergeCell ref="AL15:AM16"/>
    <mergeCell ref="AN15:AO16"/>
    <mergeCell ref="AJ17:AK18"/>
    <mergeCell ref="AL17:AM18"/>
    <mergeCell ref="AN17:AO18"/>
    <mergeCell ref="AJ11:AK12"/>
    <mergeCell ref="AL11:AM12"/>
    <mergeCell ref="AN11:AO12"/>
    <mergeCell ref="AJ13:AK14"/>
    <mergeCell ref="AL13:AM14"/>
    <mergeCell ref="AN13:AO14"/>
    <mergeCell ref="AJ23:AK24"/>
    <mergeCell ref="AL23:AM24"/>
    <mergeCell ref="AN23:AO24"/>
    <mergeCell ref="AJ25:AK26"/>
    <mergeCell ref="AL25:AM26"/>
    <mergeCell ref="AN25:AO26"/>
    <mergeCell ref="AJ19:AK20"/>
    <mergeCell ref="AL19:AM20"/>
    <mergeCell ref="AN19:AO20"/>
    <mergeCell ref="AJ21:AK22"/>
    <mergeCell ref="AL21:AM22"/>
    <mergeCell ref="AN21:AO22"/>
    <mergeCell ref="AJ31:AK32"/>
    <mergeCell ref="AL31:AM32"/>
    <mergeCell ref="AN31:AO32"/>
    <mergeCell ref="AJ33:AK34"/>
    <mergeCell ref="AL33:AM34"/>
    <mergeCell ref="AN33:AO34"/>
    <mergeCell ref="AJ27:AK28"/>
    <mergeCell ref="AL27:AM28"/>
    <mergeCell ref="AN27:AO28"/>
    <mergeCell ref="AJ29:AK30"/>
    <mergeCell ref="AL29:AM30"/>
    <mergeCell ref="AN29:AO30"/>
    <mergeCell ref="AJ39:AK40"/>
    <mergeCell ref="AL39:AM40"/>
    <mergeCell ref="AN39:AO40"/>
    <mergeCell ref="AJ41:AK42"/>
    <mergeCell ref="AL41:AM42"/>
    <mergeCell ref="AN41:AO42"/>
    <mergeCell ref="AJ35:AK36"/>
    <mergeCell ref="AL35:AM36"/>
    <mergeCell ref="AN35:AO36"/>
    <mergeCell ref="AJ37:AK38"/>
    <mergeCell ref="AL37:AM38"/>
    <mergeCell ref="AN37:AO38"/>
    <mergeCell ref="AJ47:AK48"/>
    <mergeCell ref="AL47:AM48"/>
    <mergeCell ref="AN47:AO48"/>
    <mergeCell ref="AJ49:AK50"/>
    <mergeCell ref="AL49:AM50"/>
    <mergeCell ref="AN49:AO50"/>
    <mergeCell ref="AJ43:AK44"/>
    <mergeCell ref="AL43:AM44"/>
    <mergeCell ref="AN43:AO44"/>
    <mergeCell ref="AJ45:AK46"/>
    <mergeCell ref="AL45:AM46"/>
    <mergeCell ref="AN45:AO46"/>
    <mergeCell ref="P23:Q24"/>
    <mergeCell ref="L25:M26"/>
    <mergeCell ref="N25:O26"/>
    <mergeCell ref="P25:Q26"/>
    <mergeCell ref="L19:M20"/>
    <mergeCell ref="N19:O20"/>
    <mergeCell ref="P19:Q20"/>
    <mergeCell ref="L21:M22"/>
    <mergeCell ref="N21:O22"/>
    <mergeCell ref="P21:Q22"/>
    <mergeCell ref="R23:S24"/>
    <mergeCell ref="T23:U24"/>
    <mergeCell ref="V23:W24"/>
    <mergeCell ref="R25:S26"/>
    <mergeCell ref="T25:U26"/>
    <mergeCell ref="V25:W26"/>
    <mergeCell ref="R19:S20"/>
    <mergeCell ref="T19:U20"/>
    <mergeCell ref="V19:W20"/>
    <mergeCell ref="R21:S22"/>
    <mergeCell ref="T21:U22"/>
    <mergeCell ref="V21:W22"/>
    <mergeCell ref="L31:M32"/>
    <mergeCell ref="N31:O32"/>
    <mergeCell ref="P31:Q32"/>
    <mergeCell ref="L33:M34"/>
    <mergeCell ref="N33:O34"/>
    <mergeCell ref="P33:Q34"/>
    <mergeCell ref="L27:M28"/>
    <mergeCell ref="N27:O28"/>
    <mergeCell ref="P27:Q28"/>
    <mergeCell ref="L29:M30"/>
    <mergeCell ref="N29:O30"/>
    <mergeCell ref="P29:Q30"/>
    <mergeCell ref="R31:S32"/>
    <mergeCell ref="T31:U32"/>
    <mergeCell ref="V31:W32"/>
    <mergeCell ref="R33:S34"/>
    <mergeCell ref="T33:U34"/>
    <mergeCell ref="V33:W34"/>
    <mergeCell ref="R27:S28"/>
    <mergeCell ref="T27:U28"/>
    <mergeCell ref="V27:W28"/>
    <mergeCell ref="R29:S30"/>
    <mergeCell ref="T29:U30"/>
    <mergeCell ref="V29:W30"/>
    <mergeCell ref="X31:Y32"/>
    <mergeCell ref="Z31:AA32"/>
    <mergeCell ref="AB31:AC32"/>
    <mergeCell ref="X33:Y34"/>
    <mergeCell ref="Z33:AA34"/>
    <mergeCell ref="AB33:AC34"/>
    <mergeCell ref="X27:Y28"/>
    <mergeCell ref="Z27:AA28"/>
    <mergeCell ref="AB27:AC28"/>
    <mergeCell ref="X29:Y30"/>
    <mergeCell ref="Z29:AA30"/>
    <mergeCell ref="AB29:AC30"/>
    <mergeCell ref="X39:Y40"/>
    <mergeCell ref="Z39:AA40"/>
    <mergeCell ref="AB39:AC40"/>
    <mergeCell ref="X41:Y42"/>
    <mergeCell ref="Z41:AA42"/>
    <mergeCell ref="AB41:AC42"/>
    <mergeCell ref="X35:Y36"/>
    <mergeCell ref="Z35:AA36"/>
    <mergeCell ref="AB35:AC36"/>
    <mergeCell ref="X37:Y38"/>
    <mergeCell ref="Z37:AA38"/>
    <mergeCell ref="AB37:AC38"/>
    <mergeCell ref="R39:S40"/>
    <mergeCell ref="T39:U40"/>
    <mergeCell ref="V39:W40"/>
    <mergeCell ref="R41:S42"/>
    <mergeCell ref="T41:U42"/>
    <mergeCell ref="V41:W42"/>
    <mergeCell ref="R35:S36"/>
    <mergeCell ref="T35:U36"/>
    <mergeCell ref="V35:W36"/>
    <mergeCell ref="R37:S38"/>
    <mergeCell ref="T37:U38"/>
    <mergeCell ref="V37:W38"/>
    <mergeCell ref="X47:Y48"/>
    <mergeCell ref="Z47:AA48"/>
    <mergeCell ref="AB47:AC48"/>
    <mergeCell ref="X49:Y50"/>
    <mergeCell ref="Z49:AA50"/>
    <mergeCell ref="AB49:AC50"/>
    <mergeCell ref="X43:Y44"/>
    <mergeCell ref="Z43:AA44"/>
    <mergeCell ref="AB43:AC44"/>
    <mergeCell ref="X45:Y46"/>
    <mergeCell ref="Z45:AA46"/>
    <mergeCell ref="AB45:AC46"/>
    <mergeCell ref="N45:O46"/>
    <mergeCell ref="P45:Q46"/>
    <mergeCell ref="L39:M40"/>
    <mergeCell ref="N39:O40"/>
    <mergeCell ref="P39:Q40"/>
    <mergeCell ref="L41:M42"/>
    <mergeCell ref="N41:O42"/>
    <mergeCell ref="P41:Q42"/>
    <mergeCell ref="L35:M36"/>
    <mergeCell ref="N35:O36"/>
    <mergeCell ref="P35:Q36"/>
    <mergeCell ref="L37:M38"/>
    <mergeCell ref="N37:O38"/>
    <mergeCell ref="P37:Q38"/>
    <mergeCell ref="A8:C8"/>
    <mergeCell ref="D7:K9"/>
    <mergeCell ref="R47:S48"/>
    <mergeCell ref="T47:U48"/>
    <mergeCell ref="V47:W48"/>
    <mergeCell ref="R49:S50"/>
    <mergeCell ref="T49:U50"/>
    <mergeCell ref="V49:W50"/>
    <mergeCell ref="R43:S44"/>
    <mergeCell ref="T43:U44"/>
    <mergeCell ref="V43:W44"/>
    <mergeCell ref="R45:S46"/>
    <mergeCell ref="T45:U46"/>
    <mergeCell ref="V45:W46"/>
    <mergeCell ref="L47:M48"/>
    <mergeCell ref="N47:O48"/>
    <mergeCell ref="P47:Q48"/>
    <mergeCell ref="L49:M50"/>
    <mergeCell ref="N49:O50"/>
    <mergeCell ref="P49:Q50"/>
    <mergeCell ref="L43:M44"/>
    <mergeCell ref="N43:O44"/>
    <mergeCell ref="P43:Q44"/>
    <mergeCell ref="L45:M4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CN254"/>
  <sheetViews>
    <sheetView showGridLines="0" zoomScale="60" zoomScaleNormal="60" workbookViewId="0">
      <pane ySplit="7" topLeftCell="A8" activePane="bottomLeft" state="frozen"/>
      <selection pane="bottomLeft" activeCell="AX15" sqref="AX14:AX15"/>
    </sheetView>
  </sheetViews>
  <sheetFormatPr baseColWidth="10" defaultColWidth="11.42578125" defaultRowHeight="15" x14ac:dyDescent="0.25"/>
  <cols>
    <col min="3" max="19" width="5.7109375" customWidth="1"/>
    <col min="20" max="20" width="6.7109375" customWidth="1"/>
    <col min="21" max="23" width="5.7109375" customWidth="1"/>
    <col min="24" max="24" width="7.42578125" customWidth="1"/>
    <col min="25" max="25" width="8.42578125" customWidth="1"/>
    <col min="26" max="26" width="12" customWidth="1"/>
    <col min="27" max="27" width="5.7109375" customWidth="1"/>
    <col min="28" max="28" width="10.7109375" customWidth="1"/>
    <col min="29" max="29" width="5.7109375" customWidth="1"/>
    <col min="30" max="30" width="7.42578125" customWidth="1"/>
    <col min="31" max="31" width="8.42578125" customWidth="1"/>
    <col min="32" max="34" width="5.7109375" customWidth="1"/>
    <col min="35" max="35" width="8.42578125" customWidth="1"/>
    <col min="36" max="36" width="9.7109375" customWidth="1"/>
    <col min="37" max="40" width="5.7109375" customWidth="1"/>
    <col min="42" max="47" width="5.7109375" customWidth="1"/>
  </cols>
  <sheetData>
    <row r="1" spans="1:92" ht="15.75" thickBot="1" x14ac:dyDescent="0.3"/>
    <row r="2" spans="1:92" x14ac:dyDescent="0.25">
      <c r="C2" s="415" t="s">
        <v>251</v>
      </c>
      <c r="D2" s="416"/>
      <c r="E2" s="416"/>
      <c r="F2" s="416"/>
      <c r="G2" s="416"/>
      <c r="H2" s="416"/>
      <c r="I2" s="416"/>
      <c r="J2" s="417"/>
      <c r="K2" s="406" t="s">
        <v>1</v>
      </c>
      <c r="L2" s="407"/>
      <c r="M2" s="407"/>
      <c r="N2" s="407"/>
      <c r="O2" s="407"/>
      <c r="P2" s="407"/>
      <c r="Q2" s="407"/>
      <c r="R2" s="407"/>
      <c r="S2" s="407"/>
      <c r="T2" s="407"/>
      <c r="U2" s="407"/>
      <c r="V2" s="407"/>
      <c r="W2" s="407"/>
      <c r="X2" s="407"/>
      <c r="Y2" s="407"/>
      <c r="Z2" s="407"/>
      <c r="AA2" s="407"/>
      <c r="AB2" s="407"/>
      <c r="AC2" s="407"/>
      <c r="AD2" s="407"/>
      <c r="AE2" s="407"/>
      <c r="AF2" s="407"/>
      <c r="AG2" s="407"/>
      <c r="AH2" s="407"/>
      <c r="AI2" s="407"/>
      <c r="AJ2" s="407"/>
      <c r="AK2" s="407"/>
      <c r="AL2" s="407"/>
      <c r="AM2" s="407"/>
      <c r="AN2" s="408"/>
      <c r="AO2" s="348" t="s">
        <v>8</v>
      </c>
      <c r="AP2" s="403"/>
      <c r="AQ2" s="403"/>
      <c r="AR2" s="403"/>
      <c r="AS2" s="403"/>
      <c r="AT2" s="403"/>
      <c r="AU2" s="257"/>
    </row>
    <row r="3" spans="1:92" x14ac:dyDescent="0.25">
      <c r="C3" s="418"/>
      <c r="D3" s="419"/>
      <c r="E3" s="419"/>
      <c r="F3" s="419"/>
      <c r="G3" s="419"/>
      <c r="H3" s="419"/>
      <c r="I3" s="419"/>
      <c r="J3" s="420"/>
      <c r="K3" s="409"/>
      <c r="L3" s="410"/>
      <c r="M3" s="410"/>
      <c r="N3" s="410"/>
      <c r="O3" s="410"/>
      <c r="P3" s="410"/>
      <c r="Q3" s="410"/>
      <c r="R3" s="410"/>
      <c r="S3" s="410"/>
      <c r="T3" s="410"/>
      <c r="U3" s="410"/>
      <c r="V3" s="410"/>
      <c r="W3" s="410"/>
      <c r="X3" s="410"/>
      <c r="Y3" s="410"/>
      <c r="Z3" s="410"/>
      <c r="AA3" s="410"/>
      <c r="AB3" s="410"/>
      <c r="AC3" s="410"/>
      <c r="AD3" s="410"/>
      <c r="AE3" s="410"/>
      <c r="AF3" s="410"/>
      <c r="AG3" s="410"/>
      <c r="AH3" s="410"/>
      <c r="AI3" s="410"/>
      <c r="AJ3" s="410"/>
      <c r="AK3" s="410"/>
      <c r="AL3" s="410"/>
      <c r="AM3" s="410"/>
      <c r="AN3" s="411"/>
      <c r="AO3" s="349" t="s">
        <v>3</v>
      </c>
      <c r="AP3" s="404"/>
      <c r="AQ3" s="404"/>
      <c r="AR3" s="404"/>
      <c r="AS3" s="404"/>
      <c r="AT3" s="404"/>
      <c r="AU3" s="259"/>
    </row>
    <row r="4" spans="1:92" x14ac:dyDescent="0.25">
      <c r="C4" s="418"/>
      <c r="D4" s="419"/>
      <c r="E4" s="419"/>
      <c r="F4" s="419"/>
      <c r="G4" s="419"/>
      <c r="H4" s="419"/>
      <c r="I4" s="419"/>
      <c r="J4" s="420"/>
      <c r="K4" s="409"/>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1"/>
      <c r="AO4" s="349" t="s">
        <v>4</v>
      </c>
      <c r="AP4" s="404" t="s">
        <v>253</v>
      </c>
      <c r="AQ4" s="404"/>
      <c r="AR4" s="404"/>
      <c r="AS4" s="404"/>
      <c r="AT4" s="404"/>
      <c r="AU4" s="259"/>
    </row>
    <row r="5" spans="1:92" ht="15.75" thickBot="1" x14ac:dyDescent="0.3">
      <c r="C5" s="421"/>
      <c r="D5" s="422"/>
      <c r="E5" s="422"/>
      <c r="F5" s="422"/>
      <c r="G5" s="422"/>
      <c r="H5" s="422"/>
      <c r="I5" s="422"/>
      <c r="J5" s="423"/>
      <c r="K5" s="412"/>
      <c r="L5" s="413"/>
      <c r="M5" s="413"/>
      <c r="N5" s="413"/>
      <c r="O5" s="413"/>
      <c r="P5" s="413"/>
      <c r="Q5" s="413"/>
      <c r="R5" s="413"/>
      <c r="S5" s="413"/>
      <c r="T5" s="413"/>
      <c r="U5" s="413"/>
      <c r="V5" s="413"/>
      <c r="W5" s="413"/>
      <c r="X5" s="413"/>
      <c r="Y5" s="413"/>
      <c r="Z5" s="413"/>
      <c r="AA5" s="413"/>
      <c r="AB5" s="413"/>
      <c r="AC5" s="413"/>
      <c r="AD5" s="413"/>
      <c r="AE5" s="413"/>
      <c r="AF5" s="413"/>
      <c r="AG5" s="413"/>
      <c r="AH5" s="413"/>
      <c r="AI5" s="413"/>
      <c r="AJ5" s="413"/>
      <c r="AK5" s="413"/>
      <c r="AL5" s="413"/>
      <c r="AM5" s="413"/>
      <c r="AN5" s="414"/>
      <c r="AO5" s="350" t="s">
        <v>5</v>
      </c>
      <c r="AP5" s="405" t="s">
        <v>5</v>
      </c>
      <c r="AQ5" s="405"/>
      <c r="AR5" s="405"/>
      <c r="AS5" s="405"/>
      <c r="AT5" s="405"/>
      <c r="AU5" s="261"/>
    </row>
    <row r="7" spans="1:92" x14ac:dyDescent="0.25">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row>
    <row r="8" spans="1:92" ht="18" customHeight="1" x14ac:dyDescent="0.25">
      <c r="A8" s="463" t="s">
        <v>9</v>
      </c>
      <c r="B8" s="463"/>
      <c r="C8" s="493" t="s">
        <v>270</v>
      </c>
      <c r="D8" s="494"/>
      <c r="E8" s="494"/>
      <c r="F8" s="494"/>
      <c r="G8" s="494"/>
      <c r="H8" s="494"/>
      <c r="I8" s="494"/>
      <c r="J8" s="494"/>
      <c r="K8" s="495" t="s">
        <v>56</v>
      </c>
      <c r="L8" s="495"/>
      <c r="M8" s="495"/>
      <c r="N8" s="495"/>
      <c r="O8" s="495"/>
      <c r="P8" s="495"/>
      <c r="Q8" s="495"/>
      <c r="R8" s="495"/>
      <c r="S8" s="495"/>
      <c r="T8" s="495"/>
      <c r="U8" s="495"/>
      <c r="V8" s="495"/>
      <c r="W8" s="495"/>
      <c r="X8" s="495"/>
      <c r="Y8" s="495"/>
      <c r="Z8" s="495"/>
      <c r="AA8" s="495"/>
      <c r="AB8" s="495"/>
      <c r="AC8" s="495"/>
      <c r="AD8" s="495"/>
      <c r="AE8" s="495"/>
      <c r="AF8" s="495"/>
      <c r="AG8" s="495"/>
      <c r="AH8" s="495"/>
      <c r="AI8" s="495"/>
      <c r="AJ8" s="495"/>
      <c r="AK8" s="495"/>
      <c r="AL8" s="495"/>
      <c r="AM8" s="495"/>
      <c r="AN8" s="495"/>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row>
    <row r="9" spans="1:92" ht="18.75" customHeight="1" x14ac:dyDescent="0.25">
      <c r="B9" s="68"/>
      <c r="C9" s="494"/>
      <c r="D9" s="494"/>
      <c r="E9" s="494"/>
      <c r="F9" s="494"/>
      <c r="G9" s="494"/>
      <c r="H9" s="494"/>
      <c r="I9" s="494"/>
      <c r="J9" s="494"/>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495"/>
      <c r="AJ9" s="495"/>
      <c r="AK9" s="495"/>
      <c r="AL9" s="495"/>
      <c r="AM9" s="495"/>
      <c r="AN9" s="495"/>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row>
    <row r="10" spans="1:92" ht="15" customHeight="1" x14ac:dyDescent="0.25">
      <c r="B10" s="68"/>
      <c r="C10" s="494"/>
      <c r="D10" s="494"/>
      <c r="E10" s="494"/>
      <c r="F10" s="494"/>
      <c r="G10" s="494"/>
      <c r="H10" s="494"/>
      <c r="I10" s="494"/>
      <c r="J10" s="494"/>
      <c r="K10" s="495"/>
      <c r="L10" s="495"/>
      <c r="M10" s="495"/>
      <c r="N10" s="495"/>
      <c r="O10" s="495"/>
      <c r="P10" s="495"/>
      <c r="Q10" s="495"/>
      <c r="R10" s="495"/>
      <c r="S10" s="495"/>
      <c r="T10" s="495"/>
      <c r="U10" s="495"/>
      <c r="V10" s="495"/>
      <c r="W10" s="495"/>
      <c r="X10" s="495"/>
      <c r="Y10" s="495"/>
      <c r="Z10" s="495"/>
      <c r="AA10" s="495"/>
      <c r="AB10" s="495"/>
      <c r="AC10" s="495"/>
      <c r="AD10" s="495"/>
      <c r="AE10" s="495"/>
      <c r="AF10" s="495"/>
      <c r="AG10" s="495"/>
      <c r="AH10" s="495"/>
      <c r="AI10" s="495"/>
      <c r="AJ10" s="495"/>
      <c r="AK10" s="495"/>
      <c r="AL10" s="495"/>
      <c r="AM10" s="495"/>
      <c r="AN10" s="495"/>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row>
    <row r="11" spans="1:92" ht="15.75" thickBot="1" x14ac:dyDescent="0.3">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row>
    <row r="12" spans="1:92" ht="15" customHeight="1" x14ac:dyDescent="0.25">
      <c r="B12" s="68"/>
      <c r="C12" s="424" t="s">
        <v>255</v>
      </c>
      <c r="D12" s="424"/>
      <c r="E12" s="425"/>
      <c r="F12" s="464" t="s">
        <v>256</v>
      </c>
      <c r="G12" s="465"/>
      <c r="H12" s="465"/>
      <c r="I12" s="465"/>
      <c r="J12" s="465"/>
      <c r="K12" s="32"/>
      <c r="L12" s="33" t="str">
        <f>IF(AND('Mapa final'!$AH$18="Muy Alta",'Mapa final'!$AJ$18="Leve"),CONCATENATE("R2C",'Mapa final'!$R$15),"")</f>
        <v/>
      </c>
      <c r="M12" s="33" t="str">
        <f>IF(AND('Mapa final'!$AH$19="Muy Alta",'Mapa final'!$AJ$19="Leve"),CONCATENATE("R2C",'Mapa final'!$R$19),"")</f>
        <v/>
      </c>
      <c r="N12" s="33" t="e">
        <f>IF(AND('Mapa final'!#REF!="Muy Alta",'Mapa final'!#REF!="Leve"),CONCATENATE("R2C",'Mapa final'!#REF!),"")</f>
        <v>#REF!</v>
      </c>
      <c r="O12" s="33" t="e">
        <f>IF(AND('Mapa final'!#REF!="Muy Alta",'Mapa final'!#REF!="Leve"),CONCATENATE("R2C",'Mapa final'!#REF!),"")</f>
        <v>#REF!</v>
      </c>
      <c r="P12" s="34" t="e">
        <f>IF(AND('Mapa final'!#REF!="Muy Alta",'Mapa final'!#REF!="Leve"),CONCATENATE("R2C",'Mapa final'!#REF!),"")</f>
        <v>#REF!</v>
      </c>
      <c r="Q12" s="33"/>
      <c r="R12" s="33" t="str">
        <f>IF(AND('Mapa final'!$AH$18="Muy Alta",'Mapa final'!$AJ$18="Menore"),CONCATENATE("R2C",'Mapa final'!$R$15),"")</f>
        <v/>
      </c>
      <c r="S12" s="33" t="str">
        <f>IF(AND('Mapa final'!$AH$19="Muy Alta",'Mapa final'!$AJ$19="Menor"),CONCATENATE("R2C",'Mapa final'!$R$19),"")</f>
        <v/>
      </c>
      <c r="T12" s="33" t="e">
        <f>IF(AND('Mapa final'!#REF!="Muy Alta",'Mapa final'!#REF!="Menor"),CONCATENATE("R2C",'Mapa final'!#REF!),"")</f>
        <v>#REF!</v>
      </c>
      <c r="U12" s="33" t="e">
        <f>IF(AND('Mapa final'!#REF!="Muy Alta",'Mapa final'!#REF!="Menor"),CONCATENATE("R2C",'Mapa final'!#REF!),"")</f>
        <v>#REF!</v>
      </c>
      <c r="V12" s="34" t="e">
        <f>IF(AND('Mapa final'!#REF!="Muy Alta",'Mapa final'!#REF!="Menor"),CONCATENATE("R2C",'Mapa final'!#REF!),"")</f>
        <v>#REF!</v>
      </c>
      <c r="W12" s="32"/>
      <c r="X12" s="33" t="str">
        <f>IF(AND('Mapa final'!$AH$18="Muy Alta",'Mapa final'!$AJ$18="Moderado"),CONCATENATE("R2C",'Mapa final'!$R$15),"")</f>
        <v/>
      </c>
      <c r="Y12" s="33"/>
      <c r="Z12" s="33" t="e">
        <f>IF(AND('Mapa final'!#REF!="Muy Alta",'Mapa final'!#REF!="Moderado"),CONCATENATE("R2C",'Mapa final'!#REF!),"")</f>
        <v>#REF!</v>
      </c>
      <c r="AA12" s="33" t="e">
        <f>IF(AND('Mapa final'!#REF!="Muy Alta",'Mapa final'!#REF!="Moderado"),CONCATENATE("R2C",'Mapa final'!#REF!),"")</f>
        <v>#REF!</v>
      </c>
      <c r="AB12" s="34" t="e">
        <f>IF(AND('Mapa final'!#REF!="Muy Alta",'Mapa final'!#REF!="Moderado"),CONCATENATE("R2C",'Mapa final'!#REF!),"")</f>
        <v>#REF!</v>
      </c>
      <c r="AC12" s="32"/>
      <c r="AD12" s="33" t="str">
        <f>IF(AND('Mapa final'!$AH$18="Muy Alta",'Mapa final'!$AJ$18="Mayor"),CONCATENATE("R2C",'Mapa final'!$R$15),"")</f>
        <v>R2C     El riesgo afecta la imagen de de la entidad con efecto publicitario sostenido a nivel de sector administrativo, nivel departamental o municipal</v>
      </c>
      <c r="AE12" s="33" t="str">
        <f>IF(AND('Mapa final'!$AH$19="Muy Alta",'Mapa final'!$AJ$19="Mayor"),CONCATENATE("R2C",'Mapa final'!$R$19),"")</f>
        <v/>
      </c>
      <c r="AF12" s="33" t="e">
        <f>IF(AND('Mapa final'!#REF!="Muy Alta",'Mapa final'!#REF!="Mayor"),CONCATENATE("R2C",'Mapa final'!#REF!),"")</f>
        <v>#REF!</v>
      </c>
      <c r="AG12" s="33" t="e">
        <f>IF(AND('Mapa final'!#REF!="Muy Alta",'Mapa final'!#REF!="Mayor"),CONCATENATE("R2C",'Mapa final'!#REF!),"")</f>
        <v>#REF!</v>
      </c>
      <c r="AH12" s="34" t="e">
        <f>IF(AND('Mapa final'!#REF!="Muy Alta",'Mapa final'!#REF!="Mayor"),CONCATENATE("R2C",'Mapa final'!#REF!),"")</f>
        <v>#REF!</v>
      </c>
      <c r="AI12" s="35"/>
      <c r="AJ12" s="36" t="str">
        <f>IF(AND('Mapa final'!$AH$18="Muy Alta",'Mapa final'!$AJ$18="Catastrófico"),CONCATENATE("R2C",'Mapa final'!$R$15),"")</f>
        <v/>
      </c>
      <c r="AK12" s="36" t="str">
        <f>IF(AND('Mapa final'!$AH$19="Muy Alta",'Mapa final'!$AJ$19="Catastrófico"),CONCATENATE("R2C",'Mapa final'!$R$19),"")</f>
        <v/>
      </c>
      <c r="AL12" s="36" t="e">
        <f>IF(AND('Mapa final'!#REF!="Muy Alta",'Mapa final'!#REF!="Catastrófico"),CONCATENATE("R2C",'Mapa final'!#REF!),"")</f>
        <v>#REF!</v>
      </c>
      <c r="AM12" s="36" t="e">
        <f>IF(AND('Mapa final'!#REF!="Muy Alta",'Mapa final'!#REF!="Catastrófico"),CONCATENATE("R2C",'Mapa final'!#REF!),"")</f>
        <v>#REF!</v>
      </c>
      <c r="AN12" s="37" t="e">
        <f>IF(AND('Mapa final'!#REF!="Muy Alta",'Mapa final'!#REF!="Catastrófico"),CONCATENATE("R2C",'Mapa final'!#REF!),"")</f>
        <v>#REF!</v>
      </c>
      <c r="AO12" s="68"/>
      <c r="AP12" s="484" t="s">
        <v>257</v>
      </c>
      <c r="AQ12" s="485"/>
      <c r="AR12" s="485"/>
      <c r="AS12" s="485"/>
      <c r="AT12" s="485"/>
      <c r="AU12" s="486"/>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row>
    <row r="13" spans="1:92" ht="15" customHeight="1" x14ac:dyDescent="0.25">
      <c r="B13" s="68"/>
      <c r="C13" s="424"/>
      <c r="D13" s="424"/>
      <c r="E13" s="425"/>
      <c r="F13" s="467"/>
      <c r="G13" s="468"/>
      <c r="H13" s="468"/>
      <c r="I13" s="468"/>
      <c r="J13" s="468"/>
      <c r="K13" s="38" t="e">
        <f>IF(AND('Mapa final'!#REF!="Muy Alta",'Mapa final'!#REF!="Leve"),CONCATENATE("R2C",'Mapa final'!#REF!),"")</f>
        <v>#REF!</v>
      </c>
      <c r="L13" s="39" t="e">
        <f>IF(AND('Mapa final'!#REF!="Muy Alta",'Mapa final'!#REF!="Leve"),CONCATENATE("R2C",'Mapa final'!#REF!),"")</f>
        <v>#REF!</v>
      </c>
      <c r="M13" s="39" t="str">
        <f>IF(AND('Mapa final'!$AH$22="Muy Alta",'Mapa final'!$AJ$22="Leve"),CONCATENATE("R2C",'Mapa final'!$R$22),"")</f>
        <v/>
      </c>
      <c r="N13" s="39" t="str">
        <f>IF(AND('Mapa final'!$AH$23="Muy Alta",'Mapa final'!$AJ$23="Leve"),CONCATENATE("R2C",'Mapa final'!$R$23),"")</f>
        <v/>
      </c>
      <c r="O13" s="39" t="str">
        <f>IF(AND('Mapa final'!$AH$24="Muy Alta",'Mapa final'!$AJ$24="Leve"),CONCATENATE("R2C",'Mapa final'!$R$24),"")</f>
        <v/>
      </c>
      <c r="P13" s="40" t="str">
        <f>IF(AND('Mapa final'!$AH$25="Muy Alta",'Mapa final'!$AJ$25="Leve"),CONCATENATE("R2C",'Mapa final'!$R$25),"")</f>
        <v/>
      </c>
      <c r="Q13" s="39" t="e">
        <f>IF(AND('Mapa final'!#REF!="Muy Alta",'Mapa final'!#REF!="Menor"),CONCATENATE("R2C",'Mapa final'!#REF!),"")</f>
        <v>#REF!</v>
      </c>
      <c r="R13" s="39" t="e">
        <f>IF(AND('Mapa final'!#REF!="Muy Alta",'Mapa final'!#REF!="Menor"),CONCATENATE("R2C",'Mapa final'!#REF!),"")</f>
        <v>#REF!</v>
      </c>
      <c r="S13" s="39" t="str">
        <f>IF(AND('Mapa final'!$AH$22="Muy Alta",'Mapa final'!$AJ$22="Menor"),CONCATENATE("R2C",'Mapa final'!$R$22),"")</f>
        <v/>
      </c>
      <c r="T13" s="39" t="str">
        <f>IF(AND('Mapa final'!$AH$23="Muy Alta",'Mapa final'!$AJ$23="Menor"),CONCATENATE("R2C",'Mapa final'!$R$23),"")</f>
        <v/>
      </c>
      <c r="U13" s="39" t="str">
        <f>IF(AND('Mapa final'!$AH$24="Muy Alta",'Mapa final'!$AJ$24="Menor"),CONCATENATE("R2C",'Mapa final'!$R$24),"")</f>
        <v/>
      </c>
      <c r="V13" s="40" t="str">
        <f>IF(AND('Mapa final'!$AH$25="Muy Alta",'Mapa final'!$AJ$25="Menor"),CONCATENATE("R2C",'Mapa final'!$R$25),"")</f>
        <v/>
      </c>
      <c r="W13" s="38" t="e">
        <f>IF(AND('Mapa final'!#REF!="Muy Alta",'Mapa final'!#REF!="Moderado"),CONCATENATE("R2C",'Mapa final'!#REF!),"")</f>
        <v>#REF!</v>
      </c>
      <c r="X13" s="39" t="e">
        <f>IF(AND('Mapa final'!#REF!="Muy Alta",'Mapa final'!#REF!="Moderado"),CONCATENATE("R2C",'Mapa final'!#REF!),"")</f>
        <v>#REF!</v>
      </c>
      <c r="Y13" s="39" t="str">
        <f>IF(AND('Mapa final'!$AH$22="Muy Alta",'Mapa final'!$AJ$22="Moderado"),CONCATENATE("R2C",'Mapa final'!$R$22),"")</f>
        <v/>
      </c>
      <c r="Z13" s="39" t="str">
        <f>IF(AND('Mapa final'!$AH$23="Muy Alta",'Mapa final'!$AJ$23="Moderado"),CONCATENATE("R2C",'Mapa final'!$R$23),"")</f>
        <v/>
      </c>
      <c r="AA13" s="39" t="str">
        <f>IF(AND('Mapa final'!$AH$24="Muy Alta",'Mapa final'!$AJ$24="Moderado"),CONCATENATE("R2C",'Mapa final'!$R$24),"")</f>
        <v/>
      </c>
      <c r="AB13" s="40" t="str">
        <f>IF(AND('Mapa final'!$AH$25="Muy Alta",'Mapa final'!$AJ$25="Moderado"),CONCATENATE("R2C",'Mapa final'!$R$25),"")</f>
        <v/>
      </c>
      <c r="AC13" s="38" t="e">
        <f>IF(AND('Mapa final'!#REF!="Muy Alta",'Mapa final'!#REF!="Mayor"),CONCATENATE("R2C",'Mapa final'!#REF!),"")</f>
        <v>#REF!</v>
      </c>
      <c r="AD13" s="39" t="e">
        <f>IF(AND('Mapa final'!#REF!="Muy Alta",'Mapa final'!#REF!="Mayor"),CONCATENATE("R2C",'Mapa final'!#REF!),"")</f>
        <v>#REF!</v>
      </c>
      <c r="AE13" s="39" t="str">
        <f>IF(AND('Mapa final'!$AH$22="Muy Alta",'Mapa final'!$AJ$22="Mayor"),CONCATENATE("R2C",'Mapa final'!$R$22),"")</f>
        <v/>
      </c>
      <c r="AF13" s="39" t="str">
        <f>IF(AND('Mapa final'!$AH$23="Muy Alta",'Mapa final'!$AJ$23="Mayor"),CONCATENATE("R2C",'Mapa final'!$R$23),"")</f>
        <v/>
      </c>
      <c r="AG13" s="39" t="str">
        <f>IF(AND('Mapa final'!$AH$24="Muy Alta",'Mapa final'!$AJ$24="Mayor"),CONCATENATE("R2C",'Mapa final'!$R$24),"")</f>
        <v/>
      </c>
      <c r="AH13" s="40" t="str">
        <f>IF(AND('Mapa final'!$AH$25="Muy Alta",'Mapa final'!$AJ$25="Mayor"),CONCATENATE("R2C",'Mapa final'!$R$25),"")</f>
        <v/>
      </c>
      <c r="AI13" s="41" t="e">
        <f>IF(AND('Mapa final'!#REF!="Muy Alta",'Mapa final'!#REF!="Catastrófico"),CONCATENATE("R2C",'Mapa final'!#REF!),"")</f>
        <v>#REF!</v>
      </c>
      <c r="AJ13" s="42" t="e">
        <f>IF(AND('Mapa final'!#REF!="Muy Alta",'Mapa final'!#REF!="Catastrófico"),CONCATENATE("R2C",'Mapa final'!#REF!),"")</f>
        <v>#REF!</v>
      </c>
      <c r="AK13" s="42" t="str">
        <f>IF(AND('Mapa final'!$AH$22="Muy Alta",'Mapa final'!$AJ$22="Catastrófico"),CONCATENATE("R2C",'Mapa final'!$R$22),"")</f>
        <v/>
      </c>
      <c r="AL13" s="42" t="str">
        <f>IF(AND('Mapa final'!$AH$23="Muy Alta",'Mapa final'!$AJ$23="Catastrófico"),CONCATENATE("R2C",'Mapa final'!$R$23),"")</f>
        <v/>
      </c>
      <c r="AM13" s="42" t="str">
        <f>IF(AND('Mapa final'!$AH$24="Muy Alta",'Mapa final'!$AJ$24="Catastrófico"),CONCATENATE("R2C",'Mapa final'!$R$24),"")</f>
        <v/>
      </c>
      <c r="AN13" s="43" t="str">
        <f>IF(AND('Mapa final'!$AH$25="Muy Alta",'Mapa final'!$AJ$25="Catastrófico"),CONCATENATE("R2C",'Mapa final'!$R$25),"")</f>
        <v/>
      </c>
      <c r="AO13" s="68"/>
      <c r="AP13" s="487"/>
      <c r="AQ13" s="488"/>
      <c r="AR13" s="488"/>
      <c r="AS13" s="488"/>
      <c r="AT13" s="488"/>
      <c r="AU13" s="489"/>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row>
    <row r="14" spans="1:92" ht="15" customHeight="1" x14ac:dyDescent="0.25">
      <c r="B14" s="68"/>
      <c r="C14" s="424"/>
      <c r="D14" s="424"/>
      <c r="E14" s="425"/>
      <c r="F14" s="467"/>
      <c r="G14" s="468"/>
      <c r="H14" s="468"/>
      <c r="I14" s="468"/>
      <c r="J14" s="468"/>
      <c r="K14" s="38" t="str">
        <f>IF(AND('Mapa final'!$AH$26="Muy Alta",'Mapa final'!$AJ$26="Leve"),CONCATENATE("R2C",'Mapa final'!$R$26),"")</f>
        <v/>
      </c>
      <c r="L14" s="39" t="str">
        <f>IF(AND('Mapa final'!$AH$27="Muy Alta",'Mapa final'!$AJ$27="Leve"),CONCATENATE("R2C",'Mapa final'!$R$27),"")</f>
        <v/>
      </c>
      <c r="M14" s="39" t="str">
        <f>IF(AND('Mapa final'!$AH$28="Muy Alta",'Mapa final'!$AJ$28="Leve"),CONCATENATE("R2C",'Mapa final'!$R$28),"")</f>
        <v/>
      </c>
      <c r="N14" s="39" t="str">
        <f>IF(AND('Mapa final'!$AH$29="Muy Alta",'Mapa final'!$AJ$29="Leve"),CONCATENATE("R2C",'Mapa final'!$R$29),"")</f>
        <v/>
      </c>
      <c r="O14" s="39" t="str">
        <f>IF(AND('Mapa final'!$AH$30="Muy Alta",'Mapa final'!$AJ$30="Leve"),CONCATENATE("R2C",'Mapa final'!$R$30),"")</f>
        <v/>
      </c>
      <c r="P14" s="40" t="str">
        <f>IF(AND('Mapa final'!$AH$31="Muy Alta",'Mapa final'!$AJ$31="Leve"),CONCATENATE("R2C",'Mapa final'!$R$31),"")</f>
        <v/>
      </c>
      <c r="Q14" s="39" t="str">
        <f>IF(AND('Mapa final'!$AH$26="Muy Alta",'Mapa final'!$AJ$26="Menor"),CONCATENATE("R2C",'Mapa final'!$R$26),"")</f>
        <v/>
      </c>
      <c r="R14" s="39" t="str">
        <f>IF(AND('Mapa final'!$AH$27="Muy Alta",'Mapa final'!$AJ$27="Menor"),CONCATENATE("R2C",'Mapa final'!$R$27),"")</f>
        <v/>
      </c>
      <c r="S14" s="39" t="str">
        <f>IF(AND('Mapa final'!$AH$28="Muy Alta",'Mapa final'!$AJ$28="Menor"),CONCATENATE("R2C",'Mapa final'!$R$28),"")</f>
        <v/>
      </c>
      <c r="T14" s="39" t="str">
        <f>IF(AND('Mapa final'!$AH$29="Muy Alta",'Mapa final'!$AJ$29="Menor"),CONCATENATE("R2C",'Mapa final'!$R$29),"")</f>
        <v/>
      </c>
      <c r="U14" s="39" t="str">
        <f>IF(AND('Mapa final'!$AH$30="Muy Alta",'Mapa final'!$AJ$30="Menor"),CONCATENATE("R2C",'Mapa final'!$R$30),"")</f>
        <v/>
      </c>
      <c r="V14" s="40" t="str">
        <f>IF(AND('Mapa final'!$AH$31="Muy Alta",'Mapa final'!$AJ$31="Menor"),CONCATENATE("R2C",'Mapa final'!$R$31),"")</f>
        <v/>
      </c>
      <c r="W14" s="38" t="str">
        <f>IF(AND('Mapa final'!$AH$26="Muy Alta",'Mapa final'!$AJ$26="Moderado"),CONCATENATE("R2C",'Mapa final'!$R$26),"")</f>
        <v/>
      </c>
      <c r="X14" s="39" t="str">
        <f>IF(AND('Mapa final'!$AH$27="Muy Alta",'Mapa final'!$AJ$27="Moderado"),CONCATENATE("R2C",'Mapa final'!$R$27),"")</f>
        <v/>
      </c>
      <c r="Y14" s="39" t="str">
        <f>IF(AND('Mapa final'!$AH$28="Muy Alta",'Mapa final'!$AJ$28="Moderado"),CONCATENATE("R2C",'Mapa final'!$R$28),"")</f>
        <v/>
      </c>
      <c r="Z14" s="39" t="str">
        <f>IF(AND('Mapa final'!$AH$29="Muy Alta",'Mapa final'!$AJ$29="Moderado"),CONCATENATE("R2C",'Mapa final'!$R$29),"")</f>
        <v/>
      </c>
      <c r="AA14" s="39" t="str">
        <f>IF(AND('Mapa final'!$AH$30="Muy Alta",'Mapa final'!$AJ$30="Moderado"),CONCATENATE("R2C",'Mapa final'!$R$30),"")</f>
        <v/>
      </c>
      <c r="AB14" s="40" t="str">
        <f>IF(AND('Mapa final'!$AH$31="Muy Alta",'Mapa final'!$AJ$31="Moderado"),CONCATENATE("R2C",'Mapa final'!$R$31),"")</f>
        <v/>
      </c>
      <c r="AC14" s="38" t="str">
        <f>IF(AND('Mapa final'!$AH$26="Muy Alta",'Mapa final'!$AJ$26="Mayor"),CONCATENATE("R2C",'Mapa final'!$R$26),"")</f>
        <v/>
      </c>
      <c r="AD14" s="39" t="str">
        <f>IF(AND('Mapa final'!$AH$27="Muy Alta",'Mapa final'!$AJ$27="Mayor"),CONCATENATE("R2C",'Mapa final'!$R$27),"")</f>
        <v/>
      </c>
      <c r="AE14" s="39" t="str">
        <f>IF(AND('Mapa final'!$AH$28="Muy Alta",'Mapa final'!$AJ$28="Mayor"),CONCATENATE("R2C",'Mapa final'!$R$28),"")</f>
        <v/>
      </c>
      <c r="AF14" s="39" t="str">
        <f>IF(AND('Mapa final'!$AH$29="Muy Alta",'Mapa final'!$AJ$29="Mayor"),CONCATENATE("R2C",'Mapa final'!$R$29),"")</f>
        <v/>
      </c>
      <c r="AG14" s="39" t="str">
        <f>IF(AND('Mapa final'!$AH$30="Muy Alta",'Mapa final'!$AJ$30="Mayor"),CONCATENATE("R2C",'Mapa final'!$R$30),"")</f>
        <v/>
      </c>
      <c r="AH14" s="40" t="str">
        <f>IF(AND('Mapa final'!$AH$31="Muy Alta",'Mapa final'!$AJ$31="Mayor"),CONCATENATE("R2C",'Mapa final'!$R$31),"")</f>
        <v/>
      </c>
      <c r="AI14" s="41" t="str">
        <f>IF(AND('Mapa final'!$AH$26="Muy Alta",'Mapa final'!$AJ$26="Catastrófico"),CONCATENATE("R2C",'Mapa final'!$R$26),"")</f>
        <v/>
      </c>
      <c r="AJ14" s="42" t="str">
        <f>IF(AND('Mapa final'!$AH$27="Muy Alta",'Mapa final'!$AJ$27="Catastrófico"),CONCATENATE("R2C",'Mapa final'!$R$27),"")</f>
        <v/>
      </c>
      <c r="AK14" s="42" t="str">
        <f>IF(AND('Mapa final'!$AH$28="Muy Alta",'Mapa final'!$AJ$28="Catastrófico"),CONCATENATE("R2C",'Mapa final'!$R$28),"")</f>
        <v/>
      </c>
      <c r="AL14" s="42" t="str">
        <f>IF(AND('Mapa final'!$AH$29="Muy Alta",'Mapa final'!$AJ$29="Catastrófico"),CONCATENATE("R2C",'Mapa final'!$R$29),"")</f>
        <v/>
      </c>
      <c r="AM14" s="42" t="str">
        <f>IF(AND('Mapa final'!$AH$30="Muy Alta",'Mapa final'!$AJ$30="Catastrófico"),CONCATENATE("R2C",'Mapa final'!$R$30),"")</f>
        <v/>
      </c>
      <c r="AN14" s="43" t="str">
        <f>IF(AND('Mapa final'!$AH$31="Muy Alta",'Mapa final'!$AJ$31="Catastrófico"),CONCATENATE("R2C",'Mapa final'!$R$31),"")</f>
        <v/>
      </c>
      <c r="AO14" s="68"/>
      <c r="AP14" s="487"/>
      <c r="AQ14" s="488"/>
      <c r="AR14" s="488"/>
      <c r="AS14" s="488"/>
      <c r="AT14" s="488"/>
      <c r="AU14" s="489"/>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row>
    <row r="15" spans="1:92" ht="15" customHeight="1" x14ac:dyDescent="0.25">
      <c r="B15" s="68"/>
      <c r="C15" s="424"/>
      <c r="D15" s="424"/>
      <c r="E15" s="425"/>
      <c r="F15" s="467"/>
      <c r="G15" s="468"/>
      <c r="H15" s="468"/>
      <c r="I15" s="468"/>
      <c r="J15" s="468"/>
      <c r="K15" s="38" t="str">
        <f>IF(AND('Mapa final'!$AH$32="Muy Alta",'Mapa final'!$AJ$32="Leve"),CONCATENATE("R2C",'Mapa final'!$R$32),"")</f>
        <v/>
      </c>
      <c r="L15" s="39" t="str">
        <f>IF(AND('Mapa final'!$AH$33="Muy Alta",'Mapa final'!$AJ$33="Leve"),CONCATENATE("R2C",'Mapa final'!$R$33),"")</f>
        <v/>
      </c>
      <c r="M15" s="39" t="str">
        <f>IF(AND('Mapa final'!$AH$34="Muy Alta",'Mapa final'!$AJ$34="Leve"),CONCATENATE("R2C",'Mapa final'!$R$34),"")</f>
        <v/>
      </c>
      <c r="N15" s="39" t="str">
        <f>IF(AND('Mapa final'!$AH$35="Muy Alta",'Mapa final'!$AJ$35="Leve"),CONCATENATE("R2C",'Mapa final'!$R$35),"")</f>
        <v/>
      </c>
      <c r="O15" s="39" t="str">
        <f>IF(AND('Mapa final'!$AH$36="Muy Alta",'Mapa final'!$AJ$36="Leve"),CONCATENATE("R2C",'Mapa final'!$R$36),"")</f>
        <v/>
      </c>
      <c r="P15" s="40" t="str">
        <f>IF(AND('Mapa final'!$AH$37="Muy Alta",'Mapa final'!$AJ$37="Leve"),CONCATENATE("R2C",'Mapa final'!$R$37),"")</f>
        <v/>
      </c>
      <c r="Q15" s="39" t="str">
        <f>IF(AND('Mapa final'!$AH$32="Muy Alta",'Mapa final'!$AJ$32="Menor"),CONCATENATE("R2C",'Mapa final'!$R$32),"")</f>
        <v/>
      </c>
      <c r="R15" s="39" t="str">
        <f>IF(AND('Mapa final'!$AH$33="Muy Alta",'Mapa final'!$AJ$33="Menor"),CONCATENATE("R2C",'Mapa final'!$R$33),"")</f>
        <v/>
      </c>
      <c r="S15" s="39" t="str">
        <f>IF(AND('Mapa final'!$AH$34="Muy Alta",'Mapa final'!$AJ$34="Menor"),CONCATENATE("R2C",'Mapa final'!$R$34),"")</f>
        <v/>
      </c>
      <c r="T15" s="39" t="str">
        <f>IF(AND('Mapa final'!$AH$35="Muy Alta",'Mapa final'!$AJ$35="Menor"),CONCATENATE("R2C",'Mapa final'!$R$35),"")</f>
        <v/>
      </c>
      <c r="U15" s="39" t="str">
        <f>IF(AND('Mapa final'!$AH$36="Muy Alta",'Mapa final'!$AJ$36="LMenor"),CONCATENATE("R2C",'Mapa final'!$R$36),"")</f>
        <v/>
      </c>
      <c r="V15" s="40" t="str">
        <f>IF(AND('Mapa final'!$AH$37="Muy Alta",'Mapa final'!$AJ$37="Menor"),CONCATENATE("R2C",'Mapa final'!$R$37),"")</f>
        <v/>
      </c>
      <c r="W15" s="38" t="str">
        <f>IF(AND('Mapa final'!$AH$32="Muy Alta",'Mapa final'!$AJ$32="Moderado"),CONCATENATE("R2C",'Mapa final'!$R$32),"")</f>
        <v/>
      </c>
      <c r="X15" s="39" t="str">
        <f>IF(AND('Mapa final'!$AH$33="Muy Alta",'Mapa final'!$AJ$33="Moderado"),CONCATENATE("R2C",'Mapa final'!$R$33),"")</f>
        <v/>
      </c>
      <c r="Y15" s="39" t="str">
        <f>IF(AND('Mapa final'!$AH$34="Muy Alta",'Mapa final'!$AJ$34="Moderado"),CONCATENATE("R2C",'Mapa final'!$R$34),"")</f>
        <v/>
      </c>
      <c r="Z15" s="39" t="str">
        <f>IF(AND('Mapa final'!$AH$35="Muy Alta",'Mapa final'!$AJ$35="Moderado"),CONCATENATE("R2C",'Mapa final'!$R$35),"")</f>
        <v/>
      </c>
      <c r="AA15" s="39" t="str">
        <f>IF(AND('Mapa final'!$AH$36="Muy Alta",'Mapa final'!$AJ$36="Moderado"),CONCATENATE("R2C",'Mapa final'!$R$36),"")</f>
        <v/>
      </c>
      <c r="AB15" s="40" t="str">
        <f>IF(AND('Mapa final'!$AH$37="Muy Alta",'Mapa final'!$AJ$37="Moderado"),CONCATENATE("R2C",'Mapa final'!$R$37),"")</f>
        <v/>
      </c>
      <c r="AC15" s="38" t="str">
        <f>IF(AND('Mapa final'!$AH$32="Muy Alta",'Mapa final'!$AJ$32="Mayor"),CONCATENATE("R2C",'Mapa final'!$R$32),"")</f>
        <v/>
      </c>
      <c r="AD15" s="39" t="str">
        <f>IF(AND('Mapa final'!$AH$33="Muy Alta",'Mapa final'!$AJ$33="Mayor"),CONCATENATE("R2C",'Mapa final'!$R$33),"")</f>
        <v/>
      </c>
      <c r="AE15" s="39" t="str">
        <f>IF(AND('Mapa final'!$AH$34="Muy Alta",'Mapa final'!$AJ$34="Mayor"),CONCATENATE("R2C",'Mapa final'!$R$34),"")</f>
        <v/>
      </c>
      <c r="AF15" s="39" t="str">
        <f>IF(AND('Mapa final'!$AH$35="Muy Alta",'Mapa final'!$AJ$35="Mayor"),CONCATENATE("R2C",'Mapa final'!$R$35),"")</f>
        <v/>
      </c>
      <c r="AG15" s="39" t="str">
        <f>IF(AND('Mapa final'!$AH$36="Muy Alta",'Mapa final'!$AJ$36="Mayor"),CONCATENATE("R2C",'Mapa final'!$R$36),"")</f>
        <v/>
      </c>
      <c r="AH15" s="40" t="str">
        <f>IF(AND('Mapa final'!$AH$37="Muy Alta",'Mapa final'!$AJ$37="Mayor"),CONCATENATE("R2C",'Mapa final'!$R$37),"")</f>
        <v/>
      </c>
      <c r="AI15" s="41" t="str">
        <f>IF(AND('Mapa final'!$AH$32="Muy Alta",'Mapa final'!$AJ$32="Catastrófico"),CONCATENATE("R2C",'Mapa final'!$R$32),"")</f>
        <v/>
      </c>
      <c r="AJ15" s="42" t="str">
        <f>IF(AND('Mapa final'!$AH$33="Muy Alta",'Mapa final'!$AJ$33="Catastrófico"),CONCATENATE("R2C",'Mapa final'!$R$33),"")</f>
        <v/>
      </c>
      <c r="AK15" s="42" t="str">
        <f>IF(AND('Mapa final'!$AH$34="Muy Alta",'Mapa final'!$AJ$34="Catastrófico"),CONCATENATE("R2C",'Mapa final'!$R$34),"")</f>
        <v/>
      </c>
      <c r="AL15" s="42" t="str">
        <f>IF(AND('Mapa final'!$AH$35="Muy Alta",'Mapa final'!$AJ$35="Catastrófico"),CONCATENATE("R2C",'Mapa final'!$R$35),"")</f>
        <v/>
      </c>
      <c r="AM15" s="42" t="str">
        <f>IF(AND('Mapa final'!$AH$36="Muy Alta",'Mapa final'!$AJ$36="LCatastrófico"),CONCATENATE("R2C",'Mapa final'!$R$36),"")</f>
        <v/>
      </c>
      <c r="AN15" s="43" t="str">
        <f>IF(AND('Mapa final'!$AH$37="Muy Alta",'Mapa final'!$AJ$37="Catastrófico"),CONCATENATE("R2C",'Mapa final'!$R$37),"")</f>
        <v/>
      </c>
      <c r="AO15" s="68"/>
      <c r="AP15" s="487"/>
      <c r="AQ15" s="488"/>
      <c r="AR15" s="488"/>
      <c r="AS15" s="488"/>
      <c r="AT15" s="488"/>
      <c r="AU15" s="489"/>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row>
    <row r="16" spans="1:92" ht="15" customHeight="1" x14ac:dyDescent="0.25">
      <c r="B16" s="68"/>
      <c r="C16" s="424"/>
      <c r="D16" s="424"/>
      <c r="E16" s="425"/>
      <c r="F16" s="467"/>
      <c r="G16" s="468"/>
      <c r="H16" s="468"/>
      <c r="I16" s="468"/>
      <c r="J16" s="468"/>
      <c r="K16" s="38" t="str">
        <f>IF(AND('Mapa final'!$AH$38="Muy Alta",'Mapa final'!$AJ$38="Leve"),CONCATENATE("R2C",'Mapa final'!$R$38),"")</f>
        <v/>
      </c>
      <c r="L16" s="39" t="str">
        <f>IF(AND('Mapa final'!$AH$39="Muy Alta",'Mapa final'!$AJ$39="Leve"),CONCATENATE("R2C",'Mapa final'!$R$39),"")</f>
        <v/>
      </c>
      <c r="M16" s="39" t="str">
        <f>IF(AND('Mapa final'!$AH$40="Muy Alta",'Mapa final'!$AJ$40="Leve"),CONCATENATE("R2C",'Mapa final'!$R$40),"")</f>
        <v/>
      </c>
      <c r="N16" s="39" t="str">
        <f>IF(AND('Mapa final'!$AH$41="Muy Alta",'Mapa final'!$AJ$41="Leve"),CONCATENATE("R2C",'Mapa final'!$R$41),"")</f>
        <v/>
      </c>
      <c r="O16" s="39" t="str">
        <f>IF(AND('Mapa final'!$AH$42="Muy Alta",'Mapa final'!$AJ$42="Leve"),CONCATENATE("R2C",'Mapa final'!$R$42),"")</f>
        <v/>
      </c>
      <c r="P16" s="40" t="str">
        <f>IF(AND('Mapa final'!$AH$43="Muy Alta",'Mapa final'!$AJ$43="Leve"),CONCATENATE("R2C",'Mapa final'!$R$43),"")</f>
        <v/>
      </c>
      <c r="Q16" s="39" t="str">
        <f>IF(AND('Mapa final'!$AH$38="Muy Alta",'Mapa final'!$AJ$38="Menor"),CONCATENATE("R2C",'Mapa final'!$R$38),"")</f>
        <v/>
      </c>
      <c r="R16" s="39" t="str">
        <f>IF(AND('Mapa final'!$AH$39="Muy Alta",'Mapa final'!$AJ$39="Menor"),CONCATENATE("R2C",'Mapa final'!$R$39),"")</f>
        <v/>
      </c>
      <c r="S16" s="39" t="str">
        <f>IF(AND('Mapa final'!$AH$40="Muy Alta",'Mapa final'!$AJ$40="Menor"),CONCATENATE("R2C",'Mapa final'!$R$40),"")</f>
        <v/>
      </c>
      <c r="T16" s="39" t="str">
        <f>IF(AND('Mapa final'!$AH$41="Muy Alta",'Mapa final'!$AJ$41="Menor"),CONCATENATE("R2C",'Mapa final'!$R$41),"")</f>
        <v/>
      </c>
      <c r="U16" s="39" t="str">
        <f>IF(AND('Mapa final'!$AH$42="Muy Alta",'Mapa final'!$AJ$42="Menor"),CONCATENATE("R2C",'Mapa final'!$R$42),"")</f>
        <v/>
      </c>
      <c r="V16" s="40" t="str">
        <f>IF(AND('Mapa final'!$AH$43="Muy Alta",'Mapa final'!$AJ$43="Menor"),CONCATENATE("R2C",'Mapa final'!$R$43),"")</f>
        <v/>
      </c>
      <c r="W16" s="38" t="str">
        <f>IF(AND('Mapa final'!$AH$38="Muy Alta",'Mapa final'!$AJ$38="Moderado"),CONCATENATE("R2C",'Mapa final'!$R$38),"")</f>
        <v/>
      </c>
      <c r="X16" s="39" t="str">
        <f>IF(AND('Mapa final'!$AH$39="Muy Alta",'Mapa final'!$AJ$39="Moderado"),CONCATENATE("R2C",'Mapa final'!$R$39),"")</f>
        <v/>
      </c>
      <c r="Y16" s="39" t="str">
        <f>IF(AND('Mapa final'!$AH$40="Muy Alta",'Mapa final'!$AJ$40="Moderado"),CONCATENATE("R2C",'Mapa final'!$R$40),"")</f>
        <v/>
      </c>
      <c r="Z16" s="39" t="str">
        <f>IF(AND('Mapa final'!$AH$41="Muy Alta",'Mapa final'!$AJ$41="Moderado"),CONCATENATE("R2C",'Mapa final'!$R$41),"")</f>
        <v/>
      </c>
      <c r="AA16" s="39" t="str">
        <f>IF(AND('Mapa final'!$AH$42="Muy Alta",'Mapa final'!$AJ$42="Moderado"),CONCATENATE("R2C",'Mapa final'!$R$42),"")</f>
        <v/>
      </c>
      <c r="AB16" s="40" t="str">
        <f>IF(AND('Mapa final'!$AH$43="Muy Alta",'Mapa final'!$AJ$43="Moderado"),CONCATENATE("R2C",'Mapa final'!$R$43),"")</f>
        <v/>
      </c>
      <c r="AC16" s="38" t="str">
        <f>IF(AND('Mapa final'!$AH$38="Muy Alta",'Mapa final'!$AJ$38="Mayor"),CONCATENATE("R2C",'Mapa final'!$R$38),"")</f>
        <v/>
      </c>
      <c r="AD16" s="39" t="str">
        <f>IF(AND('Mapa final'!$AH$39="Muy Alta",'Mapa final'!$AJ$39="Mayor"),CONCATENATE("R2C",'Mapa final'!$R$39),"")</f>
        <v/>
      </c>
      <c r="AE16" s="39" t="str">
        <f>IF(AND('Mapa final'!$AH$40="Muy Alta",'Mapa final'!$AJ$40="Mayor"),CONCATENATE("R2C",'Mapa final'!$R$40),"")</f>
        <v/>
      </c>
      <c r="AF16" s="39" t="str">
        <f>IF(AND('Mapa final'!$AH$41="Muy Alta",'Mapa final'!$AJ$41="Mayor"),CONCATENATE("R2C",'Mapa final'!$R$41),"")</f>
        <v/>
      </c>
      <c r="AG16" s="39" t="str">
        <f>IF(AND('Mapa final'!$AH$42="Muy Alta",'Mapa final'!$AJ$42="Mayor"),CONCATENATE("R2C",'Mapa final'!$R$42),"")</f>
        <v/>
      </c>
      <c r="AH16" s="40" t="str">
        <f>IF(AND('Mapa final'!$AH$43="Muy Alta",'Mapa final'!$AJ$43="Mayor"),CONCATENATE("R2C",'Mapa final'!$R$43),"")</f>
        <v/>
      </c>
      <c r="AI16" s="41" t="str">
        <f>IF(AND('Mapa final'!$AH$38="Muy Alta",'Mapa final'!$AJ$38="Catastrófico"),CONCATENATE("R2C",'Mapa final'!$R$38),"")</f>
        <v/>
      </c>
      <c r="AJ16" s="42" t="str">
        <f>IF(AND('Mapa final'!$AH$39="Muy Alta",'Mapa final'!$AJ$39="Catastrófico"),CONCATENATE("R2C",'Mapa final'!$R$39),"")</f>
        <v/>
      </c>
      <c r="AK16" s="42" t="str">
        <f>IF(AND('Mapa final'!$AH$40="Muy Alta",'Mapa final'!$AJ$40="Catastrófico"),CONCATENATE("R2C",'Mapa final'!$R$40),"")</f>
        <v/>
      </c>
      <c r="AL16" s="42" t="str">
        <f>IF(AND('Mapa final'!$AH$41="Muy Alta",'Mapa final'!$AJ$41="Catastrófico"),CONCATENATE("R2C",'Mapa final'!$R$41),"")</f>
        <v/>
      </c>
      <c r="AM16" s="42" t="str">
        <f>IF(AND('Mapa final'!$AH$42="Muy Alta",'Mapa final'!$AJ$42="Catastrófico"),CONCATENATE("R2C",'Mapa final'!$R$42),"")</f>
        <v/>
      </c>
      <c r="AN16" s="43" t="str">
        <f>IF(AND('Mapa final'!$AH$43="Muy Alta",'Mapa final'!$AJ$43="Catastrófico"),CONCATENATE("R2C",'Mapa final'!$R$43),"")</f>
        <v/>
      </c>
      <c r="AO16" s="68"/>
      <c r="AP16" s="487"/>
      <c r="AQ16" s="488"/>
      <c r="AR16" s="488"/>
      <c r="AS16" s="488"/>
      <c r="AT16" s="488"/>
      <c r="AU16" s="489"/>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row>
    <row r="17" spans="2:77" ht="15" customHeight="1" x14ac:dyDescent="0.25">
      <c r="B17" s="68"/>
      <c r="C17" s="424"/>
      <c r="D17" s="424"/>
      <c r="E17" s="425"/>
      <c r="F17" s="467"/>
      <c r="G17" s="468"/>
      <c r="H17" s="468"/>
      <c r="I17" s="468"/>
      <c r="J17" s="468"/>
      <c r="K17" s="38" t="str">
        <f>IF(AND('Mapa final'!$AH$44="Muy Alta",'Mapa final'!$AJ$44="Leve"),CONCATENATE("R2C",'Mapa final'!$R$44),"")</f>
        <v/>
      </c>
      <c r="L17" s="39" t="str">
        <f>IF(AND('Mapa final'!$AH$45="Muy Alta",'Mapa final'!$AJ$45="Leve"),CONCATENATE("R2C",'Mapa final'!$R$45),"")</f>
        <v/>
      </c>
      <c r="M17" s="39" t="str">
        <f>IF(AND('Mapa final'!$AH$46="Muy Alta",'Mapa final'!$AJ$46="Leve"),CONCATENATE("R2C",'Mapa final'!$R$46),"")</f>
        <v/>
      </c>
      <c r="N17" s="39" t="str">
        <f>IF(AND('Mapa final'!$AH$47="Muy Alta",'Mapa final'!$AJ$47="Leve"),CONCATENATE("R2C",'Mapa final'!$R$47),"")</f>
        <v/>
      </c>
      <c r="O17" s="39" t="str">
        <f>IF(AND('Mapa final'!$AH$48="Muy Alta",'Mapa final'!$AJ$48="Leve"),CONCATENATE("R2C",'Mapa final'!$R$48),"")</f>
        <v/>
      </c>
      <c r="P17" s="40" t="str">
        <f>IF(AND('Mapa final'!$AH$59="Muy Alta",'Mapa final'!$AJ$49="Leve"),CONCATENATE("R2C",'Mapa final'!$R$49),"")</f>
        <v/>
      </c>
      <c r="Q17" s="39" t="str">
        <f>IF(AND('Mapa final'!$AH$44="Muy Alta",'Mapa final'!$AJ$44="Menor"),CONCATENATE("R2C",'Mapa final'!$R$44),"")</f>
        <v/>
      </c>
      <c r="R17" s="39" t="str">
        <f>IF(AND('Mapa final'!$AH$45="Muy Alta",'Mapa final'!$AJ$45="Menor"),CONCATENATE("R2C",'Mapa final'!$R$45),"")</f>
        <v/>
      </c>
      <c r="S17" s="39" t="str">
        <f>IF(AND('Mapa final'!$AH$46="Muy Alta",'Mapa final'!$AJ$46="Menor"),CONCATENATE("R2C",'Mapa final'!$R$46),"")</f>
        <v/>
      </c>
      <c r="T17" s="39" t="str">
        <f>IF(AND('Mapa final'!$AH$47="Muy Alta",'Mapa final'!$AJ$47="Menor"),CONCATENATE("R2C",'Mapa final'!$R$47),"")</f>
        <v/>
      </c>
      <c r="U17" s="39" t="str">
        <f>IF(AND('Mapa final'!$AH$48="Muy Alta",'Mapa final'!$AJ$48="Menor"),CONCATENATE("R2C",'Mapa final'!$R$48),"")</f>
        <v/>
      </c>
      <c r="V17" s="40" t="str">
        <f>IF(AND('Mapa final'!$AH$59="Muy Alta",'Mapa final'!$AJ$49="Menor"),CONCATENATE("R2C",'Mapa final'!$R$49),"")</f>
        <v/>
      </c>
      <c r="W17" s="38" t="str">
        <f>IF(AND('Mapa final'!$AH$44="Muy Alta",'Mapa final'!$AJ$44="Moderado"),CONCATENATE("R2C",'Mapa final'!$R$44),"")</f>
        <v/>
      </c>
      <c r="X17" s="39" t="str">
        <f>IF(AND('Mapa final'!$AH$45="Muy Alta",'Mapa final'!$AJ$45="Moderado"),CONCATENATE("R2C",'Mapa final'!$R$45),"")</f>
        <v/>
      </c>
      <c r="Y17" s="39" t="str">
        <f>IF(AND('Mapa final'!$AH$46="Muy Alta",'Mapa final'!$AJ$46="Moderado"),CONCATENATE("R2C",'Mapa final'!$R$46),"")</f>
        <v/>
      </c>
      <c r="Z17" s="39" t="str">
        <f>IF(AND('Mapa final'!$AH$47="Muy Alta",'Mapa final'!$AJ$47="Moderado"),CONCATENATE("R2C",'Mapa final'!$R$47),"")</f>
        <v/>
      </c>
      <c r="AA17" s="39" t="str">
        <f>IF(AND('Mapa final'!$AH$48="Muy Alta",'Mapa final'!$AJ$48="Moderado"),CONCATENATE("R2C",'Mapa final'!$R$48),"")</f>
        <v/>
      </c>
      <c r="AB17" s="40" t="str">
        <f>IF(AND('Mapa final'!$AH$59="Muy Alta",'Mapa final'!$AJ$49="Moderado"),CONCATENATE("R2C",'Mapa final'!$R$49),"")</f>
        <v/>
      </c>
      <c r="AC17" s="38" t="str">
        <f>IF(AND('Mapa final'!$AH$44="Muy Alta",'Mapa final'!$AJ$44="Mayor"),CONCATENATE("R2C",'Mapa final'!$R$44),"")</f>
        <v/>
      </c>
      <c r="AD17" s="39" t="str">
        <f>IF(AND('Mapa final'!$AH$45="Muy Alta",'Mapa final'!$AJ$45="Mayor"),CONCATENATE("R2C",'Mapa final'!$R$45),"")</f>
        <v/>
      </c>
      <c r="AE17" s="39" t="str">
        <f>IF(AND('Mapa final'!$AH$46="Muy Alta",'Mapa final'!$AJ$46="Mayor"),CONCATENATE("R2C",'Mapa final'!$R$46),"")</f>
        <v/>
      </c>
      <c r="AF17" s="39" t="str">
        <f>IF(AND('Mapa final'!$AH$47="Muy Alta",'Mapa final'!$AJ$47="Mayor"),CONCATENATE("R2C",'Mapa final'!$R$47),"")</f>
        <v/>
      </c>
      <c r="AG17" s="39" t="str">
        <f>IF(AND('Mapa final'!$AH$48="Muy Alta",'Mapa final'!$AJ$48="Mayor"),CONCATENATE("R2C",'Mapa final'!$R$48),"")</f>
        <v/>
      </c>
      <c r="AH17" s="40" t="str">
        <f>IF(AND('Mapa final'!$AH$59="Muy Alta",'Mapa final'!$AJ$49="Mayor"),CONCATENATE("R2C",'Mapa final'!$R$49),"")</f>
        <v/>
      </c>
      <c r="AI17" s="41" t="str">
        <f>IF(AND('Mapa final'!$AH$44="Muy Alta",'Mapa final'!$AJ$44="Catastrófico"),CONCATENATE("R2C",'Mapa final'!$R$44),"")</f>
        <v/>
      </c>
      <c r="AJ17" s="42" t="str">
        <f>IF(AND('Mapa final'!$AH$45="Muy Alta",'Mapa final'!$AJ$45="Catastrófico"),CONCATENATE("R2C",'Mapa final'!$R$45),"")</f>
        <v/>
      </c>
      <c r="AK17" s="42" t="str">
        <f>IF(AND('Mapa final'!$AH$46="Muy Alta",'Mapa final'!$AJ$46="Catastrófico"),CONCATENATE("R2C",'Mapa final'!$R$46),"")</f>
        <v/>
      </c>
      <c r="AL17" s="42" t="str">
        <f>IF(AND('Mapa final'!$AH$47="Muy Alta",'Mapa final'!$AJ$47="Catastrófico"),CONCATENATE("R2C",'Mapa final'!$R$47),"")</f>
        <v/>
      </c>
      <c r="AM17" s="42" t="str">
        <f>IF(AND('Mapa final'!$AH$48="Muy Alta",'Mapa final'!$AJ$48="Catastrófico"),CONCATENATE("R2C",'Mapa final'!$R$48),"")</f>
        <v/>
      </c>
      <c r="AN17" s="43" t="str">
        <f>IF(AND('Mapa final'!$AH$59="Muy Alta",'Mapa final'!$AJ$49="Catastrófico"),CONCATENATE("R2C",'Mapa final'!$R$49),"")</f>
        <v/>
      </c>
      <c r="AO17" s="68"/>
      <c r="AP17" s="487"/>
      <c r="AQ17" s="488"/>
      <c r="AR17" s="488"/>
      <c r="AS17" s="488"/>
      <c r="AT17" s="488"/>
      <c r="AU17" s="489"/>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row>
    <row r="18" spans="2:77" ht="15" customHeight="1" x14ac:dyDescent="0.25">
      <c r="B18" s="68"/>
      <c r="C18" s="424"/>
      <c r="D18" s="424"/>
      <c r="E18" s="425"/>
      <c r="F18" s="467"/>
      <c r="G18" s="468"/>
      <c r="H18" s="468"/>
      <c r="I18" s="468"/>
      <c r="J18" s="468"/>
      <c r="K18" s="38" t="str">
        <f>IF(AND('Mapa final'!$AH$50="Muy Alta",'Mapa final'!$AJ$50="Leve"),CONCATENATE("R2C",'Mapa final'!$R$50),"")</f>
        <v/>
      </c>
      <c r="L18" s="39" t="str">
        <f>IF(AND('Mapa final'!$AH$51="Muy Alta",'Mapa final'!$AJ$51="Leve"),CONCATENATE("R2C",'Mapa final'!$R$51),"")</f>
        <v/>
      </c>
      <c r="M18" s="39" t="str">
        <f>IF(AND('Mapa final'!$AH$52="Muy Alta",'Mapa final'!$AJ$52="Leve"),CONCATENATE("R2C",'Mapa final'!$R$52),"")</f>
        <v/>
      </c>
      <c r="N18" s="39" t="str">
        <f>IF(AND('Mapa final'!$AH$53="Muy Alta",'Mapa final'!$AJ$53="Leve"),CONCATENATE("R2C",'Mapa final'!$R$53),"")</f>
        <v/>
      </c>
      <c r="O18" s="39" t="str">
        <f>IF(AND('Mapa final'!$AH$54="Muy Alta",'Mapa final'!$AJ$54="Leve"),CONCATENATE("R2C",'Mapa final'!$R$54),"")</f>
        <v/>
      </c>
      <c r="P18" s="40" t="str">
        <f>IF(AND('Mapa final'!$AH$55="Muy Alta",'Mapa final'!$AJ$55="Leve"),CONCATENATE("R2C",'Mapa final'!$R$55),"")</f>
        <v/>
      </c>
      <c r="Q18" s="39" t="str">
        <f>IF(AND('Mapa final'!$AH$50="Muy Alta",'Mapa final'!$AJ$50="Menor"),CONCATENATE("R2C",'Mapa final'!$R$50),"")</f>
        <v/>
      </c>
      <c r="R18" s="39" t="str">
        <f>IF(AND('Mapa final'!$AH$51="Muy Alta",'Mapa final'!$AJ$51="Menor"),CONCATENATE("R2C",'Mapa final'!$R$51),"")</f>
        <v/>
      </c>
      <c r="S18" s="39" t="str">
        <f>IF(AND('Mapa final'!$AH$52="Muy Alta",'Mapa final'!$AJ$52="Menor"),CONCATENATE("R2C",'Mapa final'!$R$52),"")</f>
        <v/>
      </c>
      <c r="T18" s="39" t="str">
        <f>IF(AND('Mapa final'!$AH$53="Muy Alta",'Mapa final'!$AJ$53="Menor"),CONCATENATE("R2C",'Mapa final'!$R$53),"")</f>
        <v/>
      </c>
      <c r="U18" s="39" t="str">
        <f>IF(AND('Mapa final'!$AH$54="Muy Alta",'Mapa final'!$AJ$54="Menor"),CONCATENATE("R2C",'Mapa final'!$R$54),"")</f>
        <v/>
      </c>
      <c r="V18" s="40" t="str">
        <f>IF(AND('Mapa final'!$AH$55="Muy Alta",'Mapa final'!$AJ$55="Menor"),CONCATENATE("R2C",'Mapa final'!$R$55),"")</f>
        <v/>
      </c>
      <c r="W18" s="38" t="str">
        <f>IF(AND('Mapa final'!$AH$50="Muy Alta",'Mapa final'!$AJ$50="Moderado"),CONCATENATE("R2C",'Mapa final'!$R$50),"")</f>
        <v/>
      </c>
      <c r="X18" s="39" t="str">
        <f>IF(AND('Mapa final'!$AH$51="Muy Alta",'Mapa final'!$AJ$51="Moderado"),CONCATENATE("R2C",'Mapa final'!$R$51),"")</f>
        <v/>
      </c>
      <c r="Y18" s="39" t="str">
        <f>IF(AND('Mapa final'!$AH$52="Muy Alta",'Mapa final'!$AJ$52="Moderado"),CONCATENATE("R2C",'Mapa final'!$R$52),"")</f>
        <v/>
      </c>
      <c r="Z18" s="39" t="str">
        <f>IF(AND('Mapa final'!$AH$53="Muy Alta",'Mapa final'!$AJ$53="Moderado"),CONCATENATE("R2C",'Mapa final'!$R$53),"")</f>
        <v/>
      </c>
      <c r="AA18" s="39" t="str">
        <f>IF(AND('Mapa final'!$AH$54="Muy Alta",'Mapa final'!$AJ$54="Moderado"),CONCATENATE("R2C",'Mapa final'!$R$54),"")</f>
        <v/>
      </c>
      <c r="AB18" s="40" t="str">
        <f>IF(AND('Mapa final'!$AH$55="Muy Alta",'Mapa final'!$AJ$55="Moderado"),CONCATENATE("R2C",'Mapa final'!$R$55),"")</f>
        <v/>
      </c>
      <c r="AC18" s="38" t="str">
        <f>IF(AND('Mapa final'!$AH$50="Muy Alta",'Mapa final'!$AJ$50="Mayor"),CONCATENATE("R2C",'Mapa final'!$R$50),"")</f>
        <v/>
      </c>
      <c r="AD18" s="39" t="str">
        <f>IF(AND('Mapa final'!$AH$51="Muy Alta",'Mapa final'!$AJ$51="Mayor"),CONCATENATE("R2C",'Mapa final'!$R$51),"")</f>
        <v/>
      </c>
      <c r="AE18" s="39" t="str">
        <f>IF(AND('Mapa final'!$AH$52="Muy Alta",'Mapa final'!$AJ$52="Mayor"),CONCATENATE("R2C",'Mapa final'!$R$52),"")</f>
        <v/>
      </c>
      <c r="AF18" s="39" t="str">
        <f>IF(AND('Mapa final'!$AH$53="Muy Alta",'Mapa final'!$AJ$53="Mayor"),CONCATENATE("R2C",'Mapa final'!$R$53),"")</f>
        <v/>
      </c>
      <c r="AG18" s="39" t="str">
        <f>IF(AND('Mapa final'!$AH$54="Muy Alta",'Mapa final'!$AJ$54="Mayor"),CONCATENATE("R2C",'Mapa final'!$R$54),"")</f>
        <v/>
      </c>
      <c r="AH18" s="40" t="str">
        <f>IF(AND('Mapa final'!$AH$55="Muy Alta",'Mapa final'!$AJ$55="Mayor"),CONCATENATE("R2C",'Mapa final'!$R$55),"")</f>
        <v/>
      </c>
      <c r="AI18" s="41" t="str">
        <f>IF(AND('Mapa final'!$AH$50="Muy Alta",'Mapa final'!$AJ$50="Catastrófico"),CONCATENATE("R2C",'Mapa final'!$R$50),"")</f>
        <v/>
      </c>
      <c r="AJ18" s="42" t="str">
        <f>IF(AND('Mapa final'!$AH$51="Muy Alta",'Mapa final'!$AJ$51="Catastrófico"),CONCATENATE("R2C",'Mapa final'!$R$51),"")</f>
        <v/>
      </c>
      <c r="AK18" s="42" t="str">
        <f>IF(AND('Mapa final'!$AH$52="Muy Alta",'Mapa final'!$AJ$52="Catastrófico"),CONCATENATE("R2C",'Mapa final'!$R$52),"")</f>
        <v/>
      </c>
      <c r="AL18" s="42" t="str">
        <f>IF(AND('Mapa final'!$AH$53="Muy Alta",'Mapa final'!$AJ$53="Catastrófico"),CONCATENATE("R2C",'Mapa final'!$R$53),"")</f>
        <v/>
      </c>
      <c r="AM18" s="42" t="str">
        <f>IF(AND('Mapa final'!$AH$54="Muy Alta",'Mapa final'!$AJ$54="Catastrófico"),CONCATENATE("R2C",'Mapa final'!$R$54),"")</f>
        <v/>
      </c>
      <c r="AN18" s="43" t="str">
        <f>IF(AND('Mapa final'!$AH$55="Muy Alta",'Mapa final'!$AJ$55="Catastrófico"),CONCATENATE("R2C",'Mapa final'!$R$55),"")</f>
        <v/>
      </c>
      <c r="AO18" s="68"/>
      <c r="AP18" s="487"/>
      <c r="AQ18" s="488"/>
      <c r="AR18" s="488"/>
      <c r="AS18" s="488"/>
      <c r="AT18" s="488"/>
      <c r="AU18" s="489"/>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row>
    <row r="19" spans="2:77" ht="15" customHeight="1" x14ac:dyDescent="0.25">
      <c r="B19" s="68"/>
      <c r="C19" s="424"/>
      <c r="D19" s="424"/>
      <c r="E19" s="425"/>
      <c r="F19" s="467"/>
      <c r="G19" s="468"/>
      <c r="H19" s="468"/>
      <c r="I19" s="468"/>
      <c r="J19" s="468"/>
      <c r="K19" s="38" t="str">
        <f>IF(AND('Mapa final'!$AH$56="Muy Alta",'Mapa final'!$AJ$56="Leve"),CONCATENATE("R2C",'Mapa final'!$R$56),"")</f>
        <v/>
      </c>
      <c r="L19" s="39" t="str">
        <f>IF(AND('Mapa final'!$AH$57="Muy Alta",'Mapa final'!$AJ$57="Leve"),CONCATENATE("R2C",'Mapa final'!$R$57),"")</f>
        <v/>
      </c>
      <c r="M19" s="39" t="str">
        <f>IF(AND('Mapa final'!$AH$58="Muy Alta",'Mapa final'!$AJ$58="Leve"),CONCATENATE("R2C",'Mapa final'!$R$58),"")</f>
        <v/>
      </c>
      <c r="N19" s="39" t="str">
        <f>IF(AND('Mapa final'!$AH$59="Muy Alta",'Mapa final'!$AJ$59="Leve"),CONCATENATE("R2C",'Mapa final'!$R$59),"")</f>
        <v/>
      </c>
      <c r="O19" s="39" t="str">
        <f>IF(AND('Mapa final'!$AH$60="Muy Alta",'Mapa final'!$AJ$60="Leve"),CONCATENATE("R2C",'Mapa final'!$R$60),"")</f>
        <v/>
      </c>
      <c r="P19" s="40" t="str">
        <f>IF(AND('Mapa final'!$AH$61="Muy Alta",'Mapa final'!$AJ$61="Leve"),CONCATENATE("R2C",'Mapa final'!$R$61),"")</f>
        <v/>
      </c>
      <c r="Q19" s="39" t="str">
        <f>IF(AND('Mapa final'!$AH$56="Muy Alta",'Mapa final'!$AJ$56="Menor"),CONCATENATE("R2C",'Mapa final'!$R$56),"")</f>
        <v/>
      </c>
      <c r="R19" s="39" t="str">
        <f>IF(AND('Mapa final'!$AH$57="Muy Alta",'Mapa final'!$AJ$57="Menor"),CONCATENATE("R2C",'Mapa final'!$R$57),"")</f>
        <v/>
      </c>
      <c r="S19" s="39" t="str">
        <f>IF(AND('Mapa final'!$AH$58="Muy Alta",'Mapa final'!$AJ$58="Menor"),CONCATENATE("R2C",'Mapa final'!$R$58),"")</f>
        <v/>
      </c>
      <c r="T19" s="39" t="str">
        <f>IF(AND('Mapa final'!$AH$59="Muy Alta",'Mapa final'!$AJ$59="Menor"),CONCATENATE("R2C",'Mapa final'!$R$59),"")</f>
        <v/>
      </c>
      <c r="U19" s="39" t="str">
        <f>IF(AND('Mapa final'!$AH$60="Muy Alta",'Mapa final'!$AJ$60="Menor"),CONCATENATE("R2C",'Mapa final'!$R$60),"")</f>
        <v/>
      </c>
      <c r="V19" s="40" t="str">
        <f>IF(AND('Mapa final'!$AH$61="Muy Alta",'Mapa final'!$AJ$61="Menor"),CONCATENATE("R2C",'Mapa final'!$R$61),"")</f>
        <v/>
      </c>
      <c r="W19" s="38" t="str">
        <f>IF(AND('Mapa final'!$AH$56="Muy Alta",'Mapa final'!$AJ$56="Moderado"),CONCATENATE("R2C",'Mapa final'!$R$56),"")</f>
        <v/>
      </c>
      <c r="X19" s="39" t="str">
        <f>IF(AND('Mapa final'!$AH$57="Muy Alta",'Mapa final'!$AJ$57="Moderado"),CONCATENATE("R2C",'Mapa final'!$R$57),"")</f>
        <v/>
      </c>
      <c r="Y19" s="39" t="str">
        <f>IF(AND('Mapa final'!$AH$58="Muy Alta",'Mapa final'!$AJ$58="Moderado"),CONCATENATE("R2C",'Mapa final'!$R$58),"")</f>
        <v/>
      </c>
      <c r="Z19" s="39" t="str">
        <f>IF(AND('Mapa final'!$AH$59="Muy Alta",'Mapa final'!$AJ$59="Moderado"),CONCATENATE("R2C",'Mapa final'!$R$59),"")</f>
        <v/>
      </c>
      <c r="AA19" s="39" t="str">
        <f>IF(AND('Mapa final'!$AH$60="Muy Alta",'Mapa final'!$AJ$60="Moderado"),CONCATENATE("R2C",'Mapa final'!$R$60),"")</f>
        <v/>
      </c>
      <c r="AB19" s="40" t="str">
        <f>IF(AND('Mapa final'!$AH$61="Muy Alta",'Mapa final'!$AJ$61="Moderado"),CONCATENATE("R2C",'Mapa final'!$R$61),"")</f>
        <v/>
      </c>
      <c r="AC19" s="38" t="str">
        <f>IF(AND('Mapa final'!$AH$56="Muy Alta",'Mapa final'!$AJ$56="Mayor"),CONCATENATE("R2C",'Mapa final'!$R$56),"")</f>
        <v/>
      </c>
      <c r="AD19" s="39" t="str">
        <f>IF(AND('Mapa final'!$AH$57="Muy Alta",'Mapa final'!$AJ$57="Mayor"),CONCATENATE("R2C",'Mapa final'!$R$57),"")</f>
        <v/>
      </c>
      <c r="AE19" s="39" t="str">
        <f>IF(AND('Mapa final'!$AH$58="Muy Alta",'Mapa final'!$AJ$58="Mayor"),CONCATENATE("R2C",'Mapa final'!$R$58),"")</f>
        <v/>
      </c>
      <c r="AF19" s="39" t="str">
        <f>IF(AND('Mapa final'!$AH$59="Muy Alta",'Mapa final'!$AJ$59="Mayor"),CONCATENATE("R2C",'Mapa final'!$R$59),"")</f>
        <v/>
      </c>
      <c r="AG19" s="39" t="str">
        <f>IF(AND('Mapa final'!$AH$60="Muy Alta",'Mapa final'!$AJ$60="Mayor"),CONCATENATE("R2C",'Mapa final'!$R$60),"")</f>
        <v/>
      </c>
      <c r="AH19" s="40" t="str">
        <f>IF(AND('Mapa final'!$AH$61="Muy Alta",'Mapa final'!$AJ$61="Mayor"),CONCATENATE("R2C",'Mapa final'!$R$61),"")</f>
        <v/>
      </c>
      <c r="AI19" s="41" t="str">
        <f>IF(AND('Mapa final'!$AH$56="Muy Alta",'Mapa final'!$AJ$56="Catastrófico"),CONCATENATE("R2C",'Mapa final'!$R$56),"")</f>
        <v/>
      </c>
      <c r="AJ19" s="42" t="str">
        <f>IF(AND('Mapa final'!$AH$57="Muy Alta",'Mapa final'!$AJ$57="Catastrófico"),CONCATENATE("R2C",'Mapa final'!$R$57),"")</f>
        <v/>
      </c>
      <c r="AK19" s="42" t="str">
        <f>IF(AND('Mapa final'!$AH$58="Muy Alta",'Mapa final'!$AJ$58="Catastrófico"),CONCATENATE("R2C",'Mapa final'!$R$58),"")</f>
        <v/>
      </c>
      <c r="AL19" s="42" t="str">
        <f>IF(AND('Mapa final'!$AH$59="Muy Alta",'Mapa final'!$AJ$59="Catastrófico"),CONCATENATE("R2C",'Mapa final'!$R$59),"")</f>
        <v/>
      </c>
      <c r="AM19" s="42" t="str">
        <f>IF(AND('Mapa final'!$AH$60="Muy Alta",'Mapa final'!$AJ$60="Catastrófico"),CONCATENATE("R2C",'Mapa final'!$R$60),"")</f>
        <v/>
      </c>
      <c r="AN19" s="43" t="str">
        <f>IF(AND('Mapa final'!$AH$61="Muy Alta",'Mapa final'!$AJ$61="Catastrófico"),CONCATENATE("R2C",'Mapa final'!$R$61),"")</f>
        <v/>
      </c>
      <c r="AO19" s="68"/>
      <c r="AP19" s="487"/>
      <c r="AQ19" s="488"/>
      <c r="AR19" s="488"/>
      <c r="AS19" s="488"/>
      <c r="AT19" s="488"/>
      <c r="AU19" s="489"/>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row>
    <row r="20" spans="2:77" ht="15" customHeight="1" x14ac:dyDescent="0.25">
      <c r="B20" s="68"/>
      <c r="C20" s="424"/>
      <c r="D20" s="424"/>
      <c r="E20" s="425"/>
      <c r="F20" s="467"/>
      <c r="G20" s="468"/>
      <c r="H20" s="468"/>
      <c r="I20" s="468"/>
      <c r="J20" s="468"/>
      <c r="K20" s="38" t="str">
        <f>IF(AND('Mapa final'!$AH$62="Muy Alta",'Mapa final'!$AJ$62="Leve"),CONCATENATE("R2C",'Mapa final'!$R$62),"")</f>
        <v/>
      </c>
      <c r="L20" s="39" t="str">
        <f>IF(AND('Mapa final'!$AH$63="Muy Alta",'Mapa final'!$AJ$63="Leve"),CONCATENATE("R2C",'Mapa final'!$R$63),"")</f>
        <v/>
      </c>
      <c r="M20" s="39" t="str">
        <f>IF(AND('Mapa final'!$AH$64="Muy Alta",'Mapa final'!$AJ$64="Leve"),CONCATENATE("R2C",'Mapa final'!$R$64),"")</f>
        <v/>
      </c>
      <c r="N20" s="39" t="str">
        <f>IF(AND('Mapa final'!$AH$65="Muy Alta",'Mapa final'!$AJ$65="Leve"),CONCATENATE("R2C",'Mapa final'!$R$65),"")</f>
        <v/>
      </c>
      <c r="O20" s="39" t="str">
        <f>IF(AND('Mapa final'!$AH$66="Muy Alta",'Mapa final'!$AJ$66="Leve"),CONCATENATE("R2C",'Mapa final'!$R$66),"")</f>
        <v/>
      </c>
      <c r="P20" s="40" t="str">
        <f>IF(AND('Mapa final'!$AH$67="Muy Alta",'Mapa final'!$AJ$67="Leve"),CONCATENATE("R2C",'Mapa final'!$R$67),"")</f>
        <v/>
      </c>
      <c r="Q20" s="39" t="str">
        <f>IF(AND('Mapa final'!$AH$62="Muy Alta",'Mapa final'!$AJ$62="Menor"),CONCATENATE("R2C",'Mapa final'!$R$62),"")</f>
        <v/>
      </c>
      <c r="R20" s="39" t="str">
        <f>IF(AND('Mapa final'!$AH$63="Muy Alta",'Mapa final'!$AJ$63="Menor"),CONCATENATE("R2C",'Mapa final'!$R$63),"")</f>
        <v/>
      </c>
      <c r="S20" s="39" t="str">
        <f>IF(AND('Mapa final'!$AH$64="Muy Alta",'Mapa final'!$AJ$64="Menor"),CONCATENATE("R2C",'Mapa final'!$R$64),"")</f>
        <v/>
      </c>
      <c r="T20" s="39" t="str">
        <f>IF(AND('Mapa final'!$AH$65="Muy Alta",'Mapa final'!$AJ$65="Menor"),CONCATENATE("R2C",'Mapa final'!$R$65),"")</f>
        <v/>
      </c>
      <c r="U20" s="39" t="str">
        <f>IF(AND('Mapa final'!$AH$66="Muy Alta",'Mapa final'!$AJ$66="Menor"),CONCATENATE("R2C",'Mapa final'!$R$66),"")</f>
        <v/>
      </c>
      <c r="V20" s="40" t="str">
        <f>IF(AND('Mapa final'!$AH$67="Muy Alta",'Mapa final'!$AJ$67="Menor"),CONCATENATE("R2C",'Mapa final'!$R$67),"")</f>
        <v/>
      </c>
      <c r="W20" s="38" t="str">
        <f>IF(AND('Mapa final'!$AH$62="Muy Alta",'Mapa final'!$AJ$62="Moderado"),CONCATENATE("R2C",'Mapa final'!$R$62),"")</f>
        <v/>
      </c>
      <c r="X20" s="39" t="str">
        <f>IF(AND('Mapa final'!$AH$63="Muy Alta",'Mapa final'!$AJ$63="Moderado"),CONCATENATE("R2C",'Mapa final'!$R$63),"")</f>
        <v/>
      </c>
      <c r="Y20" s="39" t="str">
        <f>IF(AND('Mapa final'!$AH$64="Muy Alta",'Mapa final'!$AJ$64="Moderado"),CONCATENATE("R2C",'Mapa final'!$R$64),"")</f>
        <v/>
      </c>
      <c r="Z20" s="39" t="str">
        <f>IF(AND('Mapa final'!$AH$65="Muy Alta",'Mapa final'!$AJ$65="Moderado"),CONCATENATE("R2C",'Mapa final'!$R$65),"")</f>
        <v/>
      </c>
      <c r="AA20" s="39" t="str">
        <f>IF(AND('Mapa final'!$AH$66="Muy Alta",'Mapa final'!$AJ$66="Moderado"),CONCATENATE("R2C",'Mapa final'!$R$66),"")</f>
        <v/>
      </c>
      <c r="AB20" s="40" t="str">
        <f>IF(AND('Mapa final'!$AH$67="Muy Alta",'Mapa final'!$AJ$67="Moderado"),CONCATENATE("R2C",'Mapa final'!$R$67),"")</f>
        <v/>
      </c>
      <c r="AC20" s="38" t="str">
        <f>IF(AND('Mapa final'!$AH$62="Muy Alta",'Mapa final'!$AJ$62="Mayor"),CONCATENATE("R2C",'Mapa final'!$R$62),"")</f>
        <v/>
      </c>
      <c r="AD20" s="39" t="str">
        <f>IF(AND('Mapa final'!$AH$63="Muy Alta",'Mapa final'!$AJ$63="Mayor"),CONCATENATE("R2C",'Mapa final'!$R$63),"")</f>
        <v/>
      </c>
      <c r="AE20" s="39" t="str">
        <f>IF(AND('Mapa final'!$AH$64="Muy Alta",'Mapa final'!$AJ$64="Mayor"),CONCATENATE("R2C",'Mapa final'!$R$64),"")</f>
        <v/>
      </c>
      <c r="AF20" s="39" t="str">
        <f>IF(AND('Mapa final'!$AH$65="Muy Alta",'Mapa final'!$AJ$65="Mayor"),CONCATENATE("R2C",'Mapa final'!$R$65),"")</f>
        <v/>
      </c>
      <c r="AG20" s="39" t="str">
        <f>IF(AND('Mapa final'!$AH$66="Muy Alta",'Mapa final'!$AJ$66="Mayor"),CONCATENATE("R2C",'Mapa final'!$R$66),"")</f>
        <v/>
      </c>
      <c r="AH20" s="40" t="str">
        <f>IF(AND('Mapa final'!$AH$67="Muy Alta",'Mapa final'!$AJ$67="Mayor"),CONCATENATE("R2C",'Mapa final'!$R$67),"")</f>
        <v/>
      </c>
      <c r="AI20" s="41" t="str">
        <f>IF(AND('Mapa final'!$AH$62="Muy Alta",'Mapa final'!$AJ$62="Catastrófico"),CONCATENATE("R2C",'Mapa final'!$R$62),"")</f>
        <v/>
      </c>
      <c r="AJ20" s="42" t="str">
        <f>IF(AND('Mapa final'!$AH$63="Muy Alta",'Mapa final'!$AJ$63="Catastrófico"),CONCATENATE("R2C",'Mapa final'!$R$63),"")</f>
        <v/>
      </c>
      <c r="AK20" s="42" t="str">
        <f>IF(AND('Mapa final'!$AH$64="Muy Alta",'Mapa final'!$AJ$64="Catastrófico"),CONCATENATE("R2C",'Mapa final'!$R$64),"")</f>
        <v/>
      </c>
      <c r="AL20" s="42" t="str">
        <f>IF(AND('Mapa final'!$AH$65="Muy Alta",'Mapa final'!$AJ$65="Catastrófico"),CONCATENATE("R2C",'Mapa final'!$R$65),"")</f>
        <v/>
      </c>
      <c r="AM20" s="42" t="str">
        <f>IF(AND('Mapa final'!$AH$66="Muy Alta",'Mapa final'!$AJ$66="Catastrófico"),CONCATENATE("R2C",'Mapa final'!$R$66),"")</f>
        <v/>
      </c>
      <c r="AN20" s="43" t="str">
        <f>IF(AND('Mapa final'!$AH$67="Muy Alta",'Mapa final'!$AJ$67="Catastrófico"),CONCATENATE("R2C",'Mapa final'!$R$67),"")</f>
        <v/>
      </c>
      <c r="AO20" s="68"/>
      <c r="AP20" s="487"/>
      <c r="AQ20" s="488"/>
      <c r="AR20" s="488"/>
      <c r="AS20" s="488"/>
      <c r="AT20" s="488"/>
      <c r="AU20" s="489"/>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row>
    <row r="21" spans="2:77" ht="15.75" customHeight="1" thickBot="1" x14ac:dyDescent="0.3">
      <c r="B21" s="68"/>
      <c r="C21" s="424"/>
      <c r="D21" s="424"/>
      <c r="E21" s="425"/>
      <c r="F21" s="470"/>
      <c r="G21" s="471"/>
      <c r="H21" s="471"/>
      <c r="I21" s="471"/>
      <c r="J21" s="471"/>
      <c r="K21" s="44" t="str">
        <f>IF(AND('Mapa final'!$AH$68="Muy Alta",'Mapa final'!$AJ$68="Leve"),CONCATENATE("R2C",'Mapa final'!$R$68),"")</f>
        <v/>
      </c>
      <c r="L21" s="45" t="str">
        <f>IF(AND('Mapa final'!$AH$69="Muy Alta",'Mapa final'!$AJ$69="Leve"),CONCATENATE("R2C",'Mapa final'!$R$69),"")</f>
        <v/>
      </c>
      <c r="M21" s="45" t="str">
        <f>IF(AND('Mapa final'!$AH$70="Muy Alta",'Mapa final'!$AJ$70="Leve"),CONCATENATE("R2C",'Mapa final'!$R$70),"")</f>
        <v/>
      </c>
      <c r="N21" s="45" t="str">
        <f>IF(AND('Mapa final'!$AH$71="Muy Alta",'Mapa final'!$AJ$71="Leve"),CONCATENATE("R2C",'Mapa final'!$R$71),"")</f>
        <v/>
      </c>
      <c r="O21" s="45" t="str">
        <f>IF(AND('Mapa final'!$AH$73="Muy Alta",'Mapa final'!$AJ$73="Leve"),CONCATENATE("R2C",'Mapa final'!$R$73),"")</f>
        <v/>
      </c>
      <c r="P21" s="46" t="str">
        <f>IF(AND('Mapa final'!$AH$74="Muy Alta",'Mapa final'!$AJ$74="Leve"),CONCATENATE("R2C",'Mapa final'!$R$74),"")</f>
        <v/>
      </c>
      <c r="Q21" s="39" t="str">
        <f>IF(AND('Mapa final'!$AH$68="Muy Alta",'Mapa final'!$AJ$68="Menor"),CONCATENATE("R2C",'Mapa final'!$R$68),"")</f>
        <v/>
      </c>
      <c r="R21" s="39" t="str">
        <f>IF(AND('Mapa final'!$AH$69="Muy Alta",'Mapa final'!$AJ$69="Menor"),CONCATENATE("R2C",'Mapa final'!$R$69),"")</f>
        <v/>
      </c>
      <c r="S21" s="39" t="str">
        <f>IF(AND('Mapa final'!$AH$70="Muy Alta",'Mapa final'!$AJ$70="Menor"),CONCATENATE("R2C",'Mapa final'!$R$70),"")</f>
        <v/>
      </c>
      <c r="T21" s="39" t="str">
        <f>IF(AND('Mapa final'!$AH$71="Muy Alta",'Mapa final'!$AJ$71="Menor"),CONCATENATE("R2C",'Mapa final'!$R$71),"")</f>
        <v/>
      </c>
      <c r="U21" s="39" t="str">
        <f>IF(AND('Mapa final'!$AH$73="Muy Alta",'Mapa final'!$AJ$73="Menor"),CONCATENATE("R2C",'Mapa final'!$R$73),"")</f>
        <v/>
      </c>
      <c r="V21" s="40" t="str">
        <f>IF(AND('Mapa final'!$AH$74="Muy Alta",'Mapa final'!$AJ$74="Menor"),CONCATENATE("R2C",'Mapa final'!$R$74),"")</f>
        <v/>
      </c>
      <c r="W21" s="44" t="str">
        <f>IF(AND('Mapa final'!$AH$68="Muy Alta",'Mapa final'!$AJ$68="Moderado"),CONCATENATE("R2C",'Mapa final'!$R$68),"")</f>
        <v/>
      </c>
      <c r="X21" s="45" t="str">
        <f>IF(AND('Mapa final'!$AH$69="Muy Alta",'Mapa final'!$AJ$69="Moderado"),CONCATENATE("R2C",'Mapa final'!$R$69),"")</f>
        <v/>
      </c>
      <c r="Y21" s="45" t="str">
        <f>IF(AND('Mapa final'!$AH$70="Muy Alta",'Mapa final'!$AJ$70="Moderado"),CONCATENATE("R2C",'Mapa final'!$R$70),"")</f>
        <v/>
      </c>
      <c r="Z21" s="45" t="str">
        <f>IF(AND('Mapa final'!$AH$71="Muy Alta",'Mapa final'!$AJ$71="Moderado"),CONCATENATE("R2C",'Mapa final'!$R$71),"")</f>
        <v/>
      </c>
      <c r="AA21" s="45" t="str">
        <f>IF(AND('Mapa final'!$AH$73="Muy Alta",'Mapa final'!$AJ$73="Moderado"),CONCATENATE("R2C",'Mapa final'!$R$73),"")</f>
        <v/>
      </c>
      <c r="AB21" s="46" t="str">
        <f>IF(AND('Mapa final'!$AH$74="Muy Alta",'Mapa final'!$AJ$74="Moderado"),CONCATENATE("R2C",'Mapa final'!$R$74),"")</f>
        <v/>
      </c>
      <c r="AC21" s="38" t="str">
        <f>IF(AND('Mapa final'!$AH$68="Muy Alta",'Mapa final'!$AJ$68="Mayor"),CONCATENATE("R2C",'Mapa final'!$R$68),"")</f>
        <v/>
      </c>
      <c r="AD21" s="39" t="str">
        <f>IF(AND('Mapa final'!$AH$69="Muy Alta",'Mapa final'!$AJ$69="Mayor"),CONCATENATE("R2C",'Mapa final'!$R$69),"")</f>
        <v/>
      </c>
      <c r="AE21" s="39" t="str">
        <f>IF(AND('Mapa final'!$AH$70="Muy Alta",'Mapa final'!$AJ$70="Mayor"),CONCATENATE("R2C",'Mapa final'!$R$70),"")</f>
        <v/>
      </c>
      <c r="AF21" s="39" t="str">
        <f>IF(AND('Mapa final'!$AH$71="Muy Alta",'Mapa final'!$AJ$71="Mayor"),CONCATENATE("R2C",'Mapa final'!$R$71),"")</f>
        <v/>
      </c>
      <c r="AG21" s="39" t="str">
        <f>IF(AND('Mapa final'!$AH$73="Muy Alta",'Mapa final'!$AJ$73="Mayor"),CONCATENATE("R2C",'Mapa final'!$R$73),"")</f>
        <v/>
      </c>
      <c r="AH21" s="40" t="str">
        <f>IF(AND('Mapa final'!$AH$74="Muy Alta",'Mapa final'!$AJ$74="Mayor"),CONCATENATE("R2C",'Mapa final'!$R$74),"")</f>
        <v/>
      </c>
      <c r="AI21" s="47" t="str">
        <f>IF(AND('Mapa final'!$AH$68="Muy Alta",'Mapa final'!$AJ$68="Catastrófico"),CONCATENATE("R2C",'Mapa final'!$R$68),"")</f>
        <v/>
      </c>
      <c r="AJ21" s="48" t="str">
        <f>IF(AND('Mapa final'!$AH$69="Muy Alta",'Mapa final'!$AJ$69="Catastrófico"),CONCATENATE("R2C",'Mapa final'!$R$69),"")</f>
        <v/>
      </c>
      <c r="AK21" s="48" t="str">
        <f>IF(AND('Mapa final'!$AH$70="Muy Alta",'Mapa final'!$AJ$70="Catastrófico"),CONCATENATE("R2C",'Mapa final'!$R$70),"")</f>
        <v/>
      </c>
      <c r="AL21" s="48" t="str">
        <f>IF(AND('Mapa final'!$AH$71="Muy Alta",'Mapa final'!$AJ$71="Catastrófico"),CONCATENATE("R2C",'Mapa final'!$R$71),"")</f>
        <v/>
      </c>
      <c r="AM21" s="48" t="str">
        <f>IF(AND('Mapa final'!$AH$73="Muy Alta",'Mapa final'!$AJ$73="Catastrófico"),CONCATENATE("R2C",'Mapa final'!$R$73),"")</f>
        <v/>
      </c>
      <c r="AN21" s="49" t="str">
        <f>IF(AND('Mapa final'!$AH$74="Muy Alta",'Mapa final'!$AJ$74="Catastrófico"),CONCATENATE("R2C",'Mapa final'!$R$74),"")</f>
        <v/>
      </c>
      <c r="AO21" s="68"/>
      <c r="AP21" s="490"/>
      <c r="AQ21" s="491"/>
      <c r="AR21" s="491"/>
      <c r="AS21" s="491"/>
      <c r="AT21" s="491"/>
      <c r="AU21" s="492"/>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row>
    <row r="22" spans="2:77" ht="15" customHeight="1" x14ac:dyDescent="0.25">
      <c r="B22" s="68"/>
      <c r="C22" s="424"/>
      <c r="D22" s="424"/>
      <c r="E22" s="425"/>
      <c r="F22" s="464" t="s">
        <v>258</v>
      </c>
      <c r="G22" s="465"/>
      <c r="H22" s="465"/>
      <c r="I22" s="465"/>
      <c r="J22" s="465"/>
      <c r="K22" s="53"/>
      <c r="L22" s="54" t="str">
        <f>IF(AND('Mapa final'!$AH$18="Alta",'Mapa final'!$AJ$18="Leve"),CONCATENATE("R2C",'Mapa final'!$R$15),"")</f>
        <v/>
      </c>
      <c r="M22" s="54" t="str">
        <f>IF(AND('Mapa final'!$AH$19="Alta",'Mapa final'!$AJ$19="Leve"),CONCATENATE("R2C",'Mapa final'!$R$19),"")</f>
        <v/>
      </c>
      <c r="N22" s="54" t="e">
        <f>IF(AND('Mapa final'!#REF!="Alta",'Mapa final'!#REF!="Leve"),CONCATENATE("R2C",'Mapa final'!#REF!),"")</f>
        <v>#REF!</v>
      </c>
      <c r="O22" s="54" t="e">
        <f>IF(AND('Mapa final'!#REF!="Alta",'Mapa final'!#REF!="Leve"),CONCATENATE("R2C",'Mapa final'!#REF!),"")</f>
        <v>#REF!</v>
      </c>
      <c r="P22" s="55" t="e">
        <f>IF(AND('Mapa final'!#REF!="Alta",'Mapa final'!#REF!="Leve"),CONCATENATE("R2C",'Mapa final'!#REF!),"")</f>
        <v>#REF!</v>
      </c>
      <c r="Q22" s="50"/>
      <c r="R22" s="51" t="str">
        <f>IF(AND('Mapa final'!$AH$18="Alta",'Mapa final'!$AJ$18="Menore"),CONCATENATE("R2C",'Mapa final'!$R$15),"")</f>
        <v/>
      </c>
      <c r="S22" s="51" t="str">
        <f>IF(AND('Mapa final'!$AH$19="Alta",'Mapa final'!$AJ$19="Menor"),CONCATENATE("R2C",'Mapa final'!$R$19),"")</f>
        <v/>
      </c>
      <c r="T22" s="51" t="e">
        <f>IF(AND('Mapa final'!#REF!="Alta",'Mapa final'!#REF!="Menor"),CONCATENATE("R2C",'Mapa final'!#REF!),"")</f>
        <v>#REF!</v>
      </c>
      <c r="U22" s="51" t="e">
        <f>IF(AND('Mapa final'!#REF!="Alta",'Mapa final'!#REF!="Menor"),CONCATENATE("R2C",'Mapa final'!#REF!),"")</f>
        <v>#REF!</v>
      </c>
      <c r="V22" s="52" t="e">
        <f>IF(AND('Mapa final'!#REF!="Alta",'Mapa final'!#REF!="Menor"),CONCATENATE("R2C",'Mapa final'!#REF!),"")</f>
        <v>#REF!</v>
      </c>
      <c r="W22" s="32"/>
      <c r="X22" s="33" t="str">
        <f>IF(AND('Mapa final'!$AH$18="Alta",'Mapa final'!$AJ$18="Moderado"),CONCATENATE("R2C",'Mapa final'!$R$15),"")</f>
        <v/>
      </c>
      <c r="Y22" s="33"/>
      <c r="Z22" s="33" t="e">
        <f>IF(AND('Mapa final'!#REF!="Alta",'Mapa final'!#REF!="Moderado"),CONCATENATE("R2C",'Mapa final'!#REF!),"")</f>
        <v>#REF!</v>
      </c>
      <c r="AA22" s="33" t="e">
        <f>IF(AND('Mapa final'!#REF!="Alta",'Mapa final'!#REF!="Moderado"),CONCATENATE("R2C",'Mapa final'!#REF!),"")</f>
        <v>#REF!</v>
      </c>
      <c r="AB22" s="34" t="e">
        <f>IF(AND('Mapa final'!#REF!="Alta",'Mapa final'!#REF!="Moderado"),CONCATENATE("R2C",'Mapa final'!#REF!),"")</f>
        <v>#REF!</v>
      </c>
      <c r="AC22" s="32"/>
      <c r="AD22" s="33" t="str">
        <f>IF(AND('Mapa final'!$AH$18="Alta",'Mapa final'!$AJ$18="Mayor"),CONCATENATE("R2C",'Mapa final'!$R$15),"")</f>
        <v/>
      </c>
      <c r="AE22" s="33" t="str">
        <f>IF(AND('Mapa final'!$AH$19="Alta",'Mapa final'!$AJ$19="Mayor"),CONCATENATE("R2C",'Mapa final'!$R$19),"")</f>
        <v/>
      </c>
      <c r="AF22" s="33" t="e">
        <f>IF(AND('Mapa final'!#REF!="Alta",'Mapa final'!#REF!="Mayor"),CONCATENATE("R2C",'Mapa final'!#REF!),"")</f>
        <v>#REF!</v>
      </c>
      <c r="AG22" s="33" t="e">
        <f>IF(AND('Mapa final'!#REF!="Alta",'Mapa final'!#REF!="Mayor"),CONCATENATE("R2C",'Mapa final'!#REF!),"")</f>
        <v>#REF!</v>
      </c>
      <c r="AH22" s="34" t="e">
        <f>IF(AND('Mapa final'!#REF!="Alta",'Mapa final'!#REF!="Mayor"),CONCATENATE("R2C",'Mapa final'!#REF!),"")</f>
        <v>#REF!</v>
      </c>
      <c r="AI22" s="35"/>
      <c r="AJ22" s="36" t="str">
        <f>IF(AND('Mapa final'!$AH$18="Alta",'Mapa final'!$AJ$18="Catastrófico"),CONCATENATE("R2C",'Mapa final'!$R$15),"")</f>
        <v/>
      </c>
      <c r="AK22" s="36" t="str">
        <f>IF(AND('Mapa final'!$AH$19="Alta",'Mapa final'!$AJ$19="Catastrófico"),CONCATENATE("R2C",'Mapa final'!$R$19),"")</f>
        <v/>
      </c>
      <c r="AL22" s="36" t="e">
        <f>IF(AND('Mapa final'!#REF!="Alta",'Mapa final'!#REF!="Catastrófico"),CONCATENATE("R2C",'Mapa final'!#REF!),"")</f>
        <v>#REF!</v>
      </c>
      <c r="AM22" s="36" t="e">
        <f>IF(AND('Mapa final'!#REF!="Alta",'Mapa final'!#REF!="Catastrófico"),CONCATENATE("R2C",'Mapa final'!#REF!),"")</f>
        <v>#REF!</v>
      </c>
      <c r="AN22" s="37" t="e">
        <f>IF(AND('Mapa final'!#REF!="Alta",'Mapa final'!#REF!="Catastrófico"),CONCATENATE("R2C",'Mapa final'!#REF!),"")</f>
        <v>#REF!</v>
      </c>
      <c r="AO22" s="68"/>
      <c r="AP22" s="474" t="s">
        <v>259</v>
      </c>
      <c r="AQ22" s="475"/>
      <c r="AR22" s="475"/>
      <c r="AS22" s="475"/>
      <c r="AT22" s="475"/>
      <c r="AU22" s="476"/>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row>
    <row r="23" spans="2:77" ht="15" customHeight="1" x14ac:dyDescent="0.25">
      <c r="B23" s="68"/>
      <c r="C23" s="424"/>
      <c r="D23" s="424"/>
      <c r="E23" s="425"/>
      <c r="F23" s="483"/>
      <c r="G23" s="468"/>
      <c r="H23" s="468"/>
      <c r="I23" s="468"/>
      <c r="J23" s="468"/>
      <c r="K23" s="53" t="e">
        <f>IF(AND('Mapa final'!#REF!="Alta",'Mapa final'!#REF!="Leve"),CONCATENATE("R2C",'Mapa final'!#REF!),"")</f>
        <v>#REF!</v>
      </c>
      <c r="L23" s="54" t="e">
        <f>IF(AND('Mapa final'!#REF!="Alta",'Mapa final'!#REF!="Leve"),CONCATENATE("R2C",'Mapa final'!#REF!),"")</f>
        <v>#REF!</v>
      </c>
      <c r="M23" s="54" t="str">
        <f>IF(AND('Mapa final'!$AH$22="Alta",'Mapa final'!$AJ$22="Leve"),CONCATENATE("R2C",'Mapa final'!$R$22),"")</f>
        <v/>
      </c>
      <c r="N23" s="54" t="str">
        <f>IF(AND('Mapa final'!$AH$23="Alta",'Mapa final'!$AJ$23="Leve"),CONCATENATE("R2C",'Mapa final'!$R$23),"")</f>
        <v/>
      </c>
      <c r="O23" s="54" t="str">
        <f>IF(AND('Mapa final'!$AH$24="Alta",'Mapa final'!$AJ$24="Leve"),CONCATENATE("R2C",'Mapa final'!$R$24),"")</f>
        <v/>
      </c>
      <c r="P23" s="55" t="str">
        <f>IF(AND('Mapa final'!$AH$25="Alta",'Mapa final'!$AJ$25="Leve"),CONCATENATE("R2C",'Mapa final'!$R$25),"")</f>
        <v/>
      </c>
      <c r="Q23" s="53" t="e">
        <f>IF(AND('Mapa final'!#REF!="Alta",'Mapa final'!#REF!="Menor"),CONCATENATE("R2C",'Mapa final'!#REF!),"")</f>
        <v>#REF!</v>
      </c>
      <c r="R23" s="54" t="e">
        <f>IF(AND('Mapa final'!#REF!="Alta",'Mapa final'!#REF!="Menor"),CONCATENATE("R2C",'Mapa final'!#REF!),"")</f>
        <v>#REF!</v>
      </c>
      <c r="S23" s="54" t="str">
        <f>IF(AND('Mapa final'!$AH$22="Alta",'Mapa final'!$AJ$22="Menor"),CONCATENATE("R2C",'Mapa final'!$R$22),"")</f>
        <v/>
      </c>
      <c r="T23" s="54" t="str">
        <f>IF(AND('Mapa final'!$AH$23="Alta",'Mapa final'!$AJ$23="Menor"),CONCATENATE("R2C",'Mapa final'!$R$23),"")</f>
        <v/>
      </c>
      <c r="U23" s="54" t="str">
        <f>IF(AND('Mapa final'!$AH$24="Alta",'Mapa final'!$AJ$24="Menor"),CONCATENATE("R2C",'Mapa final'!$R$24),"")</f>
        <v/>
      </c>
      <c r="V23" s="55" t="str">
        <f>IF(AND('Mapa final'!$AH$25="Alta",'Mapa final'!$AJ$25="Menor"),CONCATENATE("R2C",'Mapa final'!$R$25),"")</f>
        <v/>
      </c>
      <c r="W23" s="38" t="e">
        <f>IF(AND('Mapa final'!#REF!="Alta",'Mapa final'!#REF!="Moderado"),CONCATENATE("R2C",'Mapa final'!#REF!),"")</f>
        <v>#REF!</v>
      </c>
      <c r="X23" s="39" t="e">
        <f>IF(AND('Mapa final'!#REF!="Alta",'Mapa final'!#REF!="Moderado"),CONCATENATE("R2C",'Mapa final'!#REF!),"")</f>
        <v>#REF!</v>
      </c>
      <c r="Y23" s="39" t="str">
        <f>IF(AND('Mapa final'!$AH$22="Alta",'Mapa final'!$AJ$22="Moderado"),CONCATENATE("R2C",'Mapa final'!$R$22),"")</f>
        <v/>
      </c>
      <c r="Z23" s="39" t="str">
        <f>IF(AND('Mapa final'!$AH$23="Alta",'Mapa final'!$AJ$23="Moderado"),CONCATENATE("R2C",'Mapa final'!$R$23),"")</f>
        <v/>
      </c>
      <c r="AA23" s="39" t="str">
        <f>IF(AND('Mapa final'!$AH$24="Alta",'Mapa final'!$AJ$24="Moderado"),CONCATENATE("R2C",'Mapa final'!$R$24),"")</f>
        <v/>
      </c>
      <c r="AB23" s="40" t="str">
        <f>IF(AND('Mapa final'!$AH$25="Alta",'Mapa final'!$AJ$25="Moderado"),CONCATENATE("R2C",'Mapa final'!$R$25),"")</f>
        <v/>
      </c>
      <c r="AC23" s="38" t="e">
        <f>IF(AND('Mapa final'!#REF!="Alta",'Mapa final'!#REF!="Mayor"),CONCATENATE("R2C",'Mapa final'!#REF!),"")</f>
        <v>#REF!</v>
      </c>
      <c r="AD23" s="39" t="e">
        <f>IF(AND('Mapa final'!#REF!="Alta",'Mapa final'!#REF!="Mayor"),CONCATENATE("R2C",'Mapa final'!#REF!),"")</f>
        <v>#REF!</v>
      </c>
      <c r="AE23" s="39" t="str">
        <f>IF(AND('Mapa final'!$AH$22="Alta",'Mapa final'!$AJ$22="Mayor"),CONCATENATE("R2C",'Mapa final'!$R$22),"")</f>
        <v/>
      </c>
      <c r="AF23" s="39" t="str">
        <f>IF(AND('Mapa final'!$AH$23="Alta",'Mapa final'!$AJ$23="Mayor"),CONCATENATE("R2C",'Mapa final'!$R$23),"")</f>
        <v/>
      </c>
      <c r="AG23" s="39" t="str">
        <f>IF(AND('Mapa final'!$AH$24="Alta",'Mapa final'!$AJ$24="Mayor"),CONCATENATE("R2C",'Mapa final'!$R$24),"")</f>
        <v/>
      </c>
      <c r="AH23" s="40" t="str">
        <f>IF(AND('Mapa final'!$AH$25="Alta",'Mapa final'!$AJ$25="Mayor"),CONCATENATE("R2C",'Mapa final'!$R$25),"")</f>
        <v/>
      </c>
      <c r="AI23" s="41" t="e">
        <f>IF(AND('Mapa final'!#REF!="Alta",'Mapa final'!#REF!="Catastrófico"),CONCATENATE("R2C",'Mapa final'!#REF!),"")</f>
        <v>#REF!</v>
      </c>
      <c r="AJ23" s="42" t="e">
        <f>IF(AND('Mapa final'!#REF!="Alta",'Mapa final'!#REF!="Catastrófico"),CONCATENATE("R2C",'Mapa final'!#REF!),"")</f>
        <v>#REF!</v>
      </c>
      <c r="AK23" s="42" t="str">
        <f>IF(AND('Mapa final'!$AH$22="Alta",'Mapa final'!$AJ$22="Catastrófico"),CONCATENATE("R2C",'Mapa final'!$R$22),"")</f>
        <v/>
      </c>
      <c r="AL23" s="42" t="str">
        <f>IF(AND('Mapa final'!$AH$23="Alta",'Mapa final'!$AJ$23="Catastrófico"),CONCATENATE("R2C",'Mapa final'!$R$23),"")</f>
        <v/>
      </c>
      <c r="AM23" s="42" t="str">
        <f>IF(AND('Mapa final'!$AH$24="Alta",'Mapa final'!$AJ$24="Catastrófico"),CONCATENATE("R2C",'Mapa final'!$R$24),"")</f>
        <v/>
      </c>
      <c r="AN23" s="43" t="str">
        <f>IF(AND('Mapa final'!$AH$25="Alta",'Mapa final'!$AJ$25="Catastrófico"),CONCATENATE("R2C",'Mapa final'!$R$25),"")</f>
        <v/>
      </c>
      <c r="AO23" s="68"/>
      <c r="AP23" s="477"/>
      <c r="AQ23" s="478"/>
      <c r="AR23" s="478"/>
      <c r="AS23" s="478"/>
      <c r="AT23" s="478"/>
      <c r="AU23" s="479"/>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row>
    <row r="24" spans="2:77" ht="15" customHeight="1" x14ac:dyDescent="0.25">
      <c r="B24" s="68"/>
      <c r="C24" s="424"/>
      <c r="D24" s="424"/>
      <c r="E24" s="425"/>
      <c r="F24" s="467"/>
      <c r="G24" s="468"/>
      <c r="H24" s="468"/>
      <c r="I24" s="468"/>
      <c r="J24" s="468"/>
      <c r="K24" s="53" t="str">
        <f>IF(AND('Mapa final'!$AH$26="Alta",'Mapa final'!$AJ$26="Leve"),CONCATENATE("R2C",'Mapa final'!$R$26),"")</f>
        <v/>
      </c>
      <c r="L24" s="54" t="str">
        <f>IF(AND('Mapa final'!$AH$27="Alta",'Mapa final'!$AJ$27="Leve"),CONCATENATE("R2C",'Mapa final'!$R$27),"")</f>
        <v/>
      </c>
      <c r="M24" s="54" t="str">
        <f>IF(AND('Mapa final'!$AH$28="Alta",'Mapa final'!$AJ$28="Leve"),CONCATENATE("R2C",'Mapa final'!$R$28),"")</f>
        <v/>
      </c>
      <c r="N24" s="54" t="str">
        <f>IF(AND('Mapa final'!$AH$29="Alta",'Mapa final'!$AJ$29="Leve"),CONCATENATE("R2C",'Mapa final'!$R$29),"")</f>
        <v/>
      </c>
      <c r="O24" s="54" t="str">
        <f>IF(AND('Mapa final'!$AH$30="Alta",'Mapa final'!$AJ$30="Leve"),CONCATENATE("R2C",'Mapa final'!$R$30),"")</f>
        <v/>
      </c>
      <c r="P24" s="55" t="str">
        <f>IF(AND('Mapa final'!$AH$31="Alta",'Mapa final'!$AJ$31="Leve"),CONCATENATE("R2C",'Mapa final'!$R$31),"")</f>
        <v/>
      </c>
      <c r="Q24" s="53" t="str">
        <f>IF(AND('Mapa final'!$AH$26="Alta",'Mapa final'!$AJ$26="Menor"),CONCATENATE("R2C",'Mapa final'!$R$26),"")</f>
        <v/>
      </c>
      <c r="R24" s="54" t="str">
        <f>IF(AND('Mapa final'!$AH$27="Alta",'Mapa final'!$AJ$27="Menor"),CONCATENATE("R2C",'Mapa final'!$R$27),"")</f>
        <v/>
      </c>
      <c r="S24" s="54" t="str">
        <f>IF(AND('Mapa final'!$AH$28="Alta",'Mapa final'!$AJ$28="Menor"),CONCATENATE("R2C",'Mapa final'!$R$28),"")</f>
        <v/>
      </c>
      <c r="T24" s="54" t="str">
        <f>IF(AND('Mapa final'!$AH$29="Alta",'Mapa final'!$AJ$29="Menor"),CONCATENATE("R2C",'Mapa final'!$R$29),"")</f>
        <v/>
      </c>
      <c r="U24" s="54" t="str">
        <f>IF(AND('Mapa final'!$AH$30="Alta",'Mapa final'!$AJ$30="Menor"),CONCATENATE("R2C",'Mapa final'!$R$30),"")</f>
        <v/>
      </c>
      <c r="V24" s="55" t="str">
        <f>IF(AND('Mapa final'!$AH$31="Alta",'Mapa final'!$AJ$31="Menor"),CONCATENATE("R2C",'Mapa final'!$R$31),"")</f>
        <v/>
      </c>
      <c r="W24" s="38" t="str">
        <f>IF(AND('Mapa final'!$AH$26="Alta",'Mapa final'!$AJ$26="Moderado"),CONCATENATE("R2C",'Mapa final'!$R$26),"")</f>
        <v/>
      </c>
      <c r="X24" s="39" t="str">
        <f>IF(AND('Mapa final'!$AH$27="Alta",'Mapa final'!$AJ$27="Moderado"),CONCATENATE("R2C",'Mapa final'!$R$27),"")</f>
        <v/>
      </c>
      <c r="Y24" s="39" t="str">
        <f>IF(AND('Mapa final'!$AH$28="Alta",'Mapa final'!$AJ$28="Moderado"),CONCATENATE("R2C",'Mapa final'!$R$28),"")</f>
        <v/>
      </c>
      <c r="Z24" s="39" t="str">
        <f>IF(AND('Mapa final'!$AH$29="Alta",'Mapa final'!$AJ$29="Moderado"),CONCATENATE("R2C",'Mapa final'!$R$29),"")</f>
        <v/>
      </c>
      <c r="AA24" s="39" t="str">
        <f>IF(AND('Mapa final'!$AH$30="Alta",'Mapa final'!$AJ$30="Moderado"),CONCATENATE("R2C",'Mapa final'!$R$30),"")</f>
        <v/>
      </c>
      <c r="AB24" s="40" t="str">
        <f>IF(AND('Mapa final'!$AH$31="Alta",'Mapa final'!$AJ$31="Moderado"),CONCATENATE("R2C",'Mapa final'!$R$31),"")</f>
        <v/>
      </c>
      <c r="AC24" s="38" t="str">
        <f>IF(AND('Mapa final'!$AH$26="Alta",'Mapa final'!$AJ$26="Mayor"),CONCATENATE("R2C",'Mapa final'!$R$26),"")</f>
        <v/>
      </c>
      <c r="AD24" s="39" t="str">
        <f>IF(AND('Mapa final'!$AH$27="Alta",'Mapa final'!$AJ$27="Mayor"),CONCATENATE("R2C",'Mapa final'!$R$27),"")</f>
        <v/>
      </c>
      <c r="AE24" s="39" t="str">
        <f>IF(AND('Mapa final'!$AH$28="Alta",'Mapa final'!$AJ$28="Mayor"),CONCATENATE("R2C",'Mapa final'!$R$28),"")</f>
        <v/>
      </c>
      <c r="AF24" s="39" t="str">
        <f>IF(AND('Mapa final'!$AH$29="Alta",'Mapa final'!$AJ$29="Mayor"),CONCATENATE("R2C",'Mapa final'!$R$29),"")</f>
        <v/>
      </c>
      <c r="AG24" s="39" t="str">
        <f>IF(AND('Mapa final'!$AH$30="Alta",'Mapa final'!$AJ$30="Mayor"),CONCATENATE("R2C",'Mapa final'!$R$30),"")</f>
        <v/>
      </c>
      <c r="AH24" s="40" t="str">
        <f>IF(AND('Mapa final'!$AH$31="Alta",'Mapa final'!$AJ$31="Mayor"),CONCATENATE("R2C",'Mapa final'!$R$31),"")</f>
        <v/>
      </c>
      <c r="AI24" s="41" t="str">
        <f>IF(AND('Mapa final'!$AH$26="Alta",'Mapa final'!$AJ$26="Catastrófico"),CONCATENATE("R2C",'Mapa final'!$R$26),"")</f>
        <v/>
      </c>
      <c r="AJ24" s="42" t="str">
        <f>IF(AND('Mapa final'!$AH$27="Alta",'Mapa final'!$AJ$27="Catastrófico"),CONCATENATE("R2C",'Mapa final'!$R$27),"")</f>
        <v/>
      </c>
      <c r="AK24" s="42" t="str">
        <f>IF(AND('Mapa final'!$AH$28="Alta",'Mapa final'!$AJ$28="Catastrófico"),CONCATENATE("R2C",'Mapa final'!$R$28),"")</f>
        <v/>
      </c>
      <c r="AL24" s="42" t="str">
        <f>IF(AND('Mapa final'!$AH$29="Alta",'Mapa final'!$AJ$29="Catastrófico"),CONCATENATE("R2C",'Mapa final'!$R$29),"")</f>
        <v/>
      </c>
      <c r="AM24" s="42" t="str">
        <f>IF(AND('Mapa final'!$AH$30="Alta",'Mapa final'!$AJ$30="Catastrófico"),CONCATENATE("R2C",'Mapa final'!$R$30),"")</f>
        <v/>
      </c>
      <c r="AN24" s="43" t="str">
        <f>IF(AND('Mapa final'!$AH$31="Alta",'Mapa final'!$AJ$31="Catastrófico"),CONCATENATE("R2C",'Mapa final'!$R$31),"")</f>
        <v/>
      </c>
      <c r="AO24" s="68"/>
      <c r="AP24" s="477"/>
      <c r="AQ24" s="478"/>
      <c r="AR24" s="478"/>
      <c r="AS24" s="478"/>
      <c r="AT24" s="478"/>
      <c r="AU24" s="479"/>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row>
    <row r="25" spans="2:77" ht="15" customHeight="1" x14ac:dyDescent="0.25">
      <c r="B25" s="68"/>
      <c r="C25" s="424"/>
      <c r="D25" s="424"/>
      <c r="E25" s="425"/>
      <c r="F25" s="467"/>
      <c r="G25" s="468"/>
      <c r="H25" s="468"/>
      <c r="I25" s="468"/>
      <c r="J25" s="468"/>
      <c r="K25" s="53" t="str">
        <f>IF(AND('Mapa final'!$AH$32="Alta",'Mapa final'!$AJ$32="Leve"),CONCATENATE("R2C",'Mapa final'!$R$32),"")</f>
        <v/>
      </c>
      <c r="L25" s="54" t="str">
        <f>IF(AND('Mapa final'!$AH$33="Alta",'Mapa final'!$AJ$33="Leve"),CONCATENATE("R2C",'Mapa final'!$R$33),"")</f>
        <v/>
      </c>
      <c r="M25" s="54" t="str">
        <f>IF(AND('Mapa final'!$AH$34="Alta",'Mapa final'!$AJ$34="Leve"),CONCATENATE("R2C",'Mapa final'!$R$34),"")</f>
        <v/>
      </c>
      <c r="N25" s="54" t="str">
        <f>IF(AND('Mapa final'!$AH$35="Alta",'Mapa final'!$AJ$35="Leve"),CONCATENATE("R2C",'Mapa final'!$R$35),"")</f>
        <v/>
      </c>
      <c r="O25" s="54" t="str">
        <f>IF(AND('Mapa final'!$AH$36="Alta",'Mapa final'!$AJ$36="Leve"),CONCATENATE("R2C",'Mapa final'!$R$36),"")</f>
        <v/>
      </c>
      <c r="P25" s="55" t="str">
        <f>IF(AND('Mapa final'!$AH$37="Alta",'Mapa final'!$AJ$37="Leve"),CONCATENATE("R2C",'Mapa final'!$R$37),"")</f>
        <v/>
      </c>
      <c r="Q25" s="53" t="str">
        <f>IF(AND('Mapa final'!$AH$32="Alta",'Mapa final'!$AJ$32="Menor"),CONCATENATE("R2C",'Mapa final'!$R$32),"")</f>
        <v/>
      </c>
      <c r="R25" s="54" t="str">
        <f>IF(AND('Mapa final'!$AH$33="Alta",'Mapa final'!$AJ$33="Menor"),CONCATENATE("R2C",'Mapa final'!$R$33),"")</f>
        <v/>
      </c>
      <c r="S25" s="54" t="str">
        <f>IF(AND('Mapa final'!$AH$34="Alta",'Mapa final'!$AJ$34="Menor"),CONCATENATE("R2C",'Mapa final'!$R$34),"")</f>
        <v/>
      </c>
      <c r="T25" s="54" t="str">
        <f>IF(AND('Mapa final'!$AH$35="Alta",'Mapa final'!$AJ$35="Menor"),CONCATENATE("R2C",'Mapa final'!$R$35),"")</f>
        <v/>
      </c>
      <c r="U25" s="54" t="str">
        <f>IF(AND('Mapa final'!$AH$36="Alta",'Mapa final'!$AJ$36="LMenor"),CONCATENATE("R2C",'Mapa final'!$R$36),"")</f>
        <v/>
      </c>
      <c r="V25" s="55" t="str">
        <f>IF(AND('Mapa final'!$AH$37="Alta",'Mapa final'!$AJ$37="Menor"),CONCATENATE("R2C",'Mapa final'!$R$37),"")</f>
        <v/>
      </c>
      <c r="W25" s="38" t="str">
        <f>IF(AND('Mapa final'!$AH$32="Alta",'Mapa final'!$AJ$32="Moderado"),CONCATENATE("R2C",'Mapa final'!$R$32),"")</f>
        <v/>
      </c>
      <c r="X25" s="39" t="str">
        <f>IF(AND('Mapa final'!$AH$33="Alta",'Mapa final'!$AJ$33="Moderado"),CONCATENATE("R2C",'Mapa final'!$R$33),"")</f>
        <v/>
      </c>
      <c r="Y25" s="39" t="str">
        <f>IF(AND('Mapa final'!$AH$34="Alta",'Mapa final'!$AJ$34="Moderado"),CONCATENATE("R2C",'Mapa final'!$R$34),"")</f>
        <v/>
      </c>
      <c r="Z25" s="39" t="str">
        <f>IF(AND('Mapa final'!$AH$35="Alta",'Mapa final'!$AJ$35="Moderado"),CONCATENATE("R2C",'Mapa final'!$R$35),"")</f>
        <v/>
      </c>
      <c r="AA25" s="39" t="str">
        <f>IF(AND('Mapa final'!$AH$36="Alta",'Mapa final'!$AJ$36="Moderado"),CONCATENATE("R2C",'Mapa final'!$R$36),"")</f>
        <v/>
      </c>
      <c r="AB25" s="40" t="str">
        <f>IF(AND('Mapa final'!$AH$37="Alta",'Mapa final'!$AJ$37="Moderado"),CONCATENATE("R2C",'Mapa final'!$R$37),"")</f>
        <v/>
      </c>
      <c r="AC25" s="38" t="str">
        <f>IF(AND('Mapa final'!$AH$32="Alta",'Mapa final'!$AJ$32="Mayor"),CONCATENATE("R2C",'Mapa final'!$R$32),"")</f>
        <v/>
      </c>
      <c r="AD25" s="39" t="str">
        <f>IF(AND('Mapa final'!$AH$33="Alta",'Mapa final'!$AJ$33="Mayor"),CONCATENATE("R2C",'Mapa final'!$R$33),"")</f>
        <v/>
      </c>
      <c r="AE25" s="39" t="str">
        <f>IF(AND('Mapa final'!$AH$34="Alta",'Mapa final'!$AJ$34="Mayor"),CONCATENATE("R2C",'Mapa final'!$R$34),"")</f>
        <v/>
      </c>
      <c r="AF25" s="39" t="str">
        <f>IF(AND('Mapa final'!$AH$35="Alta",'Mapa final'!$AJ$35="Mayor"),CONCATENATE("R2C",'Mapa final'!$R$35),"")</f>
        <v/>
      </c>
      <c r="AG25" s="39" t="str">
        <f>IF(AND('Mapa final'!$AH$36="Alta",'Mapa final'!$AJ$36="Mayor"),CONCATENATE("R2C",'Mapa final'!$R$36),"")</f>
        <v/>
      </c>
      <c r="AH25" s="40" t="str">
        <f>IF(AND('Mapa final'!$AH$37="Alta",'Mapa final'!$AJ$37="Mayor"),CONCATENATE("R2C",'Mapa final'!$R$37),"")</f>
        <v/>
      </c>
      <c r="AI25" s="41" t="str">
        <f>IF(AND('Mapa final'!$AH$32="Alta",'Mapa final'!$AJ$32="Catastrófico"),CONCATENATE("R2C",'Mapa final'!$R$32),"")</f>
        <v/>
      </c>
      <c r="AJ25" s="42" t="str">
        <f>IF(AND('Mapa final'!$AH$33="Alta",'Mapa final'!$AJ$33="Catastrófico"),CONCATENATE("R2C",'Mapa final'!$R$33),"")</f>
        <v/>
      </c>
      <c r="AK25" s="42" t="str">
        <f>IF(AND('Mapa final'!$AH$34="Alta",'Mapa final'!$AJ$34="Catastrófico"),CONCATENATE("R2C",'Mapa final'!$R$34),"")</f>
        <v/>
      </c>
      <c r="AL25" s="42" t="str">
        <f>IF(AND('Mapa final'!$AH$35="Alta",'Mapa final'!$AJ$35="Catastrófico"),CONCATENATE("R2C",'Mapa final'!$R$35),"")</f>
        <v/>
      </c>
      <c r="AM25" s="42" t="str">
        <f>IF(AND('Mapa final'!$AH$36="Alta",'Mapa final'!$AJ$36="LCatastrófico"),CONCATENATE("R2C",'Mapa final'!$R$36),"")</f>
        <v/>
      </c>
      <c r="AN25" s="43" t="str">
        <f>IF(AND('Mapa final'!$AH$37="Alta",'Mapa final'!$AJ$37="Catastrófico"),CONCATENATE("R2C",'Mapa final'!$R$37),"")</f>
        <v/>
      </c>
      <c r="AO25" s="68"/>
      <c r="AP25" s="477"/>
      <c r="AQ25" s="478"/>
      <c r="AR25" s="478"/>
      <c r="AS25" s="478"/>
      <c r="AT25" s="478"/>
      <c r="AU25" s="479"/>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row>
    <row r="26" spans="2:77" ht="15" customHeight="1" x14ac:dyDescent="0.25">
      <c r="B26" s="68"/>
      <c r="C26" s="424"/>
      <c r="D26" s="424"/>
      <c r="E26" s="425"/>
      <c r="F26" s="467"/>
      <c r="G26" s="468"/>
      <c r="H26" s="468"/>
      <c r="I26" s="468"/>
      <c r="J26" s="468"/>
      <c r="K26" s="53" t="str">
        <f>IF(AND('Mapa final'!$AH$38="Alta",'Mapa final'!$AJ$38="Leve"),CONCATENATE("R2C",'Mapa final'!$R$38),"")</f>
        <v/>
      </c>
      <c r="L26" s="54" t="str">
        <f>IF(AND('Mapa final'!$AH$39="Alta",'Mapa final'!$AJ$39="Leve"),CONCATENATE("R2C",'Mapa final'!$R$39),"")</f>
        <v/>
      </c>
      <c r="M26" s="54" t="str">
        <f>IF(AND('Mapa final'!$AH$40="Alta",'Mapa final'!$AJ$40="Leve"),CONCATENATE("R2C",'Mapa final'!$R$40),"")</f>
        <v/>
      </c>
      <c r="N26" s="54" t="str">
        <f>IF(AND('Mapa final'!$AH$41="Alta",'Mapa final'!$AJ$41="Leve"),CONCATENATE("R2C",'Mapa final'!$R$41),"")</f>
        <v/>
      </c>
      <c r="O26" s="54" t="str">
        <f>IF(AND('Mapa final'!$AH$42="Alta",'Mapa final'!$AJ$42="Leve"),CONCATENATE("R2C",'Mapa final'!$R$42),"")</f>
        <v/>
      </c>
      <c r="P26" s="55" t="str">
        <f>IF(AND('Mapa final'!$AH$43="Alta",'Mapa final'!$AJ$43="Leve"),CONCATENATE("R2C",'Mapa final'!$R$43),"")</f>
        <v/>
      </c>
      <c r="Q26" s="53" t="str">
        <f>IF(AND('Mapa final'!$AH$38="Alta",'Mapa final'!$AJ$38="Menor"),CONCATENATE("R2C",'Mapa final'!$R$38),"")</f>
        <v/>
      </c>
      <c r="R26" s="54" t="str">
        <f>IF(AND('Mapa final'!$AH$39="Alta",'Mapa final'!$AJ$39="Menor"),CONCATENATE("R2C",'Mapa final'!$R$39),"")</f>
        <v/>
      </c>
      <c r="S26" s="54" t="str">
        <f>IF(AND('Mapa final'!$AH$40="Alta",'Mapa final'!$AJ$40="Menor"),CONCATENATE("R2C",'Mapa final'!$R$40),"")</f>
        <v/>
      </c>
      <c r="T26" s="54" t="str">
        <f>IF(AND('Mapa final'!$AH$41="Alta",'Mapa final'!$AJ$41="Menor"),CONCATENATE("R2C",'Mapa final'!$R$41),"")</f>
        <v/>
      </c>
      <c r="U26" s="54" t="str">
        <f>IF(AND('Mapa final'!$AH$42="Alta",'Mapa final'!$AJ$42="Menor"),CONCATENATE("R2C",'Mapa final'!$R$42),"")</f>
        <v/>
      </c>
      <c r="V26" s="55" t="str">
        <f>IF(AND('Mapa final'!$AH$43="Alta",'Mapa final'!$AJ$43="Menor"),CONCATENATE("R2C",'Mapa final'!$R$43),"")</f>
        <v/>
      </c>
      <c r="W26" s="38" t="str">
        <f>IF(AND('Mapa final'!$AH$38="Alta",'Mapa final'!$AJ$38="Moderado"),CONCATENATE("R2C",'Mapa final'!$R$38),"")</f>
        <v/>
      </c>
      <c r="X26" s="39" t="str">
        <f>IF(AND('Mapa final'!$AH$39="Alta",'Mapa final'!$AJ$39="Moderado"),CONCATENATE("R2C",'Mapa final'!$R$39),"")</f>
        <v/>
      </c>
      <c r="Y26" s="39" t="str">
        <f>IF(AND('Mapa final'!$AH$40="Alta",'Mapa final'!$AJ$40="Moderado"),CONCATENATE("R2C",'Mapa final'!$R$40),"")</f>
        <v/>
      </c>
      <c r="Z26" s="39" t="str">
        <f>IF(AND('Mapa final'!$AH$41="Alta",'Mapa final'!$AJ$41="Moderado"),CONCATENATE("R2C",'Mapa final'!$R$41),"")</f>
        <v/>
      </c>
      <c r="AA26" s="39" t="str">
        <f>IF(AND('Mapa final'!$AH$42="Alta",'Mapa final'!$AJ$42="Moderado"),CONCATENATE("R2C",'Mapa final'!$R$42),"")</f>
        <v/>
      </c>
      <c r="AB26" s="40" t="str">
        <f>IF(AND('Mapa final'!$AH$43="Alta",'Mapa final'!$AJ$43="Moderado"),CONCATENATE("R2C",'Mapa final'!$R$43),"")</f>
        <v/>
      </c>
      <c r="AC26" s="38" t="str">
        <f>IF(AND('Mapa final'!$AH$38="Alta",'Mapa final'!$AJ$38="Mayor"),CONCATENATE("R2C",'Mapa final'!$R$38),"")</f>
        <v/>
      </c>
      <c r="AD26" s="39" t="str">
        <f>IF(AND('Mapa final'!$AH$39="Alta",'Mapa final'!$AJ$39="Mayor"),CONCATENATE("R2C",'Mapa final'!$R$39),"")</f>
        <v/>
      </c>
      <c r="AE26" s="39" t="str">
        <f>IF(AND('Mapa final'!$AH$40="Alta",'Mapa final'!$AJ$40="Mayor"),CONCATENATE("R2C",'Mapa final'!$R$40),"")</f>
        <v/>
      </c>
      <c r="AF26" s="39" t="str">
        <f>IF(AND('Mapa final'!$AH$41="Alta",'Mapa final'!$AJ$41="Mayor"),CONCATENATE("R2C",'Mapa final'!$R$41),"")</f>
        <v/>
      </c>
      <c r="AG26" s="39" t="str">
        <f>IF(AND('Mapa final'!$AH$42="Alta",'Mapa final'!$AJ$42="Mayor"),CONCATENATE("R2C",'Mapa final'!$R$42),"")</f>
        <v/>
      </c>
      <c r="AH26" s="40" t="str">
        <f>IF(AND('Mapa final'!$AH$43="Alta",'Mapa final'!$AJ$43="Mayor"),CONCATENATE("R2C",'Mapa final'!$R$43),"")</f>
        <v/>
      </c>
      <c r="AI26" s="41" t="str">
        <f>IF(AND('Mapa final'!$AH$38="Alta",'Mapa final'!$AJ$38="Catastrófico"),CONCATENATE("R2C",'Mapa final'!$R$38),"")</f>
        <v/>
      </c>
      <c r="AJ26" s="42" t="str">
        <f>IF(AND('Mapa final'!$AH$39="Alta",'Mapa final'!$AJ$39="Catastrófico"),CONCATENATE("R2C",'Mapa final'!$R$39),"")</f>
        <v/>
      </c>
      <c r="AK26" s="42" t="str">
        <f>IF(AND('Mapa final'!$AH$40="Alta",'Mapa final'!$AJ$40="Catastrófico"),CONCATENATE("R2C",'Mapa final'!$R$40),"")</f>
        <v/>
      </c>
      <c r="AL26" s="42" t="str">
        <f>IF(AND('Mapa final'!$AH$41="Alta",'Mapa final'!$AJ$41="Catastrófico"),CONCATENATE("R2C",'Mapa final'!$R$41),"")</f>
        <v/>
      </c>
      <c r="AM26" s="42" t="str">
        <f>IF(AND('Mapa final'!$AH$42="Alta",'Mapa final'!$AJ$42="Catastrófico"),CONCATENATE("R2C",'Mapa final'!$R$42),"")</f>
        <v/>
      </c>
      <c r="AN26" s="43" t="str">
        <f>IF(AND('Mapa final'!$AH$43="Alta",'Mapa final'!$AJ$43="Catastrófico"),CONCATENATE("R2C",'Mapa final'!$R$43),"")</f>
        <v/>
      </c>
      <c r="AO26" s="68"/>
      <c r="AP26" s="477"/>
      <c r="AQ26" s="478"/>
      <c r="AR26" s="478"/>
      <c r="AS26" s="478"/>
      <c r="AT26" s="478"/>
      <c r="AU26" s="479"/>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row>
    <row r="27" spans="2:77" ht="15" customHeight="1" x14ac:dyDescent="0.25">
      <c r="B27" s="68"/>
      <c r="C27" s="424"/>
      <c r="D27" s="424"/>
      <c r="E27" s="425"/>
      <c r="F27" s="467"/>
      <c r="G27" s="468"/>
      <c r="H27" s="468"/>
      <c r="I27" s="468"/>
      <c r="J27" s="468"/>
      <c r="K27" s="53" t="str">
        <f>IF(AND('Mapa final'!$AH$44="Alta",'Mapa final'!$AJ$44="Leve"),CONCATENATE("R2C",'Mapa final'!$R$44),"")</f>
        <v/>
      </c>
      <c r="L27" s="54" t="str">
        <f>IF(AND('Mapa final'!$AH$45="Alta",'Mapa final'!$AJ$45="Leve"),CONCATENATE("R2C",'Mapa final'!$R$45),"")</f>
        <v/>
      </c>
      <c r="M27" s="54" t="str">
        <f>IF(AND('Mapa final'!$AH$46="Alta",'Mapa final'!$AJ$46="Leve"),CONCATENATE("R2C",'Mapa final'!$R$46),"")</f>
        <v/>
      </c>
      <c r="N27" s="54" t="str">
        <f>IF(AND('Mapa final'!$AH$47="Alta",'Mapa final'!$AJ$47="Leve"),CONCATENATE("R2C",'Mapa final'!$R$47),"")</f>
        <v/>
      </c>
      <c r="O27" s="54" t="str">
        <f>IF(AND('Mapa final'!$AH$48="Alta",'Mapa final'!$AJ$48="Leve"),CONCATENATE("R2C",'Mapa final'!$R$48),"")</f>
        <v/>
      </c>
      <c r="P27" s="55" t="str">
        <f>IF(AND('Mapa final'!$AH$59="Alta",'Mapa final'!$AJ$49="Leve"),CONCATENATE("R2C",'Mapa final'!$R$49),"")</f>
        <v/>
      </c>
      <c r="Q27" s="53" t="str">
        <f>IF(AND('Mapa final'!$AH$44="Alta",'Mapa final'!$AJ$44="Menor"),CONCATENATE("R2C",'Mapa final'!$R$44),"")</f>
        <v/>
      </c>
      <c r="R27" s="54" t="str">
        <f>IF(AND('Mapa final'!$AH$45="Alta",'Mapa final'!$AJ$45="Menor"),CONCATENATE("R2C",'Mapa final'!$R$45),"")</f>
        <v/>
      </c>
      <c r="S27" s="54" t="str">
        <f>IF(AND('Mapa final'!$AH$46="Alta",'Mapa final'!$AJ$46="Menor"),CONCATENATE("R2C",'Mapa final'!$R$46),"")</f>
        <v/>
      </c>
      <c r="T27" s="54" t="str">
        <f>IF(AND('Mapa final'!$AH$47="Alta",'Mapa final'!$AJ$47="Menor"),CONCATENATE("R2C",'Mapa final'!$R$47),"")</f>
        <v/>
      </c>
      <c r="U27" s="54" t="str">
        <f>IF(AND('Mapa final'!$AH$48="Alta",'Mapa final'!$AJ$48="Menor"),CONCATENATE("R2C",'Mapa final'!$R$48),"")</f>
        <v/>
      </c>
      <c r="V27" s="55" t="str">
        <f>IF(AND('Mapa final'!$AH$59="Alta",'Mapa final'!$AJ$49="Menor"),CONCATENATE("R2C",'Mapa final'!$R$49),"")</f>
        <v/>
      </c>
      <c r="W27" s="38" t="str">
        <f>IF(AND('Mapa final'!$AH$44="Alta",'Mapa final'!$AJ$44="Moderado"),CONCATENATE("R2C",'Mapa final'!$R$44),"")</f>
        <v/>
      </c>
      <c r="X27" s="39" t="str">
        <f>IF(AND('Mapa final'!$AH$45="Alta",'Mapa final'!$AJ$45="Moderado"),CONCATENATE("R2C",'Mapa final'!$R$45),"")</f>
        <v/>
      </c>
      <c r="Y27" s="39" t="str">
        <f>IF(AND('Mapa final'!$AH$46="Alta",'Mapa final'!$AJ$46="Moderado"),CONCATENATE("R2C",'Mapa final'!$R$46),"")</f>
        <v/>
      </c>
      <c r="Z27" s="39" t="str">
        <f>IF(AND('Mapa final'!$AH$47="Alta",'Mapa final'!$AJ$47="Moderado"),CONCATENATE("R2C",'Mapa final'!$R$47),"")</f>
        <v/>
      </c>
      <c r="AA27" s="39" t="str">
        <f>IF(AND('Mapa final'!$AH$48="Alta",'Mapa final'!$AJ$48="Moderado"),CONCATENATE("R2C",'Mapa final'!$R$48),"")</f>
        <v/>
      </c>
      <c r="AB27" s="40" t="str">
        <f>IF(AND('Mapa final'!$AH$59="Alta",'Mapa final'!$AJ$49="Moderado"),CONCATENATE("R2C",'Mapa final'!$R$49),"")</f>
        <v/>
      </c>
      <c r="AC27" s="38" t="str">
        <f>IF(AND('Mapa final'!$AH$44="Alta",'Mapa final'!$AJ$44="Mayor"),CONCATENATE("R2C",'Mapa final'!$R$44),"")</f>
        <v/>
      </c>
      <c r="AD27" s="39" t="str">
        <f>IF(AND('Mapa final'!$AH$45="Alta",'Mapa final'!$AJ$45="Mayor"),CONCATENATE("R2C",'Mapa final'!$R$45),"")</f>
        <v/>
      </c>
      <c r="AE27" s="39" t="str">
        <f>IF(AND('Mapa final'!$AH$46="Alta",'Mapa final'!$AJ$46="Mayor"),CONCATENATE("R2C",'Mapa final'!$R$46),"")</f>
        <v/>
      </c>
      <c r="AF27" s="39" t="str">
        <f>IF(AND('Mapa final'!$AH$47="Alta",'Mapa final'!$AJ$47="Mayor"),CONCATENATE("R2C",'Mapa final'!$R$47),"")</f>
        <v/>
      </c>
      <c r="AG27" s="39" t="str">
        <f>IF(AND('Mapa final'!$AH$48="Alta",'Mapa final'!$AJ$48="Mayor"),CONCATENATE("R2C",'Mapa final'!$R$48),"")</f>
        <v/>
      </c>
      <c r="AH27" s="40" t="str">
        <f>IF(AND('Mapa final'!$AH$59="Alta",'Mapa final'!$AJ$49="Mayor"),CONCATENATE("R2C",'Mapa final'!$R$49),"")</f>
        <v/>
      </c>
      <c r="AI27" s="41" t="str">
        <f>IF(AND('Mapa final'!$AH$44="Alta",'Mapa final'!$AJ$44="Catastrófico"),CONCATENATE("R2C",'Mapa final'!$R$44),"")</f>
        <v/>
      </c>
      <c r="AJ27" s="42" t="str">
        <f>IF(AND('Mapa final'!$AH$45="Alta",'Mapa final'!$AJ$45="Catastrófico"),CONCATENATE("R2C",'Mapa final'!$R$45),"")</f>
        <v/>
      </c>
      <c r="AK27" s="42" t="str">
        <f>IF(AND('Mapa final'!$AH$46="Alta",'Mapa final'!$AJ$46="Catastrófico"),CONCATENATE("R2C",'Mapa final'!$R$46),"")</f>
        <v/>
      </c>
      <c r="AL27" s="42" t="str">
        <f>IF(AND('Mapa final'!$AH$47="Alta",'Mapa final'!$AJ$47="Catastrófico"),CONCATENATE("R2C",'Mapa final'!$R$47),"")</f>
        <v/>
      </c>
      <c r="AM27" s="42" t="str">
        <f>IF(AND('Mapa final'!$AH$48="Alta",'Mapa final'!$AJ$48="Catastrófico"),CONCATENATE("R2C",'Mapa final'!$R$48),"")</f>
        <v/>
      </c>
      <c r="AN27" s="43" t="str">
        <f>IF(AND('Mapa final'!$AH$59="Alta",'Mapa final'!$AJ$49="Catastrófico"),CONCATENATE("R2C",'Mapa final'!$R$49),"")</f>
        <v/>
      </c>
      <c r="AO27" s="68"/>
      <c r="AP27" s="477"/>
      <c r="AQ27" s="478"/>
      <c r="AR27" s="478"/>
      <c r="AS27" s="478"/>
      <c r="AT27" s="478"/>
      <c r="AU27" s="479"/>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row>
    <row r="28" spans="2:77" ht="15" customHeight="1" x14ac:dyDescent="0.25">
      <c r="B28" s="68"/>
      <c r="C28" s="424"/>
      <c r="D28" s="424"/>
      <c r="E28" s="425"/>
      <c r="F28" s="467"/>
      <c r="G28" s="468"/>
      <c r="H28" s="468"/>
      <c r="I28" s="468"/>
      <c r="J28" s="468"/>
      <c r="K28" s="53" t="str">
        <f>IF(AND('Mapa final'!$AH$50="Alta",'Mapa final'!$AJ$50="Leve"),CONCATENATE("R2C",'Mapa final'!$R$50),"")</f>
        <v/>
      </c>
      <c r="L28" s="54" t="str">
        <f>IF(AND('Mapa final'!$AH$51="Alta",'Mapa final'!$AJ$51="Leve"),CONCATENATE("R2C",'Mapa final'!$R$51),"")</f>
        <v/>
      </c>
      <c r="M28" s="54" t="str">
        <f>IF(AND('Mapa final'!$AH$52="Alta",'Mapa final'!$AJ$52="Leve"),CONCATENATE("R2C",'Mapa final'!$R$52),"")</f>
        <v/>
      </c>
      <c r="N28" s="54" t="str">
        <f>IF(AND('Mapa final'!$AH$53="Alta",'Mapa final'!$AJ$53="Leve"),CONCATENATE("R2C",'Mapa final'!$R$53),"")</f>
        <v/>
      </c>
      <c r="O28" s="54" t="str">
        <f>IF(AND('Mapa final'!$AH$54="Alta",'Mapa final'!$AJ$54="Leve"),CONCATENATE("R2C",'Mapa final'!$R$54),"")</f>
        <v/>
      </c>
      <c r="P28" s="55" t="str">
        <f>IF(AND('Mapa final'!$AH$55="Alta",'Mapa final'!$AJ$55="Leve"),CONCATENATE("R2C",'Mapa final'!$R$55),"")</f>
        <v/>
      </c>
      <c r="Q28" s="53" t="str">
        <f>IF(AND('Mapa final'!$AH$50="Alta",'Mapa final'!$AJ$50="Menor"),CONCATENATE("R2C",'Mapa final'!$R$50),"")</f>
        <v/>
      </c>
      <c r="R28" s="54" t="str">
        <f>IF(AND('Mapa final'!$AH$51="Alta",'Mapa final'!$AJ$51="Menor"),CONCATENATE("R2C",'Mapa final'!$R$51),"")</f>
        <v/>
      </c>
      <c r="S28" s="54" t="str">
        <f>IF(AND('Mapa final'!$AH$52="Alta",'Mapa final'!$AJ$52="Menor"),CONCATENATE("R2C",'Mapa final'!$R$52),"")</f>
        <v/>
      </c>
      <c r="T28" s="54" t="str">
        <f>IF(AND('Mapa final'!$AH$53="Alta",'Mapa final'!$AJ$53="Menor"),CONCATENATE("R2C",'Mapa final'!$R$53),"")</f>
        <v/>
      </c>
      <c r="U28" s="54" t="str">
        <f>IF(AND('Mapa final'!$AH$54="Alta",'Mapa final'!$AJ$54="Menor"),CONCATENATE("R2C",'Mapa final'!$R$54),"")</f>
        <v/>
      </c>
      <c r="V28" s="55" t="str">
        <f>IF(AND('Mapa final'!$AH$55="Alta",'Mapa final'!$AJ$55="Menor"),CONCATENATE("R2C",'Mapa final'!$R$55),"")</f>
        <v/>
      </c>
      <c r="W28" s="38" t="str">
        <f>IF(AND('Mapa final'!$AH$50="Alta",'Mapa final'!$AJ$50="Moderado"),CONCATENATE("R2C",'Mapa final'!$R$50),"")</f>
        <v/>
      </c>
      <c r="X28" s="39" t="str">
        <f>IF(AND('Mapa final'!$AH$51="Alta",'Mapa final'!$AJ$51="Moderado"),CONCATENATE("R2C",'Mapa final'!$R$51),"")</f>
        <v/>
      </c>
      <c r="Y28" s="39" t="str">
        <f>IF(AND('Mapa final'!$AH$52="Alta",'Mapa final'!$AJ$52="Moderado"),CONCATENATE("R2C",'Mapa final'!$R$52),"")</f>
        <v/>
      </c>
      <c r="Z28" s="39" t="str">
        <f>IF(AND('Mapa final'!$AH$53="Alta",'Mapa final'!$AJ$53="Moderado"),CONCATENATE("R2C",'Mapa final'!$R$53),"")</f>
        <v/>
      </c>
      <c r="AA28" s="39" t="str">
        <f>IF(AND('Mapa final'!$AH$54="Alta",'Mapa final'!$AJ$54="Moderado"),CONCATENATE("R2C",'Mapa final'!$R$54),"")</f>
        <v/>
      </c>
      <c r="AB28" s="40" t="str">
        <f>IF(AND('Mapa final'!$AH$55="Alta",'Mapa final'!$AJ$55="Moderado"),CONCATENATE("R2C",'Mapa final'!$R$55),"")</f>
        <v/>
      </c>
      <c r="AC28" s="38" t="str">
        <f>IF(AND('Mapa final'!$AH$50="Alta",'Mapa final'!$AJ$50="Mayor"),CONCATENATE("R2C",'Mapa final'!$R$50),"")</f>
        <v/>
      </c>
      <c r="AD28" s="39" t="str">
        <f>IF(AND('Mapa final'!$AH$51="Alta",'Mapa final'!$AJ$51="Mayor"),CONCATENATE("R2C",'Mapa final'!$R$51),"")</f>
        <v/>
      </c>
      <c r="AE28" s="39" t="str">
        <f>IF(AND('Mapa final'!$AH$52="Alta",'Mapa final'!$AJ$52="Mayor"),CONCATENATE("R2C",'Mapa final'!$R$52),"")</f>
        <v/>
      </c>
      <c r="AF28" s="39" t="str">
        <f>IF(AND('Mapa final'!$AH$53="Alta",'Mapa final'!$AJ$53="Mayor"),CONCATENATE("R2C",'Mapa final'!$R$53),"")</f>
        <v/>
      </c>
      <c r="AG28" s="39" t="str">
        <f>IF(AND('Mapa final'!$AH$54="Alta",'Mapa final'!$AJ$54="Mayor"),CONCATENATE("R2C",'Mapa final'!$R$54),"")</f>
        <v/>
      </c>
      <c r="AH28" s="40" t="str">
        <f>IF(AND('Mapa final'!$AH$55="Alta",'Mapa final'!$AJ$55="Mayor"),CONCATENATE("R2C",'Mapa final'!$R$55),"")</f>
        <v/>
      </c>
      <c r="AI28" s="41" t="str">
        <f>IF(AND('Mapa final'!$AH$50="Alta",'Mapa final'!$AJ$50="Catastrófico"),CONCATENATE("R2C",'Mapa final'!$R$50),"")</f>
        <v/>
      </c>
      <c r="AJ28" s="42" t="str">
        <f>IF(AND('Mapa final'!$AH$51="Alta",'Mapa final'!$AJ$51="Catastrófico"),CONCATENATE("R2C",'Mapa final'!$R$51),"")</f>
        <v/>
      </c>
      <c r="AK28" s="42" t="str">
        <f>IF(AND('Mapa final'!$AH$52="Alta",'Mapa final'!$AJ$52="Catastrófico"),CONCATENATE("R2C",'Mapa final'!$R$52),"")</f>
        <v/>
      </c>
      <c r="AL28" s="42" t="str">
        <f>IF(AND('Mapa final'!$AH$53="Alta",'Mapa final'!$AJ$53="Catastrófico"),CONCATENATE("R2C",'Mapa final'!$R$53),"")</f>
        <v/>
      </c>
      <c r="AM28" s="42" t="str">
        <f>IF(AND('Mapa final'!$AH$54="Alta",'Mapa final'!$AJ$54="Catastrófico"),CONCATENATE("R2C",'Mapa final'!$R$54),"")</f>
        <v/>
      </c>
      <c r="AN28" s="43" t="str">
        <f>IF(AND('Mapa final'!$AH$55="Alta",'Mapa final'!$AJ$55="Catastrófico"),CONCATENATE("R2C",'Mapa final'!$R$55),"")</f>
        <v/>
      </c>
      <c r="AO28" s="68"/>
      <c r="AP28" s="477"/>
      <c r="AQ28" s="478"/>
      <c r="AR28" s="478"/>
      <c r="AS28" s="478"/>
      <c r="AT28" s="478"/>
      <c r="AU28" s="479"/>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row>
    <row r="29" spans="2:77" ht="15" customHeight="1" x14ac:dyDescent="0.25">
      <c r="B29" s="68"/>
      <c r="C29" s="424"/>
      <c r="D29" s="424"/>
      <c r="E29" s="425"/>
      <c r="F29" s="467"/>
      <c r="G29" s="468"/>
      <c r="H29" s="468"/>
      <c r="I29" s="468"/>
      <c r="J29" s="468"/>
      <c r="K29" s="53" t="str">
        <f>IF(AND('Mapa final'!$AH$56="Alta",'Mapa final'!$AJ$56="Leve"),CONCATENATE("R2C",'Mapa final'!$R$56),"")</f>
        <v/>
      </c>
      <c r="L29" s="54" t="str">
        <f>IF(AND('Mapa final'!$AH$57="Alta",'Mapa final'!$AJ$57="Leve"),CONCATENATE("R2C",'Mapa final'!$R$57),"")</f>
        <v/>
      </c>
      <c r="M29" s="54" t="str">
        <f>IF(AND('Mapa final'!$AH$58="Alta",'Mapa final'!$AJ$58="Leve"),CONCATENATE("R2C",'Mapa final'!$R$58),"")</f>
        <v/>
      </c>
      <c r="N29" s="54" t="str">
        <f>IF(AND('Mapa final'!$AH$59="Alta",'Mapa final'!$AJ$59="Leve"),CONCATENATE("R2C",'Mapa final'!$R$59),"")</f>
        <v/>
      </c>
      <c r="O29" s="54" t="str">
        <f>IF(AND('Mapa final'!$AH$60="Alta",'Mapa final'!$AJ$60="Leve"),CONCATENATE("R2C",'Mapa final'!$R$60),"")</f>
        <v/>
      </c>
      <c r="P29" s="55" t="str">
        <f>IF(AND('Mapa final'!$AH$61="Alta",'Mapa final'!$AJ$61="Leve"),CONCATENATE("R2C",'Mapa final'!$R$61),"")</f>
        <v/>
      </c>
      <c r="Q29" s="53" t="str">
        <f>IF(AND('Mapa final'!$AH$56="Alta",'Mapa final'!$AJ$56="Menor"),CONCATENATE("R2C",'Mapa final'!$R$56),"")</f>
        <v/>
      </c>
      <c r="R29" s="54" t="str">
        <f>IF(AND('Mapa final'!$AH$57="Alta",'Mapa final'!$AJ$57="Menor"),CONCATENATE("R2C",'Mapa final'!$R$57),"")</f>
        <v/>
      </c>
      <c r="S29" s="54" t="str">
        <f>IF(AND('Mapa final'!$AH$58="Alta",'Mapa final'!$AJ$58="Menor"),CONCATENATE("R2C",'Mapa final'!$R$58),"")</f>
        <v/>
      </c>
      <c r="T29" s="54" t="str">
        <f>IF(AND('Mapa final'!$AH$59="Alta",'Mapa final'!$AJ$59="Menor"),CONCATENATE("R2C",'Mapa final'!$R$59),"")</f>
        <v/>
      </c>
      <c r="U29" s="54" t="str">
        <f>IF(AND('Mapa final'!$AH$60="Alta",'Mapa final'!$AJ$60="Menor"),CONCATENATE("R2C",'Mapa final'!$R$60),"")</f>
        <v/>
      </c>
      <c r="V29" s="55" t="str">
        <f>IF(AND('Mapa final'!$AH$61="Alta",'Mapa final'!$AJ$61="Menor"),CONCATENATE("R2C",'Mapa final'!$R$61),"")</f>
        <v/>
      </c>
      <c r="W29" s="38" t="str">
        <f>IF(AND('Mapa final'!$AH$56="Alta",'Mapa final'!$AJ$56="Moderado"),CONCATENATE("R2C",'Mapa final'!$R$56),"")</f>
        <v/>
      </c>
      <c r="X29" s="39" t="str">
        <f>IF(AND('Mapa final'!$AH$57="Alta",'Mapa final'!$AJ$57="Moderado"),CONCATENATE("R2C",'Mapa final'!$R$57),"")</f>
        <v/>
      </c>
      <c r="Y29" s="39" t="str">
        <f>IF(AND('Mapa final'!$AH$58="Alta",'Mapa final'!$AJ$58="Moderado"),CONCATENATE("R2C",'Mapa final'!$R$58),"")</f>
        <v/>
      </c>
      <c r="Z29" s="39" t="str">
        <f>IF(AND('Mapa final'!$AH$59="Alta",'Mapa final'!$AJ$59="Moderado"),CONCATENATE("R2C",'Mapa final'!$R$59),"")</f>
        <v/>
      </c>
      <c r="AA29" s="39" t="str">
        <f>IF(AND('Mapa final'!$AH$60="Alta",'Mapa final'!$AJ$60="Moderado"),CONCATENATE("R2C",'Mapa final'!$R$60),"")</f>
        <v/>
      </c>
      <c r="AB29" s="40" t="str">
        <f>IF(AND('Mapa final'!$AH$61="Alta",'Mapa final'!$AJ$61="Moderado"),CONCATENATE("R2C",'Mapa final'!$R$61),"")</f>
        <v/>
      </c>
      <c r="AC29" s="38" t="str">
        <f>IF(AND('Mapa final'!$AH$56="Alta",'Mapa final'!$AJ$56="Mayor"),CONCATENATE("R2C",'Mapa final'!$R$56),"")</f>
        <v/>
      </c>
      <c r="AD29" s="39" t="str">
        <f>IF(AND('Mapa final'!$AH$57="Alta",'Mapa final'!$AJ$57="Mayor"),CONCATENATE("R2C",'Mapa final'!$R$57),"")</f>
        <v/>
      </c>
      <c r="AE29" s="39" t="str">
        <f>IF(AND('Mapa final'!$AH$58="Alta",'Mapa final'!$AJ$58="Mayor"),CONCATENATE("R2C",'Mapa final'!$R$58),"")</f>
        <v/>
      </c>
      <c r="AF29" s="39" t="str">
        <f>IF(AND('Mapa final'!$AH$59="Alta",'Mapa final'!$AJ$59="Mayor"),CONCATENATE("R2C",'Mapa final'!$R$59),"")</f>
        <v/>
      </c>
      <c r="AG29" s="39" t="str">
        <f>IF(AND('Mapa final'!$AH$60="Alta",'Mapa final'!$AJ$60="Mayor"),CONCATENATE("R2C",'Mapa final'!$R$60),"")</f>
        <v/>
      </c>
      <c r="AH29" s="40" t="str">
        <f>IF(AND('Mapa final'!$AH$61="Alta",'Mapa final'!$AJ$61="Mayor"),CONCATENATE("R2C",'Mapa final'!$R$61),"")</f>
        <v/>
      </c>
      <c r="AI29" s="41" t="str">
        <f>IF(AND('Mapa final'!$AH$56="Alta",'Mapa final'!$AJ$56="Catastrófico"),CONCATENATE("R2C",'Mapa final'!$R$56),"")</f>
        <v/>
      </c>
      <c r="AJ29" s="42" t="str">
        <f>IF(AND('Mapa final'!$AH$57="Alta",'Mapa final'!$AJ$57="Catastrófico"),CONCATENATE("R2C",'Mapa final'!$R$57),"")</f>
        <v/>
      </c>
      <c r="AK29" s="42" t="str">
        <f>IF(AND('Mapa final'!$AH$58="Alta",'Mapa final'!$AJ$58="Catastrófico"),CONCATENATE("R2C",'Mapa final'!$R$58),"")</f>
        <v/>
      </c>
      <c r="AL29" s="42" t="str">
        <f>IF(AND('Mapa final'!$AH$59="Alta",'Mapa final'!$AJ$59="Catastrófico"),CONCATENATE("R2C",'Mapa final'!$R$59),"")</f>
        <v/>
      </c>
      <c r="AM29" s="42" t="str">
        <f>IF(AND('Mapa final'!$AH$60="Alta",'Mapa final'!$AJ$60="Catastrófico"),CONCATENATE("R2C",'Mapa final'!$R$60),"")</f>
        <v/>
      </c>
      <c r="AN29" s="43" t="str">
        <f>IF(AND('Mapa final'!$AH$61="Alta",'Mapa final'!$AJ$61="Catastrófico"),CONCATENATE("R2C",'Mapa final'!$R$61),"")</f>
        <v/>
      </c>
      <c r="AO29" s="68"/>
      <c r="AP29" s="477"/>
      <c r="AQ29" s="478"/>
      <c r="AR29" s="478"/>
      <c r="AS29" s="478"/>
      <c r="AT29" s="478"/>
      <c r="AU29" s="479"/>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row>
    <row r="30" spans="2:77" ht="15" customHeight="1" x14ac:dyDescent="0.25">
      <c r="B30" s="68"/>
      <c r="C30" s="424"/>
      <c r="D30" s="424"/>
      <c r="E30" s="425"/>
      <c r="F30" s="467"/>
      <c r="G30" s="468"/>
      <c r="H30" s="468"/>
      <c r="I30" s="468"/>
      <c r="J30" s="468"/>
      <c r="K30" s="53" t="str">
        <f>IF(AND('Mapa final'!$AH$62="Alta",'Mapa final'!$AJ$62="Leve"),CONCATENATE("R2C",'Mapa final'!$R$62),"")</f>
        <v/>
      </c>
      <c r="L30" s="54" t="str">
        <f>IF(AND('Mapa final'!$AH$63="Alta",'Mapa final'!$AJ$63="Leve"),CONCATENATE("R2C",'Mapa final'!$R$63),"")</f>
        <v/>
      </c>
      <c r="M30" s="54" t="str">
        <f>IF(AND('Mapa final'!$AH$64="Alta",'Mapa final'!$AJ$64="Leve"),CONCATENATE("R2C",'Mapa final'!$R$64),"")</f>
        <v/>
      </c>
      <c r="N30" s="54" t="str">
        <f>IF(AND('Mapa final'!$AH$65="Alta",'Mapa final'!$AJ$65="Leve"),CONCATENATE("R2C",'Mapa final'!$R$65),"")</f>
        <v/>
      </c>
      <c r="O30" s="54" t="str">
        <f>IF(AND('Mapa final'!$AH$66="Alta",'Mapa final'!$AJ$66="Leve"),CONCATENATE("R2C",'Mapa final'!$R$66),"")</f>
        <v/>
      </c>
      <c r="P30" s="55" t="str">
        <f>IF(AND('Mapa final'!$AH$67="Alta",'Mapa final'!$AJ$67="Leve"),CONCATENATE("R2C",'Mapa final'!$R$67),"")</f>
        <v/>
      </c>
      <c r="Q30" s="53" t="str">
        <f>IF(AND('Mapa final'!$AH$62="Alta",'Mapa final'!$AJ$62="Menor"),CONCATENATE("R2C",'Mapa final'!$R$62),"")</f>
        <v/>
      </c>
      <c r="R30" s="54" t="str">
        <f>IF(AND('Mapa final'!$AH$63="Alta",'Mapa final'!$AJ$63="Menor"),CONCATENATE("R2C",'Mapa final'!$R$63),"")</f>
        <v/>
      </c>
      <c r="S30" s="54" t="str">
        <f>IF(AND('Mapa final'!$AH$64="Alta",'Mapa final'!$AJ$64="Menor"),CONCATENATE("R2C",'Mapa final'!$R$64),"")</f>
        <v/>
      </c>
      <c r="T30" s="54" t="str">
        <f>IF(AND('Mapa final'!$AH$65="Alta",'Mapa final'!$AJ$65="Menor"),CONCATENATE("R2C",'Mapa final'!$R$65),"")</f>
        <v/>
      </c>
      <c r="U30" s="54" t="str">
        <f>IF(AND('Mapa final'!$AH$66="Alta",'Mapa final'!$AJ$66="Menor"),CONCATENATE("R2C",'Mapa final'!$R$66),"")</f>
        <v/>
      </c>
      <c r="V30" s="55" t="str">
        <f>IF(AND('Mapa final'!$AH$67="Alta",'Mapa final'!$AJ$67="Menor"),CONCATENATE("R2C",'Mapa final'!$R$67),"")</f>
        <v/>
      </c>
      <c r="W30" s="38" t="str">
        <f>IF(AND('Mapa final'!$AH$62="Alta",'Mapa final'!$AJ$62="Moderado"),CONCATENATE("R2C",'Mapa final'!$R$62),"")</f>
        <v/>
      </c>
      <c r="X30" s="39" t="str">
        <f>IF(AND('Mapa final'!$AH$63="Alta",'Mapa final'!$AJ$63="Moderado"),CONCATENATE("R2C",'Mapa final'!$R$63),"")</f>
        <v/>
      </c>
      <c r="Y30" s="39" t="str">
        <f>IF(AND('Mapa final'!$AH$64="Alta",'Mapa final'!$AJ$64="Moderado"),CONCATENATE("R2C",'Mapa final'!$R$64),"")</f>
        <v/>
      </c>
      <c r="Z30" s="39" t="str">
        <f>IF(AND('Mapa final'!$AH$65="Alta",'Mapa final'!$AJ$65="Moderado"),CONCATENATE("R2C",'Mapa final'!$R$65),"")</f>
        <v/>
      </c>
      <c r="AA30" s="39" t="str">
        <f>IF(AND('Mapa final'!$AH$66="Alta",'Mapa final'!$AJ$66="Moderado"),CONCATENATE("R2C",'Mapa final'!$R$66),"")</f>
        <v/>
      </c>
      <c r="AB30" s="40" t="str">
        <f>IF(AND('Mapa final'!$AH$67="Alta",'Mapa final'!$AJ$67="Moderado"),CONCATENATE("R2C",'Mapa final'!$R$67),"")</f>
        <v/>
      </c>
      <c r="AC30" s="38" t="str">
        <f>IF(AND('Mapa final'!$AH$62="Alta",'Mapa final'!$AJ$62="Mayor"),CONCATENATE("R2C",'Mapa final'!$R$62),"")</f>
        <v/>
      </c>
      <c r="AD30" s="39" t="str">
        <f>IF(AND('Mapa final'!$AH$63="Alta",'Mapa final'!$AJ$63="Mayor"),CONCATENATE("R2C",'Mapa final'!$R$63),"")</f>
        <v/>
      </c>
      <c r="AE30" s="39" t="str">
        <f>IF(AND('Mapa final'!$AH$64="Alta",'Mapa final'!$AJ$64="Mayor"),CONCATENATE("R2C",'Mapa final'!$R$64),"")</f>
        <v/>
      </c>
      <c r="AF30" s="39" t="str">
        <f>IF(AND('Mapa final'!$AH$65="Alta",'Mapa final'!$AJ$65="Mayor"),CONCATENATE("R2C",'Mapa final'!$R$65),"")</f>
        <v/>
      </c>
      <c r="AG30" s="39" t="str">
        <f>IF(AND('Mapa final'!$AH$66="Alta",'Mapa final'!$AJ$66="Mayor"),CONCATENATE("R2C",'Mapa final'!$R$66),"")</f>
        <v/>
      </c>
      <c r="AH30" s="40" t="str">
        <f>IF(AND('Mapa final'!$AH$67="Alta",'Mapa final'!$AJ$67="Mayor"),CONCATENATE("R2C",'Mapa final'!$R$67),"")</f>
        <v/>
      </c>
      <c r="AI30" s="41" t="str">
        <f>IF(AND('Mapa final'!$AH$62="Alta",'Mapa final'!$AJ$62="Catastrófico"),CONCATENATE("R2C",'Mapa final'!$R$62),"")</f>
        <v/>
      </c>
      <c r="AJ30" s="42" t="str">
        <f>IF(AND('Mapa final'!$AH$63="Alta",'Mapa final'!$AJ$63="Catastrófico"),CONCATENATE("R2C",'Mapa final'!$R$63),"")</f>
        <v/>
      </c>
      <c r="AK30" s="42" t="str">
        <f>IF(AND('Mapa final'!$AH$64="Alta",'Mapa final'!$AJ$64="Catastrófico"),CONCATENATE("R2C",'Mapa final'!$R$64),"")</f>
        <v/>
      </c>
      <c r="AL30" s="42" t="str">
        <f>IF(AND('Mapa final'!$AH$65="Alta",'Mapa final'!$AJ$65="Catastrófico"),CONCATENATE("R2C",'Mapa final'!$R$65),"")</f>
        <v/>
      </c>
      <c r="AM30" s="42" t="str">
        <f>IF(AND('Mapa final'!$AH$66="Alta",'Mapa final'!$AJ$66="Catastrófico"),CONCATENATE("R2C",'Mapa final'!$R$66),"")</f>
        <v/>
      </c>
      <c r="AN30" s="43" t="str">
        <f>IF(AND('Mapa final'!$AH$67="Alta",'Mapa final'!$AJ$67="Catastrófico"),CONCATENATE("R2C",'Mapa final'!$R$67),"")</f>
        <v/>
      </c>
      <c r="AO30" s="68"/>
      <c r="AP30" s="477"/>
      <c r="AQ30" s="478"/>
      <c r="AR30" s="478"/>
      <c r="AS30" s="478"/>
      <c r="AT30" s="478"/>
      <c r="AU30" s="479"/>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row>
    <row r="31" spans="2:77" ht="15.75" customHeight="1" thickBot="1" x14ac:dyDescent="0.3">
      <c r="B31" s="68"/>
      <c r="C31" s="424"/>
      <c r="D31" s="424"/>
      <c r="E31" s="425"/>
      <c r="F31" s="470"/>
      <c r="G31" s="471"/>
      <c r="H31" s="471"/>
      <c r="I31" s="471"/>
      <c r="J31" s="471"/>
      <c r="K31" s="56" t="str">
        <f>IF(AND('Mapa final'!$AH$68="Alta",'Mapa final'!$AJ$68="Leve"),CONCATENATE("R2C",'Mapa final'!$R$68),"")</f>
        <v/>
      </c>
      <c r="L31" s="57" t="str">
        <f>IF(AND('Mapa final'!$AH$69="Alta",'Mapa final'!$AJ$69="Leve"),CONCATENATE("R2C",'Mapa final'!$R$69),"")</f>
        <v/>
      </c>
      <c r="M31" s="57" t="str">
        <f>IF(AND('Mapa final'!$AH$70="Alta",'Mapa final'!$AJ$70="Leve"),CONCATENATE("R2C",'Mapa final'!$R$70),"")</f>
        <v/>
      </c>
      <c r="N31" s="57" t="str">
        <f>IF(AND('Mapa final'!$AH$71="Alta",'Mapa final'!$AJ$71="Leve"),CONCATENATE("R2C",'Mapa final'!$R$71),"")</f>
        <v/>
      </c>
      <c r="O31" s="57" t="str">
        <f>IF(AND('Mapa final'!$AH$73="Alta",'Mapa final'!$AJ$73="Leve"),CONCATENATE("R2C",'Mapa final'!$R$73),"")</f>
        <v/>
      </c>
      <c r="P31" s="58" t="str">
        <f>IF(AND('Mapa final'!$AH$74="Alta",'Mapa final'!$AJ$74="Leve"),CONCATENATE("R2C",'Mapa final'!$R$74),"")</f>
        <v/>
      </c>
      <c r="Q31" s="56" t="str">
        <f>IF(AND('Mapa final'!$AH$68="Alta",'Mapa final'!$AJ$68="Menor"),CONCATENATE("R2C",'Mapa final'!$R$68),"")</f>
        <v/>
      </c>
      <c r="R31" s="57" t="str">
        <f>IF(AND('Mapa final'!$AH$69="Alta",'Mapa final'!$AJ$69="Menor"),CONCATENATE("R2C",'Mapa final'!$R$69),"")</f>
        <v/>
      </c>
      <c r="S31" s="57" t="str">
        <f>IF(AND('Mapa final'!$AH$70="Alta",'Mapa final'!$AJ$70="Menor"),CONCATENATE("R2C",'Mapa final'!$R$70),"")</f>
        <v/>
      </c>
      <c r="T31" s="57" t="str">
        <f>IF(AND('Mapa final'!$AH$71="Alta",'Mapa final'!$AJ$71="Menor"),CONCATENATE("R2C",'Mapa final'!$R$71),"")</f>
        <v/>
      </c>
      <c r="U31" s="57" t="str">
        <f>IF(AND('Mapa final'!$AH$73="Alta",'Mapa final'!$AJ$73="Menor"),CONCATENATE("R2C",'Mapa final'!$R$73),"")</f>
        <v/>
      </c>
      <c r="V31" s="58" t="str">
        <f>IF(AND('Mapa final'!$AH$74="Alta",'Mapa final'!$AJ$74="Menor"),CONCATENATE("R2C",'Mapa final'!$R$74),"")</f>
        <v/>
      </c>
      <c r="W31" s="44" t="str">
        <f>IF(AND('Mapa final'!$AH$68="Alta",'Mapa final'!$AJ$68="Moderado"),CONCATENATE("R2C",'Mapa final'!$R$68),"")</f>
        <v/>
      </c>
      <c r="X31" s="45" t="str">
        <f>IF(AND('Mapa final'!$AH$69="Alta",'Mapa final'!$AJ$69="Moderado"),CONCATENATE("R2C",'Mapa final'!$R$69),"")</f>
        <v/>
      </c>
      <c r="Y31" s="45" t="str">
        <f>IF(AND('Mapa final'!$AH$70="Alta",'Mapa final'!$AJ$70="Moderado"),CONCATENATE("R2C",'Mapa final'!$R$70),"")</f>
        <v/>
      </c>
      <c r="Z31" s="45" t="str">
        <f>IF(AND('Mapa final'!$AH$71="Alta",'Mapa final'!$AJ$71="Moderado"),CONCATENATE("R2C",'Mapa final'!$R$71),"")</f>
        <v/>
      </c>
      <c r="AA31" s="45" t="str">
        <f>IF(AND('Mapa final'!$AH$73="Alta",'Mapa final'!$AJ$73="Moderado"),CONCATENATE("R2C",'Mapa final'!$R$73),"")</f>
        <v/>
      </c>
      <c r="AB31" s="46" t="str">
        <f>IF(AND('Mapa final'!$AH$74="Alta",'Mapa final'!$AJ$74="Moderado"),CONCATENATE("R2C",'Mapa final'!$R$74),"")</f>
        <v/>
      </c>
      <c r="AC31" s="44" t="str">
        <f>IF(AND('Mapa final'!$AH$68="Alta",'Mapa final'!$AJ$68="Mayor"),CONCATENATE("R2C",'Mapa final'!$R$68),"")</f>
        <v/>
      </c>
      <c r="AD31" s="45" t="str">
        <f>IF(AND('Mapa final'!$AH$69="Alta",'Mapa final'!$AJ$69="Mayor"),CONCATENATE("R2C",'Mapa final'!$R$69),"")</f>
        <v/>
      </c>
      <c r="AE31" s="45" t="str">
        <f>IF(AND('Mapa final'!$AH$70="Alta",'Mapa final'!$AJ$70="Mayor"),CONCATENATE("R2C",'Mapa final'!$R$70),"")</f>
        <v/>
      </c>
      <c r="AF31" s="45" t="str">
        <f>IF(AND('Mapa final'!$AH$71="Alta",'Mapa final'!$AJ$71="Mayor"),CONCATENATE("R2C",'Mapa final'!$R$71),"")</f>
        <v/>
      </c>
      <c r="AG31" s="45" t="str">
        <f>IF(AND('Mapa final'!$AH$73="Alta",'Mapa final'!$AJ$73="Mayor"),CONCATENATE("R2C",'Mapa final'!$R$73),"")</f>
        <v/>
      </c>
      <c r="AH31" s="46" t="str">
        <f>IF(AND('Mapa final'!$AH$74="Alta",'Mapa final'!$AJ$74="Mayor"),CONCATENATE("R2C",'Mapa final'!$R$74),"")</f>
        <v/>
      </c>
      <c r="AI31" s="47" t="str">
        <f>IF(AND('Mapa final'!$AH$68="Alta",'Mapa final'!$AJ$68="Catastrófico"),CONCATENATE("R2C",'Mapa final'!$R$68),"")</f>
        <v/>
      </c>
      <c r="AJ31" s="48" t="str">
        <f>IF(AND('Mapa final'!$AH$69="Alta",'Mapa final'!$AJ$69="Catastrófico"),CONCATENATE("R2C",'Mapa final'!$R$69),"")</f>
        <v/>
      </c>
      <c r="AK31" s="48" t="str">
        <f>IF(AND('Mapa final'!$AH$70="Alta",'Mapa final'!$AJ$70="Catastrófico"),CONCATENATE("R2C",'Mapa final'!$R$70),"")</f>
        <v/>
      </c>
      <c r="AL31" s="48" t="str">
        <f>IF(AND('Mapa final'!$AH$71="Alta",'Mapa final'!$AJ$71="Catastrófico"),CONCATENATE("R2C",'Mapa final'!$R$71),"")</f>
        <v/>
      </c>
      <c r="AM31" s="48" t="str">
        <f>IF(AND('Mapa final'!$AH$73="Alta",'Mapa final'!$AJ$73="Catastrófico"),CONCATENATE("R2C",'Mapa final'!$R$73),"")</f>
        <v/>
      </c>
      <c r="AN31" s="49" t="str">
        <f>IF(AND('Mapa final'!$AH$74="Muy Alta",'Mapa final'!$AJ$74="Catastrófico"),CONCATENATE("R2C",'Mapa final'!$R$74),"")</f>
        <v/>
      </c>
      <c r="AO31" s="68"/>
      <c r="AP31" s="480"/>
      <c r="AQ31" s="481"/>
      <c r="AR31" s="481"/>
      <c r="AS31" s="481"/>
      <c r="AT31" s="481"/>
      <c r="AU31" s="482"/>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row>
    <row r="32" spans="2:77" ht="15" customHeight="1" x14ac:dyDescent="0.25">
      <c r="B32" s="68"/>
      <c r="C32" s="424"/>
      <c r="D32" s="424"/>
      <c r="E32" s="425"/>
      <c r="F32" s="464" t="s">
        <v>260</v>
      </c>
      <c r="G32" s="465"/>
      <c r="H32" s="465"/>
      <c r="I32" s="465"/>
      <c r="J32" s="466"/>
      <c r="K32" s="50"/>
      <c r="L32" s="51" t="str">
        <f>IF(AND('Mapa final'!$AH$18="Media",'Mapa final'!$AJ$18="Leve"),CONCATENATE("R2C",'Mapa final'!$R$15),"")</f>
        <v/>
      </c>
      <c r="M32" s="51" t="str">
        <f>IF(AND('Mapa final'!$AH$19="Media",'Mapa final'!$AJ$19="Leve"),CONCATENATE("R2C",'Mapa final'!$R$19),"")</f>
        <v/>
      </c>
      <c r="N32" s="51" t="e">
        <f>IF(AND('Mapa final'!#REF!="Media",'Mapa final'!#REF!="Leve"),CONCATENATE("R2C",'Mapa final'!#REF!),"")</f>
        <v>#REF!</v>
      </c>
      <c r="O32" s="51" t="e">
        <f>IF(AND('Mapa final'!#REF!="Media",'Mapa final'!#REF!="Leve"),CONCATENATE("R2C",'Mapa final'!#REF!),"")</f>
        <v>#REF!</v>
      </c>
      <c r="P32" s="52" t="e">
        <f>IF(AND('Mapa final'!#REF!="Media",'Mapa final'!#REF!="Leve"),CONCATENATE("R2C",'Mapa final'!#REF!),"")</f>
        <v>#REF!</v>
      </c>
      <c r="Q32" s="50"/>
      <c r="R32" s="51" t="str">
        <f>IF(AND('Mapa final'!$AH$18="Media",'Mapa final'!$AJ$18="Menore"),CONCATENATE("R2C",'Mapa final'!$R$15),"")</f>
        <v/>
      </c>
      <c r="S32" s="51" t="str">
        <f>IF(AND('Mapa final'!$AH$19="Media",'Mapa final'!$AJ$19="Menor"),CONCATENATE("R2C",'Mapa final'!$R$19),"")</f>
        <v/>
      </c>
      <c r="T32" s="51" t="e">
        <f>IF(AND('Mapa final'!#REF!="Media",'Mapa final'!#REF!="Menor"),CONCATENATE("R2C",'Mapa final'!#REF!),"")</f>
        <v>#REF!</v>
      </c>
      <c r="U32" s="51" t="e">
        <f>IF(AND('Mapa final'!#REF!="Media",'Mapa final'!#REF!="Menor"),CONCATENATE("R2C",'Mapa final'!#REF!),"")</f>
        <v>#REF!</v>
      </c>
      <c r="V32" s="52" t="e">
        <f>IF(AND('Mapa final'!#REF!="Media",'Mapa final'!#REF!="Menor"),CONCATENATE("R2C",'Mapa final'!#REF!),"")</f>
        <v>#REF!</v>
      </c>
      <c r="W32" s="50"/>
      <c r="X32" s="51" t="str">
        <f>IF(AND('Mapa final'!$AH$18="Media",'Mapa final'!$AJ$18="Moderado"),CONCATENATE("R2C",'Mapa final'!$R$15),"")</f>
        <v/>
      </c>
      <c r="Y32" s="51"/>
      <c r="Z32" s="51" t="e">
        <f>IF(AND('Mapa final'!#REF!="Media",'Mapa final'!#REF!="Moderado"),CONCATENATE("R2C",'Mapa final'!#REF!),"")</f>
        <v>#REF!</v>
      </c>
      <c r="AA32" s="51" t="e">
        <f>IF(AND('Mapa final'!#REF!="Media",'Mapa final'!#REF!="Moderado"),CONCATENATE("R2C",'Mapa final'!#REF!),"")</f>
        <v>#REF!</v>
      </c>
      <c r="AB32" s="52" t="e">
        <f>IF(AND('Mapa final'!#REF!="Media",'Mapa final'!#REF!="Moderado"),CONCATENATE("R2C",'Mapa final'!#REF!),"")</f>
        <v>#REF!</v>
      </c>
      <c r="AC32" s="32"/>
      <c r="AD32" s="33" t="str">
        <f>IF(AND('Mapa final'!$AH$18="Media",'Mapa final'!$AJ$18="Mayor"),CONCATENATE("R2C",'Mapa final'!$R$15),"")</f>
        <v/>
      </c>
      <c r="AE32" s="33" t="str">
        <f>IF(AND('Mapa final'!$AH$19="Media",'Mapa final'!$AJ$19="Mayor"),CONCATENATE("R2C",'Mapa final'!$R$19),"")</f>
        <v/>
      </c>
      <c r="AF32" s="33" t="e">
        <f>IF(AND('Mapa final'!#REF!="Media",'Mapa final'!#REF!="Mayor"),CONCATENATE("R2C",'Mapa final'!#REF!),"")</f>
        <v>#REF!</v>
      </c>
      <c r="AG32" s="33" t="e">
        <f>IF(AND('Mapa final'!#REF!="Media",'Mapa final'!#REF!="Mayor"),CONCATENATE("R2C",'Mapa final'!#REF!),"")</f>
        <v>#REF!</v>
      </c>
      <c r="AH32" s="34" t="e">
        <f>IF(AND('Mapa final'!#REF!="Media",'Mapa final'!#REF!="Mayor"),CONCATENATE("R2C",'Mapa final'!#REF!),"")</f>
        <v>#REF!</v>
      </c>
      <c r="AI32" s="35"/>
      <c r="AJ32" s="36" t="str">
        <f>IF(AND('Mapa final'!$AH$18="Media",'Mapa final'!$AJ$18="Catastrófico"),CONCATENATE("R2C",'Mapa final'!$R$15),"")</f>
        <v/>
      </c>
      <c r="AK32" s="36" t="str">
        <f>IF(AND('Mapa final'!$AH$19="Media",'Mapa final'!$AJ$19="Catastrófico"),CONCATENATE("R2C",'Mapa final'!$R$19),"")</f>
        <v/>
      </c>
      <c r="AL32" s="36" t="e">
        <f>IF(AND('Mapa final'!#REF!="Media",'Mapa final'!#REF!="Catastrófico"),CONCATENATE("R2C",'Mapa final'!#REF!),"")</f>
        <v>#REF!</v>
      </c>
      <c r="AM32" s="36" t="e">
        <f>IF(AND('Mapa final'!#REF!="Media",'Mapa final'!#REF!="Catastrófico"),CONCATENATE("R2C",'Mapa final'!#REF!),"")</f>
        <v>#REF!</v>
      </c>
      <c r="AN32" s="37" t="e">
        <f>IF(AND('Mapa final'!#REF!="Media",'Mapa final'!#REF!="Catastrófico"),CONCATENATE("R2C",'Mapa final'!#REF!),"")</f>
        <v>#REF!</v>
      </c>
      <c r="AO32" s="68"/>
      <c r="AP32" s="505" t="s">
        <v>124</v>
      </c>
      <c r="AQ32" s="506"/>
      <c r="AR32" s="506"/>
      <c r="AS32" s="506"/>
      <c r="AT32" s="506"/>
      <c r="AU32" s="507"/>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row>
    <row r="33" spans="2:77" ht="15" customHeight="1" x14ac:dyDescent="0.25">
      <c r="B33" s="68"/>
      <c r="C33" s="424"/>
      <c r="D33" s="424"/>
      <c r="E33" s="425"/>
      <c r="F33" s="483"/>
      <c r="G33" s="468"/>
      <c r="H33" s="468"/>
      <c r="I33" s="468"/>
      <c r="J33" s="469"/>
      <c r="K33" s="53" t="e">
        <f>IF(AND('Mapa final'!#REF!="Media",'Mapa final'!#REF!="Leve"),CONCATENATE("R2C",'Mapa final'!#REF!),"")</f>
        <v>#REF!</v>
      </c>
      <c r="L33" s="54" t="e">
        <f>IF(AND('Mapa final'!#REF!="Media",'Mapa final'!#REF!="Leve"),CONCATENATE("R2C",'Mapa final'!#REF!),"")</f>
        <v>#REF!</v>
      </c>
      <c r="M33" s="54" t="str">
        <f>IF(AND('Mapa final'!$AH$22="Media",'Mapa final'!$AJ$22="Leve"),CONCATENATE("R2C",'Mapa final'!$R$22),"")</f>
        <v/>
      </c>
      <c r="N33" s="54" t="str">
        <f>IF(AND('Mapa final'!$AH$23="Media",'Mapa final'!$AJ$23="Leve"),CONCATENATE("R2C",'Mapa final'!$R$23),"")</f>
        <v/>
      </c>
      <c r="O33" s="54" t="str">
        <f>IF(AND('Mapa final'!$AH$24="Media",'Mapa final'!$AJ$24="Leve"),CONCATENATE("R2C",'Mapa final'!$R$24),"")</f>
        <v/>
      </c>
      <c r="P33" s="55" t="str">
        <f>IF(AND('Mapa final'!$AH$25="Media",'Mapa final'!$AJ$25="Leve"),CONCATENATE("R2C",'Mapa final'!$R$25),"")</f>
        <v/>
      </c>
      <c r="Q33" s="53" t="e">
        <f>IF(AND('Mapa final'!#REF!="Media",'Mapa final'!#REF!="Menor"),CONCATENATE("R2C",'Mapa final'!#REF!),"")</f>
        <v>#REF!</v>
      </c>
      <c r="R33" s="54" t="e">
        <f>IF(AND('Mapa final'!#REF!="Media",'Mapa final'!#REF!="Menor"),CONCATENATE("R2C",'Mapa final'!#REF!),"")</f>
        <v>#REF!</v>
      </c>
      <c r="S33" s="54" t="str">
        <f>IF(AND('Mapa final'!$AH$22="Media",'Mapa final'!$AJ$22="Menor"),CONCATENATE("R2C",'Mapa final'!$R$22),"")</f>
        <v/>
      </c>
      <c r="T33" s="54" t="str">
        <f>IF(AND('Mapa final'!$AH$23="Media",'Mapa final'!$AJ$23="Menor"),CONCATENATE("R2C",'Mapa final'!$R$23),"")</f>
        <v/>
      </c>
      <c r="U33" s="54" t="str">
        <f>IF(AND('Mapa final'!$AH$24="Media",'Mapa final'!$AJ$24="Menor"),CONCATENATE("R2C",'Mapa final'!$R$24),"")</f>
        <v/>
      </c>
      <c r="V33" s="55" t="str">
        <f>IF(AND('Mapa final'!$AH$25="Media",'Mapa final'!$AJ$25="Menor"),CONCATENATE("R2C",'Mapa final'!$R$25),"")</f>
        <v/>
      </c>
      <c r="W33" s="53" t="e">
        <f>IF(AND('Mapa final'!#REF!="Media",'Mapa final'!#REF!="Moderado"),CONCATENATE("R2C",'Mapa final'!#REF!),"")</f>
        <v>#REF!</v>
      </c>
      <c r="X33" s="54" t="e">
        <f>IF(AND('Mapa final'!#REF!="Media",'Mapa final'!#REF!="Moderado"),CONCATENATE("R2C",'Mapa final'!#REF!),"")</f>
        <v>#REF!</v>
      </c>
      <c r="Y33" s="54" t="str">
        <f>IF(AND('Mapa final'!$AH$22="Media",'Mapa final'!$AJ$22="Moderado"),CONCATENATE("R2C",'Mapa final'!$R$22),"")</f>
        <v/>
      </c>
      <c r="Z33" s="54" t="str">
        <f>IF(AND('Mapa final'!$AH$23="Media",'Mapa final'!$AJ$23="Moderado"),CONCATENATE("R2C",'Mapa final'!$R$23),"")</f>
        <v/>
      </c>
      <c r="AA33" s="54" t="str">
        <f>IF(AND('Mapa final'!$AH$24="Media",'Mapa final'!$AJ$24="Moderado"),CONCATENATE("R2C",'Mapa final'!$R$24),"")</f>
        <v/>
      </c>
      <c r="AB33" s="55" t="str">
        <f>IF(AND('Mapa final'!$AH$25="Media",'Mapa final'!$AJ$25="Moderado"),CONCATENATE("R2C",'Mapa final'!$R$25),"")</f>
        <v/>
      </c>
      <c r="AC33" s="38" t="e">
        <f>IF(AND('Mapa final'!#REF!="Media",'Mapa final'!#REF!="Mayor"),CONCATENATE("R2C",'Mapa final'!#REF!),"")</f>
        <v>#REF!</v>
      </c>
      <c r="AD33" s="39" t="e">
        <f>IF(AND('Mapa final'!#REF!="Muy Alta",'Mapa final'!#REF!="Mayor"),CONCATENATE("R2C",'Mapa final'!#REF!),"")</f>
        <v>#REF!</v>
      </c>
      <c r="AE33" s="39" t="str">
        <f>IF(AND('Mapa final'!$AH$22="Media",'Mapa final'!$AJ$22="Mayor"),CONCATENATE("R2C",'Mapa final'!$R$22),"")</f>
        <v/>
      </c>
      <c r="AF33" s="39" t="str">
        <f>IF(AND('Mapa final'!$AH$23="Media",'Mapa final'!$AJ$23="Mayor"),CONCATENATE("R2C",'Mapa final'!$R$23),"")</f>
        <v/>
      </c>
      <c r="AG33" s="39" t="str">
        <f>IF(AND('Mapa final'!$AH$24="Media",'Mapa final'!$AJ$24="Mayor"),CONCATENATE("R2C",'Mapa final'!$R$24),"")</f>
        <v/>
      </c>
      <c r="AH33" s="40" t="str">
        <f>IF(AND('Mapa final'!$AH$25="Media",'Mapa final'!$AJ$25="Mayor"),CONCATENATE("R2C",'Mapa final'!$R$25),"")</f>
        <v/>
      </c>
      <c r="AI33" s="41" t="e">
        <f>IF(AND('Mapa final'!#REF!="Media",'Mapa final'!#REF!="Catastrófico"),CONCATENATE("R2C",'Mapa final'!#REF!),"")</f>
        <v>#REF!</v>
      </c>
      <c r="AJ33" s="42" t="e">
        <f>IF(AND('Mapa final'!#REF!="Media",'Mapa final'!#REF!="Catastrófico"),CONCATENATE("R2C",'Mapa final'!#REF!),"")</f>
        <v>#REF!</v>
      </c>
      <c r="AK33" s="42" t="str">
        <f>IF(AND('Mapa final'!$AH$22="Media",'Mapa final'!$AJ$22="Catastrófico"),CONCATENATE("R2C",'Mapa final'!$R$22),"")</f>
        <v/>
      </c>
      <c r="AL33" s="42" t="str">
        <f>IF(AND('Mapa final'!$AH$23="Media",'Mapa final'!$AJ$23="Catastrófico"),CONCATENATE("R2C",'Mapa final'!$R$23),"")</f>
        <v/>
      </c>
      <c r="AM33" s="42" t="str">
        <f>IF(AND('Mapa final'!$AH$24="Media",'Mapa final'!$AJ$24="Catastrófico"),CONCATENATE("R2C",'Mapa final'!$R$24),"")</f>
        <v/>
      </c>
      <c r="AN33" s="43" t="str">
        <f>IF(AND('Mapa final'!$AH$25="Media",'Mapa final'!$AJ$25="Catastrófico"),CONCATENATE("R2C",'Mapa final'!$R$25),"")</f>
        <v/>
      </c>
      <c r="AO33" s="68"/>
      <c r="AP33" s="508"/>
      <c r="AQ33" s="509"/>
      <c r="AR33" s="509"/>
      <c r="AS33" s="509"/>
      <c r="AT33" s="509"/>
      <c r="AU33" s="510"/>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row>
    <row r="34" spans="2:77" ht="15" customHeight="1" x14ac:dyDescent="0.25">
      <c r="B34" s="68"/>
      <c r="C34" s="424"/>
      <c r="D34" s="424"/>
      <c r="E34" s="425"/>
      <c r="F34" s="467"/>
      <c r="G34" s="468"/>
      <c r="H34" s="468"/>
      <c r="I34" s="468"/>
      <c r="J34" s="469"/>
      <c r="K34" s="53" t="str">
        <f>IF(AND('Mapa final'!$AH$26="Media",'Mapa final'!$AJ$26="Leve"),CONCATENATE("R2C",'Mapa final'!$R$26),"")</f>
        <v/>
      </c>
      <c r="L34" s="54" t="str">
        <f>IF(AND('Mapa final'!$AH$27="Media",'Mapa final'!$AJ$27="Leve"),CONCATENATE("R2C",'Mapa final'!$R$27),"")</f>
        <v/>
      </c>
      <c r="M34" s="54" t="str">
        <f>IF(AND('Mapa final'!$AH$28="Media",'Mapa final'!$AJ$28="Leve"),CONCATENATE("R2C",'Mapa final'!$R$28),"")</f>
        <v/>
      </c>
      <c r="N34" s="54" t="str">
        <f>IF(AND('Mapa final'!$AH$29="Media",'Mapa final'!$AJ$29="Leve"),CONCATENATE("R2C",'Mapa final'!$R$29),"")</f>
        <v/>
      </c>
      <c r="O34" s="54" t="str">
        <f>IF(AND('Mapa final'!$AH$30="Media",'Mapa final'!$AJ$30="Leve"),CONCATENATE("R2C",'Mapa final'!$R$30),"")</f>
        <v/>
      </c>
      <c r="P34" s="55" t="str">
        <f>IF(AND('Mapa final'!$AH$31="Media",'Mapa final'!$AJ$31="Leve"),CONCATENATE("R2C",'Mapa final'!$R$31),"")</f>
        <v/>
      </c>
      <c r="Q34" s="53" t="str">
        <f>IF(AND('Mapa final'!$AH$26="Media",'Mapa final'!$AJ$26="Menor"),CONCATENATE("R2C",'Mapa final'!$R$26),"")</f>
        <v/>
      </c>
      <c r="R34" s="54" t="str">
        <f>IF(AND('Mapa final'!$AH$27="Media",'Mapa final'!$AJ$27="Menor"),CONCATENATE("R2C",'Mapa final'!$R$27),"")</f>
        <v/>
      </c>
      <c r="S34" s="54" t="str">
        <f>IF(AND('Mapa final'!$AH$28="Media",'Mapa final'!$AJ$28="Menor"),CONCATENATE("R2C",'Mapa final'!$R$28),"")</f>
        <v/>
      </c>
      <c r="T34" s="54" t="str">
        <f>IF(AND('Mapa final'!$AH$29="Media",'Mapa final'!$AJ$29="Menor"),CONCATENATE("R2C",'Mapa final'!$R$29),"")</f>
        <v/>
      </c>
      <c r="U34" s="54" t="str">
        <f>IF(AND('Mapa final'!$AH$30="Media",'Mapa final'!$AJ$30="Menor"),CONCATENATE("R2C",'Mapa final'!$R$30),"")</f>
        <v/>
      </c>
      <c r="V34" s="55" t="str">
        <f>IF(AND('Mapa final'!$AH$31="Media",'Mapa final'!$AJ$31="Menor"),CONCATENATE("R2C",'Mapa final'!$R$31),"")</f>
        <v/>
      </c>
      <c r="W34" s="53" t="str">
        <f>IF(AND('Mapa final'!$AH$26="Media",'Mapa final'!$AJ$26="Moderado"),CONCATENATE("R2C",'Mapa final'!$R$26),"")</f>
        <v/>
      </c>
      <c r="X34" s="54" t="str">
        <f>IF(AND('Mapa final'!$AH$27="Media",'Mapa final'!$AJ$27="Moderado"),CONCATENATE("R2C",'Mapa final'!$R$27),"")</f>
        <v/>
      </c>
      <c r="Y34" s="54" t="str">
        <f>IF(AND('Mapa final'!$AH$28="Media",'Mapa final'!$AJ$28="Moderado"),CONCATENATE("R2C",'Mapa final'!$R$28),"")</f>
        <v/>
      </c>
      <c r="Z34" s="54" t="str">
        <f>IF(AND('Mapa final'!$AH$29="Media",'Mapa final'!$AJ$29="Moderado"),CONCATENATE("R2C",'Mapa final'!$R$29),"")</f>
        <v/>
      </c>
      <c r="AA34" s="54" t="str">
        <f>IF(AND('Mapa final'!$AH$30="Media",'Mapa final'!$AJ$30="Moderado"),CONCATENATE("R2C",'Mapa final'!$R$30),"")</f>
        <v/>
      </c>
      <c r="AB34" s="55" t="str">
        <f>IF(AND('Mapa final'!$AH$31="Media",'Mapa final'!$AJ$31="Moderado"),CONCATENATE("R2C",'Mapa final'!$R$31),"")</f>
        <v/>
      </c>
      <c r="AC34" s="38" t="str">
        <f>IF(AND('Mapa final'!$AH$26="Media",'Mapa final'!$AJ$26="Mayor"),CONCATENATE("R2C",'Mapa final'!$R$26),"")</f>
        <v/>
      </c>
      <c r="AD34" s="39" t="str">
        <f>IF(AND('Mapa final'!$AH$27="Media",'Mapa final'!$AJ$27="Mayor"),CONCATENATE("R2C",'Mapa final'!$R$27),"")</f>
        <v/>
      </c>
      <c r="AE34" s="39" t="str">
        <f>IF(AND('Mapa final'!$AH$28="Media",'Mapa final'!$AJ$28="Mayor"),CONCATENATE("R2C",'Mapa final'!$R$28),"")</f>
        <v/>
      </c>
      <c r="AF34" s="39" t="str">
        <f>IF(AND('Mapa final'!$AH$29="Media",'Mapa final'!$AJ$29="Mayor"),CONCATENATE("R2C",'Mapa final'!$R$29),"")</f>
        <v/>
      </c>
      <c r="AG34" s="39" t="str">
        <f>IF(AND('Mapa final'!$AH$30="Media",'Mapa final'!$AJ$30="Mayor"),CONCATENATE("R2C",'Mapa final'!$R$30),"")</f>
        <v/>
      </c>
      <c r="AH34" s="40" t="str">
        <f>IF(AND('Mapa final'!$AH$31="Media",'Mapa final'!$AJ$31="Mayor"),CONCATENATE("R2C",'Mapa final'!$R$31),"")</f>
        <v/>
      </c>
      <c r="AI34" s="41" t="str">
        <f>IF(AND('Mapa final'!$AH$26="Media",'Mapa final'!$AJ$26="Catastrófico"),CONCATENATE("R2C",'Mapa final'!$R$26),"")</f>
        <v/>
      </c>
      <c r="AJ34" s="42" t="str">
        <f>IF(AND('Mapa final'!$AH$27="Media",'Mapa final'!$AJ$27="Catastrófico"),CONCATENATE("R2C",'Mapa final'!$R$27),"")</f>
        <v/>
      </c>
      <c r="AK34" s="42" t="str">
        <f>IF(AND('Mapa final'!$AH$28="Media",'Mapa final'!$AJ$28="Catastrófico"),CONCATENATE("R2C",'Mapa final'!$R$28),"")</f>
        <v/>
      </c>
      <c r="AL34" s="42" t="str">
        <f>IF(AND('Mapa final'!$AH$29="Media",'Mapa final'!$AJ$29="Catastrófico"),CONCATENATE("R2C",'Mapa final'!$R$29),"")</f>
        <v/>
      </c>
      <c r="AM34" s="42" t="str">
        <f>IF(AND('Mapa final'!$AH$30="Media",'Mapa final'!$AJ$30="Catastrófico"),CONCATENATE("R2C",'Mapa final'!$R$30),"")</f>
        <v/>
      </c>
      <c r="AN34" s="43" t="str">
        <f>IF(AND('Mapa final'!$AH$31="Media",'Mapa final'!$AJ$31="Catastrófico"),CONCATENATE("R2C",'Mapa final'!$R$31),"")</f>
        <v/>
      </c>
      <c r="AO34" s="68"/>
      <c r="AP34" s="508"/>
      <c r="AQ34" s="509"/>
      <c r="AR34" s="509"/>
      <c r="AS34" s="509"/>
      <c r="AT34" s="509"/>
      <c r="AU34" s="510"/>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row>
    <row r="35" spans="2:77" ht="15" customHeight="1" x14ac:dyDescent="0.25">
      <c r="B35" s="68"/>
      <c r="C35" s="424"/>
      <c r="D35" s="424"/>
      <c r="E35" s="425"/>
      <c r="F35" s="467"/>
      <c r="G35" s="468"/>
      <c r="H35" s="468"/>
      <c r="I35" s="468"/>
      <c r="J35" s="469"/>
      <c r="K35" s="53" t="str">
        <f>IF(AND('Mapa final'!$AH$32="Media",'Mapa final'!$AJ$32="Leve"),CONCATENATE("R2C",'Mapa final'!$R$32),"")</f>
        <v/>
      </c>
      <c r="L35" s="54" t="str">
        <f>IF(AND('Mapa final'!$AH$33="Media",'Mapa final'!$AJ$33="Leve"),CONCATENATE("R2C",'Mapa final'!$R$33),"")</f>
        <v/>
      </c>
      <c r="M35" s="54" t="str">
        <f>IF(AND('Mapa final'!$AH$34="Media",'Mapa final'!$AJ$34="Leve"),CONCATENATE("R2C",'Mapa final'!$R$34),"")</f>
        <v/>
      </c>
      <c r="N35" s="54" t="str">
        <f>IF(AND('Mapa final'!$AH$35="Media",'Mapa final'!$AJ$35="Leve"),CONCATENATE("R2C",'Mapa final'!$R$35),"")</f>
        <v/>
      </c>
      <c r="O35" s="54" t="str">
        <f>IF(AND('Mapa final'!$AH$36="Media",'Mapa final'!$AJ$36="Leve"),CONCATENATE("R2C",'Mapa final'!$R$36),"")</f>
        <v/>
      </c>
      <c r="P35" s="55" t="str">
        <f>IF(AND('Mapa final'!$AH$37="Media",'Mapa final'!$AJ$37="Leve"),CONCATENATE("R2C",'Mapa final'!$R$37),"")</f>
        <v/>
      </c>
      <c r="Q35" s="53" t="str">
        <f>IF(AND('Mapa final'!$AH$32="Media",'Mapa final'!$AJ$32="Menor"),CONCATENATE("R2C",'Mapa final'!$R$32),"")</f>
        <v/>
      </c>
      <c r="R35" s="54" t="str">
        <f>IF(AND('Mapa final'!$AH$33="Media",'Mapa final'!$AJ$33="Menor"),CONCATENATE("R2C",'Mapa final'!$R$33),"")</f>
        <v/>
      </c>
      <c r="S35" s="54" t="str">
        <f>IF(AND('Mapa final'!$AH$34="Media",'Mapa final'!$AJ$34="Menor"),CONCATENATE("R2C",'Mapa final'!$R$34),"")</f>
        <v/>
      </c>
      <c r="T35" s="54" t="str">
        <f>IF(AND('Mapa final'!$AH$35="Media",'Mapa final'!$AJ$35="Menor"),CONCATENATE("R2C",'Mapa final'!$R$35),"")</f>
        <v/>
      </c>
      <c r="U35" s="54" t="str">
        <f>IF(AND('Mapa final'!$AH$36="Media",'Mapa final'!$AJ$36="LMenor"),CONCATENATE("R2C",'Mapa final'!$R$36),"")</f>
        <v/>
      </c>
      <c r="V35" s="55" t="str">
        <f>IF(AND('Mapa final'!$AH$37="Media",'Mapa final'!$AJ$37="Menor"),CONCATENATE("R2C",'Mapa final'!$R$37),"")</f>
        <v/>
      </c>
      <c r="W35" s="53" t="str">
        <f>IF(AND('Mapa final'!$AH$32="Media",'Mapa final'!$AJ$32="Moderado"),CONCATENATE("R2C",'Mapa final'!$R$32),"")</f>
        <v/>
      </c>
      <c r="X35" s="54" t="str">
        <f>IF(AND('Mapa final'!$AH$33="Media",'Mapa final'!$AJ$33="Moderado"),CONCATENATE("R2C",'Mapa final'!$R$33),"")</f>
        <v/>
      </c>
      <c r="Y35" s="54" t="str">
        <f>IF(AND('Mapa final'!$AH$34="Media",'Mapa final'!$AJ$34="Moderado"),CONCATENATE("R2C",'Mapa final'!$R$34),"")</f>
        <v/>
      </c>
      <c r="Z35" s="54" t="str">
        <f>IF(AND('Mapa final'!$AH$35="Media",'Mapa final'!$AJ$35="Moderado"),CONCATENATE("R2C",'Mapa final'!$R$35),"")</f>
        <v/>
      </c>
      <c r="AA35" s="54" t="str">
        <f>IF(AND('Mapa final'!$AH$36="Media",'Mapa final'!$AJ$36="Moderado"),CONCATENATE("R2C",'Mapa final'!$R$36),"")</f>
        <v/>
      </c>
      <c r="AB35" s="55" t="str">
        <f>IF(AND('Mapa final'!$AH$37="Media",'Mapa final'!$AJ$37="Moderado"),CONCATENATE("R2C",'Mapa final'!$R$37),"")</f>
        <v/>
      </c>
      <c r="AC35" s="38" t="str">
        <f>IF(AND('Mapa final'!$AH$32="Media",'Mapa final'!$AJ$32="Mayor"),CONCATENATE("R2C",'Mapa final'!$R$32),"")</f>
        <v/>
      </c>
      <c r="AD35" s="39" t="str">
        <f>IF(AND('Mapa final'!$AH$33="Media",'Mapa final'!$AJ$33="Mayor"),CONCATENATE("R2C",'Mapa final'!$R$33),"")</f>
        <v/>
      </c>
      <c r="AE35" s="39" t="str">
        <f>IF(AND('Mapa final'!$AH$34="Media",'Mapa final'!$AJ$34="Mayor"),CONCATENATE("R2C",'Mapa final'!$R$34),"")</f>
        <v/>
      </c>
      <c r="AF35" s="39" t="str">
        <f>IF(AND('Mapa final'!$AH$35="Media",'Mapa final'!$AJ$35="Mayor"),CONCATENATE("R2C",'Mapa final'!$R$35),"")</f>
        <v/>
      </c>
      <c r="AG35" s="39" t="str">
        <f>IF(AND('Mapa final'!$AH$36="Media",'Mapa final'!$AJ$36="Mayor"),CONCATENATE("R2C",'Mapa final'!$R$36),"")</f>
        <v/>
      </c>
      <c r="AH35" s="40" t="str">
        <f>IF(AND('Mapa final'!$AH$37="Media",'Mapa final'!$AJ$37="Mayor"),CONCATENATE("R2C",'Mapa final'!$R$37),"")</f>
        <v/>
      </c>
      <c r="AI35" s="41" t="str">
        <f>IF(AND('Mapa final'!$AH$32="Media",'Mapa final'!$AJ$32="Catastrófico"),CONCATENATE("R2C",'Mapa final'!$R$32),"")</f>
        <v/>
      </c>
      <c r="AJ35" s="42" t="str">
        <f>IF(AND('Mapa final'!$AH$33="Media",'Mapa final'!$AJ$33="Catastrófico"),CONCATENATE("R2C",'Mapa final'!$R$33),"")</f>
        <v/>
      </c>
      <c r="AK35" s="42" t="str">
        <f>IF(AND('Mapa final'!$AH$34="Media",'Mapa final'!$AJ$34="Catastrófico"),CONCATENATE("R2C",'Mapa final'!$R$34),"")</f>
        <v/>
      </c>
      <c r="AL35" s="42" t="str">
        <f>IF(AND('Mapa final'!$AH$35="Media",'Mapa final'!$AJ$35="Catastrófico"),CONCATENATE("R2C",'Mapa final'!$R$35),"")</f>
        <v/>
      </c>
      <c r="AM35" s="42" t="str">
        <f>IF(AND('Mapa final'!$AH$36="Media",'Mapa final'!$AJ$36="LCatastrófico"),CONCATENATE("R2C",'Mapa final'!$R$36),"")</f>
        <v/>
      </c>
      <c r="AN35" s="43" t="str">
        <f>IF(AND('Mapa final'!$AH$37="Media",'Mapa final'!$AJ$37="Catastrófico"),CONCATENATE("R2C",'Mapa final'!$R$37),"")</f>
        <v/>
      </c>
      <c r="AO35" s="68"/>
      <c r="AP35" s="508"/>
      <c r="AQ35" s="509"/>
      <c r="AR35" s="509"/>
      <c r="AS35" s="509"/>
      <c r="AT35" s="509"/>
      <c r="AU35" s="510"/>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row>
    <row r="36" spans="2:77" ht="15" customHeight="1" x14ac:dyDescent="0.25">
      <c r="B36" s="68"/>
      <c r="C36" s="424"/>
      <c r="D36" s="424"/>
      <c r="E36" s="425"/>
      <c r="F36" s="467"/>
      <c r="G36" s="468"/>
      <c r="H36" s="468"/>
      <c r="I36" s="468"/>
      <c r="J36" s="469"/>
      <c r="K36" s="53" t="str">
        <f>IF(AND('Mapa final'!$AH$38="Media",'Mapa final'!$AJ$38="Leve"),CONCATENATE("R2C",'Mapa final'!$R$38),"")</f>
        <v/>
      </c>
      <c r="L36" s="54" t="str">
        <f>IF(AND('Mapa final'!$AH$39="Media",'Mapa final'!$AJ$39="Leve"),CONCATENATE("R2C",'Mapa final'!$R$39),"")</f>
        <v/>
      </c>
      <c r="M36" s="54" t="str">
        <f>IF(AND('Mapa final'!$AH$40="Media",'Mapa final'!$AJ$40="Leve"),CONCATENATE("R2C",'Mapa final'!$R$40),"")</f>
        <v/>
      </c>
      <c r="N36" s="54" t="str">
        <f>IF(AND('Mapa final'!$AH$41="Media",'Mapa final'!$AJ$41="Leve"),CONCATENATE("R2C",'Mapa final'!$R$41),"")</f>
        <v/>
      </c>
      <c r="O36" s="54" t="str">
        <f>IF(AND('Mapa final'!$AH$42="Media",'Mapa final'!$AJ$42="Leve"),CONCATENATE("R2C",'Mapa final'!$R$42),"")</f>
        <v/>
      </c>
      <c r="P36" s="55" t="str">
        <f>IF(AND('Mapa final'!$AH$43="Media",'Mapa final'!$AJ$43="Leve"),CONCATENATE("R2C",'Mapa final'!$R$43),"")</f>
        <v/>
      </c>
      <c r="Q36" s="53" t="str">
        <f>IF(AND('Mapa final'!$AH$38="Media",'Mapa final'!$AJ$38="Menor"),CONCATENATE("R2C",'Mapa final'!$R$38),"")</f>
        <v/>
      </c>
      <c r="R36" s="54" t="str">
        <f>IF(AND('Mapa final'!$AH$39="Media",'Mapa final'!$AJ$39="Menor"),CONCATENATE("R2C",'Mapa final'!$R$39),"")</f>
        <v/>
      </c>
      <c r="S36" s="54" t="str">
        <f>IF(AND('Mapa final'!$AH$40="Media",'Mapa final'!$AJ$40="Menor"),CONCATENATE("R2C",'Mapa final'!$R$40),"")</f>
        <v/>
      </c>
      <c r="T36" s="54" t="str">
        <f>IF(AND('Mapa final'!$AH$41="Media",'Mapa final'!$AJ$41="Menor"),CONCATENATE("R2C",'Mapa final'!$R$41),"")</f>
        <v/>
      </c>
      <c r="U36" s="54" t="str">
        <f>IF(AND('Mapa final'!$AH$42="Media",'Mapa final'!$AJ$42="Menor"),CONCATENATE("R2C",'Mapa final'!$R$42),"")</f>
        <v/>
      </c>
      <c r="V36" s="55" t="str">
        <f>IF(AND('Mapa final'!$AH$43="Media",'Mapa final'!$AJ$43="Menor"),CONCATENATE("R2C",'Mapa final'!$R$43),"")</f>
        <v/>
      </c>
      <c r="W36" s="53" t="str">
        <f>IF(AND('Mapa final'!$AH$38="Media",'Mapa final'!$AJ$38="Moderado"),CONCATENATE("R2C",'Mapa final'!$R$38),"")</f>
        <v/>
      </c>
      <c r="X36" s="54" t="str">
        <f>IF(AND('Mapa final'!$AH$39="Media",'Mapa final'!$AJ$39="Moderado"),CONCATENATE("R2C",'Mapa final'!$R$39),"")</f>
        <v/>
      </c>
      <c r="Y36" s="54" t="str">
        <f>IF(AND('Mapa final'!$AH$40="Media",'Mapa final'!$AJ$40="Moderado"),CONCATENATE("R2C",'Mapa final'!$R$40),"")</f>
        <v/>
      </c>
      <c r="Z36" s="54" t="str">
        <f>IF(AND('Mapa final'!$AH$41="Media",'Mapa final'!$AJ$41="Moderado"),CONCATENATE("R2C",'Mapa final'!$R$41),"")</f>
        <v/>
      </c>
      <c r="AA36" s="54" t="str">
        <f>IF(AND('Mapa final'!$AH$42="Media",'Mapa final'!$AJ$42="Moderado"),CONCATENATE("R2C",'Mapa final'!$R$42),"")</f>
        <v/>
      </c>
      <c r="AB36" s="55" t="str">
        <f>IF(AND('Mapa final'!$AH$43="Media",'Mapa final'!$AJ$43="Moderado"),CONCATENATE("R2C",'Mapa final'!$R$43),"")</f>
        <v/>
      </c>
      <c r="AC36" s="38" t="str">
        <f>IF(AND('Mapa final'!$AH$38="Media",'Mapa final'!$AJ$38="Mayor"),CONCATENATE("R2C",'Mapa final'!$R$38),"")</f>
        <v/>
      </c>
      <c r="AD36" s="39" t="str">
        <f>IF(AND('Mapa final'!$AH$39="Media",'Mapa final'!$AJ$39="Mayor"),CONCATENATE("R2C",'Mapa final'!$R$39),"")</f>
        <v/>
      </c>
      <c r="AE36" s="39" t="str">
        <f>IF(AND('Mapa final'!$AH$40="Media",'Mapa final'!$AJ$40="Mayor"),CONCATENATE("R2C",'Mapa final'!$R$40),"")</f>
        <v/>
      </c>
      <c r="AF36" s="39" t="str">
        <f>IF(AND('Mapa final'!$AH$41="Media",'Mapa final'!$AJ$41="Mayor"),CONCATENATE("R2C",'Mapa final'!$R$41),"")</f>
        <v/>
      </c>
      <c r="AG36" s="39" t="str">
        <f>IF(AND('Mapa final'!$AH$42="Media",'Mapa final'!$AJ$42="Mayor"),CONCATENATE("R2C",'Mapa final'!$R$42),"")</f>
        <v/>
      </c>
      <c r="AH36" s="40" t="str">
        <f>IF(AND('Mapa final'!$AH$43="Media",'Mapa final'!$AJ$43="Mayor"),CONCATENATE("R2C",'Mapa final'!$R$43),"")</f>
        <v/>
      </c>
      <c r="AI36" s="41" t="str">
        <f>IF(AND('Mapa final'!$AH$38="Media",'Mapa final'!$AJ$38="Catastrófico"),CONCATENATE("R2C",'Mapa final'!$R$38),"")</f>
        <v/>
      </c>
      <c r="AJ36" s="42" t="str">
        <f>IF(AND('Mapa final'!$AH$39="Media",'Mapa final'!$AJ$39="Catastrófico"),CONCATENATE("R2C",'Mapa final'!$R$39),"")</f>
        <v/>
      </c>
      <c r="AK36" s="42" t="str">
        <f>IF(AND('Mapa final'!$AH$40="Media",'Mapa final'!$AJ$40="Catastrófico"),CONCATENATE("R2C",'Mapa final'!$R$40),"")</f>
        <v/>
      </c>
      <c r="AL36" s="42" t="str">
        <f>IF(AND('Mapa final'!$AH$41="Media",'Mapa final'!$AJ$41="Catastrófico"),CONCATENATE("R2C",'Mapa final'!$R$41),"")</f>
        <v/>
      </c>
      <c r="AM36" s="42" t="str">
        <f>IF(AND('Mapa final'!$AH$42="Media",'Mapa final'!$AJ$42="Catastrófico"),CONCATENATE("R2C",'Mapa final'!$R$42),"")</f>
        <v/>
      </c>
      <c r="AN36" s="43" t="str">
        <f>IF(AND('Mapa final'!$AH$43="Media",'Mapa final'!$AJ$43="Catastrófico"),CONCATENATE("R2C",'Mapa final'!$R$43),"")</f>
        <v/>
      </c>
      <c r="AO36" s="68"/>
      <c r="AP36" s="508"/>
      <c r="AQ36" s="509"/>
      <c r="AR36" s="509"/>
      <c r="AS36" s="509"/>
      <c r="AT36" s="509"/>
      <c r="AU36" s="510"/>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row>
    <row r="37" spans="2:77" ht="15" customHeight="1" x14ac:dyDescent="0.25">
      <c r="B37" s="68"/>
      <c r="C37" s="424"/>
      <c r="D37" s="424"/>
      <c r="E37" s="425"/>
      <c r="F37" s="467"/>
      <c r="G37" s="468"/>
      <c r="H37" s="468"/>
      <c r="I37" s="468"/>
      <c r="J37" s="469"/>
      <c r="K37" s="53" t="str">
        <f>IF(AND('Mapa final'!$AH$44="Media",'Mapa final'!$AJ$44="Leve"),CONCATENATE("R2C",'Mapa final'!$R$44),"")</f>
        <v/>
      </c>
      <c r="L37" s="54" t="str">
        <f>IF(AND('Mapa final'!$AH$45="Media",'Mapa final'!$AJ$45="Leve"),CONCATENATE("R2C",'Mapa final'!$R$45),"")</f>
        <v/>
      </c>
      <c r="M37" s="54" t="str">
        <f>IF(AND('Mapa final'!$AH$46="Media",'Mapa final'!$AJ$46="Leve"),CONCATENATE("R2C",'Mapa final'!$R$46),"")</f>
        <v/>
      </c>
      <c r="N37" s="54" t="str">
        <f>IF(AND('Mapa final'!$AH$47="Media",'Mapa final'!$AJ$47="Leve"),CONCATENATE("R2C",'Mapa final'!$R$47),"")</f>
        <v/>
      </c>
      <c r="O37" s="54" t="str">
        <f>IF(AND('Mapa final'!$AH$48="Media",'Mapa final'!$AJ$48="Leve"),CONCATENATE("R2C",'Mapa final'!$R$48),"")</f>
        <v/>
      </c>
      <c r="P37" s="55" t="str">
        <f>IF(AND('Mapa final'!$AH$59="Media",'Mapa final'!$AJ$49="Leve"),CONCATENATE("R2C",'Mapa final'!$R$49),"")</f>
        <v/>
      </c>
      <c r="Q37" s="53" t="str">
        <f>IF(AND('Mapa final'!$AH$44="Media",'Mapa final'!$AJ$44="Menor"),CONCATENATE("R2C",'Mapa final'!$R$44),"")</f>
        <v/>
      </c>
      <c r="R37" s="54" t="str">
        <f>IF(AND('Mapa final'!$AH$45="Media",'Mapa final'!$AJ$45="Menor"),CONCATENATE("R2C",'Mapa final'!$R$45),"")</f>
        <v/>
      </c>
      <c r="S37" s="54" t="str">
        <f>IF(AND('Mapa final'!$AH$46="Media",'Mapa final'!$AJ$46="Menor"),CONCATENATE("R2C",'Mapa final'!$R$46),"")</f>
        <v/>
      </c>
      <c r="T37" s="54" t="str">
        <f>IF(AND('Mapa final'!$AH$47="Media",'Mapa final'!$AJ$47="Menor"),CONCATENATE("R2C",'Mapa final'!$R$47),"")</f>
        <v/>
      </c>
      <c r="U37" s="54" t="str">
        <f>IF(AND('Mapa final'!$AH$48="Media",'Mapa final'!$AJ$48="Menor"),CONCATENATE("R2C",'Mapa final'!$R$48),"")</f>
        <v/>
      </c>
      <c r="V37" s="55" t="str">
        <f>IF(AND('Mapa final'!$AH$59="Media",'Mapa final'!$AJ$49="Menor"),CONCATENATE("R2C",'Mapa final'!$R$49),"")</f>
        <v/>
      </c>
      <c r="W37" s="53" t="str">
        <f>IF(AND('Mapa final'!$AH$44="Media",'Mapa final'!$AJ$44="Moderado"),CONCATENATE("R2C",'Mapa final'!$R$44),"")</f>
        <v/>
      </c>
      <c r="X37" s="54" t="str">
        <f>IF(AND('Mapa final'!$AH$45="Media",'Mapa final'!$AJ$45="Moderado"),CONCATENATE("R2C",'Mapa final'!$R$45),"")</f>
        <v/>
      </c>
      <c r="Y37" s="54" t="str">
        <f>IF(AND('Mapa final'!$AH$46="Media",'Mapa final'!$AJ$46="Moderado"),CONCATENATE("R2C",'Mapa final'!$R$46),"")</f>
        <v/>
      </c>
      <c r="Z37" s="54" t="str">
        <f>IF(AND('Mapa final'!$AH$47="Media",'Mapa final'!$AJ$47="Moderado"),CONCATENATE("R2C",'Mapa final'!$R$47),"")</f>
        <v/>
      </c>
      <c r="AA37" s="54" t="str">
        <f>IF(AND('Mapa final'!$AH$48="Media",'Mapa final'!$AJ$48="Moderado"),CONCATENATE("R2C",'Mapa final'!$R$48),"")</f>
        <v/>
      </c>
      <c r="AB37" s="55" t="str">
        <f>IF(AND('Mapa final'!$AH$59="Media",'Mapa final'!$AJ$49="Moderado"),CONCATENATE("R2C",'Mapa final'!$R$49),"")</f>
        <v/>
      </c>
      <c r="AC37" s="38" t="str">
        <f>IF(AND('Mapa final'!$AH$44="Media",'Mapa final'!$AJ$44="Mayor"),CONCATENATE("R2C",'Mapa final'!$R$44),"")</f>
        <v/>
      </c>
      <c r="AD37" s="39" t="str">
        <f>IF(AND('Mapa final'!$AH$45="Media",'Mapa final'!$AJ$45="Mayor"),CONCATENATE("R2C",'Mapa final'!$R$45),"")</f>
        <v/>
      </c>
      <c r="AE37" s="39" t="str">
        <f>IF(AND('Mapa final'!$AH$46="Media",'Mapa final'!$AJ$46="Mayor"),CONCATENATE("R2C",'Mapa final'!$R$46),"")</f>
        <v/>
      </c>
      <c r="AF37" s="39" t="str">
        <f>IF(AND('Mapa final'!$AH$47="Media",'Mapa final'!$AJ$47="Mayor"),CONCATENATE("R2C",'Mapa final'!$R$47),"")</f>
        <v/>
      </c>
      <c r="AG37" s="39" t="str">
        <f>IF(AND('Mapa final'!$AH$48="Media",'Mapa final'!$AJ$48="Mayor"),CONCATENATE("R2C",'Mapa final'!$R$48),"")</f>
        <v/>
      </c>
      <c r="AH37" s="40" t="str">
        <f>IF(AND('Mapa final'!$AH$59="Media",'Mapa final'!$AJ$49="Mayor"),CONCATENATE("R2C",'Mapa final'!$R$49),"")</f>
        <v/>
      </c>
      <c r="AI37" s="41" t="str">
        <f>IF(AND('Mapa final'!$AH$44="Media",'Mapa final'!$AJ$44="Catastrófico"),CONCATENATE("R2C",'Mapa final'!$R$44),"")</f>
        <v/>
      </c>
      <c r="AJ37" s="42" t="str">
        <f>IF(AND('Mapa final'!$AH$45="Media",'Mapa final'!$AJ$45="Catastrófico"),CONCATENATE("R2C",'Mapa final'!$R$45),"")</f>
        <v/>
      </c>
      <c r="AK37" s="42" t="str">
        <f>IF(AND('Mapa final'!$AH$46="Media",'Mapa final'!$AJ$46="Catastrófico"),CONCATENATE("R2C",'Mapa final'!$R$46),"")</f>
        <v/>
      </c>
      <c r="AL37" s="42" t="str">
        <f>IF(AND('Mapa final'!$AH$47="Media",'Mapa final'!$AJ$47="Catastrófico"),CONCATENATE("R2C",'Mapa final'!$R$47),"")</f>
        <v/>
      </c>
      <c r="AM37" s="42" t="str">
        <f>IF(AND('Mapa final'!$AH$48="Media",'Mapa final'!$AJ$48="Catastrófico"),CONCATENATE("R2C",'Mapa final'!$R$48),"")</f>
        <v/>
      </c>
      <c r="AN37" s="43" t="str">
        <f>IF(AND('Mapa final'!$AH$59="Media",'Mapa final'!$AJ$49="Catastrófico"),CONCATENATE("R2C",'Mapa final'!$R$49),"")</f>
        <v/>
      </c>
      <c r="AO37" s="68"/>
      <c r="AP37" s="508"/>
      <c r="AQ37" s="509"/>
      <c r="AR37" s="509"/>
      <c r="AS37" s="509"/>
      <c r="AT37" s="509"/>
      <c r="AU37" s="510"/>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row>
    <row r="38" spans="2:77" ht="15" customHeight="1" x14ac:dyDescent="0.25">
      <c r="B38" s="68"/>
      <c r="C38" s="424"/>
      <c r="D38" s="424"/>
      <c r="E38" s="425"/>
      <c r="F38" s="467"/>
      <c r="G38" s="468"/>
      <c r="H38" s="468"/>
      <c r="I38" s="468"/>
      <c r="J38" s="469"/>
      <c r="K38" s="53" t="str">
        <f>IF(AND('Mapa final'!$AH$50="Media",'Mapa final'!$AJ$50="Leve"),CONCATENATE("R2C",'Mapa final'!$R$50),"")</f>
        <v/>
      </c>
      <c r="L38" s="54" t="str">
        <f>IF(AND('Mapa final'!$AH$51="Media",'Mapa final'!$AJ$51="Leve"),CONCATENATE("R2C",'Mapa final'!$R$51),"")</f>
        <v/>
      </c>
      <c r="M38" s="54" t="str">
        <f>IF(AND('Mapa final'!$AH$52="Media",'Mapa final'!$AJ$52="Leve"),CONCATENATE("R2C",'Mapa final'!$R$52),"")</f>
        <v/>
      </c>
      <c r="N38" s="54" t="str">
        <f>IF(AND('Mapa final'!$AH$53="Media",'Mapa final'!$AJ$53="Leve"),CONCATENATE("R2C",'Mapa final'!$R$53),"")</f>
        <v/>
      </c>
      <c r="O38" s="54" t="str">
        <f>IF(AND('Mapa final'!$AH$54="Media",'Mapa final'!$AJ$54="Leve"),CONCATENATE("R2C",'Mapa final'!$R$54),"")</f>
        <v/>
      </c>
      <c r="P38" s="55" t="str">
        <f>IF(AND('Mapa final'!$AH$55="Media",'Mapa final'!$AJ$55="Leve"),CONCATENATE("R2C",'Mapa final'!$R$55),"")</f>
        <v/>
      </c>
      <c r="Q38" s="53" t="str">
        <f>IF(AND('Mapa final'!$AH$50="Media",'Mapa final'!$AJ$50="Menor"),CONCATENATE("R2C",'Mapa final'!$R$50),"")</f>
        <v/>
      </c>
      <c r="R38" s="54" t="str">
        <f>IF(AND('Mapa final'!$AH$51="Media",'Mapa final'!$AJ$51="Menor"),CONCATENATE("R2C",'Mapa final'!$R$51),"")</f>
        <v/>
      </c>
      <c r="S38" s="54" t="str">
        <f>IF(AND('Mapa final'!$AH$52="Media",'Mapa final'!$AJ$52="Menor"),CONCATENATE("R2C",'Mapa final'!$R$52),"")</f>
        <v/>
      </c>
      <c r="T38" s="54" t="str">
        <f>IF(AND('Mapa final'!$AH$53="Media",'Mapa final'!$AJ$53="Menor"),CONCATENATE("R2C",'Mapa final'!$R$53),"")</f>
        <v/>
      </c>
      <c r="U38" s="54" t="str">
        <f>IF(AND('Mapa final'!$AH$54="Media",'Mapa final'!$AJ$54="Menor"),CONCATENATE("R2C",'Mapa final'!$R$54),"")</f>
        <v/>
      </c>
      <c r="V38" s="55" t="str">
        <f>IF(AND('Mapa final'!$AH$55="Media",'Mapa final'!$AJ$55="Menor"),CONCATENATE("R2C",'Mapa final'!$R$55),"")</f>
        <v/>
      </c>
      <c r="W38" s="53" t="str">
        <f>IF(AND('Mapa final'!$AH$50="Media",'Mapa final'!$AJ$50="Moderado"),CONCATENATE("R2C",'Mapa final'!$R$50),"")</f>
        <v/>
      </c>
      <c r="X38" s="54" t="str">
        <f>IF(AND('Mapa final'!$AH$51="Media",'Mapa final'!$AJ$51="Moderado"),CONCATENATE("R2C",'Mapa final'!$R$51),"")</f>
        <v/>
      </c>
      <c r="Y38" s="54" t="str">
        <f>IF(AND('Mapa final'!$AH$52="Media",'Mapa final'!$AJ$52="Moderado"),CONCATENATE("R2C",'Mapa final'!$R$52),"")</f>
        <v/>
      </c>
      <c r="Z38" s="54" t="str">
        <f>IF(AND('Mapa final'!$AH$53="Media",'Mapa final'!$AJ$53="Moderado"),CONCATENATE("R2C",'Mapa final'!$R$53),"")</f>
        <v/>
      </c>
      <c r="AA38" s="54" t="str">
        <f>IF(AND('Mapa final'!$AH$54="Media",'Mapa final'!$AJ$54="Moderado"),CONCATENATE("R2C",'Mapa final'!$R$54),"")</f>
        <v/>
      </c>
      <c r="AB38" s="55" t="str">
        <f>IF(AND('Mapa final'!$AH$55="Media",'Mapa final'!$AJ$55="Moderado"),CONCATENATE("R2C",'Mapa final'!$R$55),"")</f>
        <v/>
      </c>
      <c r="AC38" s="38" t="str">
        <f>IF(AND('Mapa final'!$AH$50="Media",'Mapa final'!$AJ$50="Mayor"),CONCATENATE("R2C",'Mapa final'!$R$50),"")</f>
        <v/>
      </c>
      <c r="AD38" s="39" t="str">
        <f>IF(AND('Mapa final'!$AH$51="Media",'Mapa final'!$AJ$51="Mayor"),CONCATENATE("R2C",'Mapa final'!$R$51),"")</f>
        <v/>
      </c>
      <c r="AE38" s="39" t="str">
        <f>IF(AND('Mapa final'!$AH$52="Media",'Mapa final'!$AJ$52="Mayor"),CONCATENATE("R2C",'Mapa final'!$R$52),"")</f>
        <v/>
      </c>
      <c r="AF38" s="39" t="str">
        <f>IF(AND('Mapa final'!$AH$53="Media",'Mapa final'!$AJ$53="Mayor"),CONCATENATE("R2C",'Mapa final'!$R$53),"")</f>
        <v/>
      </c>
      <c r="AG38" s="39" t="str">
        <f>IF(AND('Mapa final'!$AH$54="Media",'Mapa final'!$AJ$54="Mayor"),CONCATENATE("R2C",'Mapa final'!$R$54),"")</f>
        <v/>
      </c>
      <c r="AH38" s="40" t="str">
        <f>IF(AND('Mapa final'!$AH$55="Media",'Mapa final'!$AJ$55="Mayor"),CONCATENATE("R2C",'Mapa final'!$R$55),"")</f>
        <v/>
      </c>
      <c r="AI38" s="41" t="str">
        <f>IF(AND('Mapa final'!$AH$50="Media",'Mapa final'!$AJ$50="Catastrófico"),CONCATENATE("R2C",'Mapa final'!$R$50),"")</f>
        <v/>
      </c>
      <c r="AJ38" s="42" t="str">
        <f>IF(AND('Mapa final'!$AH$51="Media",'Mapa final'!$AJ$51="Catastrófico"),CONCATENATE("R2C",'Mapa final'!$R$51),"")</f>
        <v/>
      </c>
      <c r="AK38" s="42" t="str">
        <f>IF(AND('Mapa final'!$AH$52="Media",'Mapa final'!$AJ$52="Catastrófico"),CONCATENATE("R2C",'Mapa final'!$R$52),"")</f>
        <v/>
      </c>
      <c r="AL38" s="42" t="str">
        <f>IF(AND('Mapa final'!$AH$53="Media",'Mapa final'!$AJ$53="Catastrófico"),CONCATENATE("R2C",'Mapa final'!$R$53),"")</f>
        <v/>
      </c>
      <c r="AM38" s="42" t="str">
        <f>IF(AND('Mapa final'!$AH$54="Media",'Mapa final'!$AJ$54="Catastrófico"),CONCATENATE("R2C",'Mapa final'!$R$54),"")</f>
        <v/>
      </c>
      <c r="AN38" s="43" t="str">
        <f>IF(AND('Mapa final'!$AH$55="Media",'Mapa final'!$AJ$55="Catastrófico"),CONCATENATE("R2C",'Mapa final'!$R$55),"")</f>
        <v/>
      </c>
      <c r="AO38" s="68"/>
      <c r="AP38" s="508"/>
      <c r="AQ38" s="509"/>
      <c r="AR38" s="509"/>
      <c r="AS38" s="509"/>
      <c r="AT38" s="509"/>
      <c r="AU38" s="510"/>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row>
    <row r="39" spans="2:77" ht="15" customHeight="1" x14ac:dyDescent="0.25">
      <c r="B39" s="68"/>
      <c r="C39" s="424"/>
      <c r="D39" s="424"/>
      <c r="E39" s="425"/>
      <c r="F39" s="467"/>
      <c r="G39" s="468"/>
      <c r="H39" s="468"/>
      <c r="I39" s="468"/>
      <c r="J39" s="469"/>
      <c r="K39" s="53" t="str">
        <f>IF(AND('Mapa final'!$AH$56="Media",'Mapa final'!$AJ$56="Leve"),CONCATENATE("R2C",'Mapa final'!$R$56),"")</f>
        <v/>
      </c>
      <c r="L39" s="54" t="str">
        <f>IF(AND('Mapa final'!$AH$57="Media",'Mapa final'!$AJ$57="Leve"),CONCATENATE("R2C",'Mapa final'!$R$57),"")</f>
        <v/>
      </c>
      <c r="M39" s="54" t="str">
        <f>IF(AND('Mapa final'!$AH$58="Media",'Mapa final'!$AJ$58="Leve"),CONCATENATE("R2C",'Mapa final'!$R$58),"")</f>
        <v/>
      </c>
      <c r="N39" s="54" t="str">
        <f>IF(AND('Mapa final'!$AH$59="Media",'Mapa final'!$AJ$59="Leve"),CONCATENATE("R2C",'Mapa final'!$R$59),"")</f>
        <v/>
      </c>
      <c r="O39" s="54" t="str">
        <f>IF(AND('Mapa final'!$AH$60="Media",'Mapa final'!$AJ$60="Leve"),CONCATENATE("R2C",'Mapa final'!$R$60),"")</f>
        <v/>
      </c>
      <c r="P39" s="55" t="str">
        <f>IF(AND('Mapa final'!$AH$61="Media",'Mapa final'!$AJ$61="Leve"),CONCATENATE("R2C",'Mapa final'!$R$61),"")</f>
        <v/>
      </c>
      <c r="Q39" s="53" t="str">
        <f>IF(AND('Mapa final'!$AH$56="Media",'Mapa final'!$AJ$56="Menor"),CONCATENATE("R2C",'Mapa final'!$R$56),"")</f>
        <v/>
      </c>
      <c r="R39" s="54" t="str">
        <f>IF(AND('Mapa final'!$AH$57="Media",'Mapa final'!$AJ$57="Menor"),CONCATENATE("R2C",'Mapa final'!$R$57),"")</f>
        <v/>
      </c>
      <c r="S39" s="54" t="str">
        <f>IF(AND('Mapa final'!$AH$58="Media",'Mapa final'!$AJ$58="Menor"),CONCATENATE("R2C",'Mapa final'!$R$58),"")</f>
        <v/>
      </c>
      <c r="T39" s="54" t="str">
        <f>IF(AND('Mapa final'!$AH$59="Media",'Mapa final'!$AJ$59="Menor"),CONCATENATE("R2C",'Mapa final'!$R$59),"")</f>
        <v/>
      </c>
      <c r="U39" s="54" t="str">
        <f>IF(AND('Mapa final'!$AH$60="Media",'Mapa final'!$AJ$60="Menor"),CONCATENATE("R2C",'Mapa final'!$R$60),"")</f>
        <v/>
      </c>
      <c r="V39" s="55" t="str">
        <f>IF(AND('Mapa final'!$AH$61="Media",'Mapa final'!$AJ$61="Menor"),CONCATENATE("R2C",'Mapa final'!$R$61),"")</f>
        <v/>
      </c>
      <c r="W39" s="53" t="str">
        <f>IF(AND('Mapa final'!$AH$56="Media",'Mapa final'!$AJ$56="Moderado"),CONCATENATE("R2C",'Mapa final'!$R$56),"")</f>
        <v/>
      </c>
      <c r="X39" s="54" t="str">
        <f>IF(AND('Mapa final'!$AH$57="Media",'Mapa final'!$AJ$57="Moderado"),CONCATENATE("R2C",'Mapa final'!$R$57),"")</f>
        <v/>
      </c>
      <c r="Y39" s="54" t="str">
        <f>IF(AND('Mapa final'!$AH$58="Media",'Mapa final'!$AJ$58="Moderado"),CONCATENATE("R2C",'Mapa final'!$R$58),"")</f>
        <v/>
      </c>
      <c r="Z39" s="54" t="str">
        <f>IF(AND('Mapa final'!$AH$59="Media",'Mapa final'!$AJ$59="Moderado"),CONCATENATE("R2C",'Mapa final'!$R$59),"")</f>
        <v/>
      </c>
      <c r="AA39" s="54" t="str">
        <f>IF(AND('Mapa final'!$AH$60="Media",'Mapa final'!$AJ$60="Moderado"),CONCATENATE("R2C",'Mapa final'!$R$60),"")</f>
        <v/>
      </c>
      <c r="AB39" s="55" t="str">
        <f>IF(AND('Mapa final'!$AH$61="Media",'Mapa final'!$AJ$61="Moderado"),CONCATENATE("R2C",'Mapa final'!$R$61),"")</f>
        <v/>
      </c>
      <c r="AC39" s="38" t="str">
        <f>IF(AND('Mapa final'!$AH$56="Media",'Mapa final'!$AJ$56="Mayor"),CONCATENATE("R2C",'Mapa final'!$R$56),"")</f>
        <v/>
      </c>
      <c r="AD39" s="39" t="str">
        <f>IF(AND('Mapa final'!$AH$57="Media",'Mapa final'!$AJ$57="Mayor"),CONCATENATE("R2C",'Mapa final'!$R$57),"")</f>
        <v/>
      </c>
      <c r="AE39" s="39" t="str">
        <f>IF(AND('Mapa final'!$AH$58="Media",'Mapa final'!$AJ$58="Mayor"),CONCATENATE("R2C",'Mapa final'!$R$58),"")</f>
        <v/>
      </c>
      <c r="AF39" s="39" t="str">
        <f>IF(AND('Mapa final'!$AH$59="Media",'Mapa final'!$AJ$59="Mayor"),CONCATENATE("R2C",'Mapa final'!$R$59),"")</f>
        <v/>
      </c>
      <c r="AG39" s="39" t="str">
        <f>IF(AND('Mapa final'!$AH$60="Media",'Mapa final'!$AJ$60="Mayor"),CONCATENATE("R2C",'Mapa final'!$R$60),"")</f>
        <v/>
      </c>
      <c r="AH39" s="40" t="str">
        <f>IF(AND('Mapa final'!$AH$61="Media",'Mapa final'!$AJ$61="Mayor"),CONCATENATE("R2C",'Mapa final'!$R$61),"")</f>
        <v/>
      </c>
      <c r="AI39" s="41" t="str">
        <f>IF(AND('Mapa final'!$AH$56="Media",'Mapa final'!$AJ$56="Catastrófico"),CONCATENATE("R2C",'Mapa final'!$R$56),"")</f>
        <v/>
      </c>
      <c r="AJ39" s="42" t="str">
        <f>IF(AND('Mapa final'!$AH$57="Media",'Mapa final'!$AJ$57="Catastrófico"),CONCATENATE("R2C",'Mapa final'!$R$57),"")</f>
        <v/>
      </c>
      <c r="AK39" s="42" t="str">
        <f>IF(AND('Mapa final'!$AH$58="Media",'Mapa final'!$AJ$58="Catastrófico"),CONCATENATE("R2C",'Mapa final'!$R$58),"")</f>
        <v/>
      </c>
      <c r="AL39" s="42" t="str">
        <f>IF(AND('Mapa final'!$AH$59="Media",'Mapa final'!$AJ$59="Catastrófico"),CONCATENATE("R2C",'Mapa final'!$R$59),"")</f>
        <v/>
      </c>
      <c r="AM39" s="42" t="str">
        <f>IF(AND('Mapa final'!$AH$60="Media",'Mapa final'!$AJ$60="Catastrófico"),CONCATENATE("R2C",'Mapa final'!$R$60),"")</f>
        <v/>
      </c>
      <c r="AN39" s="43" t="str">
        <f>IF(AND('Mapa final'!$AH$61="Media",'Mapa final'!$AJ$61="Catastrófico"),CONCATENATE("R2C",'Mapa final'!$R$61),"")</f>
        <v/>
      </c>
      <c r="AO39" s="68"/>
      <c r="AP39" s="508"/>
      <c r="AQ39" s="509"/>
      <c r="AR39" s="509"/>
      <c r="AS39" s="509"/>
      <c r="AT39" s="509"/>
      <c r="AU39" s="510"/>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row>
    <row r="40" spans="2:77" ht="15" customHeight="1" x14ac:dyDescent="0.25">
      <c r="B40" s="68"/>
      <c r="C40" s="424"/>
      <c r="D40" s="424"/>
      <c r="E40" s="425"/>
      <c r="F40" s="467"/>
      <c r="G40" s="468"/>
      <c r="H40" s="468"/>
      <c r="I40" s="468"/>
      <c r="J40" s="469"/>
      <c r="K40" s="53" t="str">
        <f>IF(AND('Mapa final'!$AH$62="Media",'Mapa final'!$AJ$62="Leve"),CONCATENATE("R2C",'Mapa final'!$R$62),"")</f>
        <v/>
      </c>
      <c r="L40" s="54" t="str">
        <f>IF(AND('Mapa final'!$AH$63="Media",'Mapa final'!$AJ$63="Leve"),CONCATENATE("R2C",'Mapa final'!$R$63),"")</f>
        <v/>
      </c>
      <c r="M40" s="54" t="str">
        <f>IF(AND('Mapa final'!$AH$64="Media",'Mapa final'!$AJ$64="Leve"),CONCATENATE("R2C",'Mapa final'!$R$64),"")</f>
        <v/>
      </c>
      <c r="N40" s="54" t="str">
        <f>IF(AND('Mapa final'!$AH$65="Media",'Mapa final'!$AJ$65="Leve"),CONCATENATE("R2C",'Mapa final'!$R$65),"")</f>
        <v/>
      </c>
      <c r="O40" s="54" t="str">
        <f>IF(AND('Mapa final'!$AH$66="Media",'Mapa final'!$AJ$66="Leve"),CONCATENATE("R2C",'Mapa final'!$R$66),"")</f>
        <v/>
      </c>
      <c r="P40" s="55" t="str">
        <f>IF(AND('Mapa final'!$AH$67="Media",'Mapa final'!$AJ$67="Leve"),CONCATENATE("R2C",'Mapa final'!$R$67),"")</f>
        <v/>
      </c>
      <c r="Q40" s="53" t="str">
        <f>IF(AND('Mapa final'!$AH$62="Media",'Mapa final'!$AJ$62="Menor"),CONCATENATE("R2C",'Mapa final'!$R$62),"")</f>
        <v/>
      </c>
      <c r="R40" s="54" t="str">
        <f>IF(AND('Mapa final'!$AH$63="Media",'Mapa final'!$AJ$63="Menor"),CONCATENATE("R2C",'Mapa final'!$R$63),"")</f>
        <v/>
      </c>
      <c r="S40" s="54" t="str">
        <f>IF(AND('Mapa final'!$AH$64="Media",'Mapa final'!$AJ$64="Menor"),CONCATENATE("R2C",'Mapa final'!$R$64),"")</f>
        <v/>
      </c>
      <c r="T40" s="54" t="str">
        <f>IF(AND('Mapa final'!$AH$65="Media",'Mapa final'!$AJ$65="Menor"),CONCATENATE("R2C",'Mapa final'!$R$65),"")</f>
        <v/>
      </c>
      <c r="U40" s="54" t="str">
        <f>IF(AND('Mapa final'!$AH$66="Media",'Mapa final'!$AJ$66="Menor"),CONCATENATE("R2C",'Mapa final'!$R$66),"")</f>
        <v/>
      </c>
      <c r="V40" s="55" t="str">
        <f>IF(AND('Mapa final'!$AH$67="Media",'Mapa final'!$AJ$67="Menor"),CONCATENATE("R2C",'Mapa final'!$R$67),"")</f>
        <v/>
      </c>
      <c r="W40" s="53" t="str">
        <f>IF(AND('Mapa final'!$AH$62="Media",'Mapa final'!$AJ$62="Moderado"),CONCATENATE("R2C",'Mapa final'!$R$62),"")</f>
        <v/>
      </c>
      <c r="X40" s="54" t="str">
        <f>IF(AND('Mapa final'!$AH$63="Media",'Mapa final'!$AJ$63="Moderado"),CONCATENATE("R2C",'Mapa final'!$R$63),"")</f>
        <v/>
      </c>
      <c r="Y40" s="54" t="str">
        <f>IF(AND('Mapa final'!$AH$64="Media",'Mapa final'!$AJ$64="Moderado"),CONCATENATE("R2C",'Mapa final'!$R$64),"")</f>
        <v/>
      </c>
      <c r="Z40" s="54" t="str">
        <f>IF(AND('Mapa final'!$AH$65="Media",'Mapa final'!$AJ$65="Moderado"),CONCATENATE("R2C",'Mapa final'!$R$65),"")</f>
        <v/>
      </c>
      <c r="AA40" s="54" t="str">
        <f>IF(AND('Mapa final'!$AH$66="Media",'Mapa final'!$AJ$66="Moderado"),CONCATENATE("R2C",'Mapa final'!$R$66),"")</f>
        <v/>
      </c>
      <c r="AB40" s="55" t="str">
        <f>IF(AND('Mapa final'!$AH$67="Media",'Mapa final'!$AJ$67="Moderado"),CONCATENATE("R2C",'Mapa final'!$R$67),"")</f>
        <v/>
      </c>
      <c r="AC40" s="38" t="str">
        <f>IF(AND('Mapa final'!$AH$62="Media",'Mapa final'!$AJ$62="Mayor"),CONCATENATE("R2C",'Mapa final'!$R$62),"")</f>
        <v/>
      </c>
      <c r="AD40" s="39" t="str">
        <f>IF(AND('Mapa final'!$AH$63="Media",'Mapa final'!$AJ$63="Mayor"),CONCATENATE("R2C",'Mapa final'!$R$63),"")</f>
        <v/>
      </c>
      <c r="AE40" s="39" t="str">
        <f>IF(AND('Mapa final'!$AH$64="Media",'Mapa final'!$AJ$64="Mayor"),CONCATENATE("R2C",'Mapa final'!$R$64),"")</f>
        <v/>
      </c>
      <c r="AF40" s="39" t="str">
        <f>IF(AND('Mapa final'!$AH$65="Media",'Mapa final'!$AJ$65="Mayor"),CONCATENATE("R2C",'Mapa final'!$R$65),"")</f>
        <v/>
      </c>
      <c r="AG40" s="39" t="str">
        <f>IF(AND('Mapa final'!$AH$66="Media",'Mapa final'!$AJ$66="Mayor"),CONCATENATE("R2C",'Mapa final'!$R$66),"")</f>
        <v/>
      </c>
      <c r="AH40" s="40" t="str">
        <f>IF(AND('Mapa final'!$AH$67="Media",'Mapa final'!$AJ$67="Mayor"),CONCATENATE("R2C",'Mapa final'!$R$67),"")</f>
        <v/>
      </c>
      <c r="AI40" s="41" t="str">
        <f>IF(AND('Mapa final'!$AH$62="Media",'Mapa final'!$AJ$62="Catastrófico"),CONCATENATE("R2C",'Mapa final'!$R$62),"")</f>
        <v/>
      </c>
      <c r="AJ40" s="42" t="str">
        <f>IF(AND('Mapa final'!$AH$63="Media",'Mapa final'!$AJ$63="Catastrófico"),CONCATENATE("R2C",'Mapa final'!$R$63),"")</f>
        <v/>
      </c>
      <c r="AK40" s="42" t="str">
        <f>IF(AND('Mapa final'!$AH$64="Media",'Mapa final'!$AJ$64="Catastrófico"),CONCATENATE("R2C",'Mapa final'!$R$64),"")</f>
        <v/>
      </c>
      <c r="AL40" s="42" t="str">
        <f>IF(AND('Mapa final'!$AH$65="Media",'Mapa final'!$AJ$65="Catastrófico"),CONCATENATE("R2C",'Mapa final'!$R$65),"")</f>
        <v/>
      </c>
      <c r="AM40" s="42" t="str">
        <f>IF(AND('Mapa final'!$AH$66="Media",'Mapa final'!$AJ$66="Catastrófico"),CONCATENATE("R2C",'Mapa final'!$R$66),"")</f>
        <v/>
      </c>
      <c r="AN40" s="43" t="str">
        <f>IF(AND('Mapa final'!$AH$67="Media",'Mapa final'!$AJ$67="Catastrófico"),CONCATENATE("R2C",'Mapa final'!$R$67),"")</f>
        <v/>
      </c>
      <c r="AO40" s="68"/>
      <c r="AP40" s="508"/>
      <c r="AQ40" s="509"/>
      <c r="AR40" s="509"/>
      <c r="AS40" s="509"/>
      <c r="AT40" s="509"/>
      <c r="AU40" s="510"/>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row>
    <row r="41" spans="2:77" ht="15.75" customHeight="1" thickBot="1" x14ac:dyDescent="0.3">
      <c r="B41" s="68"/>
      <c r="C41" s="424"/>
      <c r="D41" s="424"/>
      <c r="E41" s="425"/>
      <c r="F41" s="470"/>
      <c r="G41" s="471"/>
      <c r="H41" s="471"/>
      <c r="I41" s="471"/>
      <c r="J41" s="472"/>
      <c r="K41" s="53" t="str">
        <f>IF(AND('Mapa final'!$AH$68="Media",'Mapa final'!$AJ$68="Leve"),CONCATENATE("R2C",'Mapa final'!$R$68),"")</f>
        <v/>
      </c>
      <c r="L41" s="54" t="str">
        <f>IF(AND('Mapa final'!$AH$69="Media",'Mapa final'!$AJ$69="Leve"),CONCATENATE("R2C",'Mapa final'!$R$69),"")</f>
        <v/>
      </c>
      <c r="M41" s="54" t="str">
        <f>IF(AND('Mapa final'!$AH$70="Media",'Mapa final'!$AJ$70="Leve"),CONCATENATE("R2C",'Mapa final'!$R$70),"")</f>
        <v/>
      </c>
      <c r="N41" s="54" t="str">
        <f>IF(AND('Mapa final'!$AH$71="Media",'Mapa final'!$AJ$71="Leve"),CONCATENATE("R2C",'Mapa final'!$R$71),"")</f>
        <v/>
      </c>
      <c r="O41" s="54" t="str">
        <f>IF(AND('Mapa final'!$AH$73="Media",'Mapa final'!$AJ$73="Leve"),CONCATENATE("R2C",'Mapa final'!$R$73),"")</f>
        <v/>
      </c>
      <c r="P41" s="55" t="str">
        <f>IF(AND('Mapa final'!$AH$74="Media",'Mapa final'!$AJ$74="Leve"),CONCATENATE("R2C",'Mapa final'!$R$74),"")</f>
        <v/>
      </c>
      <c r="Q41" s="53" t="str">
        <f>IF(AND('Mapa final'!$AH$68="Media",'Mapa final'!$AJ$68="Menor"),CONCATENATE("R2C",'Mapa final'!$R$68),"")</f>
        <v/>
      </c>
      <c r="R41" s="54" t="str">
        <f>IF(AND('Mapa final'!$AH$69="Media",'Mapa final'!$AJ$69="Menor"),CONCATENATE("R2C",'Mapa final'!$R$69),"")</f>
        <v/>
      </c>
      <c r="S41" s="54" t="str">
        <f>IF(AND('Mapa final'!$AH$70="Media",'Mapa final'!$AJ$70="Menor"),CONCATENATE("R2C",'Mapa final'!$R$70),"")</f>
        <v/>
      </c>
      <c r="T41" s="54" t="str">
        <f>IF(AND('Mapa final'!$AH$71="Media",'Mapa final'!$AJ$71="Menor"),CONCATENATE("R2C",'Mapa final'!$R$71),"")</f>
        <v/>
      </c>
      <c r="U41" s="54" t="str">
        <f>IF(AND('Mapa final'!$AH$73="Media",'Mapa final'!$AJ$73="Menor"),CONCATENATE("R2C",'Mapa final'!$R$73),"")</f>
        <v/>
      </c>
      <c r="V41" s="55" t="str">
        <f>IF(AND('Mapa final'!$AH$74="Media",'Mapa final'!$AJ$74="Menor"),CONCATENATE("R2C",'Mapa final'!$R$74),"")</f>
        <v/>
      </c>
      <c r="W41" s="53" t="str">
        <f>IF(AND('Mapa final'!$AH$68="Media",'Mapa final'!$AJ$68="Moderado"),CONCATENATE("R2C",'Mapa final'!$R$68),"")</f>
        <v/>
      </c>
      <c r="X41" s="54" t="str">
        <f>IF(AND('Mapa final'!$AH$69="Media",'Mapa final'!$AJ$69="Moderado"),CONCATENATE("R2C",'Mapa final'!$R$69),"")</f>
        <v/>
      </c>
      <c r="Y41" s="54" t="str">
        <f>IF(AND('Mapa final'!$AH$70="Media",'Mapa final'!$AJ$70="Moderado"),CONCATENATE("R2C",'Mapa final'!$R$70),"")</f>
        <v/>
      </c>
      <c r="Z41" s="54" t="str">
        <f>IF(AND('Mapa final'!$AH$71="Media",'Mapa final'!$AJ$71="Moderado"),CONCATENATE("R2C",'Mapa final'!$R$71),"")</f>
        <v/>
      </c>
      <c r="AA41" s="54" t="str">
        <f>IF(AND('Mapa final'!$AH$73="Media",'Mapa final'!$AJ$73="Moderado"),CONCATENATE("R2C",'Mapa final'!$R$73),"")</f>
        <v/>
      </c>
      <c r="AB41" s="55" t="str">
        <f>IF(AND('Mapa final'!$AH$74="Media",'Mapa final'!$AJ$74="Moderado"),CONCATENATE("R2C",'Mapa final'!$R$74),"")</f>
        <v/>
      </c>
      <c r="AC41" s="44" t="str">
        <f>IF(AND('Mapa final'!$AH$68="Media",'Mapa final'!$AJ$68="Mayor"),CONCATENATE("R2C",'Mapa final'!$R$68),"")</f>
        <v/>
      </c>
      <c r="AD41" s="45" t="str">
        <f>IF(AND('Mapa final'!$AH$69="Media",'Mapa final'!$AJ$69="Mayor"),CONCATENATE("R2C",'Mapa final'!$R$69),"")</f>
        <v/>
      </c>
      <c r="AE41" s="45" t="str">
        <f>IF(AND('Mapa final'!$AH$70="Media",'Mapa final'!$AJ$70="Mayor"),CONCATENATE("R2C",'Mapa final'!$R$70),"")</f>
        <v/>
      </c>
      <c r="AF41" s="45" t="str">
        <f>IF(AND('Mapa final'!$AH$71="Media",'Mapa final'!$AJ$71="Mayor"),CONCATENATE("R2C",'Mapa final'!$R$71),"")</f>
        <v/>
      </c>
      <c r="AG41" s="45" t="str">
        <f>IF(AND('Mapa final'!$AH$73="Media",'Mapa final'!$AJ$73="Mayor"),CONCATENATE("R2C",'Mapa final'!$R$73),"")</f>
        <v/>
      </c>
      <c r="AH41" s="46" t="str">
        <f>IF(AND('Mapa final'!$AH$74="Media",'Mapa final'!$AJ$74="Mayor"),CONCATENATE("R2C",'Mapa final'!$R$74),"")</f>
        <v/>
      </c>
      <c r="AI41" s="47" t="str">
        <f>IF(AND('Mapa final'!$AH$68="Media",'Mapa final'!$AJ$68="Catastrófico"),CONCATENATE("R2C",'Mapa final'!$R$68),"")</f>
        <v/>
      </c>
      <c r="AJ41" s="48" t="str">
        <f>IF(AND('Mapa final'!$AH$69="Media",'Mapa final'!$AJ$69="Catastrófico"),CONCATENATE("R2C",'Mapa final'!$R$69),"")</f>
        <v/>
      </c>
      <c r="AK41" s="48" t="str">
        <f>IF(AND('Mapa final'!$AH$70="Media",'Mapa final'!$AJ$70="Catastrófico"),CONCATENATE("R2C",'Mapa final'!$R$70),"")</f>
        <v/>
      </c>
      <c r="AL41" s="48" t="str">
        <f>IF(AND('Mapa final'!$AH$71="Media",'Mapa final'!$AJ$71="Catastrófico"),CONCATENATE("R2C",'Mapa final'!$R$71),"")</f>
        <v/>
      </c>
      <c r="AM41" s="48" t="str">
        <f>IF(AND('Mapa final'!$AH$73="Media",'Mapa final'!$AJ$73="Catastrófico"),CONCATENATE("R2C",'Mapa final'!$R$73),"")</f>
        <v/>
      </c>
      <c r="AN41" s="49" t="str">
        <f>IF(AND('Mapa final'!$AH$74="Muy Alta",'Mapa final'!$AJ$74="Catastrófico"),CONCATENATE("R2C",'Mapa final'!$R$74),"")</f>
        <v/>
      </c>
      <c r="AO41" s="68"/>
      <c r="AP41" s="511"/>
      <c r="AQ41" s="512"/>
      <c r="AR41" s="512"/>
      <c r="AS41" s="512"/>
      <c r="AT41" s="512"/>
      <c r="AU41" s="513"/>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row>
    <row r="42" spans="2:77" ht="15" customHeight="1" x14ac:dyDescent="0.25">
      <c r="B42" s="68"/>
      <c r="C42" s="424"/>
      <c r="D42" s="424"/>
      <c r="E42" s="425"/>
      <c r="F42" s="464" t="s">
        <v>261</v>
      </c>
      <c r="G42" s="465"/>
      <c r="H42" s="465"/>
      <c r="I42" s="465"/>
      <c r="J42" s="465"/>
      <c r="K42" s="59"/>
      <c r="L42" s="60" t="str">
        <f>IF(AND('Mapa final'!$AH$18="Baja",'Mapa final'!$AJ$18="Leve"),CONCATENATE("R2C",'Mapa final'!$R$15),"")</f>
        <v/>
      </c>
      <c r="M42" s="60" t="str">
        <f>IF(AND('Mapa final'!$AH$19="Baja",'Mapa final'!$AJ$19="Leve"),CONCATENATE("R2C",'Mapa final'!$R$19),"")</f>
        <v/>
      </c>
      <c r="N42" s="60" t="e">
        <f>IF(AND('Mapa final'!#REF!="Baja",'Mapa final'!#REF!="Leve"),CONCATENATE("R2C",'Mapa final'!#REF!),"")</f>
        <v>#REF!</v>
      </c>
      <c r="O42" s="60" t="e">
        <f>IF(AND('Mapa final'!#REF!="Baja",'Mapa final'!#REF!="Leve"),CONCATENATE("R2C",'Mapa final'!#REF!),"")</f>
        <v>#REF!</v>
      </c>
      <c r="P42" s="61" t="e">
        <f>IF(AND('Mapa final'!#REF!="Baja",'Mapa final'!#REF!="Leve"),CONCATENATE("R2C",'Mapa final'!#REF!),"")</f>
        <v>#REF!</v>
      </c>
      <c r="Q42" s="50"/>
      <c r="R42" s="51" t="str">
        <f>IF(AND('Mapa final'!$AH$18="Baja",'Mapa final'!$AJ$18="Menore"),CONCATENATE("R2C",'Mapa final'!$R$15),"")</f>
        <v/>
      </c>
      <c r="S42" s="51" t="str">
        <f>IF(AND('Mapa final'!$AH$19="Baja",'Mapa final'!$AJ$19="Menor"),CONCATENATE("R2C",'Mapa final'!$R$19),"")</f>
        <v/>
      </c>
      <c r="T42" s="51" t="e">
        <f>IF(AND('Mapa final'!#REF!="Baja",'Mapa final'!#REF!="Menor"),CONCATENATE("R2C",'Mapa final'!#REF!),"")</f>
        <v>#REF!</v>
      </c>
      <c r="U42" s="51" t="e">
        <f>IF(AND('Mapa final'!#REF!="Baja",'Mapa final'!#REF!="Menor"),CONCATENATE("R2C",'Mapa final'!#REF!),"")</f>
        <v>#REF!</v>
      </c>
      <c r="V42" s="52" t="e">
        <f>IF(AND('Mapa final'!#REF!="Baja",'Mapa final'!#REF!="Menor"),CONCATENATE("R2C",'Mapa final'!#REF!),"")</f>
        <v>#REF!</v>
      </c>
      <c r="W42" s="50"/>
      <c r="X42" s="51" t="str">
        <f>IF(AND('Mapa final'!$AH$18="Baja",'Mapa final'!$AJ$18="Moderado"),CONCATENATE("R2C",'Mapa final'!$R$15),"")</f>
        <v/>
      </c>
      <c r="Y42" s="51"/>
      <c r="Z42" s="51" t="e">
        <f>IF(AND('Mapa final'!#REF!="Baja",'Mapa final'!#REF!="Moderado"),CONCATENATE("R2C",'Mapa final'!$D$21),"")</f>
        <v>#REF!</v>
      </c>
      <c r="AA42" s="51" t="e">
        <f>IF(AND('Mapa final'!#REF!="Baja",'Mapa final'!#REF!="Moderado"),CONCATENATE("R2C",'Mapa final'!#REF!),"")</f>
        <v>#REF!</v>
      </c>
      <c r="AB42" s="52" t="e">
        <f>IF(AND('Mapa final'!#REF!="Baja",'Mapa final'!#REF!="Moderado"),CONCATENATE("R2C",'Mapa final'!#REF!),"")</f>
        <v>#REF!</v>
      </c>
      <c r="AC42" s="32"/>
      <c r="AD42" s="33" t="str">
        <f>IF(AND('Mapa final'!$AH$18="Baja",'Mapa final'!$AJ$18="Mayor"),CONCATENATE("R2C",'Mapa final'!$R$15),"")</f>
        <v/>
      </c>
      <c r="AE42" s="33" t="str">
        <f>IF(AND('Mapa final'!$AH$19="Baja",'Mapa final'!$AJ$19="Mayor"),CONCATENATE("R2C",'Mapa final'!$R$19),"")</f>
        <v>R2CMayor (Corrupción)</v>
      </c>
      <c r="AF42" s="33" t="e">
        <f>IF(AND('Mapa final'!#REF!="Baja",'Mapa final'!#REF!="Mayor"),CONCATENATE("R2C",'Mapa final'!#REF!),"")</f>
        <v>#REF!</v>
      </c>
      <c r="AG42" s="33" t="e">
        <f>IF(AND('Mapa final'!#REF!="Baja",'Mapa final'!#REF!="Mayor"),CONCATENATE("R2C",'Mapa final'!#REF!),"")</f>
        <v>#REF!</v>
      </c>
      <c r="AH42" s="34" t="e">
        <f>IF(AND('Mapa final'!#REF!="Baja",'Mapa final'!#REF!="Mayor"),CONCATENATE("R2C",'Mapa final'!#REF!),"")</f>
        <v>#REF!</v>
      </c>
      <c r="AI42" s="35"/>
      <c r="AJ42" s="36" t="str">
        <f>IF(AND('Mapa final'!$AH$18="Baja",'Mapa final'!$AJ$18="Catastrófico"),CONCATENATE("R2C",'Mapa final'!$R$15),"")</f>
        <v/>
      </c>
      <c r="AK42" s="36" t="str">
        <f>IF(AND('Mapa final'!$AH$19="Baja",'Mapa final'!$AJ$19="Catastrófico"),CONCATENATE("R2C",'Mapa final'!$R$19),"")</f>
        <v/>
      </c>
      <c r="AL42" s="36" t="e">
        <f>IF(AND('Mapa final'!#REF!="Baja",'Mapa final'!#REF!="Catastrófico"),CONCATENATE("R2C",'Mapa final'!#REF!),"")</f>
        <v>#REF!</v>
      </c>
      <c r="AM42" s="36" t="e">
        <f>IF(AND('Mapa final'!#REF!="Baja",'Mapa final'!#REF!="Catastrófico"),CONCATENATE("R2C",'Mapa final'!#REF!),"")</f>
        <v>#REF!</v>
      </c>
      <c r="AN42" s="37" t="e">
        <f>IF(AND('Mapa final'!#REF!="Baja",'Mapa final'!#REF!="Catastrófico"),CONCATENATE("R2C",'Mapa final'!#REF!),"")</f>
        <v>#REF!</v>
      </c>
      <c r="AO42" s="68"/>
      <c r="AP42" s="496" t="s">
        <v>262</v>
      </c>
      <c r="AQ42" s="497"/>
      <c r="AR42" s="497"/>
      <c r="AS42" s="497"/>
      <c r="AT42" s="497"/>
      <c r="AU42" s="49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row>
    <row r="43" spans="2:77" ht="15" customHeight="1" x14ac:dyDescent="0.25">
      <c r="B43" s="68"/>
      <c r="C43" s="424"/>
      <c r="D43" s="424"/>
      <c r="E43" s="425"/>
      <c r="F43" s="483"/>
      <c r="G43" s="468"/>
      <c r="H43" s="468"/>
      <c r="I43" s="468"/>
      <c r="J43" s="468"/>
      <c r="K43" s="62" t="e">
        <f>IF(AND('Mapa final'!#REF!="Baja",'Mapa final'!#REF!="Leve"),CONCATENATE("R2C",'Mapa final'!#REF!),"")</f>
        <v>#REF!</v>
      </c>
      <c r="L43" s="63" t="e">
        <f>IF(AND('Mapa final'!#REF!="Baja",'Mapa final'!#REF!="Leve"),CONCATENATE("R2C",'Mapa final'!#REF!),"")</f>
        <v>#REF!</v>
      </c>
      <c r="M43" s="63" t="str">
        <f>IF(AND('Mapa final'!$AH$22="Baja",'Mapa final'!$AJ$22="Leve"),CONCATENATE("R2C",'Mapa final'!$R$22),"")</f>
        <v/>
      </c>
      <c r="N43" s="63" t="str">
        <f>IF(AND('Mapa final'!$AH$23="Baja",'Mapa final'!$AJ$23="Leve"),CONCATENATE("R2C",'Mapa final'!$R$23),"")</f>
        <v/>
      </c>
      <c r="O43" s="63" t="str">
        <f>IF(AND('Mapa final'!$AH$24="Baja",'Mapa final'!$AJ$24="Leve"),CONCATENATE("R2C",'Mapa final'!$R$24),"")</f>
        <v/>
      </c>
      <c r="P43" s="64" t="str">
        <f>IF(AND('Mapa final'!$AH$25="Baja",'Mapa final'!$AJ$25="Leve"),CONCATENATE("R2C",'Mapa final'!$R$25),"")</f>
        <v/>
      </c>
      <c r="Q43" s="53" t="e">
        <f>IF(AND('Mapa final'!#REF!="Baja",'Mapa final'!#REF!="Menor"),CONCATENATE("R2C",'Mapa final'!#REF!),"")</f>
        <v>#REF!</v>
      </c>
      <c r="R43" s="54" t="e">
        <f>IF(AND('Mapa final'!#REF!="Baja",'Mapa final'!#REF!="Menor"),CONCATENATE("R2C",'Mapa final'!#REF!),"")</f>
        <v>#REF!</v>
      </c>
      <c r="S43" s="54" t="str">
        <f>IF(AND('Mapa final'!$AH$22="Baja",'Mapa final'!$AJ$22="Menor"),CONCATENATE("R2C",'Mapa final'!$R$22),"")</f>
        <v/>
      </c>
      <c r="T43" s="54" t="str">
        <f>IF(AND('Mapa final'!$AH$23="Baja",'Mapa final'!$AJ$23="Menor"),CONCATENATE("R2C",'Mapa final'!$R$23),"")</f>
        <v/>
      </c>
      <c r="U43" s="54" t="str">
        <f>IF(AND('Mapa final'!$AH$24="Baja",'Mapa final'!$AJ$24="Menor"),CONCATENATE("R2C",'Mapa final'!$R$24),"")</f>
        <v/>
      </c>
      <c r="V43" s="55" t="str">
        <f>IF(AND('Mapa final'!$AH$25="Baja",'Mapa final'!$AJ$25="Menor"),CONCATENATE("R2C",'Mapa final'!$R$25),"")</f>
        <v/>
      </c>
      <c r="W43" s="53" t="e">
        <f>IF(AND('Mapa final'!#REF!="Baja",'Mapa final'!#REF!="Moderado"),CONCATENATE("R2C",'Mapa final'!#REF!),"")</f>
        <v>#REF!</v>
      </c>
      <c r="X43" s="54" t="e">
        <f>IF(AND('Mapa final'!#REF!="Baja",'Mapa final'!#REF!="Moderado"),CONCATENATE("R2C",'Mapa final'!#REF!),"")</f>
        <v>#REF!</v>
      </c>
      <c r="Y43" s="54" t="str">
        <f>IF(AND('Mapa final'!$AH$22="Baja",'Mapa final'!$AJ$22="Moderado"),CONCATENATE("R2C",'Mapa final'!$R$22),"")</f>
        <v/>
      </c>
      <c r="Z43" s="54" t="str">
        <f>IF(AND('Mapa final'!$AH$23="Baja",'Mapa final'!$AJ$23="Moderado"),CONCATENATE("R2C",'Mapa final'!$R$23),"")</f>
        <v/>
      </c>
      <c r="AA43" s="54" t="str">
        <f>IF(AND('Mapa final'!$AH$24="Baja",'Mapa final'!$AJ$24="Moderado"),CONCATENATE("R2C",'Mapa final'!$R$24),"")</f>
        <v/>
      </c>
      <c r="AB43" s="55" t="str">
        <f>IF(AND('Mapa final'!$AH$25="Baja",'Mapa final'!$AJ$25="Moderado"),CONCATENATE("R2C",'Mapa final'!$R$25),"")</f>
        <v/>
      </c>
      <c r="AC43" s="38" t="e">
        <f>IF(AND('Mapa final'!#REF!="Baja",'Mapa final'!#REF!="Mayor"),CONCATENATE("R2C",'Mapa final'!#REF!),"")</f>
        <v>#REF!</v>
      </c>
      <c r="AD43" s="39" t="e">
        <f>IF(AND('Mapa final'!#REF!="Baja",'Mapa final'!#REF!="Mayor"),CONCATENATE("R2C",'Mapa final'!#REF!),"")</f>
        <v>#REF!</v>
      </c>
      <c r="AE43" s="39" t="str">
        <f>IF(AND('Mapa final'!$AH$22="Baja",'Mapa final'!$AJ$22="Mayor"),CONCATENATE("R2C",'Mapa final'!$R$22),"")</f>
        <v/>
      </c>
      <c r="AF43" s="39" t="str">
        <f>IF(AND('Mapa final'!$AH$23="Baja",'Mapa final'!$AJ$23="Mayor"),CONCATENATE("R2C",'Mapa final'!$R$23),"")</f>
        <v/>
      </c>
      <c r="AG43" s="39" t="str">
        <f>IF(AND('Mapa final'!$AH$24="Baja",'Mapa final'!$AJ$24="Mayor"),CONCATENATE("R2C",'Mapa final'!$R$24),"")</f>
        <v/>
      </c>
      <c r="AH43" s="40" t="str">
        <f>IF(AND('Mapa final'!$AH$25="Baja",'Mapa final'!$AJ$25="Mayor"),CONCATENATE("R2C",'Mapa final'!$R$25),"")</f>
        <v/>
      </c>
      <c r="AI43" s="41" t="e">
        <f>IF(AND('Mapa final'!#REF!="Baja",'Mapa final'!#REF!="Catastrófico"),CONCATENATE("R2C",'Mapa final'!#REF!),"")</f>
        <v>#REF!</v>
      </c>
      <c r="AJ43" s="42" t="e">
        <f>IF(AND('Mapa final'!#REF!="Baja",'Mapa final'!#REF!="Catastrófico"),CONCATENATE("R2C",'Mapa final'!#REF!),"")</f>
        <v>#REF!</v>
      </c>
      <c r="AK43" s="42" t="str">
        <f>IF(AND('Mapa final'!$AH$22="Baja",'Mapa final'!$AJ$22="Catastrófico"),CONCATENATE("R2C",'Mapa final'!$R$22),"")</f>
        <v/>
      </c>
      <c r="AL43" s="42" t="str">
        <f>IF(AND('Mapa final'!$AH$23="Baja",'Mapa final'!$AJ$23="Catastrófico"),CONCATENATE("R2C",'Mapa final'!$R$23),"")</f>
        <v/>
      </c>
      <c r="AM43" s="42" t="str">
        <f>IF(AND('Mapa final'!$AH$24="Baja",'Mapa final'!$AJ$24="Catastrófico"),CONCATENATE("R2C",'Mapa final'!$R$24),"")</f>
        <v/>
      </c>
      <c r="AN43" s="43" t="str">
        <f>IF(AND('Mapa final'!$AH$25="Baja",'Mapa final'!$AJ$25="Catastrófico"),CONCATENATE("R2C",'Mapa final'!$R$25),"")</f>
        <v/>
      </c>
      <c r="AO43" s="68"/>
      <c r="AP43" s="499"/>
      <c r="AQ43" s="500"/>
      <c r="AR43" s="500"/>
      <c r="AS43" s="500"/>
      <c r="AT43" s="500"/>
      <c r="AU43" s="501"/>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row>
    <row r="44" spans="2:77" ht="15" customHeight="1" x14ac:dyDescent="0.25">
      <c r="B44" s="68"/>
      <c r="C44" s="424"/>
      <c r="D44" s="424"/>
      <c r="E44" s="425"/>
      <c r="F44" s="467"/>
      <c r="G44" s="468"/>
      <c r="H44" s="468"/>
      <c r="I44" s="468"/>
      <c r="J44" s="468"/>
      <c r="K44" s="62" t="str">
        <f>IF(AND('Mapa final'!$AH$26="Baja",'Mapa final'!$AJ$26="Leve"),CONCATENATE("R2C",'Mapa final'!$R$26),"")</f>
        <v/>
      </c>
      <c r="L44" s="63" t="str">
        <f>IF(AND('Mapa final'!$AH$27="Baja",'Mapa final'!$AJ$27="Leve"),CONCATENATE("R2C",'Mapa final'!$R$27),"")</f>
        <v/>
      </c>
      <c r="M44" s="63" t="str">
        <f>IF(AND('Mapa final'!$AH$28="Baja",'Mapa final'!$AJ$28="Leve"),CONCATENATE("R2C",'Mapa final'!$R$28),"")</f>
        <v/>
      </c>
      <c r="N44" s="63" t="str">
        <f>IF(AND('Mapa final'!$AH$29="Baja",'Mapa final'!$AJ$29="Leve"),CONCATENATE("R2C",'Mapa final'!$R$29),"")</f>
        <v/>
      </c>
      <c r="O44" s="63" t="str">
        <f>IF(AND('Mapa final'!$AH$30="Baja",'Mapa final'!$AJ$30="Leve"),CONCATENATE("R2C",'Mapa final'!$R$30),"")</f>
        <v/>
      </c>
      <c r="P44" s="64" t="str">
        <f>IF(AND('Mapa final'!$AH$31="Baja",'Mapa final'!$AJ$31="Leve"),CONCATENATE("R2C",'Mapa final'!$R$31),"")</f>
        <v/>
      </c>
      <c r="Q44" s="53" t="str">
        <f>IF(AND('Mapa final'!$AH$26="Baja",'Mapa final'!$AJ$26="Menor"),CONCATENATE("R2C",'Mapa final'!$R$26),"")</f>
        <v/>
      </c>
      <c r="R44" s="54" t="str">
        <f>IF(AND('Mapa final'!$AH$27="Baja",'Mapa final'!$AJ$27="Menor"),CONCATENATE("R2C",'Mapa final'!$R$27),"")</f>
        <v/>
      </c>
      <c r="S44" s="54" t="str">
        <f>IF(AND('Mapa final'!$AH$28="Baja",'Mapa final'!$AJ$28="Menor"),CONCATENATE("R2C",'Mapa final'!$R$28),"")</f>
        <v/>
      </c>
      <c r="T44" s="54" t="str">
        <f>IF(AND('Mapa final'!$AH$29="Baja",'Mapa final'!$AJ$29="Menor"),CONCATENATE("R2C",'Mapa final'!$R$29),"")</f>
        <v/>
      </c>
      <c r="U44" s="54" t="str">
        <f>IF(AND('Mapa final'!$AH$30="Baja",'Mapa final'!$AJ$30="Menor"),CONCATENATE("R2C",'Mapa final'!$R$30),"")</f>
        <v/>
      </c>
      <c r="V44" s="55" t="str">
        <f>IF(AND('Mapa final'!$AH$31="Baja",'Mapa final'!$AJ$31="Menor"),CONCATENATE("R2C",'Mapa final'!$R$31),"")</f>
        <v/>
      </c>
      <c r="W44" s="53" t="str">
        <f>IF(AND('Mapa final'!$AH$26="Baja",'Mapa final'!$AJ$26="Moderado"),CONCATENATE("R2C",'Mapa final'!$R$26),"")</f>
        <v/>
      </c>
      <c r="X44" s="54" t="str">
        <f>IF(AND('Mapa final'!$AH$27="Baja",'Mapa final'!$AJ$27="Moderado"),CONCATENATE("R2C",'Mapa final'!$R$27),"")</f>
        <v/>
      </c>
      <c r="Y44" s="54" t="str">
        <f>IF(AND('Mapa final'!$AH$28="Baja",'Mapa final'!$AJ$28="Moderado"),CONCATENATE("R2C",'Mapa final'!$R$28),"")</f>
        <v/>
      </c>
      <c r="Z44" s="54" t="str">
        <f>IF(AND('Mapa final'!$AH$29="Baja",'Mapa final'!$AJ$29="Moderado"),CONCATENATE("R2C",'Mapa final'!$R$29),"")</f>
        <v/>
      </c>
      <c r="AA44" s="54" t="str">
        <f>IF(AND('Mapa final'!$AH$30="Baja",'Mapa final'!$AJ$30="Moderado"),CONCATENATE("R2C",'Mapa final'!$R$30),"")</f>
        <v/>
      </c>
      <c r="AB44" s="55" t="str">
        <f>IF(AND('Mapa final'!$AH$31="Baja",'Mapa final'!$AJ$31="Moderado"),CONCATENATE("R2C",'Mapa final'!$R$31),"")</f>
        <v/>
      </c>
      <c r="AC44" s="38" t="str">
        <f>IF(AND('Mapa final'!$AH$26="Baja",'Mapa final'!$AJ$26="Mayor"),CONCATENATE("R2C",'Mapa final'!$R$26),"")</f>
        <v/>
      </c>
      <c r="AD44" s="39" t="str">
        <f>IF(AND('Mapa final'!$AH$27="Baja",'Mapa final'!$AJ$27="Mayor"),CONCATENATE("R2C",'Mapa final'!$R$27),"")</f>
        <v/>
      </c>
      <c r="AE44" s="39" t="str">
        <f>IF(AND('Mapa final'!$AH$28="Baja",'Mapa final'!$AJ$28="Mayor"),CONCATENATE("R2C",'Mapa final'!$R$28),"")</f>
        <v/>
      </c>
      <c r="AF44" s="39" t="str">
        <f>IF(AND('Mapa final'!$AH$29="Baja",'Mapa final'!$AJ$29="Mayor"),CONCATENATE("R2C",'Mapa final'!$R$29),"")</f>
        <v/>
      </c>
      <c r="AG44" s="39" t="str">
        <f>IF(AND('Mapa final'!$AH$30="Baja",'Mapa final'!$AJ$30="Mayor"),CONCATENATE("R2C",'Mapa final'!$R$30),"")</f>
        <v/>
      </c>
      <c r="AH44" s="40" t="str">
        <f>IF(AND('Mapa final'!$AH$31="Baja",'Mapa final'!$AJ$31="Mayor"),CONCATENATE("R2C",'Mapa final'!$R$31),"")</f>
        <v/>
      </c>
      <c r="AI44" s="41" t="str">
        <f>IF(AND('Mapa final'!$AH$26="Baja",'Mapa final'!$AJ$26="Catastrófico"),CONCATENATE("R2C",'Mapa final'!$R$26),"")</f>
        <v/>
      </c>
      <c r="AJ44" s="42" t="str">
        <f>IF(AND('Mapa final'!$AH$27="Baja",'Mapa final'!$AJ$27="Catastrófico"),CONCATENATE("R2C",'Mapa final'!$R$27),"")</f>
        <v/>
      </c>
      <c r="AK44" s="42" t="str">
        <f>IF(AND('Mapa final'!$AH$28="Baja",'Mapa final'!$AJ$28="Catastrófico"),CONCATENATE("R2C",'Mapa final'!$R$28),"")</f>
        <v/>
      </c>
      <c r="AL44" s="42" t="str">
        <f>IF(AND('Mapa final'!$AH$29="Baja",'Mapa final'!$AJ$29="Catastrófico"),CONCATENATE("R2C",'Mapa final'!$R$29),"")</f>
        <v/>
      </c>
      <c r="AM44" s="42" t="str">
        <f>IF(AND('Mapa final'!$AH$30="Baja",'Mapa final'!$AJ$30="Catastrófico"),CONCATENATE("R2C",'Mapa final'!$R$30),"")</f>
        <v/>
      </c>
      <c r="AN44" s="43" t="str">
        <f>IF(AND('Mapa final'!$AH$31="Baja",'Mapa final'!$AJ$31="Catastrófico"),CONCATENATE("R2C",'Mapa final'!$R$31),"")</f>
        <v/>
      </c>
      <c r="AO44" s="68"/>
      <c r="AP44" s="499"/>
      <c r="AQ44" s="500"/>
      <c r="AR44" s="500"/>
      <c r="AS44" s="500"/>
      <c r="AT44" s="500"/>
      <c r="AU44" s="501"/>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row>
    <row r="45" spans="2:77" ht="15" customHeight="1" x14ac:dyDescent="0.25">
      <c r="B45" s="68"/>
      <c r="C45" s="424"/>
      <c r="D45" s="424"/>
      <c r="E45" s="425"/>
      <c r="F45" s="467"/>
      <c r="G45" s="468"/>
      <c r="H45" s="468"/>
      <c r="I45" s="468"/>
      <c r="J45" s="468"/>
      <c r="K45" s="62" t="str">
        <f>IF(AND('Mapa final'!$AH$32="Baja",'Mapa final'!$AJ$32="Leve"),CONCATENATE("R2C",'Mapa final'!$R$32),"")</f>
        <v/>
      </c>
      <c r="L45" s="63" t="str">
        <f>IF(AND('Mapa final'!$AH$33="Baja",'Mapa final'!$AJ$33="Leve"),CONCATENATE("R2C",'Mapa final'!$R$33),"")</f>
        <v/>
      </c>
      <c r="M45" s="63" t="str">
        <f>IF(AND('Mapa final'!$AH$34="Baja",'Mapa final'!$AJ$34="Leve"),CONCATENATE("R2C",'Mapa final'!$R$34),"")</f>
        <v/>
      </c>
      <c r="N45" s="63" t="str">
        <f>IF(AND('Mapa final'!$AH$35="Baja",'Mapa final'!$AJ$35="Leve"),CONCATENATE("R2C",'Mapa final'!$R$35),"")</f>
        <v/>
      </c>
      <c r="O45" s="63" t="str">
        <f>IF(AND('Mapa final'!$AH$36="Baja",'Mapa final'!$AJ$36="Leve"),CONCATENATE("R2C",'Mapa final'!$R$36),"")</f>
        <v/>
      </c>
      <c r="P45" s="64" t="str">
        <f>IF(AND('Mapa final'!$AH$37="Baja",'Mapa final'!$AJ$37="Leve"),CONCATENATE("R2C",'Mapa final'!$R$37),"")</f>
        <v/>
      </c>
      <c r="Q45" s="53" t="str">
        <f>IF(AND('Mapa final'!$AH$32="Baja",'Mapa final'!$AJ$32="Menor"),CONCATENATE("R2C",'Mapa final'!$R$32),"")</f>
        <v/>
      </c>
      <c r="R45" s="54" t="str">
        <f>IF(AND('Mapa final'!$AH$33="Baja",'Mapa final'!$AJ$33="Menor"),CONCATENATE("R2C",'Mapa final'!$R$33),"")</f>
        <v/>
      </c>
      <c r="S45" s="54" t="str">
        <f>IF(AND('Mapa final'!$AH$34="Baja",'Mapa final'!$AJ$34="Menor"),CONCATENATE("R2C",'Mapa final'!$R$34),"")</f>
        <v/>
      </c>
      <c r="T45" s="54" t="str">
        <f>IF(AND('Mapa final'!$AH$35="Baja",'Mapa final'!$AJ$35="Menor"),CONCATENATE("R2C",'Mapa final'!$R$35),"")</f>
        <v/>
      </c>
      <c r="U45" s="54" t="str">
        <f>IF(AND('Mapa final'!$AH$36="Baja",'Mapa final'!$AJ$36="LMenor"),CONCATENATE("R2C",'Mapa final'!$R$36),"")</f>
        <v/>
      </c>
      <c r="V45" s="55" t="str">
        <f>IF(AND('Mapa final'!$AH$37="Baja",'Mapa final'!$AJ$37="Menor"),CONCATENATE("R2C",'Mapa final'!$R$37),"")</f>
        <v/>
      </c>
      <c r="W45" s="53" t="str">
        <f>IF(AND('Mapa final'!$AH$32="Baja",'Mapa final'!$AJ$32="Moderado"),CONCATENATE("R2C",'Mapa final'!$R$32),"")</f>
        <v/>
      </c>
      <c r="X45" s="54" t="str">
        <f>IF(AND('Mapa final'!$AH$33="Baja",'Mapa final'!$AJ$33="Moderado"),CONCATENATE("R2C",'Mapa final'!$R$33),"")</f>
        <v/>
      </c>
      <c r="Y45" s="54" t="str">
        <f>IF(AND('Mapa final'!$AH$34="Baja",'Mapa final'!$AJ$34="Moderado"),CONCATENATE("R2C",'Mapa final'!$R$34),"")</f>
        <v/>
      </c>
      <c r="Z45" s="54" t="str">
        <f>IF(AND('Mapa final'!$AH$35="Baja",'Mapa final'!$AJ$35="Moderado"),CONCATENATE("R2C",'Mapa final'!$R$35),"")</f>
        <v/>
      </c>
      <c r="AA45" s="54" t="str">
        <f>IF(AND('Mapa final'!$AH$36="Baja",'Mapa final'!$AJ$36="Moderado"),CONCATENATE("R2C",'Mapa final'!$R$36),"")</f>
        <v/>
      </c>
      <c r="AB45" s="55" t="str">
        <f>IF(AND('Mapa final'!$AH$37="Baja",'Mapa final'!$AJ$37="Moderado"),CONCATENATE("R2C",'Mapa final'!$R$37),"")</f>
        <v/>
      </c>
      <c r="AC45" s="38" t="str">
        <f>IF(AND('Mapa final'!$AH$32="Baja",'Mapa final'!$AJ$32="Mayor"),CONCATENATE("R2C",'Mapa final'!$R$32),"")</f>
        <v/>
      </c>
      <c r="AD45" s="39" t="str">
        <f>IF(AND('Mapa final'!$AH$33="Baja",'Mapa final'!$AJ$33="Mayor"),CONCATENATE("R2C",'Mapa final'!$R$33),"")</f>
        <v/>
      </c>
      <c r="AE45" s="39" t="str">
        <f>IF(AND('Mapa final'!$AH$34="Baja",'Mapa final'!$AJ$34="Mayor"),CONCATENATE("R2C",'Mapa final'!$R$34),"")</f>
        <v/>
      </c>
      <c r="AF45" s="39" t="str">
        <f>IF(AND('Mapa final'!$AH$35="Baja",'Mapa final'!$AJ$35="Mayor"),CONCATENATE("R2C",'Mapa final'!$R$35),"")</f>
        <v/>
      </c>
      <c r="AG45" s="39" t="str">
        <f>IF(AND('Mapa final'!$AH$36="Baja",'Mapa final'!$AJ$36="Mayor"),CONCATENATE("R2C",'Mapa final'!$R$36),"")</f>
        <v/>
      </c>
      <c r="AH45" s="40" t="str">
        <f>IF(AND('Mapa final'!$AH$37="Baja",'Mapa final'!$AJ$37="Mayor"),CONCATENATE("R2C",'Mapa final'!$R$37),"")</f>
        <v/>
      </c>
      <c r="AI45" s="41" t="str">
        <f>IF(AND('Mapa final'!$AH$32="Baja",'Mapa final'!$AJ$32="Catastrófico"),CONCATENATE("R2C",'Mapa final'!$R$32),"")</f>
        <v/>
      </c>
      <c r="AJ45" s="42" t="str">
        <f>IF(AND('Mapa final'!$AH$33="Baja",'Mapa final'!$AJ$33="Catastrófico"),CONCATENATE("R2C",'Mapa final'!$R$33),"")</f>
        <v/>
      </c>
      <c r="AK45" s="42" t="str">
        <f>IF(AND('Mapa final'!$AH$34="Baja",'Mapa final'!$AJ$34="Catastrófico"),CONCATENATE("R2C",'Mapa final'!$R$34),"")</f>
        <v/>
      </c>
      <c r="AL45" s="42" t="str">
        <f>IF(AND('Mapa final'!$AH$35="Baja",'Mapa final'!$AJ$35="Catastrófico"),CONCATENATE("R2C",'Mapa final'!$R$35),"")</f>
        <v/>
      </c>
      <c r="AM45" s="42" t="str">
        <f>IF(AND('Mapa final'!$AH$36="Baja",'Mapa final'!$AJ$36="LCatastrófico"),CONCATENATE("R2C",'Mapa final'!$R$36),"")</f>
        <v/>
      </c>
      <c r="AN45" s="43" t="str">
        <f>IF(AND('Mapa final'!$AH$37="Baja",'Mapa final'!$AJ$37="Catastrófico"),CONCATENATE("R2C",'Mapa final'!$R$37),"")</f>
        <v/>
      </c>
      <c r="AO45" s="68"/>
      <c r="AP45" s="499"/>
      <c r="AQ45" s="500"/>
      <c r="AR45" s="500"/>
      <c r="AS45" s="500"/>
      <c r="AT45" s="500"/>
      <c r="AU45" s="501"/>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row>
    <row r="46" spans="2:77" ht="15" customHeight="1" x14ac:dyDescent="0.25">
      <c r="B46" s="68"/>
      <c r="C46" s="424"/>
      <c r="D46" s="424"/>
      <c r="E46" s="425"/>
      <c r="F46" s="467"/>
      <c r="G46" s="468"/>
      <c r="H46" s="468"/>
      <c r="I46" s="468"/>
      <c r="J46" s="468"/>
      <c r="K46" s="62" t="str">
        <f>IF(AND('Mapa final'!$AH$38="Baja",'Mapa final'!$AJ$38="Leve"),CONCATENATE("R2C",'Mapa final'!$R$38),"")</f>
        <v/>
      </c>
      <c r="L46" s="63" t="str">
        <f>IF(AND('Mapa final'!$AH$39="Baja",'Mapa final'!$AJ$39="Leve"),CONCATENATE("R2C",'Mapa final'!$R$39),"")</f>
        <v/>
      </c>
      <c r="M46" s="63" t="str">
        <f>IF(AND('Mapa final'!$AH$40="Baja",'Mapa final'!$AJ$40="Leve"),CONCATENATE("R2C",'Mapa final'!$R$40),"")</f>
        <v/>
      </c>
      <c r="N46" s="63" t="str">
        <f>IF(AND('Mapa final'!$AH$41="Baja",'Mapa final'!$AJ$41="Leve"),CONCATENATE("R2C",'Mapa final'!$R$41),"")</f>
        <v/>
      </c>
      <c r="O46" s="63" t="str">
        <f>IF(AND('Mapa final'!$AH$42="Baja",'Mapa final'!$AJ$42="Leve"),CONCATENATE("R2C",'Mapa final'!$R$42),"")</f>
        <v/>
      </c>
      <c r="P46" s="64" t="str">
        <f>IF(AND('Mapa final'!$AH$43="Baja",'Mapa final'!$AJ$43="Leve"),CONCATENATE("R2C",'Mapa final'!$R$43),"")</f>
        <v/>
      </c>
      <c r="Q46" s="53" t="str">
        <f>IF(AND('Mapa final'!$AH$38="Baja",'Mapa final'!$AJ$38="Menor"),CONCATENATE("R2C",'Mapa final'!$R$38),"")</f>
        <v/>
      </c>
      <c r="R46" s="54" t="str">
        <f>IF(AND('Mapa final'!$AH$39="Baja",'Mapa final'!$AJ$39="Menor"),CONCATENATE("R2C",'Mapa final'!$R$39),"")</f>
        <v/>
      </c>
      <c r="S46" s="54" t="str">
        <f>IF(AND('Mapa final'!$AH$40="Baja",'Mapa final'!$AJ$40="Menor"),CONCATENATE("R2C",'Mapa final'!$R$40),"")</f>
        <v/>
      </c>
      <c r="T46" s="54" t="str">
        <f>IF(AND('Mapa final'!$AH$41="Baja",'Mapa final'!$AJ$41="Menor"),CONCATENATE("R2C",'Mapa final'!$R$41),"")</f>
        <v/>
      </c>
      <c r="U46" s="54" t="str">
        <f>IF(AND('Mapa final'!$AH$42="Baja",'Mapa final'!$AJ$42="Menor"),CONCATENATE("R2C",'Mapa final'!$R$42),"")</f>
        <v/>
      </c>
      <c r="V46" s="55" t="str">
        <f>IF(AND('Mapa final'!$AH$43="Baja",'Mapa final'!$AJ$43="Menor"),CONCATENATE("R2C",'Mapa final'!$R$43),"")</f>
        <v/>
      </c>
      <c r="W46" s="53" t="str">
        <f>IF(AND('Mapa final'!$AH$38="Baja",'Mapa final'!$AJ$38="Moderado"),CONCATENATE("R2C",'Mapa final'!$R$38),"")</f>
        <v/>
      </c>
      <c r="X46" s="54" t="str">
        <f>IF(AND('Mapa final'!$AH$39="Baja",'Mapa final'!$AJ$39="Moderado"),CONCATENATE("R2C",'Mapa final'!$R$39),"")</f>
        <v/>
      </c>
      <c r="Y46" s="54" t="str">
        <f>IF(AND('Mapa final'!$AH$40="Baja",'Mapa final'!$AJ$40="Moderado"),CONCATENATE("R2C",'Mapa final'!$R$40),"")</f>
        <v/>
      </c>
      <c r="Z46" s="54" t="str">
        <f>IF(AND('Mapa final'!$AH$41="Baja",'Mapa final'!$AJ$41="Moderado"),CONCATENATE("R2C",'Mapa final'!$R$41),"")</f>
        <v/>
      </c>
      <c r="AA46" s="54" t="str">
        <f>IF(AND('Mapa final'!$AH$42="Baja",'Mapa final'!$AJ$42="Moderado"),CONCATENATE("R2C",'Mapa final'!$R$42),"")</f>
        <v/>
      </c>
      <c r="AB46" s="55" t="str">
        <f>IF(AND('Mapa final'!$AH$43="Baja",'Mapa final'!$AJ$43="Moderado"),CONCATENATE("R2C",'Mapa final'!$R$43),"")</f>
        <v/>
      </c>
      <c r="AC46" s="38" t="str">
        <f>IF(AND('Mapa final'!$AH$38="Baja",'Mapa final'!$AJ$38="Mayor"),CONCATENATE("R2C",'Mapa final'!$R$38),"")</f>
        <v/>
      </c>
      <c r="AD46" s="39" t="str">
        <f>IF(AND('Mapa final'!$AH$39="Baja",'Mapa final'!$AJ$39="Mayor"),CONCATENATE("R2C",'Mapa final'!$R$39),"")</f>
        <v/>
      </c>
      <c r="AE46" s="39" t="str">
        <f>IF(AND('Mapa final'!$AH$40="Baja",'Mapa final'!$AJ$40="Mayor"),CONCATENATE("R2C",'Mapa final'!$R$40),"")</f>
        <v/>
      </c>
      <c r="AF46" s="39" t="str">
        <f>IF(AND('Mapa final'!$AH$41="Baja",'Mapa final'!$AJ$41="Mayor"),CONCATENATE("R2C",'Mapa final'!$R$41),"")</f>
        <v/>
      </c>
      <c r="AG46" s="39" t="str">
        <f>IF(AND('Mapa final'!$AH$42="Baja",'Mapa final'!$AJ$42="Mayor"),CONCATENATE("R2C",'Mapa final'!$R$42),"")</f>
        <v/>
      </c>
      <c r="AH46" s="40" t="str">
        <f>IF(AND('Mapa final'!$AH$43="Baja",'Mapa final'!$AJ$43="Mayor"),CONCATENATE("R2C",'Mapa final'!$R$43),"")</f>
        <v/>
      </c>
      <c r="AI46" s="41" t="str">
        <f>IF(AND('Mapa final'!$AH$38="Baja",'Mapa final'!$AJ$38="Catastrófico"),CONCATENATE("R2C",'Mapa final'!$R$38),"")</f>
        <v/>
      </c>
      <c r="AJ46" s="42" t="str">
        <f>IF(AND('Mapa final'!$AH$39="Baja",'Mapa final'!$AJ$39="Catastrófico"),CONCATENATE("R2C",'Mapa final'!$R$39),"")</f>
        <v/>
      </c>
      <c r="AK46" s="42" t="str">
        <f>IF(AND('Mapa final'!$AH$40="Baja",'Mapa final'!$AJ$40="Catastrófico"),CONCATENATE("R2C",'Mapa final'!$R$40),"")</f>
        <v/>
      </c>
      <c r="AL46" s="42" t="str">
        <f>IF(AND('Mapa final'!$AH$41="Baja",'Mapa final'!$AJ$41="Catastrófico"),CONCATENATE("R2C",'Mapa final'!$R$41),"")</f>
        <v/>
      </c>
      <c r="AM46" s="42" t="str">
        <f>IF(AND('Mapa final'!$AH$42="Baja",'Mapa final'!$AJ$42="Catastrófico"),CONCATENATE("R2C",'Mapa final'!$R$42),"")</f>
        <v/>
      </c>
      <c r="AN46" s="43" t="str">
        <f>IF(AND('Mapa final'!$AH$43="Baja",'Mapa final'!$AJ$43="Catastrófico"),CONCATENATE("R2C",'Mapa final'!$R$43),"")</f>
        <v/>
      </c>
      <c r="AO46" s="68"/>
      <c r="AP46" s="499"/>
      <c r="AQ46" s="500"/>
      <c r="AR46" s="500"/>
      <c r="AS46" s="500"/>
      <c r="AT46" s="500"/>
      <c r="AU46" s="501"/>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row>
    <row r="47" spans="2:77" ht="15" customHeight="1" x14ac:dyDescent="0.25">
      <c r="B47" s="68"/>
      <c r="C47" s="424"/>
      <c r="D47" s="424"/>
      <c r="E47" s="425"/>
      <c r="F47" s="467"/>
      <c r="G47" s="468"/>
      <c r="H47" s="468"/>
      <c r="I47" s="468"/>
      <c r="J47" s="468"/>
      <c r="K47" s="62" t="str">
        <f>IF(AND('Mapa final'!$AH$44="Baja",'Mapa final'!$AJ$44="Leve"),CONCATENATE("R2C",'Mapa final'!$R$44),"")</f>
        <v/>
      </c>
      <c r="L47" s="63" t="str">
        <f>IF(AND('Mapa final'!$AH$45="Baja",'Mapa final'!$AJ$45="Leve"),CONCATENATE("R2C",'Mapa final'!$R$45),"")</f>
        <v/>
      </c>
      <c r="M47" s="63" t="str">
        <f>IF(AND('Mapa final'!$AH$46="Baja",'Mapa final'!$AJ$46="Leve"),CONCATENATE("R2C",'Mapa final'!$R$46),"")</f>
        <v/>
      </c>
      <c r="N47" s="63" t="str">
        <f>IF(AND('Mapa final'!$AH$47="Baja",'Mapa final'!$AJ$47="Leve"),CONCATENATE("R2C",'Mapa final'!$R$47),"")</f>
        <v/>
      </c>
      <c r="O47" s="63" t="str">
        <f>IF(AND('Mapa final'!$AH$48="Baja",'Mapa final'!$AJ$48="Leve"),CONCATENATE("R2C",'Mapa final'!$R$48),"")</f>
        <v/>
      </c>
      <c r="P47" s="64" t="str">
        <f>IF(AND('Mapa final'!$AH$59="Baja",'Mapa final'!$AJ$49="Leve"),CONCATENATE("R2C",'Mapa final'!$R$49),"")</f>
        <v/>
      </c>
      <c r="Q47" s="53" t="str">
        <f>IF(AND('Mapa final'!$AH$44="Baja",'Mapa final'!$AJ$44="Menor"),CONCATENATE("R2C",'Mapa final'!$R$44),"")</f>
        <v/>
      </c>
      <c r="R47" s="54" t="str">
        <f>IF(AND('Mapa final'!$AH$45="Baja",'Mapa final'!$AJ$45="Menor"),CONCATENATE("R2C",'Mapa final'!$R$45),"")</f>
        <v/>
      </c>
      <c r="S47" s="54" t="str">
        <f>IF(AND('Mapa final'!$AH$46="Baja",'Mapa final'!$AJ$46="Menor"),CONCATENATE("R2C",'Mapa final'!$R$46),"")</f>
        <v/>
      </c>
      <c r="T47" s="54" t="str">
        <f>IF(AND('Mapa final'!$AH$47="Baja",'Mapa final'!$AJ$47="Menor"),CONCATENATE("R2C",'Mapa final'!$R$47),"")</f>
        <v/>
      </c>
      <c r="U47" s="54" t="str">
        <f>IF(AND('Mapa final'!$AH$48="Baja",'Mapa final'!$AJ$48="Menor"),CONCATENATE("R2C",'Mapa final'!$R$48),"")</f>
        <v/>
      </c>
      <c r="V47" s="55" t="str">
        <f>IF(AND('Mapa final'!$AH$59="Baja",'Mapa final'!$AJ$49="Menor"),CONCATENATE("R2C",'Mapa final'!$R$49),"")</f>
        <v/>
      </c>
      <c r="W47" s="53" t="str">
        <f>IF(AND('Mapa final'!$AH$44="Baja",'Mapa final'!$AJ$44="Moderado"),CONCATENATE("R2C",'Mapa final'!$R$44),"")</f>
        <v/>
      </c>
      <c r="X47" s="54" t="str">
        <f>IF(AND('Mapa final'!$AH$45="Baja",'Mapa final'!$AJ$45="Moderado"),CONCATENATE("R2C",'Mapa final'!$R$45),"")</f>
        <v/>
      </c>
      <c r="Y47" s="54" t="str">
        <f>IF(AND('Mapa final'!$AH$46="Baja",'Mapa final'!$AJ$46="Moderado"),CONCATENATE("R2C",'Mapa final'!$R$46),"")</f>
        <v/>
      </c>
      <c r="Z47" s="54" t="str">
        <f>IF(AND('Mapa final'!$AH$47="Baja",'Mapa final'!$AJ$47="Moderado"),CONCATENATE("R2C",'Mapa final'!$R$47),"")</f>
        <v/>
      </c>
      <c r="AA47" s="54" t="str">
        <f>IF(AND('Mapa final'!$AH$48="Baja",'Mapa final'!$AJ$48="Moderado"),CONCATENATE("R2C",'Mapa final'!$R$48),"")</f>
        <v/>
      </c>
      <c r="AB47" s="55" t="str">
        <f>IF(AND('Mapa final'!$AH$59="Baja",'Mapa final'!$AJ$49="Moderado"),CONCATENATE("R2C",'Mapa final'!$R$49),"")</f>
        <v/>
      </c>
      <c r="AC47" s="38" t="str">
        <f>IF(AND('Mapa final'!$AH$44="Baja",'Mapa final'!$AJ$44="Mayor"),CONCATENATE("R2C",'Mapa final'!$R$44),"")</f>
        <v/>
      </c>
      <c r="AD47" s="39" t="str">
        <f>IF(AND('Mapa final'!$AH$45="Baja",'Mapa final'!$AJ$45="Mayor"),CONCATENATE("R2C",'Mapa final'!$R$45),"")</f>
        <v/>
      </c>
      <c r="AE47" s="39" t="str">
        <f>IF(AND('Mapa final'!$AH$46="Baja",'Mapa final'!$AJ$46="Mayor"),CONCATENATE("R2C",'Mapa final'!$R$46),"")</f>
        <v/>
      </c>
      <c r="AF47" s="39" t="str">
        <f>IF(AND('Mapa final'!$AH$47="Baja",'Mapa final'!$AJ$47="Mayor"),CONCATENATE("R2C",'Mapa final'!$R$47),"")</f>
        <v/>
      </c>
      <c r="AG47" s="39" t="str">
        <f>IF(AND('Mapa final'!$AH$48="Baja",'Mapa final'!$AJ$48="Mayor"),CONCATENATE("R2C",'Mapa final'!$R$48),"")</f>
        <v/>
      </c>
      <c r="AH47" s="40" t="str">
        <f>IF(AND('Mapa final'!$AH$59="Baja",'Mapa final'!$AJ$49="Mayor"),CONCATENATE("R2C",'Mapa final'!$R$49),"")</f>
        <v/>
      </c>
      <c r="AI47" s="41" t="str">
        <f>IF(AND('Mapa final'!$AH$44="Baja",'Mapa final'!$AJ$44="Catastrófico"),CONCATENATE("R2C",'Mapa final'!$R$44),"")</f>
        <v/>
      </c>
      <c r="AJ47" s="42" t="str">
        <f>IF(AND('Mapa final'!$AH$45="Baja",'Mapa final'!$AJ$45="Catastrófico"),CONCATENATE("R2C",'Mapa final'!$R$45),"")</f>
        <v/>
      </c>
      <c r="AK47" s="42" t="str">
        <f>IF(AND('Mapa final'!$AH$46="Baja",'Mapa final'!$AJ$46="Catastrófico"),CONCATENATE("R2C",'Mapa final'!$R$46),"")</f>
        <v/>
      </c>
      <c r="AL47" s="42" t="str">
        <f>IF(AND('Mapa final'!$AH$47="Baja",'Mapa final'!$AJ$47="Catastrófico"),CONCATENATE("R2C",'Mapa final'!$R$47),"")</f>
        <v/>
      </c>
      <c r="AM47" s="42" t="str">
        <f>IF(AND('Mapa final'!$AH$48="Baja",'Mapa final'!$AJ$48="Catastrófico"),CONCATENATE("R2C",'Mapa final'!$R$48),"")</f>
        <v/>
      </c>
      <c r="AN47" s="43" t="str">
        <f>IF(AND('Mapa final'!$AH$59="Baja",'Mapa final'!$AJ$49="Catastrófico"),CONCATENATE("R2C",'Mapa final'!$R$49),"")</f>
        <v/>
      </c>
      <c r="AO47" s="68"/>
      <c r="AP47" s="499"/>
      <c r="AQ47" s="500"/>
      <c r="AR47" s="500"/>
      <c r="AS47" s="500"/>
      <c r="AT47" s="500"/>
      <c r="AU47" s="501"/>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row>
    <row r="48" spans="2:77" ht="15" customHeight="1" x14ac:dyDescent="0.25">
      <c r="B48" s="68"/>
      <c r="C48" s="424"/>
      <c r="D48" s="424"/>
      <c r="E48" s="425"/>
      <c r="F48" s="467"/>
      <c r="G48" s="468"/>
      <c r="H48" s="468"/>
      <c r="I48" s="468"/>
      <c r="J48" s="468"/>
      <c r="K48" s="62" t="str">
        <f>IF(AND('Mapa final'!$AH$50="Baja",'Mapa final'!$AJ$50="Leve"),CONCATENATE("R2C",'Mapa final'!$R$50),"")</f>
        <v/>
      </c>
      <c r="L48" s="63" t="str">
        <f>IF(AND('Mapa final'!$AH$51="Baja",'Mapa final'!$AJ$51="Leve"),CONCATENATE("R2C",'Mapa final'!$R$51),"")</f>
        <v/>
      </c>
      <c r="M48" s="63" t="str">
        <f>IF(AND('Mapa final'!$AH$52="Baja",'Mapa final'!$AJ$52="Leve"),CONCATENATE("R2C",'Mapa final'!$R$52),"")</f>
        <v/>
      </c>
      <c r="N48" s="63" t="str">
        <f>IF(AND('Mapa final'!$AH$53="Baja",'Mapa final'!$AJ$53="Leve"),CONCATENATE("R2C",'Mapa final'!$R$53),"")</f>
        <v/>
      </c>
      <c r="O48" s="63" t="str">
        <f>IF(AND('Mapa final'!$AH$54="Baja",'Mapa final'!$AJ$54="Leve"),CONCATENATE("R2C",'Mapa final'!$R$54),"")</f>
        <v/>
      </c>
      <c r="P48" s="64" t="str">
        <f>IF(AND('Mapa final'!$AH$55="Baja",'Mapa final'!$AJ$55="Leve"),CONCATENATE("R2C",'Mapa final'!$R$55),"")</f>
        <v/>
      </c>
      <c r="Q48" s="53" t="str">
        <f>IF(AND('Mapa final'!$AH$50="Baja",'Mapa final'!$AJ$50="Menor"),CONCATENATE("R2C",'Mapa final'!$R$50),"")</f>
        <v/>
      </c>
      <c r="R48" s="54" t="str">
        <f>IF(AND('Mapa final'!$AH$51="Baja",'Mapa final'!$AJ$51="Menor"),CONCATENATE("R2C",'Mapa final'!$R$51),"")</f>
        <v/>
      </c>
      <c r="S48" s="54" t="str">
        <f>IF(AND('Mapa final'!$AH$52="Baja",'Mapa final'!$AJ$52="Menor"),CONCATENATE("R2C",'Mapa final'!$R$52),"")</f>
        <v/>
      </c>
      <c r="T48" s="54" t="str">
        <f>IF(AND('Mapa final'!$AH$53="Baja",'Mapa final'!$AJ$53="Menor"),CONCATENATE("R2C",'Mapa final'!$R$53),"")</f>
        <v/>
      </c>
      <c r="U48" s="54" t="str">
        <f>IF(AND('Mapa final'!$AH$54="Baja",'Mapa final'!$AJ$54="Menor"),CONCATENATE("R2C",'Mapa final'!$R$54),"")</f>
        <v/>
      </c>
      <c r="V48" s="55" t="str">
        <f>IF(AND('Mapa final'!$AH$55="Baja",'Mapa final'!$AJ$55="Menor"),CONCATENATE("R2C",'Mapa final'!$R$55),"")</f>
        <v/>
      </c>
      <c r="W48" s="53" t="str">
        <f>IF(AND('Mapa final'!$AH$50="Baja",'Mapa final'!$AJ$50="Moderado"),CONCATENATE("R2C",'Mapa final'!$R$50),"")</f>
        <v/>
      </c>
      <c r="X48" s="54" t="str">
        <f>IF(AND('Mapa final'!$AH$51="Baja",'Mapa final'!$AJ$51="Moderado"),CONCATENATE("R2C",'Mapa final'!$R$51),"")</f>
        <v/>
      </c>
      <c r="Y48" s="54" t="str">
        <f>IF(AND('Mapa final'!$AH$52="Baja",'Mapa final'!$AJ$52="Moderado"),CONCATENATE("R2C",'Mapa final'!$R$52),"")</f>
        <v/>
      </c>
      <c r="Z48" s="54" t="str">
        <f>IF(AND('Mapa final'!$AH$53="Baja",'Mapa final'!$AJ$53="Moderado"),CONCATENATE("R2C",'Mapa final'!$R$53),"")</f>
        <v/>
      </c>
      <c r="AA48" s="54" t="str">
        <f>IF(AND('Mapa final'!$AH$54="Baja",'Mapa final'!$AJ$54="Moderado"),CONCATENATE("R2C",'Mapa final'!$R$54),"")</f>
        <v/>
      </c>
      <c r="AB48" s="55" t="str">
        <f>IF(AND('Mapa final'!$AH$55="Baja",'Mapa final'!$AJ$55="Moderado"),CONCATENATE("R2C",'Mapa final'!$R$55),"")</f>
        <v/>
      </c>
      <c r="AC48" s="38" t="str">
        <f>IF(AND('Mapa final'!$AH$50="Baja",'Mapa final'!$AJ$50="Mayor"),CONCATENATE("R2C",'Mapa final'!$R$50),"")</f>
        <v/>
      </c>
      <c r="AD48" s="39" t="str">
        <f>IF(AND('Mapa final'!$AH$51="Baja",'Mapa final'!$AJ$51="Mayor"),CONCATENATE("R2C",'Mapa final'!$R$51),"")</f>
        <v/>
      </c>
      <c r="AE48" s="39" t="str">
        <f>IF(AND('Mapa final'!$AH$52="Baja",'Mapa final'!$AJ$52="Mayor"),CONCATENATE("R2C",'Mapa final'!$R$52),"")</f>
        <v/>
      </c>
      <c r="AF48" s="39" t="str">
        <f>IF(AND('Mapa final'!$AH$53="Baja",'Mapa final'!$AJ$53="Mayor"),CONCATENATE("R2C",'Mapa final'!$R$53),"")</f>
        <v/>
      </c>
      <c r="AG48" s="39" t="str">
        <f>IF(AND('Mapa final'!$AH$54="Baja",'Mapa final'!$AJ$54="Mayor"),CONCATENATE("R2C",'Mapa final'!$R$54),"")</f>
        <v/>
      </c>
      <c r="AH48" s="40" t="str">
        <f>IF(AND('Mapa final'!$AH$55="Baja",'Mapa final'!$AJ$55="Mayor"),CONCATENATE("R2C",'Mapa final'!$R$55),"")</f>
        <v/>
      </c>
      <c r="AI48" s="41" t="str">
        <f>IF(AND('Mapa final'!$AH$50="Baja",'Mapa final'!$AJ$50="Catastrófico"),CONCATENATE("R2C",'Mapa final'!$R$50),"")</f>
        <v/>
      </c>
      <c r="AJ48" s="42" t="str">
        <f>IF(AND('Mapa final'!$AH$51="Baja",'Mapa final'!$AJ$51="Catastrófico"),CONCATENATE("R2C",'Mapa final'!$R$51),"")</f>
        <v/>
      </c>
      <c r="AK48" s="42" t="str">
        <f>IF(AND('Mapa final'!$AH$52="Baja",'Mapa final'!$AJ$52="Catastrófico"),CONCATENATE("R2C",'Mapa final'!$R$52),"")</f>
        <v/>
      </c>
      <c r="AL48" s="42" t="str">
        <f>IF(AND('Mapa final'!$AH$53="Baja",'Mapa final'!$AJ$53="Catastrófico"),CONCATENATE("R2C",'Mapa final'!$R$53),"")</f>
        <v/>
      </c>
      <c r="AM48" s="42" t="str">
        <f>IF(AND('Mapa final'!$AH$54="Baja",'Mapa final'!$AJ$54="Catastrófico"),CONCATENATE("R2C",'Mapa final'!$R$54),"")</f>
        <v/>
      </c>
      <c r="AN48" s="43" t="str">
        <f>IF(AND('Mapa final'!$AH$55="Baja",'Mapa final'!$AJ$55="Catastrófico"),CONCATENATE("R2C",'Mapa final'!$R$55),"")</f>
        <v/>
      </c>
      <c r="AO48" s="68"/>
      <c r="AP48" s="499"/>
      <c r="AQ48" s="500"/>
      <c r="AR48" s="500"/>
      <c r="AS48" s="500"/>
      <c r="AT48" s="500"/>
      <c r="AU48" s="501"/>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row>
    <row r="49" spans="2:81" ht="15" customHeight="1" x14ac:dyDescent="0.25">
      <c r="B49" s="68"/>
      <c r="C49" s="424"/>
      <c r="D49" s="424"/>
      <c r="E49" s="425"/>
      <c r="F49" s="467"/>
      <c r="G49" s="468"/>
      <c r="H49" s="468"/>
      <c r="I49" s="468"/>
      <c r="J49" s="468"/>
      <c r="K49" s="62" t="str">
        <f>IF(AND('Mapa final'!$AH$56="Baja",'Mapa final'!$AJ$56="Leve"),CONCATENATE("R2C",'Mapa final'!$R$56),"")</f>
        <v/>
      </c>
      <c r="L49" s="63" t="str">
        <f>IF(AND('Mapa final'!$AH$57="Baja",'Mapa final'!$AJ$57="Leve"),CONCATENATE("R2C",'Mapa final'!$R$57),"")</f>
        <v/>
      </c>
      <c r="M49" s="63" t="str">
        <f>IF(AND('Mapa final'!$AH$58="Baja",'Mapa final'!$AJ$58="Leve"),CONCATENATE("R2C",'Mapa final'!$R$58),"")</f>
        <v/>
      </c>
      <c r="N49" s="63" t="str">
        <f>IF(AND('Mapa final'!$AH$59="Baja",'Mapa final'!$AJ$59="Leve"),CONCATENATE("R2C",'Mapa final'!$R$59),"")</f>
        <v/>
      </c>
      <c r="O49" s="63" t="str">
        <f>IF(AND('Mapa final'!$AH$60="Baja",'Mapa final'!$AJ$60="Leve"),CONCATENATE("R2C",'Mapa final'!$R$60),"")</f>
        <v/>
      </c>
      <c r="P49" s="64" t="str">
        <f>IF(AND('Mapa final'!$AH$61="Baja",'Mapa final'!$AJ$61="Leve"),CONCATENATE("R2C",'Mapa final'!$R$61),"")</f>
        <v/>
      </c>
      <c r="Q49" s="53" t="str">
        <f>IF(AND('Mapa final'!$AH$56="Baja",'Mapa final'!$AJ$56="Menor"),CONCATENATE("R2C",'Mapa final'!$R$56),"")</f>
        <v/>
      </c>
      <c r="R49" s="54" t="str">
        <f>IF(AND('Mapa final'!$AH$57="Baja",'Mapa final'!$AJ$57="Menor"),CONCATENATE("R2C",'Mapa final'!$R$57),"")</f>
        <v/>
      </c>
      <c r="S49" s="54" t="str">
        <f>IF(AND('Mapa final'!$AH$58="Baja",'Mapa final'!$AJ$58="Menor"),CONCATENATE("R2C",'Mapa final'!$R$58),"")</f>
        <v/>
      </c>
      <c r="T49" s="54" t="str">
        <f>IF(AND('Mapa final'!$AH$59="Baja",'Mapa final'!$AJ$59="Menor"),CONCATENATE("R2C",'Mapa final'!$R$59),"")</f>
        <v/>
      </c>
      <c r="U49" s="54" t="str">
        <f>IF(AND('Mapa final'!$AH$60="Baja",'Mapa final'!$AJ$60="Menor"),CONCATENATE("R2C",'Mapa final'!$R$60),"")</f>
        <v/>
      </c>
      <c r="V49" s="55" t="str">
        <f>IF(AND('Mapa final'!$AH$61="Baja",'Mapa final'!$AJ$61="Menor"),CONCATENATE("R2C",'Mapa final'!$R$61),"")</f>
        <v/>
      </c>
      <c r="W49" s="53" t="str">
        <f>IF(AND('Mapa final'!$AH$56="Baja",'Mapa final'!$AJ$56="Moderado"),CONCATENATE("R2C",'Mapa final'!$R$56),"")</f>
        <v/>
      </c>
      <c r="X49" s="54" t="str">
        <f>IF(AND('Mapa final'!$AH$57="Baja",'Mapa final'!$AJ$57="Moderado"),CONCATENATE("R2C",'Mapa final'!$R$57),"")</f>
        <v/>
      </c>
      <c r="Y49" s="54" t="str">
        <f>IF(AND('Mapa final'!$AH$58="Baja",'Mapa final'!$AJ$58="Moderado"),CONCATENATE("R2C",'Mapa final'!$R$58),"")</f>
        <v/>
      </c>
      <c r="Z49" s="54" t="str">
        <f>IF(AND('Mapa final'!$AH$59="Baja",'Mapa final'!$AJ$59="Moderado"),CONCATENATE("R2C",'Mapa final'!$R$59),"")</f>
        <v/>
      </c>
      <c r="AA49" s="54" t="str">
        <f>IF(AND('Mapa final'!$AH$60="Baja",'Mapa final'!$AJ$60="Moderado"),CONCATENATE("R2C",'Mapa final'!$R$60),"")</f>
        <v/>
      </c>
      <c r="AB49" s="55" t="str">
        <f>IF(AND('Mapa final'!$AH$61="Baja",'Mapa final'!$AJ$61="Moderado"),CONCATENATE("R2C",'Mapa final'!$R$61),"")</f>
        <v/>
      </c>
      <c r="AC49" s="38" t="str">
        <f>IF(AND('Mapa final'!$AH$56="Baja",'Mapa final'!$AJ$56="Mayor"),CONCATENATE("R2C",'Mapa final'!$R$56),"")</f>
        <v/>
      </c>
      <c r="AD49" s="39" t="str">
        <f>IF(AND('Mapa final'!$AH$57="Baja",'Mapa final'!$AJ$57="Mayor"),CONCATENATE("R2C",'Mapa final'!$R$57),"")</f>
        <v/>
      </c>
      <c r="AE49" s="39" t="str">
        <f>IF(AND('Mapa final'!$AH$58="Baja",'Mapa final'!$AJ$58="Mayor"),CONCATENATE("R2C",'Mapa final'!$R$58),"")</f>
        <v/>
      </c>
      <c r="AF49" s="39" t="str">
        <f>IF(AND('Mapa final'!$AH$59="Baja",'Mapa final'!$AJ$59="Mayor"),CONCATENATE("R2C",'Mapa final'!$R$59),"")</f>
        <v/>
      </c>
      <c r="AG49" s="39" t="str">
        <f>IF(AND('Mapa final'!$AH$60="Baja",'Mapa final'!$AJ$60="Mayor"),CONCATENATE("R2C",'Mapa final'!$R$60),"")</f>
        <v/>
      </c>
      <c r="AH49" s="40" t="str">
        <f>IF(AND('Mapa final'!$AH$61="Baja",'Mapa final'!$AJ$61="Mayor"),CONCATENATE("R2C",'Mapa final'!$R$61),"")</f>
        <v/>
      </c>
      <c r="AI49" s="41" t="str">
        <f>IF(AND('Mapa final'!$AH$56="Baja",'Mapa final'!$AJ$56="Catastrófico"),CONCATENATE("R2C",'Mapa final'!$R$56),"")</f>
        <v/>
      </c>
      <c r="AJ49" s="42" t="str">
        <f>IF(AND('Mapa final'!$AH$57="Baja",'Mapa final'!$AJ$57="Catastrófico"),CONCATENATE("R2C",'Mapa final'!$R$57),"")</f>
        <v/>
      </c>
      <c r="AK49" s="42" t="str">
        <f>IF(AND('Mapa final'!$AH$58="Baja",'Mapa final'!$AJ$58="Catastrófico"),CONCATENATE("R2C",'Mapa final'!$R$58),"")</f>
        <v/>
      </c>
      <c r="AL49" s="42" t="str">
        <f>IF(AND('Mapa final'!$AH$59="Baja",'Mapa final'!$AJ$59="Catastrófico"),CONCATENATE("R2C",'Mapa final'!$R$59),"")</f>
        <v/>
      </c>
      <c r="AM49" s="42" t="str">
        <f>IF(AND('Mapa final'!$AH$60="Baja",'Mapa final'!$AJ$60="Catastrófico"),CONCATENATE("R2C",'Mapa final'!$R$60),"")</f>
        <v/>
      </c>
      <c r="AN49" s="43" t="str">
        <f>IF(AND('Mapa final'!$AH$61="Baja",'Mapa final'!$AJ$61="Catastrófico"),CONCATENATE("R2C",'Mapa final'!$R$61),"")</f>
        <v/>
      </c>
      <c r="AO49" s="68"/>
      <c r="AP49" s="499"/>
      <c r="AQ49" s="500"/>
      <c r="AR49" s="500"/>
      <c r="AS49" s="500"/>
      <c r="AT49" s="500"/>
      <c r="AU49" s="501"/>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row>
    <row r="50" spans="2:81" ht="15" customHeight="1" x14ac:dyDescent="0.25">
      <c r="B50" s="68"/>
      <c r="C50" s="424"/>
      <c r="D50" s="424"/>
      <c r="E50" s="425"/>
      <c r="F50" s="467"/>
      <c r="G50" s="468"/>
      <c r="H50" s="468"/>
      <c r="I50" s="468"/>
      <c r="J50" s="468"/>
      <c r="K50" s="62" t="str">
        <f>IF(AND('Mapa final'!$AH$62="Baja",'Mapa final'!$AJ$62="Leve"),CONCATENATE("R2C",'Mapa final'!$R$62),"")</f>
        <v/>
      </c>
      <c r="L50" s="63" t="str">
        <f>IF(AND('Mapa final'!$AH$63="Baja",'Mapa final'!$AJ$63="Leve"),CONCATENATE("R2C",'Mapa final'!$R$63),"")</f>
        <v/>
      </c>
      <c r="M50" s="63" t="str">
        <f>IF(AND('Mapa final'!$AH$64="Baja",'Mapa final'!$AJ$64="Leve"),CONCATENATE("R2C",'Mapa final'!$R$64),"")</f>
        <v/>
      </c>
      <c r="N50" s="63" t="str">
        <f>IF(AND('Mapa final'!$AH$65="Baja",'Mapa final'!$AJ$65="Leve"),CONCATENATE("R2C",'Mapa final'!$R$65),"")</f>
        <v/>
      </c>
      <c r="O50" s="63" t="str">
        <f>IF(AND('Mapa final'!$AH$66="Baja",'Mapa final'!$AJ$66="Leve"),CONCATENATE("R2C",'Mapa final'!$R$66),"")</f>
        <v/>
      </c>
      <c r="P50" s="64" t="str">
        <f>IF(AND('Mapa final'!$AH$67="Baja",'Mapa final'!$AJ$67="Leve"),CONCATENATE("R2C",'Mapa final'!$R$67),"")</f>
        <v/>
      </c>
      <c r="Q50" s="53" t="str">
        <f>IF(AND('Mapa final'!$AH$62="Baja",'Mapa final'!$AJ$62="Menor"),CONCATENATE("R2C",'Mapa final'!$R$62),"")</f>
        <v/>
      </c>
      <c r="R50" s="54" t="str">
        <f>IF(AND('Mapa final'!$AH$63="Baja",'Mapa final'!$AJ$63="Menor"),CONCATENATE("R2C",'Mapa final'!$R$63),"")</f>
        <v/>
      </c>
      <c r="S50" s="54" t="str">
        <f>IF(AND('Mapa final'!$AH$64="Baja",'Mapa final'!$AJ$64="Menor"),CONCATENATE("R2C",'Mapa final'!$R$64),"")</f>
        <v/>
      </c>
      <c r="T50" s="54" t="str">
        <f>IF(AND('Mapa final'!$AH$65="Baja",'Mapa final'!$AJ$65="Menor"),CONCATENATE("R2C",'Mapa final'!$R$65),"")</f>
        <v/>
      </c>
      <c r="U50" s="54" t="str">
        <f>IF(AND('Mapa final'!$AH$66="Baja",'Mapa final'!$AJ$66="Menor"),CONCATENATE("R2C",'Mapa final'!$R$66),"")</f>
        <v/>
      </c>
      <c r="V50" s="55" t="str">
        <f>IF(AND('Mapa final'!$AH$67="Baja",'Mapa final'!$AJ$67="Menor"),CONCATENATE("R2C",'Mapa final'!$R$67),"")</f>
        <v/>
      </c>
      <c r="W50" s="53" t="str">
        <f>IF(AND('Mapa final'!$AH$62="Baja",'Mapa final'!$AJ$62="Moderado"),CONCATENATE("R2C",'Mapa final'!$R$62),"")</f>
        <v/>
      </c>
      <c r="X50" s="54" t="str">
        <f>IF(AND('Mapa final'!$AH$63="Baja",'Mapa final'!$AJ$63="Moderado"),CONCATENATE("R2C",'Mapa final'!$R$63),"")</f>
        <v/>
      </c>
      <c r="Y50" s="54" t="str">
        <f>IF(AND('Mapa final'!$AH$64="Baja",'Mapa final'!$AJ$64="Moderado"),CONCATENATE("R2C",'Mapa final'!$R$64),"")</f>
        <v/>
      </c>
      <c r="Z50" s="54" t="str">
        <f>IF(AND('Mapa final'!$AH$65="Baja",'Mapa final'!$AJ$65="Moderado"),CONCATENATE("R2C",'Mapa final'!$R$65),"")</f>
        <v/>
      </c>
      <c r="AA50" s="54" t="str">
        <f>IF(AND('Mapa final'!$AH$66="Baja",'Mapa final'!$AJ$66="Moderado"),CONCATENATE("R2C",'Mapa final'!$R$66),"")</f>
        <v/>
      </c>
      <c r="AB50" s="55" t="str">
        <f>IF(AND('Mapa final'!$AH$67="Baja",'Mapa final'!$AJ$67="Moderado"),CONCATENATE("R2C",'Mapa final'!$R$67),"")</f>
        <v/>
      </c>
      <c r="AC50" s="38" t="str">
        <f>IF(AND('Mapa final'!$AH$62="Baja",'Mapa final'!$AJ$62="Mayor"),CONCATENATE("R2C",'Mapa final'!$R$62),"")</f>
        <v/>
      </c>
      <c r="AD50" s="39" t="str">
        <f>IF(AND('Mapa final'!$AH$63="Baja",'Mapa final'!$AJ$63="Mayor"),CONCATENATE("R2C",'Mapa final'!$R$63),"")</f>
        <v/>
      </c>
      <c r="AE50" s="39" t="str">
        <f>IF(AND('Mapa final'!$AH$64="Baja",'Mapa final'!$AJ$64="Mayor"),CONCATENATE("R2C",'Mapa final'!$R$64),"")</f>
        <v/>
      </c>
      <c r="AF50" s="39" t="str">
        <f>IF(AND('Mapa final'!$AH$65="Baja",'Mapa final'!$AJ$65="Mayor"),CONCATENATE("R2C",'Mapa final'!$R$65),"")</f>
        <v/>
      </c>
      <c r="AG50" s="39" t="str">
        <f>IF(AND('Mapa final'!$AH$66="Baja",'Mapa final'!$AJ$66="Mayor"),CONCATENATE("R2C",'Mapa final'!$R$66),"")</f>
        <v/>
      </c>
      <c r="AH50" s="40" t="str">
        <f>IF(AND('Mapa final'!$AH$67="Baja",'Mapa final'!$AJ$67="Mayor"),CONCATENATE("R2C",'Mapa final'!$R$67),"")</f>
        <v/>
      </c>
      <c r="AI50" s="41" t="str">
        <f>IF(AND('Mapa final'!$AH$62="Baja",'Mapa final'!$AJ$62="Catastrófico"),CONCATENATE("R2C",'Mapa final'!$R$62),"")</f>
        <v/>
      </c>
      <c r="AJ50" s="42" t="str">
        <f>IF(AND('Mapa final'!$AH$63="Baja",'Mapa final'!$AJ$63="Catastrófico"),CONCATENATE("R2C",'Mapa final'!$R$63),"")</f>
        <v/>
      </c>
      <c r="AK50" s="42" t="str">
        <f>IF(AND('Mapa final'!$AH$64="Baja",'Mapa final'!$AJ$64="Catastrófico"),CONCATENATE("R2C",'Mapa final'!$R$64),"")</f>
        <v/>
      </c>
      <c r="AL50" s="42" t="str">
        <f>IF(AND('Mapa final'!$AH$65="Baja",'Mapa final'!$AJ$65="Catastrófico"),CONCATENATE("R2C",'Mapa final'!$R$65),"")</f>
        <v/>
      </c>
      <c r="AM50" s="42" t="str">
        <f>IF(AND('Mapa final'!$AH$66="Baja",'Mapa final'!$AJ$66="Catastrófico"),CONCATENATE("R2C",'Mapa final'!$R$66),"")</f>
        <v/>
      </c>
      <c r="AN50" s="43" t="str">
        <f>IF(AND('Mapa final'!$AH$67="Baja",'Mapa final'!$AJ$67="Catastrófico"),CONCATENATE("R2C",'Mapa final'!$R$67),"")</f>
        <v/>
      </c>
      <c r="AO50" s="68"/>
      <c r="AP50" s="499"/>
      <c r="AQ50" s="500"/>
      <c r="AR50" s="500"/>
      <c r="AS50" s="500"/>
      <c r="AT50" s="500"/>
      <c r="AU50" s="501"/>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row>
    <row r="51" spans="2:81" ht="15.75" customHeight="1" thickBot="1" x14ac:dyDescent="0.3">
      <c r="B51" s="68"/>
      <c r="C51" s="424"/>
      <c r="D51" s="424"/>
      <c r="E51" s="425"/>
      <c r="F51" s="470"/>
      <c r="G51" s="471"/>
      <c r="H51" s="471"/>
      <c r="I51" s="471"/>
      <c r="J51" s="471"/>
      <c r="K51" s="65" t="str">
        <f>IF(AND('Mapa final'!$AH$68="Baja",'Mapa final'!$AJ$68="Leve"),CONCATENATE("R2C",'Mapa final'!$R$68),"")</f>
        <v/>
      </c>
      <c r="L51" s="66" t="str">
        <f>IF(AND('Mapa final'!$AH$69="Baja",'Mapa final'!$AJ$69="Leve"),CONCATENATE("R2C",'Mapa final'!$R$69),"")</f>
        <v/>
      </c>
      <c r="M51" s="66" t="str">
        <f>IF(AND('Mapa final'!$AH$70="Baja",'Mapa final'!$AJ$70="Leve"),CONCATENATE("R2C",'Mapa final'!$R$70),"")</f>
        <v/>
      </c>
      <c r="N51" s="66" t="str">
        <f>IF(AND('Mapa final'!$AH$71="Baja",'Mapa final'!$AJ$71="Leve"),CONCATENATE("R2C",'Mapa final'!$R$71),"")</f>
        <v/>
      </c>
      <c r="O51" s="66" t="str">
        <f>IF(AND('Mapa final'!$AH$73="Baja",'Mapa final'!$AJ$73="Leve"),CONCATENATE("R2C",'Mapa final'!$R$73),"")</f>
        <v/>
      </c>
      <c r="P51" s="67" t="str">
        <f>IF(AND('Mapa final'!$AH$74="Baja",'Mapa final'!$AJ$74="Leve"),CONCATENATE("R2C",'Mapa final'!$R$74),"")</f>
        <v/>
      </c>
      <c r="Q51" s="53" t="str">
        <f>IF(AND('Mapa final'!$AH$68="Baja",'Mapa final'!$AJ$68="Menor"),CONCATENATE("R2C",'Mapa final'!$R$68),"")</f>
        <v/>
      </c>
      <c r="R51" s="54" t="str">
        <f>IF(AND('Mapa final'!$AH$69="Baja",'Mapa final'!$AJ$69="Menor"),CONCATENATE("R2C",'Mapa final'!$R$69),"")</f>
        <v/>
      </c>
      <c r="S51" s="54" t="str">
        <f>IF(AND('Mapa final'!$AH$70="Baja",'Mapa final'!$AJ$70="Menor"),CONCATENATE("R2C",'Mapa final'!$R$70),"")</f>
        <v/>
      </c>
      <c r="T51" s="54" t="str">
        <f>IF(AND('Mapa final'!$AH$71="Baja",'Mapa final'!$AJ$71="Menor"),CONCATENATE("R2C",'Mapa final'!$R$71),"")</f>
        <v/>
      </c>
      <c r="U51" s="54" t="str">
        <f>IF(AND('Mapa final'!$AH$73="Baja",'Mapa final'!$AJ$73="Menor"),CONCATENATE("R2C",'Mapa final'!$R$73),"")</f>
        <v/>
      </c>
      <c r="V51" s="55" t="str">
        <f>IF(AND('Mapa final'!$AH$74="Baja",'Mapa final'!$AJ$74="Menor"),CONCATENATE("R2C",'Mapa final'!$R$74),"")</f>
        <v/>
      </c>
      <c r="W51" s="56" t="str">
        <f>IF(AND('Mapa final'!$AH$68="Baja",'Mapa final'!$AJ$68="Moderado"),CONCATENATE("R2C",'Mapa final'!$R$68),"")</f>
        <v/>
      </c>
      <c r="X51" s="57" t="str">
        <f>IF(AND('Mapa final'!$AH$69="Baja",'Mapa final'!$AJ$69="Moderado"),CONCATENATE("R2C",'Mapa final'!$R$69),"")</f>
        <v/>
      </c>
      <c r="Y51" s="57" t="str">
        <f>IF(AND('Mapa final'!$AH$70="Baja",'Mapa final'!$AJ$70="Moderado"),CONCATENATE("R2C",'Mapa final'!$R$70),"")</f>
        <v/>
      </c>
      <c r="Z51" s="57" t="str">
        <f>IF(AND('Mapa final'!$AH$71="Baja",'Mapa final'!$AJ$71="Moderado"),CONCATENATE("R2C",'Mapa final'!$R$71),"")</f>
        <v/>
      </c>
      <c r="AA51" s="57" t="str">
        <f>IF(AND('Mapa final'!$AH$73="Baja",'Mapa final'!$AJ$73="Moderado"),CONCATENATE("R2C",'Mapa final'!$R$73),"")</f>
        <v/>
      </c>
      <c r="AB51" s="58" t="str">
        <f>IF(AND('Mapa final'!$AH$74="Baja",'Mapa final'!$AJ$74="Moderado"),CONCATENATE("R2C",'Mapa final'!$R$74),"")</f>
        <v/>
      </c>
      <c r="AC51" s="44" t="str">
        <f>IF(AND('Mapa final'!$AH$68="Baja",'Mapa final'!$AJ$68="Mayor"),CONCATENATE("R2C",'Mapa final'!$R$68),"")</f>
        <v/>
      </c>
      <c r="AD51" s="45" t="str">
        <f>IF(AND('Mapa final'!$AH$69="Baja",'Mapa final'!$AJ$69="Mayor"),CONCATENATE("R2C",'Mapa final'!$R$69),"")</f>
        <v/>
      </c>
      <c r="AE51" s="45" t="str">
        <f>IF(AND('Mapa final'!$AH$70="Baja",'Mapa final'!$AJ$70="Mayor"),CONCATENATE("R2C",'Mapa final'!$R$70),"")</f>
        <v/>
      </c>
      <c r="AF51" s="45" t="str">
        <f>IF(AND('Mapa final'!$AH$71="Baja",'Mapa final'!$AJ$71="Mayor"),CONCATENATE("R2C",'Mapa final'!$R$71),"")</f>
        <v/>
      </c>
      <c r="AG51" s="45" t="str">
        <f>IF(AND('Mapa final'!$AH$73="Baja",'Mapa final'!$AJ$73="Mayor"),CONCATENATE("R2C",'Mapa final'!$R$73),"")</f>
        <v/>
      </c>
      <c r="AH51" s="46" t="str">
        <f>IF(AND('Mapa final'!$AH$74="Baja",'Mapa final'!$AJ$74="Mayor"),CONCATENATE("R2C",'Mapa final'!$R$74),"")</f>
        <v/>
      </c>
      <c r="AI51" s="47" t="str">
        <f>IF(AND('Mapa final'!$AH$68="Baja",'Mapa final'!$AJ$68="Catastrófico"),CONCATENATE("R2C",'Mapa final'!$R$68),"")</f>
        <v/>
      </c>
      <c r="AJ51" s="48" t="str">
        <f>IF(AND('Mapa final'!$AH$69="Baja",'Mapa final'!$AJ$69="Catastrófico"),CONCATENATE("R2C",'Mapa final'!$R$69),"")</f>
        <v/>
      </c>
      <c r="AK51" s="48" t="str">
        <f>IF(AND('Mapa final'!$AH$70="Baja",'Mapa final'!$AJ$70="Catastrófico"),CONCATENATE("R2C",'Mapa final'!$R$70),"")</f>
        <v/>
      </c>
      <c r="AL51" s="48" t="str">
        <f>IF(AND('Mapa final'!$AH$71="Baja",'Mapa final'!$AJ$71="Catastrófico"),CONCATENATE("R2C",'Mapa final'!$R$71),"")</f>
        <v/>
      </c>
      <c r="AM51" s="48" t="str">
        <f>IF(AND('Mapa final'!$AH$73="Baja",'Mapa final'!$AJ$73="Catastrófico"),CONCATENATE("R2C",'Mapa final'!$R$73),"")</f>
        <v/>
      </c>
      <c r="AN51" s="49" t="str">
        <f>IF(AND('Mapa final'!$AH$74="Baja",'Mapa final'!$AJ$74="Catastrófico"),CONCATENATE("R2C",'Mapa final'!$R$74),"")</f>
        <v/>
      </c>
      <c r="AO51" s="68"/>
      <c r="AP51" s="502"/>
      <c r="AQ51" s="503"/>
      <c r="AR51" s="503"/>
      <c r="AS51" s="503"/>
      <c r="AT51" s="503"/>
      <c r="AU51" s="504"/>
    </row>
    <row r="52" spans="2:81" ht="41.25" customHeight="1" x14ac:dyDescent="0.25">
      <c r="B52" s="68"/>
      <c r="C52" s="424"/>
      <c r="D52" s="424"/>
      <c r="E52" s="425"/>
      <c r="F52" s="464" t="s">
        <v>263</v>
      </c>
      <c r="G52" s="465"/>
      <c r="H52" s="465"/>
      <c r="I52" s="465"/>
      <c r="J52" s="466"/>
      <c r="K52" s="59"/>
      <c r="L52" s="60" t="str">
        <f>IF(AND('Mapa final'!$AH$18="Muy Baja",'Mapa final'!$AJ$18="Leve"),CONCATENATE("R2C",'Mapa final'!$R$15),"")</f>
        <v/>
      </c>
      <c r="M52" s="60" t="str">
        <f>IF(AND('Mapa final'!$AH$19="Muy Baja",'Mapa final'!$AJ$19="Leve"),CONCATENATE("R2C",'Mapa final'!$R$19),"")</f>
        <v/>
      </c>
      <c r="N52" s="60" t="e">
        <f>IF(AND('Mapa final'!#REF!="Muy Baja",'Mapa final'!#REF!="Leve"),CONCATENATE("R2C",'Mapa final'!#REF!),"")</f>
        <v>#REF!</v>
      </c>
      <c r="O52" s="60" t="e">
        <f>IF(AND('Mapa final'!#REF!="Muy Baja",'Mapa final'!#REF!="Leve"),CONCATENATE("R2C",'Mapa final'!#REF!),"")</f>
        <v>#REF!</v>
      </c>
      <c r="P52" s="61" t="e">
        <f>IF(AND('Mapa final'!#REF!="Muy Baja",'Mapa final'!#REF!="Leve"),CONCATENATE("R2C",'Mapa final'!#REF!),"")</f>
        <v>#REF!</v>
      </c>
      <c r="Q52" s="59"/>
      <c r="R52" s="60" t="str">
        <f>IF(AND('Mapa final'!$AH$18="Muy Baja",'Mapa final'!$AJ$18="Menore"),CONCATENATE("R2C",'Mapa final'!$R$15),"")</f>
        <v/>
      </c>
      <c r="S52" s="60" t="str">
        <f>IF(AND('Mapa final'!$AH$19="Muy Baja",'Mapa final'!$AJ$19="Menor"),CONCATENATE("R2C",'Mapa final'!$R$19),"")</f>
        <v/>
      </c>
      <c r="T52" s="60" t="e">
        <f>IF(AND('Mapa final'!#REF!="Muy Baja",'Mapa final'!#REF!="Menor"),CONCATENATE("R2C",'Mapa final'!#REF!),"")</f>
        <v>#REF!</v>
      </c>
      <c r="U52" s="60" t="e">
        <f>IF(AND('Mapa final'!#REF!="Muy Baja",'Mapa final'!#REF!="Menor"),CONCATENATE("R2C",'Mapa final'!#REF!),"")</f>
        <v>#REF!</v>
      </c>
      <c r="V52" s="61" t="e">
        <f>IF(AND('Mapa final'!#REF!="Muy Baja",'Mapa final'!#REF!="Menor"),CONCATENATE("R2C",'Mapa final'!#REF!),"")</f>
        <v>#REF!</v>
      </c>
      <c r="W52" s="50"/>
      <c r="X52" s="180" t="str">
        <f>IF(AND('Mapa final'!$AH$18="Muy Baja",'Mapa final'!$AJ$18="Moderado"),CONCATENATE("R2C",'Mapa final'!$D$15),"")</f>
        <v/>
      </c>
      <c r="Y52" s="51"/>
      <c r="Z52" s="51" t="e">
        <f>IF(AND('Mapa final'!#REF!="Muy Baja",'Mapa final'!#REF!="Moderado"),CONCATENATE("R2C",'Mapa final'!#REF!),"")</f>
        <v>#REF!</v>
      </c>
      <c r="AA52" s="51" t="e">
        <f>IF(AND('Mapa final'!#REF!="Muy Baja",'Mapa final'!#REF!="Moderado"),CONCATENATE("R2C",'Mapa final'!#REF!),"")</f>
        <v>#REF!</v>
      </c>
      <c r="AB52" s="52" t="e">
        <f>IF(AND('Mapa final'!#REF!="Muy Baja",'Mapa final'!#REF!="Moderado"),CONCATENATE("R2C",'Mapa final'!#REF!),"")</f>
        <v>#REF!</v>
      </c>
      <c r="AC52" s="32"/>
      <c r="AD52" s="33" t="str">
        <f>IF(AND('Mapa final'!$AH$18="Muy Baja",'Mapa final'!$AJ$18="Mayor"),CONCATENATE("R2C",'Mapa final'!$R$15),"")</f>
        <v/>
      </c>
      <c r="AE52" s="179" t="str">
        <f>IF(AND('Mapa final'!$AH$19="Muy Baja",'Mapa final'!$AJ$19="Mayor"),CONCATENATE("R2C",'Mapa final'!$D$19),"")</f>
        <v/>
      </c>
      <c r="AF52" s="33" t="e">
        <f>IF(AND('Mapa final'!#REF!="Muy Baja",'Mapa final'!#REF!="Mayor"),CONCATENATE("R2C",'Mapa final'!#REF!),"")</f>
        <v>#REF!</v>
      </c>
      <c r="AG52" s="33" t="e">
        <f>IF(AND('Mapa final'!#REF!="Muy Baja",'Mapa final'!#REF!="Mayor"),CONCATENATE("R2C",'Mapa final'!#REF!),"")</f>
        <v>#REF!</v>
      </c>
      <c r="AH52" s="34" t="e">
        <f>IF(AND('Mapa final'!#REF!="Muy Baja",'Mapa final'!#REF!="Mayor"),CONCATENATE("R2C",'Mapa final'!#REF!),"")</f>
        <v>#REF!</v>
      </c>
      <c r="AI52" s="35"/>
      <c r="AJ52" s="36" t="str">
        <f>IF(AND('Mapa final'!$AH$18="Muy Baja",'Mapa final'!$AJ$18="Catastrófico"),CONCATENATE("R2C",'Mapa final'!$D$15),"")</f>
        <v/>
      </c>
      <c r="AK52" s="36" t="str">
        <f>IF(AND('Mapa final'!$AH$19="Muy Baja",'Mapa final'!$AJ$19="Catastrófico"),CONCATENATE("R2C",'Mapa final'!$R$19),"")</f>
        <v/>
      </c>
      <c r="AL52" s="36" t="e">
        <f>IF(AND('Mapa final'!#REF!="Muy Baja",'Mapa final'!#REF!="Catastrófico"),CONCATENATE("R2C",'Mapa final'!#REF!),"")</f>
        <v>#REF!</v>
      </c>
      <c r="AM52" s="36" t="e">
        <f>IF(AND('Mapa final'!#REF!="Muy Baja",'Mapa final'!#REF!="Catastrófico"),CONCATENATE("R2C",'Mapa final'!#REF!),"")</f>
        <v>#REF!</v>
      </c>
      <c r="AN52" s="37" t="e">
        <f>IF(AND('Mapa final'!#REF!="Muy Baja",'Mapa final'!#REF!="Catastrófico"),CONCATENATE("R2C",'Mapa final'!#REF!),"")</f>
        <v>#REF!</v>
      </c>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row>
    <row r="53" spans="2:81" ht="57.75" customHeight="1" x14ac:dyDescent="0.25">
      <c r="B53" s="68"/>
      <c r="C53" s="424"/>
      <c r="D53" s="424"/>
      <c r="E53" s="425"/>
      <c r="F53" s="483"/>
      <c r="G53" s="468"/>
      <c r="H53" s="468"/>
      <c r="I53" s="468"/>
      <c r="J53" s="469"/>
      <c r="K53" s="62" t="e">
        <f>IF(AND('Mapa final'!#REF!="Muy Baja",'Mapa final'!#REF!="Leve"),CONCATENATE("R2C",'Mapa final'!#REF!),"")</f>
        <v>#REF!</v>
      </c>
      <c r="L53" s="63" t="e">
        <f>IF(AND('Mapa final'!#REF!="Muy Baja",'Mapa final'!#REF!="Leve"),CONCATENATE("R2C",'Mapa final'!#REF!),"")</f>
        <v>#REF!</v>
      </c>
      <c r="M53" s="63" t="str">
        <f>IF(AND('Mapa final'!$AH$22="Muy Baja",'Mapa final'!$AJ$22="Leve"),CONCATENATE("R2C",'Mapa final'!$R$22),"")</f>
        <v/>
      </c>
      <c r="N53" s="63" t="str">
        <f>IF(AND('Mapa final'!$AH$23="Muy Baja",'Mapa final'!$AJ$23="Leve"),CONCATENATE("R2C",'Mapa final'!$R$23),"")</f>
        <v/>
      </c>
      <c r="O53" s="63" t="str">
        <f>IF(AND('Mapa final'!$AH$24="Muy Baja",'Mapa final'!$AJ$24="Leve"),CONCATENATE("R2C",'Mapa final'!$R$24),"")</f>
        <v/>
      </c>
      <c r="P53" s="64" t="str">
        <f>IF(AND('Mapa final'!$AH$25="Muy Baja",'Mapa final'!$AJ$25="Leve"),CONCATENATE("R2C",'Mapa final'!$R$25),"")</f>
        <v/>
      </c>
      <c r="Q53" s="62" t="e">
        <f>IF(AND('Mapa final'!#REF!="Muy Baja",'Mapa final'!#REF!="Menor"),CONCATENATE("R2C",'Mapa final'!#REF!),"")</f>
        <v>#REF!</v>
      </c>
      <c r="R53" s="63" t="e">
        <f>IF(AND('Mapa final'!#REF!="Muy Baja",'Mapa final'!#REF!="Menor"),CONCATENATE("R2C",'Mapa final'!#REF!),"")</f>
        <v>#REF!</v>
      </c>
      <c r="S53" s="63" t="str">
        <f>IF(AND('Mapa final'!$AH$22="Muy Baja",'Mapa final'!$AJ$22="Menor"),CONCATENATE("R2C",'Mapa final'!$R$22),"")</f>
        <v/>
      </c>
      <c r="T53" s="63" t="str">
        <f>IF(AND('Mapa final'!$AH$23="Muy Baja",'Mapa final'!$AJ$23="Menor"),CONCATENATE("R2C",'Mapa final'!$R$23),"")</f>
        <v/>
      </c>
      <c r="U53" s="63" t="str">
        <f>IF(AND('Mapa final'!$AH$24="Muy Baja",'Mapa final'!$AJ$24="Menor"),CONCATENATE("R2C",'Mapa final'!$R$24),"")</f>
        <v/>
      </c>
      <c r="V53" s="64" t="str">
        <f>IF(AND('Mapa final'!$AH$25="Muy Baja",'Mapa final'!$AJ$25="Menor"),CONCATENATE("R2C",'Mapa final'!$R$25),"")</f>
        <v/>
      </c>
      <c r="W53" s="53" t="e">
        <f>IF(AND('Mapa final'!#REF!="Muy Baja",'Mapa final'!#REF!="Moderado"),CONCATENATE("R2C",'Mapa final'!#REF!),"")</f>
        <v>#REF!</v>
      </c>
      <c r="X53" s="54" t="e">
        <f>IF(AND('Mapa final'!#REF!="Muy Baja",'Mapa final'!#REF!="Moderado"),CONCATENATE("R2C",'Mapa final'!#REF!),"")</f>
        <v>#REF!</v>
      </c>
      <c r="Y53" s="54" t="str">
        <f>IF(AND('Mapa final'!$AH$22="Muy Baja",'Mapa final'!$AJ$22="Moderado"),CONCATENATE("R2C",'Mapa final'!$R$22),"")</f>
        <v/>
      </c>
      <c r="Z53" s="54" t="str">
        <f>IF(AND('Mapa final'!$AH$23="Muy Baja",'Mapa final'!$AJ$23="Moderado"),CONCATENATE("R2C",'Mapa final'!$R$23),"")</f>
        <v/>
      </c>
      <c r="AA53" s="54" t="str">
        <f>IF(AND('Mapa final'!$AH$24="Muy Baja",'Mapa final'!$AJ$24="Moderado"),CONCATENATE("R2C",'Mapa final'!$R$24),"")</f>
        <v/>
      </c>
      <c r="AB53" s="55" t="str">
        <f>IF(AND('Mapa final'!$AH$25="Muy Baja",'Mapa final'!$AJ$25="Moderado"),CONCATENATE("R2C",'Mapa final'!$R$25),"")</f>
        <v/>
      </c>
      <c r="AC53" s="38" t="e">
        <f>IF(AND('Mapa final'!#REF!="Muy Baja",'Mapa final'!#REF!="Mayor"),CONCATENATE("R2C",'Mapa final'!#REF!),"")</f>
        <v>#REF!</v>
      </c>
      <c r="AD53" s="39" t="e">
        <f>IF(AND('Mapa final'!#REF!="Muy Baja",'Mapa final'!#REF!="Mayor"),CONCATENATE("R2C",'Mapa final'!#REF!),"")</f>
        <v>#REF!</v>
      </c>
      <c r="AE53" s="39" t="str">
        <f>IF(AND('Mapa final'!$AH$22="Muy Baja",'Mapa final'!$AJ$22="Mayor"),CONCATENATE("R2C",'Mapa final'!$R$22),"")</f>
        <v/>
      </c>
      <c r="AF53" s="39" t="str">
        <f>IF(AND('Mapa final'!$AH$23="Muy Baja",'Mapa final'!$AJ$23="Mayor"),CONCATENATE("R2C",'Mapa final'!$R$23),"")</f>
        <v/>
      </c>
      <c r="AG53" s="39" t="str">
        <f>IF(AND('Mapa final'!$AH$24="Muy Baja",'Mapa final'!$AJ$24="Mayor"),CONCATENATE("R2C",'Mapa final'!$R$24),"")</f>
        <v/>
      </c>
      <c r="AH53" s="40" t="str">
        <f>IF(AND('Mapa final'!$AH$25="Muy Baja",'Mapa final'!$AJ$25="Mayor"),CONCATENATE("R2C",'Mapa final'!$R$25),"")</f>
        <v/>
      </c>
      <c r="AI53" s="41" t="e">
        <f>IF(AND('Mapa final'!#REF!="Muy Baja",'Mapa final'!#REF!="Catastrófico"),CONCATENATE("R2C",'Mapa final'!#REF!),"")</f>
        <v>#REF!</v>
      </c>
      <c r="AJ53" s="42" t="e">
        <f>IF(AND('Mapa final'!#REF!="Muy Baja",'Mapa final'!#REF!="Catastrófico"),CONCATENATE("R2C",'Mapa final'!#REF!),"")</f>
        <v>#REF!</v>
      </c>
      <c r="AK53" s="42" t="str">
        <f>IF(AND('Mapa final'!$AH$22="Muy Baja",'Mapa final'!$AJ$22="Catastrófico"),CONCATENATE("R2C",'Mapa final'!$R$22),"")</f>
        <v/>
      </c>
      <c r="AL53" s="42" t="str">
        <f>IF(AND('Mapa final'!$AH$23="Muy Baja",'Mapa final'!$AJ$23="Catastrófico"),CONCATENATE("R2C",'Mapa final'!$R$23),"")</f>
        <v/>
      </c>
      <c r="AM53" s="42" t="str">
        <f>IF(AND('Mapa final'!$AH$24="Muy Baja",'Mapa final'!$AJ$24="Catastrófico"),CONCATENATE("R2C",'Mapa final'!$R$24),"")</f>
        <v/>
      </c>
      <c r="AN53" s="43" t="str">
        <f>IF(AND('Mapa final'!$AH$25="Muy Baja",'Mapa final'!$AJ$25="Catastrófico"),CONCATENATE("R2C",'Mapa final'!$R$25),"")</f>
        <v/>
      </c>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row>
    <row r="54" spans="2:81" ht="15" customHeight="1" x14ac:dyDescent="0.25">
      <c r="B54" s="68"/>
      <c r="C54" s="424"/>
      <c r="D54" s="424"/>
      <c r="E54" s="425"/>
      <c r="F54" s="483"/>
      <c r="G54" s="468"/>
      <c r="H54" s="468"/>
      <c r="I54" s="468"/>
      <c r="J54" s="469"/>
      <c r="K54" s="62" t="str">
        <f>IF(AND('Mapa final'!$AH$26="Muy Baja",'Mapa final'!$AJ$26="Leve"),CONCATENATE("R2C",'Mapa final'!$R$26),"")</f>
        <v/>
      </c>
      <c r="L54" s="63" t="str">
        <f>IF(AND('Mapa final'!$AH$27="Muy Baja",'Mapa final'!$AJ$27="Leve"),CONCATENATE("R2C",'Mapa final'!$R$27),"")</f>
        <v/>
      </c>
      <c r="M54" s="63" t="str">
        <f>IF(AND('Mapa final'!$AH$28="Muy Baja",'Mapa final'!$AJ$28="Leve"),CONCATENATE("R2C",'Mapa final'!$R$28),"")</f>
        <v/>
      </c>
      <c r="N54" s="63" t="str">
        <f>IF(AND('Mapa final'!$AH$29="Muy Baja",'Mapa final'!$AJ$29="Leve"),CONCATENATE("R2C",'Mapa final'!$R$29),"")</f>
        <v/>
      </c>
      <c r="O54" s="63" t="str">
        <f>IF(AND('Mapa final'!$AH$30="Muy Baja",'Mapa final'!$AJ$30="Leve"),CONCATENATE("R2C",'Mapa final'!$R$30),"")</f>
        <v/>
      </c>
      <c r="P54" s="64" t="str">
        <f>IF(AND('Mapa final'!$AH$31="Muy Baja",'Mapa final'!$AJ$31="Leve"),CONCATENATE("R2C",'Mapa final'!$R$31),"")</f>
        <v/>
      </c>
      <c r="Q54" s="62" t="str">
        <f>IF(AND('Mapa final'!$AH$26="Muy Baja",'Mapa final'!$AJ$26="Menor"),CONCATENATE("R2C",'Mapa final'!$R$26),"")</f>
        <v/>
      </c>
      <c r="R54" s="63" t="str">
        <f>IF(AND('Mapa final'!$AH$27="Muy Baja",'Mapa final'!$AJ$27="Menor"),CONCATENATE("R2C",'Mapa final'!$R$27),"")</f>
        <v/>
      </c>
      <c r="S54" s="63" t="str">
        <f>IF(AND('Mapa final'!$AH$28="Muy Baja",'Mapa final'!$AJ$28="Menor"),CONCATENATE("R2C",'Mapa final'!$R$28),"")</f>
        <v/>
      </c>
      <c r="T54" s="63" t="str">
        <f>IF(AND('Mapa final'!$AH$29="Muy Baja",'Mapa final'!$AJ$29="Menor"),CONCATENATE("R2C",'Mapa final'!$R$29),"")</f>
        <v/>
      </c>
      <c r="U54" s="63" t="str">
        <f>IF(AND('Mapa final'!$AH$30="Muy Baja",'Mapa final'!$AJ$30="Menor"),CONCATENATE("R2C",'Mapa final'!$R$30),"")</f>
        <v/>
      </c>
      <c r="V54" s="64" t="str">
        <f>IF(AND('Mapa final'!$AH$31="Muy Baja",'Mapa final'!$AJ$31="Menor"),CONCATENATE("R2C",'Mapa final'!$R$31),"")</f>
        <v/>
      </c>
      <c r="W54" s="53" t="str">
        <f>IF(AND('Mapa final'!$AH$26="Muy Baja",'Mapa final'!$AJ$26="Moderado"),CONCATENATE("R2C",'Mapa final'!$R$26),"")</f>
        <v/>
      </c>
      <c r="X54" s="54" t="str">
        <f>IF(AND('Mapa final'!$AH$27="Muy Baja",'Mapa final'!$AJ$27="Moderado"),CONCATENATE("R2C",'Mapa final'!$R$27),"")</f>
        <v/>
      </c>
      <c r="Y54" s="54" t="str">
        <f>IF(AND('Mapa final'!$AH$28="Muy Baja",'Mapa final'!$AJ$28="Moderado"),CONCATENATE("R2C",'Mapa final'!$R$28),"")</f>
        <v/>
      </c>
      <c r="Z54" s="54" t="str">
        <f>IF(AND('Mapa final'!$AH$29="Muy Baja",'Mapa final'!$AJ$29="Moderado"),CONCATENATE("R2C",'Mapa final'!$R$29),"")</f>
        <v/>
      </c>
      <c r="AA54" s="54" t="str">
        <f>IF(AND('Mapa final'!$AH$30="Muy Baja",'Mapa final'!$AJ$30="Moderado"),CONCATENATE("R2C",'Mapa final'!$R$30),"")</f>
        <v/>
      </c>
      <c r="AB54" s="55" t="str">
        <f>IF(AND('Mapa final'!$AH$31="Muy Baja",'Mapa final'!$AJ$31="Moderado"),CONCATENATE("R2C",'Mapa final'!$R$31),"")</f>
        <v/>
      </c>
      <c r="AC54" s="38" t="str">
        <f>IF(AND('Mapa final'!$AH$26="Muy Baja",'Mapa final'!$AJ$26="Mayor"),CONCATENATE("R2C",'Mapa final'!$R$26),"")</f>
        <v/>
      </c>
      <c r="AD54" s="39" t="str">
        <f>IF(AND('Mapa final'!$AH$27="Muy Baja",'Mapa final'!$AJ$27="Mayor"),CONCATENATE("R2C",'Mapa final'!$R$27),"")</f>
        <v/>
      </c>
      <c r="AE54" s="39" t="str">
        <f>IF(AND('Mapa final'!$AH$28="Muy Baja",'Mapa final'!$AJ$28="Mayor"),CONCATENATE("R2C",'Mapa final'!$R$28),"")</f>
        <v/>
      </c>
      <c r="AF54" s="39" t="str">
        <f>IF(AND('Mapa final'!$AH$29="Muy Baja",'Mapa final'!$AJ$29="Mayor"),CONCATENATE("R2C",'Mapa final'!$R$29),"")</f>
        <v/>
      </c>
      <c r="AG54" s="39" t="str">
        <f>IF(AND('Mapa final'!$AH$30="Muy Baja",'Mapa final'!$AJ$30="Mayor"),CONCATENATE("R2C",'Mapa final'!$R$30),"")</f>
        <v/>
      </c>
      <c r="AH54" s="40" t="str">
        <f>IF(AND('Mapa final'!$AH$31="Muy Baja",'Mapa final'!$AJ$31="Mayor"),CONCATENATE("R2C",'Mapa final'!$R$31),"")</f>
        <v/>
      </c>
      <c r="AI54" s="41" t="str">
        <f>IF(AND('Mapa final'!$AH$26="Muy Baja",'Mapa final'!$AJ$26="Catastrófico"),CONCATENATE("R2C",'Mapa final'!$R$26),"")</f>
        <v/>
      </c>
      <c r="AJ54" s="42" t="str">
        <f>IF(AND('Mapa final'!$AH$27="Muy Baja",'Mapa final'!$AJ$27="Catastrófico"),CONCATENATE("R2C",'Mapa final'!$R$27),"")</f>
        <v/>
      </c>
      <c r="AK54" s="42" t="str">
        <f>IF(AND('Mapa final'!$AH$28="Muy Baja",'Mapa final'!$AJ$28="Catastrófico"),CONCATENATE("R2C",'Mapa final'!$R$28),"")</f>
        <v/>
      </c>
      <c r="AL54" s="42" t="str">
        <f>IF(AND('Mapa final'!$AH$29="Muy Baja",'Mapa final'!$AJ$29="Catastrófico"),CONCATENATE("R2C",'Mapa final'!$R$29),"")</f>
        <v/>
      </c>
      <c r="AM54" s="42" t="str">
        <f>IF(AND('Mapa final'!$AH$30="Muy Baja",'Mapa final'!$AJ$30="Catastrófico"),CONCATENATE("R2C",'Mapa final'!$R$30),"")</f>
        <v/>
      </c>
      <c r="AN54" s="43" t="str">
        <f>IF(AND('Mapa final'!$AH$31="Muy Baja",'Mapa final'!$AJ$31="Catastrófico"),CONCATENATE("R2C",'Mapa final'!$R$31),"")</f>
        <v/>
      </c>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row>
    <row r="55" spans="2:81" ht="15" customHeight="1" x14ac:dyDescent="0.25">
      <c r="B55" s="68"/>
      <c r="C55" s="424"/>
      <c r="D55" s="424"/>
      <c r="E55" s="425"/>
      <c r="F55" s="467"/>
      <c r="G55" s="468"/>
      <c r="H55" s="468"/>
      <c r="I55" s="468"/>
      <c r="J55" s="469"/>
      <c r="K55" s="62" t="str">
        <f>IF(AND('Mapa final'!$AH$32="Muy Baja",'Mapa final'!$AJ$32="Leve"),CONCATENATE("R2C",'Mapa final'!$R$32),"")</f>
        <v/>
      </c>
      <c r="L55" s="63" t="str">
        <f>IF(AND('Mapa final'!$AH$33="Muy Baja",'Mapa final'!$AJ$33="Leve"),CONCATENATE("R2C",'Mapa final'!$R$33),"")</f>
        <v/>
      </c>
      <c r="M55" s="63" t="str">
        <f>IF(AND('Mapa final'!$AH$34="Muy Baja",'Mapa final'!$AJ$34="Leve"),CONCATENATE("R2C",'Mapa final'!$R$34),"")</f>
        <v/>
      </c>
      <c r="N55" s="63" t="str">
        <f>IF(AND('Mapa final'!$AH$35="Muy Baja",'Mapa final'!$AJ$35="Leve"),CONCATENATE("R2C",'Mapa final'!$R$35),"")</f>
        <v/>
      </c>
      <c r="O55" s="63" t="str">
        <f>IF(AND('Mapa final'!$AH$36="Muy Baja",'Mapa final'!$AJ$36="Leve"),CONCATENATE("R2C",'Mapa final'!$R$36),"")</f>
        <v/>
      </c>
      <c r="P55" s="64" t="str">
        <f>IF(AND('Mapa final'!$AH$37="Muy Baja",'Mapa final'!$AJ$37="Leve"),CONCATENATE("R2C",'Mapa final'!$R$37),"")</f>
        <v/>
      </c>
      <c r="Q55" s="62" t="str">
        <f>IF(AND('Mapa final'!$AH$32="Muy Baja",'Mapa final'!$AJ$32="Menor"),CONCATENATE("R2C",'Mapa final'!$R$32),"")</f>
        <v/>
      </c>
      <c r="R55" s="63" t="str">
        <f>IF(AND('Mapa final'!$AH$33="Muy Baja",'Mapa final'!$AJ$33="Menor"),CONCATENATE("R2C",'Mapa final'!$R$33),"")</f>
        <v/>
      </c>
      <c r="S55" s="63" t="str">
        <f>IF(AND('Mapa final'!$AH$34="Muy Baja",'Mapa final'!$AJ$34="Menor"),CONCATENATE("R2C",'Mapa final'!$R$34),"")</f>
        <v/>
      </c>
      <c r="T55" s="63" t="str">
        <f>IF(AND('Mapa final'!$AH$35="Muy Baja",'Mapa final'!$AJ$35="Menor"),CONCATENATE("R2C",'Mapa final'!$R$35),"")</f>
        <v/>
      </c>
      <c r="U55" s="63" t="str">
        <f>IF(AND('Mapa final'!$AH$36="Muy Baja",'Mapa final'!$AJ$36="LMenor"),CONCATENATE("R2C",'Mapa final'!$R$36),"")</f>
        <v/>
      </c>
      <c r="V55" s="64" t="str">
        <f>IF(AND('Mapa final'!$AH$37="Muy Baja",'Mapa final'!$AJ$37="Menor"),CONCATENATE("R2C",'Mapa final'!$R$37),"")</f>
        <v/>
      </c>
      <c r="W55" s="53" t="str">
        <f>IF(AND('Mapa final'!$AH$32="Muy Baja",'Mapa final'!$AJ$32="Moderado"),CONCATENATE("R2C",'Mapa final'!$R$32),"")</f>
        <v/>
      </c>
      <c r="X55" s="54" t="str">
        <f>IF(AND('Mapa final'!$AH$33="Muy Baja",'Mapa final'!$AJ$33="Moderado"),CONCATENATE("R2C",'Mapa final'!$R$33),"")</f>
        <v/>
      </c>
      <c r="Y55" s="54" t="str">
        <f>IF(AND('Mapa final'!$AH$34="Muy Baja",'Mapa final'!$AJ$34="Moderado"),CONCATENATE("R2C",'Mapa final'!$R$34),"")</f>
        <v/>
      </c>
      <c r="Z55" s="54" t="str">
        <f>IF(AND('Mapa final'!$AH$35="Muy Baja",'Mapa final'!$AJ$35="Moderado"),CONCATENATE("R2C",'Mapa final'!$R$35),"")</f>
        <v/>
      </c>
      <c r="AA55" s="54" t="str">
        <f>IF(AND('Mapa final'!$AH$36="Muy Baja",'Mapa final'!$AJ$36="Moderado"),CONCATENATE("R2C",'Mapa final'!$R$36),"")</f>
        <v/>
      </c>
      <c r="AB55" s="55" t="str">
        <f>IF(AND('Mapa final'!$AH$37="Muy Baja",'Mapa final'!$AJ$37="Moderado"),CONCATENATE("R2C",'Mapa final'!$R$37),"")</f>
        <v/>
      </c>
      <c r="AC55" s="38" t="str">
        <f>IF(AND('Mapa final'!$AH$32="Muy Baja",'Mapa final'!$AJ$32="Mayor"),CONCATENATE("R2C",'Mapa final'!$R$32),"")</f>
        <v/>
      </c>
      <c r="AD55" s="39" t="str">
        <f>IF(AND('Mapa final'!$AH$33="Muy Baja",'Mapa final'!$AJ$33="Mayor"),CONCATENATE("R2C",'Mapa final'!$R$33),"")</f>
        <v/>
      </c>
      <c r="AE55" s="39" t="str">
        <f>IF(AND('Mapa final'!$AH$34="Muy Baja",'Mapa final'!$AJ$34="Mayor"),CONCATENATE("R2C",'Mapa final'!$R$34),"")</f>
        <v/>
      </c>
      <c r="AF55" s="39" t="str">
        <f>IF(AND('Mapa final'!$AH$35="Muy Baja",'Mapa final'!$AJ$35="Mayor"),CONCATENATE("R2C",'Mapa final'!$R$35),"")</f>
        <v/>
      </c>
      <c r="AG55" s="39" t="str">
        <f>IF(AND('Mapa final'!$AH$36="Muy Baja",'Mapa final'!$AJ$36="Mayor"),CONCATENATE("R2C",'Mapa final'!$R$36),"")</f>
        <v/>
      </c>
      <c r="AH55" s="40" t="str">
        <f>IF(AND('Mapa final'!$AH$37="Muy Baja",'Mapa final'!$AJ$37="Mayor"),CONCATENATE("R2C",'Mapa final'!$R$37),"")</f>
        <v/>
      </c>
      <c r="AI55" s="41" t="str">
        <f>IF(AND('Mapa final'!$AH$32="Muy Baja",'Mapa final'!$AJ$32="Catastrófico"),CONCATENATE("R2C",'Mapa final'!$R$32),"")</f>
        <v/>
      </c>
      <c r="AJ55" s="42" t="str">
        <f>IF(AND('Mapa final'!$AH$33="Muy Baja",'Mapa final'!$AJ$33="Catastrófico"),CONCATENATE("R2C",'Mapa final'!$R$33),"")</f>
        <v/>
      </c>
      <c r="AK55" s="42" t="str">
        <f>IF(AND('Mapa final'!$AH$34="Muy Baja",'Mapa final'!$AJ$34="Catastrófico"),CONCATENATE("R2C",'Mapa final'!$R$34),"")</f>
        <v/>
      </c>
      <c r="AL55" s="42" t="str">
        <f>IF(AND('Mapa final'!$AH$35="Muy Baja",'Mapa final'!$AJ$35="Catastrófico"),CONCATENATE("R2C",'Mapa final'!$R$35),"")</f>
        <v/>
      </c>
      <c r="AM55" s="42" t="str">
        <f>IF(AND('Mapa final'!$AH$36="Muy Baja",'Mapa final'!$AJ$36="LCatastrófico"),CONCATENATE("R2C",'Mapa final'!$R$36),"")</f>
        <v/>
      </c>
      <c r="AN55" s="43" t="str">
        <f>IF(AND('Mapa final'!$AH$37="Muy Baja",'Mapa final'!$AJ$37="Catastrófico"),CONCATENATE("R2C",'Mapa final'!$R$37),"")</f>
        <v/>
      </c>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row>
    <row r="56" spans="2:81" ht="15" customHeight="1" x14ac:dyDescent="0.25">
      <c r="B56" s="68"/>
      <c r="C56" s="424"/>
      <c r="D56" s="424"/>
      <c r="E56" s="425"/>
      <c r="F56" s="467"/>
      <c r="G56" s="468"/>
      <c r="H56" s="468"/>
      <c r="I56" s="468"/>
      <c r="J56" s="469"/>
      <c r="K56" s="62" t="str">
        <f>IF(AND('Mapa final'!$AH$38="Muy Baja",'Mapa final'!$AJ$38="Leve"),CONCATENATE("R2C",'Mapa final'!$R$38),"")</f>
        <v/>
      </c>
      <c r="L56" s="63" t="str">
        <f>IF(AND('Mapa final'!$AH$39="Muy Baja",'Mapa final'!$AJ$39="Leve"),CONCATENATE("R2C",'Mapa final'!$R$39),"")</f>
        <v/>
      </c>
      <c r="M56" s="63" t="str">
        <f>IF(AND('Mapa final'!$AH$40="Muy Baja",'Mapa final'!$AJ$40="Leve"),CONCATENATE("R2C",'Mapa final'!$R$40),"")</f>
        <v/>
      </c>
      <c r="N56" s="63" t="str">
        <f>IF(AND('Mapa final'!$AH$41="Muy Baja",'Mapa final'!$AJ$41="Leve"),CONCATENATE("R2C",'Mapa final'!$R$41),"")</f>
        <v/>
      </c>
      <c r="O56" s="63" t="str">
        <f>IF(AND('Mapa final'!$AH$42="Muy Baja",'Mapa final'!$AJ$42="Leve"),CONCATENATE("R2C",'Mapa final'!$R$42),"")</f>
        <v/>
      </c>
      <c r="P56" s="64" t="str">
        <f>IF(AND('Mapa final'!$AH$43="Muy Baja",'Mapa final'!$AJ$43="Leve"),CONCATENATE("R2C",'Mapa final'!$R$43),"")</f>
        <v/>
      </c>
      <c r="Q56" s="62" t="str">
        <f>IF(AND('Mapa final'!$AH$38="Muy Baja",'Mapa final'!$AJ$38="Menor"),CONCATENATE("R2C",'Mapa final'!$R$38),"")</f>
        <v/>
      </c>
      <c r="R56" s="63" t="str">
        <f>IF(AND('Mapa final'!$AH$39="Muy Baja",'Mapa final'!$AJ$39="Menor"),CONCATENATE("R2C",'Mapa final'!$R$39),"")</f>
        <v/>
      </c>
      <c r="S56" s="63" t="str">
        <f>IF(AND('Mapa final'!$AH$40="Muy Baja",'Mapa final'!$AJ$40="Menor"),CONCATENATE("R2C",'Mapa final'!$R$40),"")</f>
        <v/>
      </c>
      <c r="T56" s="63" t="str">
        <f>IF(AND('Mapa final'!$AH$41="Muy Baja",'Mapa final'!$AJ$41="Menor"),CONCATENATE("R2C",'Mapa final'!$R$41),"")</f>
        <v/>
      </c>
      <c r="U56" s="63" t="str">
        <f>IF(AND('Mapa final'!$AH$42="Muy Baja",'Mapa final'!$AJ$42="Menor"),CONCATENATE("R2C",'Mapa final'!$R$42),"")</f>
        <v/>
      </c>
      <c r="V56" s="64" t="str">
        <f>IF(AND('Mapa final'!$AH$43="Muy Baja",'Mapa final'!$AJ$43="Menor"),CONCATENATE("R2C",'Mapa final'!$R$43),"")</f>
        <v/>
      </c>
      <c r="W56" s="53" t="str">
        <f>IF(AND('Mapa final'!$AH$38="Muy Baja",'Mapa final'!$AJ$38="Moderado"),CONCATENATE("R2C",'Mapa final'!$R$38),"")</f>
        <v/>
      </c>
      <c r="X56" s="54" t="str">
        <f>IF(AND('Mapa final'!$AH$39="Muy Baja",'Mapa final'!$AJ$39="Moderado"),CONCATENATE("R2C",'Mapa final'!$R$39),"")</f>
        <v/>
      </c>
      <c r="Y56" s="54" t="str">
        <f>IF(AND('Mapa final'!$AH$40="Muy Baja",'Mapa final'!$AJ$40="Moderado"),CONCATENATE("R2C",'Mapa final'!$R$40),"")</f>
        <v/>
      </c>
      <c r="Z56" s="54" t="str">
        <f>IF(AND('Mapa final'!$AH$41="Muy Baja",'Mapa final'!$AJ$41="Moderado"),CONCATENATE("R2C",'Mapa final'!$R$41),"")</f>
        <v/>
      </c>
      <c r="AA56" s="54" t="str">
        <f>IF(AND('Mapa final'!$AH$42="Muy Baja",'Mapa final'!$AJ$42="Moderado"),CONCATENATE("R2C",'Mapa final'!$R$42),"")</f>
        <v/>
      </c>
      <c r="AB56" s="55" t="str">
        <f>IF(AND('Mapa final'!$AH$43="Muy Baja",'Mapa final'!$AJ$43="Moderado"),CONCATENATE("R2C",'Mapa final'!$R$43),"")</f>
        <v/>
      </c>
      <c r="AC56" s="38" t="str">
        <f>IF(AND('Mapa final'!$AH$38="Muy Baja",'Mapa final'!$AJ$38="Mayor"),CONCATENATE("R2C",'Mapa final'!$R$38),"")</f>
        <v/>
      </c>
      <c r="AD56" s="39" t="str">
        <f>IF(AND('Mapa final'!$AH$39="Muy Baja",'Mapa final'!$AJ$39="Mayor"),CONCATENATE("R2C",'Mapa final'!$R$39),"")</f>
        <v/>
      </c>
      <c r="AE56" s="39" t="str">
        <f>IF(AND('Mapa final'!$AH$40="Muy Baja",'Mapa final'!$AJ$40="Mayor"),CONCATENATE("R2C",'Mapa final'!$R$40),"")</f>
        <v/>
      </c>
      <c r="AF56" s="39" t="str">
        <f>IF(AND('Mapa final'!$AH$41="Muy Baja",'Mapa final'!$AJ$41="Mayor"),CONCATENATE("R2C",'Mapa final'!$R$41),"")</f>
        <v/>
      </c>
      <c r="AG56" s="39" t="str">
        <f>IF(AND('Mapa final'!$AH$42="Muy Baja",'Mapa final'!$AJ$42="Mayor"),CONCATENATE("R2C",'Mapa final'!$R$42),"")</f>
        <v/>
      </c>
      <c r="AH56" s="40" t="str">
        <f>IF(AND('Mapa final'!$AH$43="Muy Baja",'Mapa final'!$AJ$43="Mayor"),CONCATENATE("R2C",'Mapa final'!$R$43),"")</f>
        <v/>
      </c>
      <c r="AI56" s="41" t="str">
        <f>IF(AND('Mapa final'!$AH$38="Muy Baja",'Mapa final'!$AJ$38="Catastrófico"),CONCATENATE("R2C",'Mapa final'!$R$38),"")</f>
        <v/>
      </c>
      <c r="AJ56" s="42" t="str">
        <f>IF(AND('Mapa final'!$AH$39="Muy Baja",'Mapa final'!$AJ$39="Catastrófico"),CONCATENATE("R2C",'Mapa final'!$R$39),"")</f>
        <v/>
      </c>
      <c r="AK56" s="42" t="str">
        <f>IF(AND('Mapa final'!$AH$40="Muy Baja",'Mapa final'!$AJ$40="Catastrófico"),CONCATENATE("R2C",'Mapa final'!$R$40),"")</f>
        <v/>
      </c>
      <c r="AL56" s="42" t="str">
        <f>IF(AND('Mapa final'!$AH$41="Muy Baja",'Mapa final'!$AJ$41="Catastrófico"),CONCATENATE("R2C",'Mapa final'!$R$41),"")</f>
        <v/>
      </c>
      <c r="AM56" s="42" t="str">
        <f>IF(AND('Mapa final'!$AH$42="Muy Baja",'Mapa final'!$AJ$42="Catastrófico"),CONCATENATE("R2C",'Mapa final'!$R$42),"")</f>
        <v/>
      </c>
      <c r="AN56" s="43" t="str">
        <f>IF(AND('Mapa final'!$AH$43="Muy Baja",'Mapa final'!$AJ$43="Catastrófico"),CONCATENATE("R2C",'Mapa final'!$R$43),"")</f>
        <v/>
      </c>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row>
    <row r="57" spans="2:81" ht="15" customHeight="1" x14ac:dyDescent="0.25">
      <c r="B57" s="68"/>
      <c r="C57" s="424"/>
      <c r="D57" s="424"/>
      <c r="E57" s="425"/>
      <c r="F57" s="467"/>
      <c r="G57" s="468"/>
      <c r="H57" s="468"/>
      <c r="I57" s="468"/>
      <c r="J57" s="469"/>
      <c r="K57" s="62" t="str">
        <f>IF(AND('Mapa final'!$AH$44="Muy Baja",'Mapa final'!$AJ$44="Leve"),CONCATENATE("R2C",'Mapa final'!$R$44),"")</f>
        <v/>
      </c>
      <c r="L57" s="63" t="str">
        <f>IF(AND('Mapa final'!$AH$45="Muy Baja",'Mapa final'!$AJ$45="Leve"),CONCATENATE("R2C",'Mapa final'!$R$45),"")</f>
        <v/>
      </c>
      <c r="M57" s="63" t="str">
        <f>IF(AND('Mapa final'!$AH$46="Muy Baja",'Mapa final'!$AJ$46="Leve"),CONCATENATE("R2C",'Mapa final'!$R$46),"")</f>
        <v/>
      </c>
      <c r="N57" s="63" t="str">
        <f>IF(AND('Mapa final'!$AH$47="Muy Baja",'Mapa final'!$AJ$47="Leve"),CONCATENATE("R2C",'Mapa final'!$R$47),"")</f>
        <v/>
      </c>
      <c r="O57" s="63" t="str">
        <f>IF(AND('Mapa final'!$AH$48="Muy Baja",'Mapa final'!$AJ$48="Leve"),CONCATENATE("R2C",'Mapa final'!$R$48),"")</f>
        <v/>
      </c>
      <c r="P57" s="64" t="str">
        <f>IF(AND('Mapa final'!$AH$59="Muy Baja",'Mapa final'!$AJ$49="Leve"),CONCATENATE("R2C",'Mapa final'!$R$49),"")</f>
        <v/>
      </c>
      <c r="Q57" s="62" t="str">
        <f>IF(AND('Mapa final'!$AH$44="Muy Baja",'Mapa final'!$AJ$44="Menor"),CONCATENATE("R2C",'Mapa final'!$R$44),"")</f>
        <v/>
      </c>
      <c r="R57" s="63" t="str">
        <f>IF(AND('Mapa final'!$AH$45="Muy Baja",'Mapa final'!$AJ$45="Menor"),CONCATENATE("R2C",'Mapa final'!$R$45),"")</f>
        <v/>
      </c>
      <c r="S57" s="63" t="str">
        <f>IF(AND('Mapa final'!$AH$46="Muy Baja",'Mapa final'!$AJ$46="Menor"),CONCATENATE("R2C",'Mapa final'!$R$46),"")</f>
        <v/>
      </c>
      <c r="T57" s="63" t="str">
        <f>IF(AND('Mapa final'!$AH$47="Muy Baja",'Mapa final'!$AJ$47="Menor"),CONCATENATE("R2C",'Mapa final'!$R$47),"")</f>
        <v/>
      </c>
      <c r="U57" s="63" t="str">
        <f>IF(AND('Mapa final'!$AH$48="Muy Baja",'Mapa final'!$AJ$48="Menor"),CONCATENATE("R2C",'Mapa final'!$R$48),"")</f>
        <v/>
      </c>
      <c r="V57" s="64" t="str">
        <f>IF(AND('Mapa final'!$AH$59="Muy Baja",'Mapa final'!$AJ$49="Menor"),CONCATENATE("R2C",'Mapa final'!$R$49),"")</f>
        <v/>
      </c>
      <c r="W57" s="53" t="str">
        <f>IF(AND('Mapa final'!$AH$44="Muy Baja",'Mapa final'!$AJ$44="Moderado"),CONCATENATE("R2C",'Mapa final'!$R$44),"")</f>
        <v/>
      </c>
      <c r="X57" s="54" t="str">
        <f>IF(AND('Mapa final'!$AH$45="Muy Baja",'Mapa final'!$AJ$45="Moderado"),CONCATENATE("R2C",'Mapa final'!$R$45),"")</f>
        <v/>
      </c>
      <c r="Y57" s="54" t="str">
        <f>IF(AND('Mapa final'!$AH$46="Muy Baja",'Mapa final'!$AJ$46="Moderado"),CONCATENATE("R2C",'Mapa final'!$R$46),"")</f>
        <v/>
      </c>
      <c r="Z57" s="54" t="str">
        <f>IF(AND('Mapa final'!$AH$47="Muy Baja",'Mapa final'!$AJ$47="Moderado"),CONCATENATE("R2C",'Mapa final'!$R$47),"")</f>
        <v/>
      </c>
      <c r="AA57" s="54" t="str">
        <f>IF(AND('Mapa final'!$AH$48="Muy Baja",'Mapa final'!$AJ$48="Moderado"),CONCATENATE("R2C",'Mapa final'!$R$48),"")</f>
        <v/>
      </c>
      <c r="AB57" s="55" t="str">
        <f>IF(AND('Mapa final'!$AH$59="Muy Baja",'Mapa final'!$AJ$49="Moderado"),CONCATENATE("R2C",'Mapa final'!$R$49),"")</f>
        <v/>
      </c>
      <c r="AC57" s="38" t="str">
        <f>IF(AND('Mapa final'!$AH$44="Muy Baja",'Mapa final'!$AJ$44="Mayor"),CONCATENATE("R2C",'Mapa final'!$R$44),"")</f>
        <v/>
      </c>
      <c r="AD57" s="39" t="str">
        <f>IF(AND('Mapa final'!$AH$45="Muy Baja",'Mapa final'!$AJ$45="Mayor"),CONCATENATE("R2C",'Mapa final'!$R$45),"")</f>
        <v/>
      </c>
      <c r="AE57" s="39" t="str">
        <f>IF(AND('Mapa final'!$AH$46="Muy Baja",'Mapa final'!$AJ$46="Mayor"),CONCATENATE("R2C",'Mapa final'!$R$46),"")</f>
        <v/>
      </c>
      <c r="AF57" s="39" t="str">
        <f>IF(AND('Mapa final'!$AH$47="Muy Baja",'Mapa final'!$AJ$47="Mayor"),CONCATENATE("R2C",'Mapa final'!$R$47),"")</f>
        <v/>
      </c>
      <c r="AG57" s="39" t="str">
        <f>IF(AND('Mapa final'!$AH$48="Muy Baja",'Mapa final'!$AJ$48="Mayor"),CONCATENATE("R2C",'Mapa final'!$R$48),"")</f>
        <v/>
      </c>
      <c r="AH57" s="40" t="str">
        <f>IF(AND('Mapa final'!$AH$59="Muy Baja",'Mapa final'!$AJ$49="Mayor"),CONCATENATE("R2C",'Mapa final'!$R$49),"")</f>
        <v/>
      </c>
      <c r="AI57" s="41" t="str">
        <f>IF(AND('Mapa final'!$AH$44="Muy Baja",'Mapa final'!$AJ$44="Catastrófico"),CONCATENATE("R2C",'Mapa final'!$R$44),"")</f>
        <v/>
      </c>
      <c r="AJ57" s="42" t="str">
        <f>IF(AND('Mapa final'!$AH$45="Muy Baja",'Mapa final'!$AJ$45="Catastrófico"),CONCATENATE("R2C",'Mapa final'!$R$45),"")</f>
        <v/>
      </c>
      <c r="AK57" s="42" t="str">
        <f>IF(AND('Mapa final'!$AH$46="Muy Baja",'Mapa final'!$AJ$46="Catastrófico"),CONCATENATE("R2C",'Mapa final'!$R$46),"")</f>
        <v/>
      </c>
      <c r="AL57" s="42" t="str">
        <f>IF(AND('Mapa final'!$AH$47="Muy Baja",'Mapa final'!$AJ$47="Catastrófico"),CONCATENATE("R2C",'Mapa final'!$R$47),"")</f>
        <v/>
      </c>
      <c r="AM57" s="42" t="str">
        <f>IF(AND('Mapa final'!$AH$48="Muy Baja",'Mapa final'!$AJ$48="Catastrófico"),CONCATENATE("R2C",'Mapa final'!$R$48),"")</f>
        <v/>
      </c>
      <c r="AN57" s="43" t="str">
        <f>IF(AND('Mapa final'!$AH$59="Muy Baja",'Mapa final'!$AJ$49="Catastrófico"),CONCATENATE("R2C",'Mapa final'!$R$49),"")</f>
        <v/>
      </c>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row>
    <row r="58" spans="2:81" ht="15" customHeight="1" x14ac:dyDescent="0.25">
      <c r="B58" s="68"/>
      <c r="C58" s="424"/>
      <c r="D58" s="424"/>
      <c r="E58" s="425"/>
      <c r="F58" s="467"/>
      <c r="G58" s="468"/>
      <c r="H58" s="468"/>
      <c r="I58" s="468"/>
      <c r="J58" s="469"/>
      <c r="K58" s="62" t="str">
        <f>IF(AND('Mapa final'!$AH$50="Muy Baja",'Mapa final'!$AJ$50="Leve"),CONCATENATE("R2C",'Mapa final'!$R$50),"")</f>
        <v/>
      </c>
      <c r="L58" s="63" t="str">
        <f>IF(AND('Mapa final'!$AH$51="Muy Baja",'Mapa final'!$AJ$51="Leve"),CONCATENATE("R2C",'Mapa final'!$R$51),"")</f>
        <v/>
      </c>
      <c r="M58" s="63" t="str">
        <f>IF(AND('Mapa final'!$AH$52="Muy Baja",'Mapa final'!$AJ$52="Leve"),CONCATENATE("R2C",'Mapa final'!$R$52),"")</f>
        <v/>
      </c>
      <c r="N58" s="63" t="str">
        <f>IF(AND('Mapa final'!$AH$53="Muy Baja",'Mapa final'!$AJ$53="Leve"),CONCATENATE("R2C",'Mapa final'!$R$53),"")</f>
        <v/>
      </c>
      <c r="O58" s="63" t="str">
        <f>IF(AND('Mapa final'!$AH$54="Muy Baja",'Mapa final'!$AJ$54="Leve"),CONCATENATE("R2C",'Mapa final'!$R$54),"")</f>
        <v/>
      </c>
      <c r="P58" s="64" t="str">
        <f>IF(AND('Mapa final'!$AH$55="Muy Baja",'Mapa final'!$AJ$55="Leve"),CONCATENATE("R2C",'Mapa final'!$R$55),"")</f>
        <v/>
      </c>
      <c r="Q58" s="62" t="str">
        <f>IF(AND('Mapa final'!$AH$50="Muy Baja",'Mapa final'!$AJ$50="Menor"),CONCATENATE("R2C",'Mapa final'!$R$50),"")</f>
        <v/>
      </c>
      <c r="R58" s="63" t="str">
        <f>IF(AND('Mapa final'!$AH$51="Muy Baja",'Mapa final'!$AJ$51="Menor"),CONCATENATE("R2C",'Mapa final'!$R$51),"")</f>
        <v/>
      </c>
      <c r="S58" s="63" t="str">
        <f>IF(AND('Mapa final'!$AH$52="Muy Baja",'Mapa final'!$AJ$52="Menor"),CONCATENATE("R2C",'Mapa final'!$R$52),"")</f>
        <v/>
      </c>
      <c r="T58" s="63" t="str">
        <f>IF(AND('Mapa final'!$AH$53="Muy Baja",'Mapa final'!$AJ$53="Menor"),CONCATENATE("R2C",'Mapa final'!$R$53),"")</f>
        <v/>
      </c>
      <c r="U58" s="63" t="str">
        <f>IF(AND('Mapa final'!$AH$54="Muy Baja",'Mapa final'!$AJ$54="Menor"),CONCATENATE("R2C",'Mapa final'!$R$54),"")</f>
        <v/>
      </c>
      <c r="V58" s="64" t="str">
        <f>IF(AND('Mapa final'!$AH$55="Muy Baja",'Mapa final'!$AJ$55="Menor"),CONCATENATE("R2C",'Mapa final'!$R$55),"")</f>
        <v/>
      </c>
      <c r="W58" s="53" t="str">
        <f>IF(AND('Mapa final'!$AH$50="Muy Baja",'Mapa final'!$AJ$50="Moderado"),CONCATENATE("R2C",'Mapa final'!$R$50),"")</f>
        <v/>
      </c>
      <c r="X58" s="54" t="str">
        <f>IF(AND('Mapa final'!$AH$51="Muy Baja",'Mapa final'!$AJ$51="Moderado"),CONCATENATE("R2C",'Mapa final'!$R$51),"")</f>
        <v/>
      </c>
      <c r="Y58" s="54" t="str">
        <f>IF(AND('Mapa final'!$AH$52="Muy Baja",'Mapa final'!$AJ$52="Moderado"),CONCATENATE("R2C",'Mapa final'!$R$52),"")</f>
        <v/>
      </c>
      <c r="Z58" s="54" t="str">
        <f>IF(AND('Mapa final'!$AH$53="Muy Baja",'Mapa final'!$AJ$53="Moderado"),CONCATENATE("R2C",'Mapa final'!$R$53),"")</f>
        <v/>
      </c>
      <c r="AA58" s="54" t="str">
        <f>IF(AND('Mapa final'!$AH$54="Muy Baja",'Mapa final'!$AJ$54="Moderado"),CONCATENATE("R2C",'Mapa final'!$R$54),"")</f>
        <v/>
      </c>
      <c r="AB58" s="55" t="str">
        <f>IF(AND('Mapa final'!$AH$55="Muy Baja",'Mapa final'!$AJ$55="Moderado"),CONCATENATE("R2C",'Mapa final'!$R$55),"")</f>
        <v/>
      </c>
      <c r="AC58" s="38" t="str">
        <f>IF(AND('Mapa final'!$AH$50="Muy Baja",'Mapa final'!$AJ$50="Mayor"),CONCATENATE("R2C",'Mapa final'!$R$50),"")</f>
        <v/>
      </c>
      <c r="AD58" s="39" t="str">
        <f>IF(AND('Mapa final'!$AH$51="Muy Baja",'Mapa final'!$AJ$51="Mayor"),CONCATENATE("R2C",'Mapa final'!$R$51),"")</f>
        <v/>
      </c>
      <c r="AE58" s="39" t="str">
        <f>IF(AND('Mapa final'!$AH$52="Muy Baja",'Mapa final'!$AJ$52="Mayor"),CONCATENATE("R2C",'Mapa final'!$R$52),"")</f>
        <v/>
      </c>
      <c r="AF58" s="39" t="str">
        <f>IF(AND('Mapa final'!$AH$53="Muy Baja",'Mapa final'!$AJ$53="Mayor"),CONCATENATE("R2C",'Mapa final'!$R$53),"")</f>
        <v/>
      </c>
      <c r="AG58" s="39" t="str">
        <f>IF(AND('Mapa final'!$AH$54="Muy Baja",'Mapa final'!$AJ$54="Mayor"),CONCATENATE("R2C",'Mapa final'!$R$54),"")</f>
        <v/>
      </c>
      <c r="AH58" s="40" t="str">
        <f>IF(AND('Mapa final'!$AH$55="Muy Baja",'Mapa final'!$AJ$55="Mayor"),CONCATENATE("R2C",'Mapa final'!$R$55),"")</f>
        <v/>
      </c>
      <c r="AI58" s="41" t="str">
        <f>IF(AND('Mapa final'!$AH$50="Muy Baja",'Mapa final'!$AJ$50="Catastrófico"),CONCATENATE("R2C",'Mapa final'!$R$50),"")</f>
        <v/>
      </c>
      <c r="AJ58" s="42" t="str">
        <f>IF(AND('Mapa final'!$AH$51="Muy Baja",'Mapa final'!$AJ$51="Catastrófico"),CONCATENATE("R2C",'Mapa final'!$R$51),"")</f>
        <v/>
      </c>
      <c r="AK58" s="42" t="str">
        <f>IF(AND('Mapa final'!$AH$52="Muy Baja",'Mapa final'!$AJ$52="Catastrófico"),CONCATENATE("R2C",'Mapa final'!$R$52),"")</f>
        <v/>
      </c>
      <c r="AL58" s="42" t="str">
        <f>IF(AND('Mapa final'!$AH$53="Muy Baja",'Mapa final'!$AJ$53="Catastrófico"),CONCATENATE("R2C",'Mapa final'!$R$53),"")</f>
        <v/>
      </c>
      <c r="AM58" s="42" t="str">
        <f>IF(AND('Mapa final'!$AH$54="Muy Baja",'Mapa final'!$AJ$54="Catastrófico"),CONCATENATE("R2C",'Mapa final'!$R$54),"")</f>
        <v/>
      </c>
      <c r="AN58" s="43" t="str">
        <f>IF(AND('Mapa final'!$AH$55="Muy Baja",'Mapa final'!$AJ$55="Catastrófico"),CONCATENATE("R2C",'Mapa final'!$R$55),"")</f>
        <v/>
      </c>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row>
    <row r="59" spans="2:81" ht="15" customHeight="1" x14ac:dyDescent="0.25">
      <c r="B59" s="68"/>
      <c r="C59" s="424"/>
      <c r="D59" s="424"/>
      <c r="E59" s="425"/>
      <c r="F59" s="467"/>
      <c r="G59" s="468"/>
      <c r="H59" s="468"/>
      <c r="I59" s="468"/>
      <c r="J59" s="469"/>
      <c r="K59" s="62" t="str">
        <f>IF(AND('Mapa final'!$AH$56="Muy Baja",'Mapa final'!$AJ$56="Leve"),CONCATENATE("R2C",'Mapa final'!$R$56),"")</f>
        <v/>
      </c>
      <c r="L59" s="63" t="str">
        <f>IF(AND('Mapa final'!$AH$57="Muy Baja",'Mapa final'!$AJ$57="Leve"),CONCATENATE("R2C",'Mapa final'!$R$57),"")</f>
        <v/>
      </c>
      <c r="M59" s="63" t="str">
        <f>IF(AND('Mapa final'!$AH$58="Muy Baja",'Mapa final'!$AJ$58="Leve"),CONCATENATE("R2C",'Mapa final'!$R$58),"")</f>
        <v/>
      </c>
      <c r="N59" s="63" t="str">
        <f>IF(AND('Mapa final'!$AH$59="Muy Baja",'Mapa final'!$AJ$59="Leve"),CONCATENATE("R2C",'Mapa final'!$R$59),"")</f>
        <v/>
      </c>
      <c r="O59" s="63" t="str">
        <f>IF(AND('Mapa final'!$AH$60="Muy Baja",'Mapa final'!$AJ$60="Leve"),CONCATENATE("R2C",'Mapa final'!$R$60),"")</f>
        <v/>
      </c>
      <c r="P59" s="64" t="str">
        <f>IF(AND('Mapa final'!$AH$61="Muy Baja",'Mapa final'!$AJ$61="Leve"),CONCATENATE("R2C",'Mapa final'!$R$61),"")</f>
        <v/>
      </c>
      <c r="Q59" s="62" t="str">
        <f>IF(AND('Mapa final'!$AH$56="Muy Baja",'Mapa final'!$AJ$56="Menor"),CONCATENATE("R2C",'Mapa final'!$R$56),"")</f>
        <v/>
      </c>
      <c r="R59" s="63" t="str">
        <f>IF(AND('Mapa final'!$AH$57="Muy Baja",'Mapa final'!$AJ$57="Menor"),CONCATENATE("R2C",'Mapa final'!$R$57),"")</f>
        <v/>
      </c>
      <c r="S59" s="63" t="str">
        <f>IF(AND('Mapa final'!$AH$58="Muy Baja",'Mapa final'!$AJ$58="Menor"),CONCATENATE("R2C",'Mapa final'!$R$58),"")</f>
        <v/>
      </c>
      <c r="T59" s="63" t="str">
        <f>IF(AND('Mapa final'!$AH$59="Muy Baja",'Mapa final'!$AJ$59="Menor"),CONCATENATE("R2C",'Mapa final'!$R$59),"")</f>
        <v/>
      </c>
      <c r="U59" s="63" t="str">
        <f>IF(AND('Mapa final'!$AH$60="Muy Baja",'Mapa final'!$AJ$60="Menor"),CONCATENATE("R2C",'Mapa final'!$R$60),"")</f>
        <v/>
      </c>
      <c r="V59" s="64" t="str">
        <f>IF(AND('Mapa final'!$AH$61="Muy Baja",'Mapa final'!$AJ$61="Menor"),CONCATENATE("R2C",'Mapa final'!$R$61),"")</f>
        <v/>
      </c>
      <c r="W59" s="53" t="str">
        <f>IF(AND('Mapa final'!$AH$56="Muy Baja",'Mapa final'!$AJ$56="Moderado"),CONCATENATE("R2C",'Mapa final'!$R$56),"")</f>
        <v/>
      </c>
      <c r="X59" s="54" t="str">
        <f>IF(AND('Mapa final'!$AH$57="Muy Baja",'Mapa final'!$AJ$57="Moderado"),CONCATENATE("R2C",'Mapa final'!$R$57),"")</f>
        <v/>
      </c>
      <c r="Y59" s="54" t="str">
        <f>IF(AND('Mapa final'!$AH$58="Muy Baja",'Mapa final'!$AJ$58="Moderado"),CONCATENATE("R2C",'Mapa final'!$R$58),"")</f>
        <v/>
      </c>
      <c r="Z59" s="54" t="str">
        <f>IF(AND('Mapa final'!$AH$59="Muy Baja",'Mapa final'!$AJ$59="Moderado"),CONCATENATE("R2C",'Mapa final'!$R$59),"")</f>
        <v/>
      </c>
      <c r="AA59" s="54" t="str">
        <f>IF(AND('Mapa final'!$AH$60="Muy Baja",'Mapa final'!$AJ$60="Moderado"),CONCATENATE("R2C",'Mapa final'!$R$60),"")</f>
        <v/>
      </c>
      <c r="AB59" s="55" t="str">
        <f>IF(AND('Mapa final'!$AH$61="Muy Baja",'Mapa final'!$AJ$61="Moderado"),CONCATENATE("R2C",'Mapa final'!$R$61),"")</f>
        <v/>
      </c>
      <c r="AC59" s="38" t="str">
        <f>IF(AND('Mapa final'!$AH$56="Muy Baja",'Mapa final'!$AJ$56="Mayor"),CONCATENATE("R2C",'Mapa final'!$R$56),"")</f>
        <v/>
      </c>
      <c r="AD59" s="39" t="str">
        <f>IF(AND('Mapa final'!$AH$57="Muy Baja",'Mapa final'!$AJ$57="Mayor"),CONCATENATE("R2C",'Mapa final'!$R$57),"")</f>
        <v/>
      </c>
      <c r="AE59" s="39" t="str">
        <f>IF(AND('Mapa final'!$AH$58="Muy Baja",'Mapa final'!$AJ$58="Mayor"),CONCATENATE("R2C",'Mapa final'!$R$58),"")</f>
        <v/>
      </c>
      <c r="AF59" s="39" t="str">
        <f>IF(AND('Mapa final'!$AH$59="Muy Baja",'Mapa final'!$AJ$59="Mayor"),CONCATENATE("R2C",'Mapa final'!$R$59),"")</f>
        <v/>
      </c>
      <c r="AG59" s="39" t="str">
        <f>IF(AND('Mapa final'!$AH$60="Muy Baja",'Mapa final'!$AJ$60="Mayor"),CONCATENATE("R2C",'Mapa final'!$R$60),"")</f>
        <v/>
      </c>
      <c r="AH59" s="40" t="str">
        <f>IF(AND('Mapa final'!$AH$61="Muy Baja",'Mapa final'!$AJ$61="Mayor"),CONCATENATE("R2C",'Mapa final'!$R$61),"")</f>
        <v/>
      </c>
      <c r="AI59" s="41" t="str">
        <f>IF(AND('Mapa final'!$AH$56="Muy Baja",'Mapa final'!$AJ$56="Catastrófico"),CONCATENATE("R2C",'Mapa final'!$R$56),"")</f>
        <v/>
      </c>
      <c r="AJ59" s="42" t="str">
        <f>IF(AND('Mapa final'!$AH$57="Muy Baja",'Mapa final'!$AJ$57="Catastrófico"),CONCATENATE("R2C",'Mapa final'!$R$57),"")</f>
        <v/>
      </c>
      <c r="AK59" s="42" t="str">
        <f>IF(AND('Mapa final'!$AH$58="Muy Baja",'Mapa final'!$AJ$58="Catastrófico"),CONCATENATE("R2C",'Mapa final'!$R$58),"")</f>
        <v/>
      </c>
      <c r="AL59" s="42" t="str">
        <f>IF(AND('Mapa final'!$AH$59="Muy Baja",'Mapa final'!$AJ$59="Catastrófico"),CONCATENATE("R2C",'Mapa final'!$R$59),"")</f>
        <v/>
      </c>
      <c r="AM59" s="42" t="str">
        <f>IF(AND('Mapa final'!$AH$60="Muy Baja",'Mapa final'!$AJ$60="Catastrófico"),CONCATENATE("R2C",'Mapa final'!$R$60),"")</f>
        <v/>
      </c>
      <c r="AN59" s="43" t="str">
        <f>IF(AND('Mapa final'!$AH$61="Muy Baja",'Mapa final'!$AJ$61="Catastrófico"),CONCATENATE("R2C",'Mapa final'!$R$61),"")</f>
        <v/>
      </c>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row>
    <row r="60" spans="2:81" ht="15" customHeight="1" x14ac:dyDescent="0.25">
      <c r="B60" s="68"/>
      <c r="C60" s="424"/>
      <c r="D60" s="424"/>
      <c r="E60" s="425"/>
      <c r="F60" s="467"/>
      <c r="G60" s="468"/>
      <c r="H60" s="468"/>
      <c r="I60" s="468"/>
      <c r="J60" s="469"/>
      <c r="K60" s="62" t="str">
        <f>IF(AND('Mapa final'!$AH$62="Muy Baja",'Mapa final'!$AJ$62="Leve"),CONCATENATE("R2C",'Mapa final'!$R$62),"")</f>
        <v/>
      </c>
      <c r="L60" s="63" t="str">
        <f>IF(AND('Mapa final'!$AH$63="Muy Baja",'Mapa final'!$AJ$63="Leve"),CONCATENATE("R2C",'Mapa final'!$R$63),"")</f>
        <v/>
      </c>
      <c r="M60" s="63" t="str">
        <f>IF(AND('Mapa final'!$AH$64="Muy Baja",'Mapa final'!$AJ$64="Leve"),CONCATENATE("R2C",'Mapa final'!$R$64),"")</f>
        <v/>
      </c>
      <c r="N60" s="63" t="str">
        <f>IF(AND('Mapa final'!$AH$65="Muy Baja",'Mapa final'!$AJ$65="Leve"),CONCATENATE("R2C",'Mapa final'!$R$65),"")</f>
        <v/>
      </c>
      <c r="O60" s="63" t="str">
        <f>IF(AND('Mapa final'!$AH$66="Muy Baja",'Mapa final'!$AJ$66="Leve"),CONCATENATE("R2C",'Mapa final'!$R$66),"")</f>
        <v/>
      </c>
      <c r="P60" s="64" t="str">
        <f>IF(AND('Mapa final'!$AH$67="Muy Baja",'Mapa final'!$AJ$67="Leve"),CONCATENATE("R2C",'Mapa final'!$R$67),"")</f>
        <v/>
      </c>
      <c r="Q60" s="62" t="str">
        <f>IF(AND('Mapa final'!$AH$62="Muy Baja",'Mapa final'!$AJ$62="Menor"),CONCATENATE("R2C",'Mapa final'!$R$62),"")</f>
        <v/>
      </c>
      <c r="R60" s="63" t="str">
        <f>IF(AND('Mapa final'!$AH$63="Muy Baja",'Mapa final'!$AJ$63="Menor"),CONCATENATE("R2C",'Mapa final'!$R$63),"")</f>
        <v/>
      </c>
      <c r="S60" s="63" t="str">
        <f>IF(AND('Mapa final'!$AH$64="Muy Baja",'Mapa final'!$AJ$64="Menor"),CONCATENATE("R2C",'Mapa final'!$R$64),"")</f>
        <v/>
      </c>
      <c r="T60" s="63" t="str">
        <f>IF(AND('Mapa final'!$AH$65="Muy Baja",'Mapa final'!$AJ$65="Menor"),CONCATENATE("R2C",'Mapa final'!$R$65),"")</f>
        <v/>
      </c>
      <c r="U60" s="63" t="str">
        <f>IF(AND('Mapa final'!$AH$66="Muy Baja",'Mapa final'!$AJ$66="Menor"),CONCATENATE("R2C",'Mapa final'!$R$66),"")</f>
        <v/>
      </c>
      <c r="V60" s="64" t="str">
        <f>IF(AND('Mapa final'!$AH$67="Muy Baja",'Mapa final'!$AJ$67="Menor"),CONCATENATE("R2C",'Mapa final'!$R$67),"")</f>
        <v/>
      </c>
      <c r="W60" s="53" t="str">
        <f>IF(AND('Mapa final'!$AH$62="Muy Baja",'Mapa final'!$AJ$62="Moderado"),CONCATENATE("R2C",'Mapa final'!$R$62),"")</f>
        <v/>
      </c>
      <c r="X60" s="54" t="str">
        <f>IF(AND('Mapa final'!$AH$63="Muy Baja",'Mapa final'!$AJ$63="Moderado"),CONCATENATE("R2C",'Mapa final'!$R$63),"")</f>
        <v/>
      </c>
      <c r="Y60" s="54" t="str">
        <f>IF(AND('Mapa final'!$AH$64="Muy Baja",'Mapa final'!$AJ$64="Moderado"),CONCATENATE("R2C",'Mapa final'!$R$64),"")</f>
        <v/>
      </c>
      <c r="Z60" s="54" t="str">
        <f>IF(AND('Mapa final'!$AH$65="Muy Baja",'Mapa final'!$AJ$65="Moderado"),CONCATENATE("R2C",'Mapa final'!$R$65),"")</f>
        <v/>
      </c>
      <c r="AA60" s="54" t="str">
        <f>IF(AND('Mapa final'!$AH$66="Muy Baja",'Mapa final'!$AJ$66="Moderado"),CONCATENATE("R2C",'Mapa final'!$R$66),"")</f>
        <v/>
      </c>
      <c r="AB60" s="55" t="str">
        <f>IF(AND('Mapa final'!$AH$67="Muy Baja",'Mapa final'!$AJ$67="Moderado"),CONCATENATE("R2C",'Mapa final'!$R$67),"")</f>
        <v/>
      </c>
      <c r="AC60" s="38" t="str">
        <f>IF(AND('Mapa final'!$AH$62="Muy Baja",'Mapa final'!$AJ$62="Mayor"),CONCATENATE("R2C",'Mapa final'!$R$62),"")</f>
        <v/>
      </c>
      <c r="AD60" s="39" t="str">
        <f>IF(AND('Mapa final'!$AH$63="Muy Baja",'Mapa final'!$AJ$63="Mayor"),CONCATENATE("R2C",'Mapa final'!$R$63),"")</f>
        <v/>
      </c>
      <c r="AE60" s="39" t="str">
        <f>IF(AND('Mapa final'!$AH$64="Muy Baja",'Mapa final'!$AJ$64="Mayor"),CONCATENATE("R2C",'Mapa final'!$R$64),"")</f>
        <v/>
      </c>
      <c r="AF60" s="39" t="str">
        <f>IF(AND('Mapa final'!$AH$65="Muy Baja",'Mapa final'!$AJ$65="Mayor"),CONCATENATE("R2C",'Mapa final'!$R$65),"")</f>
        <v/>
      </c>
      <c r="AG60" s="39" t="str">
        <f>IF(AND('Mapa final'!$AH$66="Muy Baja",'Mapa final'!$AJ$66="Mayor"),CONCATENATE("R2C",'Mapa final'!$R$66),"")</f>
        <v/>
      </c>
      <c r="AH60" s="40" t="str">
        <f>IF(AND('Mapa final'!$AH$67="Muy Baja",'Mapa final'!$AJ$67="Mayor"),CONCATENATE("R2C",'Mapa final'!$R$67),"")</f>
        <v/>
      </c>
      <c r="AI60" s="41" t="str">
        <f>IF(AND('Mapa final'!$AH$62="Muy Baja",'Mapa final'!$AJ$62="Catastrófico"),CONCATENATE("R2C",'Mapa final'!$R$62),"")</f>
        <v/>
      </c>
      <c r="AJ60" s="42" t="str">
        <f>IF(AND('Mapa final'!$AH$63="Muy Baja",'Mapa final'!$AJ$63="Catastrófico"),CONCATENATE("R2C",'Mapa final'!$R$63),"")</f>
        <v/>
      </c>
      <c r="AK60" s="42" t="str">
        <f>IF(AND('Mapa final'!$AH$64="Muy Baja",'Mapa final'!$AJ$64="Catastrófico"),CONCATENATE("R2C",'Mapa final'!$R$64),"")</f>
        <v/>
      </c>
      <c r="AL60" s="42" t="str">
        <f>IF(AND('Mapa final'!$AH$65="Muy Baja",'Mapa final'!$AJ$65="Catastrófico"),CONCATENATE("R2C",'Mapa final'!$R$65),"")</f>
        <v/>
      </c>
      <c r="AM60" s="42" t="str">
        <f>IF(AND('Mapa final'!$AH$66="Muy Baja",'Mapa final'!$AJ$66="Catastrófico"),CONCATENATE("R2C",'Mapa final'!$R$66),"")</f>
        <v/>
      </c>
      <c r="AN60" s="43" t="str">
        <f>IF(AND('Mapa final'!$AH$67="Muy Baja",'Mapa final'!$AJ$67="Catastrófico"),CONCATENATE("R2C",'Mapa final'!$R$67),"")</f>
        <v/>
      </c>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row>
    <row r="61" spans="2:81" ht="15.75" customHeight="1" thickBot="1" x14ac:dyDescent="0.3">
      <c r="B61" s="68"/>
      <c r="C61" s="424"/>
      <c r="D61" s="424"/>
      <c r="E61" s="425"/>
      <c r="F61" s="470"/>
      <c r="G61" s="471"/>
      <c r="H61" s="471"/>
      <c r="I61" s="471"/>
      <c r="J61" s="472"/>
      <c r="K61" s="65" t="str">
        <f>IF(AND('Mapa final'!$AH$68="Muy Baja",'Mapa final'!$AJ$68="Leve"),CONCATENATE("R2C",'Mapa final'!$R$68),"")</f>
        <v/>
      </c>
      <c r="L61" s="66" t="str">
        <f>IF(AND('Mapa final'!$AH$69="Muy Baja",'Mapa final'!$AJ$69="Leve"),CONCATENATE("R2C",'Mapa final'!$R$69),"")</f>
        <v/>
      </c>
      <c r="M61" s="66" t="str">
        <f>IF(AND('Mapa final'!$AH$70="Muy Baja",'Mapa final'!$AJ$70="Leve"),CONCATENATE("R2C",'Mapa final'!$R$70),"")</f>
        <v/>
      </c>
      <c r="N61" s="66" t="str">
        <f>IF(AND('Mapa final'!$AH$71="Muy Baja",'Mapa final'!$AJ$71="Leve"),CONCATENATE("R2C",'Mapa final'!$R$71),"")</f>
        <v/>
      </c>
      <c r="O61" s="66" t="str">
        <f>IF(AND('Mapa final'!$AH$73="Muy Baja",'Mapa final'!$AJ$73="Leve"),CONCATENATE("R2C",'Mapa final'!$R$73),"")</f>
        <v/>
      </c>
      <c r="P61" s="67" t="str">
        <f>IF(AND('Mapa final'!$AH$74="Muy Baja",'Mapa final'!$AJ$74="Leve"),CONCATENATE("R2C",'Mapa final'!$R$74),"")</f>
        <v/>
      </c>
      <c r="Q61" s="65" t="str">
        <f>IF(AND('Mapa final'!$AH$68="Muy Baja",'Mapa final'!$AJ$68="Menor"),CONCATENATE("R2C",'Mapa final'!$R$68),"")</f>
        <v/>
      </c>
      <c r="R61" s="66" t="str">
        <f>IF(AND('Mapa final'!$AH$69="Muy Baja",'Mapa final'!$AJ$69="Menor"),CONCATENATE("R2C",'Mapa final'!$R$69),"")</f>
        <v/>
      </c>
      <c r="S61" s="66" t="str">
        <f>IF(AND('Mapa final'!$AH$70="Muy Baja",'Mapa final'!$AJ$70="Menor"),CONCATENATE("R2C",'Mapa final'!$R$70),"")</f>
        <v/>
      </c>
      <c r="T61" s="66" t="str">
        <f>IF(AND('Mapa final'!$AH$71="Muy Baja",'Mapa final'!$AJ$71="Menor"),CONCATENATE("R2C",'Mapa final'!$R$71),"")</f>
        <v/>
      </c>
      <c r="U61" s="66" t="str">
        <f>IF(AND('Mapa final'!$AH$73="Muy Baja",'Mapa final'!$AJ$73="Menor"),CONCATENATE("R2C",'Mapa final'!$R$73),"")</f>
        <v/>
      </c>
      <c r="V61" s="67" t="str">
        <f>IF(AND('Mapa final'!$AH$74="Muy Baja",'Mapa final'!$AJ$74="Menor"),CONCATENATE("R2C",'Mapa final'!$R$74),"")</f>
        <v/>
      </c>
      <c r="W61" s="56" t="str">
        <f>IF(AND('Mapa final'!$AH$68="Muy Baja",'Mapa final'!$AJ$68="Moderado"),CONCATENATE("R2C",'Mapa final'!$R$68),"")</f>
        <v/>
      </c>
      <c r="X61" s="57" t="str">
        <f>IF(AND('Mapa final'!$AH$69="Muy Baja",'Mapa final'!$AJ$69="Moderado"),CONCATENATE("R2C",'Mapa final'!$R$69),"")</f>
        <v/>
      </c>
      <c r="Y61" s="57" t="str">
        <f>IF(AND('Mapa final'!$AH$70="Muy Baja",'Mapa final'!$AJ$70="Moderado"),CONCATENATE("R2C",'Mapa final'!$R$70),"")</f>
        <v/>
      </c>
      <c r="Z61" s="57" t="str">
        <f>IF(AND('Mapa final'!$AH$71="Muy Baja",'Mapa final'!$AJ$71="Moderado"),CONCATENATE("R2C",'Mapa final'!$R$71),"")</f>
        <v/>
      </c>
      <c r="AA61" s="57" t="str">
        <f>IF(AND('Mapa final'!$AH$73="Muy Baja",'Mapa final'!$AJ$73="Moderado"),CONCATENATE("R2C",'Mapa final'!$R$73),"")</f>
        <v/>
      </c>
      <c r="AB61" s="58" t="str">
        <f>IF(AND('Mapa final'!$AH$74="Muy Baja",'Mapa final'!$AJ$74="Moderado"),CONCATENATE("R2C",'Mapa final'!$R$74),"")</f>
        <v/>
      </c>
      <c r="AC61" s="44" t="str">
        <f>IF(AND('Mapa final'!$AH$68="Muy Baja",'Mapa final'!$AJ$68="Mayor"),CONCATENATE("R2C",'Mapa final'!$R$68),"")</f>
        <v/>
      </c>
      <c r="AD61" s="45" t="str">
        <f>IF(AND('Mapa final'!$AH$69="Muy Baja",'Mapa final'!$AJ$69="Mayor"),CONCATENATE("R2C",'Mapa final'!$R$69),"")</f>
        <v/>
      </c>
      <c r="AE61" s="45" t="str">
        <f>IF(AND('Mapa final'!$AH$70="Muy Baja",'Mapa final'!$AJ$70="Mayor"),CONCATENATE("R2C",'Mapa final'!$R$70),"")</f>
        <v/>
      </c>
      <c r="AF61" s="45" t="str">
        <f>IF(AND('Mapa final'!$AH$71="Muy Baja",'Mapa final'!$AJ$71="Mayor"),CONCATENATE("R2C",'Mapa final'!$R$71),"")</f>
        <v/>
      </c>
      <c r="AG61" s="45" t="str">
        <f>IF(AND('Mapa final'!$AH$73="Muy Baja",'Mapa final'!$AJ$73="Mayor"),CONCATENATE("R2C",'Mapa final'!$R$73),"")</f>
        <v/>
      </c>
      <c r="AH61" s="46" t="str">
        <f>IF(AND('Mapa final'!$AH$74="Muy Baja",'Mapa final'!$AJ$74="Mayor"),CONCATENATE("R2C",'Mapa final'!$R$74),"")</f>
        <v/>
      </c>
      <c r="AI61" s="47" t="str">
        <f>IF(AND('Mapa final'!$AH$68="Muy Baja",'Mapa final'!$AJ$68="Catastrófico"),CONCATENATE("R2C",'Mapa final'!$R$68),"")</f>
        <v/>
      </c>
      <c r="AJ61" s="48" t="str">
        <f>IF(AND('Mapa final'!$AH$69="Muy Baja",'Mapa final'!$AJ$69="Catastrófico"),CONCATENATE("R2C",'Mapa final'!$R$69),"")</f>
        <v/>
      </c>
      <c r="AK61" s="48" t="str">
        <f>IF(AND('Mapa final'!$AH$70="Muy Baja",'Mapa final'!$AJ$70="Catastrófico"),CONCATENATE("R2C",'Mapa final'!$R$70),"")</f>
        <v/>
      </c>
      <c r="AL61" s="48" t="str">
        <f>IF(AND('Mapa final'!$AH$71="Muy Baja",'Mapa final'!$AJ$71="Catastrófico"),CONCATENATE("R2C",'Mapa final'!$R$71),"")</f>
        <v/>
      </c>
      <c r="AM61" s="48" t="str">
        <f>IF(AND('Mapa final'!$AH$73="Muy Baja",'Mapa final'!$AJ$73="Catastrófico"),CONCATENATE("R2C",'Mapa final'!$R$73),"")</f>
        <v/>
      </c>
      <c r="AN61" s="49" t="str">
        <f>IF(AND('Mapa final'!$AH$74="Muy Baja",'Mapa final'!$AJ$74="Catastrófico"),CONCATENATE("R2C",'Mapa final'!$R$74),"")</f>
        <v/>
      </c>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row>
    <row r="62" spans="2:81" x14ac:dyDescent="0.25">
      <c r="B62" s="68"/>
      <c r="C62" s="68"/>
      <c r="D62" s="68"/>
      <c r="E62" s="68"/>
      <c r="F62" s="68"/>
      <c r="G62" s="68"/>
      <c r="H62" s="68"/>
      <c r="I62" s="68"/>
      <c r="J62" s="68"/>
      <c r="K62" s="464" t="s">
        <v>264</v>
      </c>
      <c r="L62" s="465"/>
      <c r="M62" s="465"/>
      <c r="N62" s="465"/>
      <c r="O62" s="465"/>
      <c r="P62" s="466"/>
      <c r="Q62" s="464" t="s">
        <v>265</v>
      </c>
      <c r="R62" s="465"/>
      <c r="S62" s="465"/>
      <c r="T62" s="465"/>
      <c r="U62" s="465"/>
      <c r="V62" s="466"/>
      <c r="W62" s="464" t="s">
        <v>266</v>
      </c>
      <c r="X62" s="465"/>
      <c r="Y62" s="465"/>
      <c r="Z62" s="465"/>
      <c r="AA62" s="465"/>
      <c r="AB62" s="466"/>
      <c r="AC62" s="464" t="s">
        <v>267</v>
      </c>
      <c r="AD62" s="473"/>
      <c r="AE62" s="465"/>
      <c r="AF62" s="465"/>
      <c r="AG62" s="465"/>
      <c r="AH62" s="466"/>
      <c r="AI62" s="464" t="s">
        <v>268</v>
      </c>
      <c r="AJ62" s="465"/>
      <c r="AK62" s="465"/>
      <c r="AL62" s="465"/>
      <c r="AM62" s="465"/>
      <c r="AN62" s="466"/>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row>
    <row r="63" spans="2:81" x14ac:dyDescent="0.25">
      <c r="B63" s="68"/>
      <c r="C63" s="68"/>
      <c r="D63" s="68"/>
      <c r="E63" s="68"/>
      <c r="F63" s="68"/>
      <c r="G63" s="68"/>
      <c r="H63" s="68"/>
      <c r="I63" s="68"/>
      <c r="J63" s="68"/>
      <c r="K63" s="467"/>
      <c r="L63" s="468"/>
      <c r="M63" s="468"/>
      <c r="N63" s="468"/>
      <c r="O63" s="468"/>
      <c r="P63" s="469"/>
      <c r="Q63" s="467"/>
      <c r="R63" s="468"/>
      <c r="S63" s="468"/>
      <c r="T63" s="468"/>
      <c r="U63" s="468"/>
      <c r="V63" s="469"/>
      <c r="W63" s="467"/>
      <c r="X63" s="468"/>
      <c r="Y63" s="468"/>
      <c r="Z63" s="468"/>
      <c r="AA63" s="468"/>
      <c r="AB63" s="469"/>
      <c r="AC63" s="467"/>
      <c r="AD63" s="468"/>
      <c r="AE63" s="468"/>
      <c r="AF63" s="468"/>
      <c r="AG63" s="468"/>
      <c r="AH63" s="469"/>
      <c r="AI63" s="467"/>
      <c r="AJ63" s="468"/>
      <c r="AK63" s="468"/>
      <c r="AL63" s="468"/>
      <c r="AM63" s="468"/>
      <c r="AN63" s="469"/>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row>
    <row r="64" spans="2:81" x14ac:dyDescent="0.25">
      <c r="B64" s="68"/>
      <c r="C64" s="68"/>
      <c r="D64" s="68"/>
      <c r="E64" s="68"/>
      <c r="F64" s="68"/>
      <c r="G64" s="68"/>
      <c r="H64" s="68"/>
      <c r="I64" s="68"/>
      <c r="J64" s="68"/>
      <c r="K64" s="467"/>
      <c r="L64" s="468"/>
      <c r="M64" s="468"/>
      <c r="N64" s="468"/>
      <c r="O64" s="468"/>
      <c r="P64" s="469"/>
      <c r="Q64" s="467"/>
      <c r="R64" s="468"/>
      <c r="S64" s="468"/>
      <c r="T64" s="468"/>
      <c r="U64" s="468"/>
      <c r="V64" s="469"/>
      <c r="W64" s="467"/>
      <c r="X64" s="468"/>
      <c r="Y64" s="468"/>
      <c r="Z64" s="468"/>
      <c r="AA64" s="468"/>
      <c r="AB64" s="469"/>
      <c r="AC64" s="467"/>
      <c r="AD64" s="468"/>
      <c r="AE64" s="468"/>
      <c r="AF64" s="468"/>
      <c r="AG64" s="468"/>
      <c r="AH64" s="469"/>
      <c r="AI64" s="467"/>
      <c r="AJ64" s="468"/>
      <c r="AK64" s="468"/>
      <c r="AL64" s="468"/>
      <c r="AM64" s="468"/>
      <c r="AN64" s="469"/>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row>
    <row r="65" spans="2:81" x14ac:dyDescent="0.25">
      <c r="B65" s="68"/>
      <c r="C65" s="68"/>
      <c r="D65" s="68"/>
      <c r="E65" s="68"/>
      <c r="F65" s="68"/>
      <c r="G65" s="68"/>
      <c r="H65" s="68"/>
      <c r="I65" s="68"/>
      <c r="J65" s="68"/>
      <c r="K65" s="467"/>
      <c r="L65" s="468"/>
      <c r="M65" s="468"/>
      <c r="N65" s="468"/>
      <c r="O65" s="468"/>
      <c r="P65" s="469"/>
      <c r="Q65" s="467"/>
      <c r="R65" s="468"/>
      <c r="S65" s="468"/>
      <c r="T65" s="468"/>
      <c r="U65" s="468"/>
      <c r="V65" s="469"/>
      <c r="W65" s="467"/>
      <c r="X65" s="468"/>
      <c r="Y65" s="468"/>
      <c r="Z65" s="468"/>
      <c r="AA65" s="468"/>
      <c r="AB65" s="469"/>
      <c r="AC65" s="467"/>
      <c r="AD65" s="468"/>
      <c r="AE65" s="468"/>
      <c r="AF65" s="468"/>
      <c r="AG65" s="468"/>
      <c r="AH65" s="469"/>
      <c r="AI65" s="467"/>
      <c r="AJ65" s="468"/>
      <c r="AK65" s="468"/>
      <c r="AL65" s="468"/>
      <c r="AM65" s="468"/>
      <c r="AN65" s="469"/>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row>
    <row r="66" spans="2:81" x14ac:dyDescent="0.25">
      <c r="B66" s="68"/>
      <c r="C66" s="68"/>
      <c r="D66" s="68"/>
      <c r="E66" s="68"/>
      <c r="F66" s="68"/>
      <c r="G66" s="68"/>
      <c r="H66" s="68"/>
      <c r="I66" s="68"/>
      <c r="J66" s="68"/>
      <c r="K66" s="467"/>
      <c r="L66" s="468"/>
      <c r="M66" s="468"/>
      <c r="N66" s="468"/>
      <c r="O66" s="468"/>
      <c r="P66" s="469"/>
      <c r="Q66" s="467"/>
      <c r="R66" s="468"/>
      <c r="S66" s="468"/>
      <c r="T66" s="468"/>
      <c r="U66" s="468"/>
      <c r="V66" s="469"/>
      <c r="W66" s="467"/>
      <c r="X66" s="468"/>
      <c r="Y66" s="468"/>
      <c r="Z66" s="468"/>
      <c r="AA66" s="468"/>
      <c r="AB66" s="469"/>
      <c r="AC66" s="467"/>
      <c r="AD66" s="468"/>
      <c r="AE66" s="468"/>
      <c r="AF66" s="468"/>
      <c r="AG66" s="468"/>
      <c r="AH66" s="469"/>
      <c r="AI66" s="467"/>
      <c r="AJ66" s="468"/>
      <c r="AK66" s="468"/>
      <c r="AL66" s="468"/>
      <c r="AM66" s="468"/>
      <c r="AN66" s="469"/>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row>
    <row r="67" spans="2:81" ht="15.75" thickBot="1" x14ac:dyDescent="0.3">
      <c r="B67" s="68"/>
      <c r="C67" s="68"/>
      <c r="D67" s="68"/>
      <c r="E67" s="68"/>
      <c r="F67" s="68"/>
      <c r="G67" s="68"/>
      <c r="H67" s="68"/>
      <c r="I67" s="68"/>
      <c r="J67" s="68"/>
      <c r="K67" s="470"/>
      <c r="L67" s="471"/>
      <c r="M67" s="471"/>
      <c r="N67" s="471"/>
      <c r="O67" s="471"/>
      <c r="P67" s="472"/>
      <c r="Q67" s="470"/>
      <c r="R67" s="471"/>
      <c r="S67" s="471"/>
      <c r="T67" s="471"/>
      <c r="U67" s="471"/>
      <c r="V67" s="472"/>
      <c r="W67" s="470"/>
      <c r="X67" s="471"/>
      <c r="Y67" s="471"/>
      <c r="Z67" s="471"/>
      <c r="AA67" s="471"/>
      <c r="AB67" s="472"/>
      <c r="AC67" s="470"/>
      <c r="AD67" s="471"/>
      <c r="AE67" s="471"/>
      <c r="AF67" s="471"/>
      <c r="AG67" s="471"/>
      <c r="AH67" s="472"/>
      <c r="AI67" s="470"/>
      <c r="AJ67" s="471"/>
      <c r="AK67" s="471"/>
      <c r="AL67" s="471"/>
      <c r="AM67" s="471"/>
      <c r="AN67" s="472"/>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row>
    <row r="68" spans="2:81" x14ac:dyDescent="0.25">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row>
    <row r="69" spans="2:81" ht="15" customHeight="1" x14ac:dyDescent="0.25">
      <c r="B69" s="68"/>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68"/>
      <c r="AW69" s="68"/>
      <c r="AX69" s="68"/>
      <c r="AY69" s="68"/>
      <c r="AZ69" s="68"/>
      <c r="BA69" s="68"/>
      <c r="BB69" s="68"/>
      <c r="BC69" s="68"/>
      <c r="BD69" s="68"/>
      <c r="BE69" s="68"/>
      <c r="BF69" s="68"/>
      <c r="BG69" s="68"/>
      <c r="BH69" s="68"/>
      <c r="BI69" s="68"/>
    </row>
    <row r="70" spans="2:81" ht="15" customHeight="1" x14ac:dyDescent="0.25">
      <c r="B70" s="68"/>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68"/>
      <c r="AW70" s="68"/>
      <c r="AX70" s="68"/>
      <c r="AY70" s="68"/>
      <c r="AZ70" s="68"/>
      <c r="BA70" s="68"/>
      <c r="BB70" s="68"/>
      <c r="BC70" s="68"/>
      <c r="BD70" s="68"/>
      <c r="BE70" s="68"/>
      <c r="BF70" s="68"/>
      <c r="BG70" s="68"/>
      <c r="BH70" s="68"/>
      <c r="BI70" s="68"/>
    </row>
    <row r="71" spans="2:81" x14ac:dyDescent="0.25">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row>
    <row r="72" spans="2:81" x14ac:dyDescent="0.25">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row>
    <row r="73" spans="2:81" x14ac:dyDescent="0.25">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row>
    <row r="74" spans="2:81" x14ac:dyDescent="0.25">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row>
    <row r="75" spans="2:81" x14ac:dyDescent="0.25">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row>
    <row r="76" spans="2:81" x14ac:dyDescent="0.25">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row>
    <row r="77" spans="2:81" x14ac:dyDescent="0.25">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row>
    <row r="78" spans="2:81" x14ac:dyDescent="0.25">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row>
    <row r="79" spans="2:81" x14ac:dyDescent="0.25">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row>
    <row r="80" spans="2:81" x14ac:dyDescent="0.25">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row>
    <row r="81" spans="2:61" x14ac:dyDescent="0.25">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row>
    <row r="82" spans="2:61" x14ac:dyDescent="0.25">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row>
    <row r="83" spans="2:61" x14ac:dyDescent="0.25">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row>
    <row r="84" spans="2:61" x14ac:dyDescent="0.25">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row>
    <row r="85" spans="2:61" x14ac:dyDescent="0.25">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row>
    <row r="86" spans="2:61" x14ac:dyDescent="0.25">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row>
    <row r="87" spans="2:61" x14ac:dyDescent="0.25">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row>
    <row r="88" spans="2:61" x14ac:dyDescent="0.25">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row>
    <row r="89" spans="2:61" x14ac:dyDescent="0.25">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row>
    <row r="90" spans="2:61" x14ac:dyDescent="0.25">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row>
    <row r="91" spans="2:61" x14ac:dyDescent="0.25">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row>
    <row r="92" spans="2:61" x14ac:dyDescent="0.25">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row>
    <row r="93" spans="2:61" x14ac:dyDescent="0.25">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row>
    <row r="94" spans="2:61" x14ac:dyDescent="0.25">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row>
    <row r="95" spans="2:61" x14ac:dyDescent="0.25">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row>
    <row r="96" spans="2:61" x14ac:dyDescent="0.25">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row>
    <row r="97" spans="2:61" x14ac:dyDescent="0.25">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row>
    <row r="98" spans="2:61" x14ac:dyDescent="0.25">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row>
    <row r="99" spans="2:61" x14ac:dyDescent="0.25">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row>
    <row r="100" spans="2:61" x14ac:dyDescent="0.25">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row>
    <row r="101" spans="2:61" x14ac:dyDescent="0.25">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row>
    <row r="102" spans="2:61" x14ac:dyDescent="0.25">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row>
    <row r="103" spans="2:61" x14ac:dyDescent="0.25">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row>
    <row r="104" spans="2:61" x14ac:dyDescent="0.25">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row>
    <row r="105" spans="2:61" x14ac:dyDescent="0.25">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row>
    <row r="106" spans="2:61" x14ac:dyDescent="0.25">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row>
    <row r="107" spans="2:61" x14ac:dyDescent="0.25">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row>
    <row r="108" spans="2:61" x14ac:dyDescent="0.25">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row>
    <row r="109" spans="2:61" x14ac:dyDescent="0.25">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row>
    <row r="110" spans="2:61" x14ac:dyDescent="0.25">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row>
    <row r="111" spans="2:61" x14ac:dyDescent="0.25">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row>
    <row r="112" spans="2:61" x14ac:dyDescent="0.25">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row>
    <row r="113" spans="2:61" x14ac:dyDescent="0.25">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row>
    <row r="114" spans="2:61" x14ac:dyDescent="0.25">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row>
    <row r="115" spans="2:61" x14ac:dyDescent="0.25">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row>
    <row r="116" spans="2:61" x14ac:dyDescent="0.25">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row>
    <row r="117" spans="2:61" x14ac:dyDescent="0.25">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row>
    <row r="118" spans="2:61" x14ac:dyDescent="0.25">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row>
    <row r="119" spans="2:61" x14ac:dyDescent="0.25">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row>
    <row r="120" spans="2:61" x14ac:dyDescent="0.25">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row>
    <row r="121" spans="2:61" x14ac:dyDescent="0.25">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row>
    <row r="122" spans="2:61" x14ac:dyDescent="0.25">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row>
    <row r="123" spans="2:61" x14ac:dyDescent="0.25">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row>
    <row r="124" spans="2:61" x14ac:dyDescent="0.25">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row>
    <row r="125" spans="2:61" x14ac:dyDescent="0.25">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row>
    <row r="126" spans="2:61" x14ac:dyDescent="0.25">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row>
    <row r="127" spans="2:61" x14ac:dyDescent="0.25">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row>
    <row r="128" spans="2:61" x14ac:dyDescent="0.25">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row>
    <row r="129" spans="2:61" x14ac:dyDescent="0.25">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row>
    <row r="130" spans="2:61" x14ac:dyDescent="0.25">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row>
    <row r="131" spans="2:61" x14ac:dyDescent="0.25">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row>
    <row r="132" spans="2:61" x14ac:dyDescent="0.25">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row>
    <row r="133" spans="2:61" x14ac:dyDescent="0.25">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row>
    <row r="134" spans="2:61" x14ac:dyDescent="0.25">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row>
    <row r="135" spans="2:61" x14ac:dyDescent="0.25">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row>
    <row r="136" spans="2:61" x14ac:dyDescent="0.25">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row>
    <row r="137" spans="2:61" x14ac:dyDescent="0.25">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row>
    <row r="138" spans="2:61" x14ac:dyDescent="0.25">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row>
    <row r="139" spans="2:61" x14ac:dyDescent="0.25">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row>
    <row r="140" spans="2:61" x14ac:dyDescent="0.25">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row>
    <row r="141" spans="2:61" x14ac:dyDescent="0.25">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row>
    <row r="142" spans="2:61" x14ac:dyDescent="0.25">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row>
    <row r="143" spans="2:61" x14ac:dyDescent="0.25">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row>
    <row r="144" spans="2:61" x14ac:dyDescent="0.25">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row>
    <row r="145" spans="2:61" x14ac:dyDescent="0.25">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row>
    <row r="146" spans="2:61" x14ac:dyDescent="0.25">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row>
    <row r="147" spans="2:61" x14ac:dyDescent="0.25">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row>
    <row r="148" spans="2:61" x14ac:dyDescent="0.25">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row>
    <row r="149" spans="2:61" x14ac:dyDescent="0.25">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row>
    <row r="150" spans="2:61" x14ac:dyDescent="0.25">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row>
    <row r="151" spans="2:61" x14ac:dyDescent="0.25">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row>
    <row r="152" spans="2:61" x14ac:dyDescent="0.25">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row>
    <row r="153" spans="2:61" x14ac:dyDescent="0.25">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row>
    <row r="154" spans="2:61" x14ac:dyDescent="0.25">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row>
    <row r="155" spans="2:61" x14ac:dyDescent="0.25">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row>
    <row r="156" spans="2:61" x14ac:dyDescent="0.25">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row>
    <row r="157" spans="2:61" x14ac:dyDescent="0.25">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row>
    <row r="158" spans="2:61" x14ac:dyDescent="0.25">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row>
    <row r="159" spans="2:61" x14ac:dyDescent="0.25">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row>
    <row r="160" spans="2:61" x14ac:dyDescent="0.25">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row>
    <row r="161" spans="2:61" x14ac:dyDescent="0.25">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row>
    <row r="162" spans="2:61" x14ac:dyDescent="0.25">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row>
    <row r="163" spans="2:61" x14ac:dyDescent="0.25">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row>
    <row r="164" spans="2:61" x14ac:dyDescent="0.25">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row>
    <row r="165" spans="2:61" x14ac:dyDescent="0.25">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row>
    <row r="166" spans="2:61" x14ac:dyDescent="0.25">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row>
    <row r="167" spans="2:61" x14ac:dyDescent="0.25">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row>
    <row r="168" spans="2:61" x14ac:dyDescent="0.25">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row>
    <row r="169" spans="2:61" x14ac:dyDescent="0.25">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row>
    <row r="170" spans="2:61" x14ac:dyDescent="0.25">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row>
    <row r="171" spans="2:61" x14ac:dyDescent="0.25">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row>
    <row r="172" spans="2:61" x14ac:dyDescent="0.25">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row>
    <row r="173" spans="2:61" x14ac:dyDescent="0.25">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row>
    <row r="174" spans="2:61" x14ac:dyDescent="0.25">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row>
    <row r="175" spans="2:61" x14ac:dyDescent="0.25">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row>
    <row r="176" spans="2:61" x14ac:dyDescent="0.25">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row>
    <row r="177" spans="2:61" x14ac:dyDescent="0.25">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row>
    <row r="178" spans="2:61" x14ac:dyDescent="0.25">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row>
    <row r="179" spans="2:61" x14ac:dyDescent="0.25">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row>
    <row r="180" spans="2:61" x14ac:dyDescent="0.25">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row>
    <row r="181" spans="2:61" x14ac:dyDescent="0.25">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row>
    <row r="182" spans="2:61" x14ac:dyDescent="0.25">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row>
    <row r="183" spans="2:61" x14ac:dyDescent="0.25">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row>
    <row r="184" spans="2:61" x14ac:dyDescent="0.25">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row>
    <row r="185" spans="2:61" x14ac:dyDescent="0.25">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row>
    <row r="186" spans="2:61" x14ac:dyDescent="0.25">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row>
    <row r="187" spans="2:61" x14ac:dyDescent="0.25">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row>
    <row r="188" spans="2:61" x14ac:dyDescent="0.25">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row>
    <row r="189" spans="2:61" x14ac:dyDescent="0.25">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row>
    <row r="190" spans="2:61" x14ac:dyDescent="0.25">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row>
    <row r="191" spans="2:61" x14ac:dyDescent="0.25">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row>
    <row r="192" spans="2:61" x14ac:dyDescent="0.25">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row>
    <row r="193" spans="2:61" x14ac:dyDescent="0.25">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row>
    <row r="194" spans="2:61" x14ac:dyDescent="0.25">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row>
    <row r="195" spans="2:61" x14ac:dyDescent="0.25">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row>
    <row r="196" spans="2:61" x14ac:dyDescent="0.25">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row>
    <row r="197" spans="2:61" x14ac:dyDescent="0.25">
      <c r="B197" s="68"/>
      <c r="K197" s="68"/>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row>
    <row r="198" spans="2:61" x14ac:dyDescent="0.25">
      <c r="B198" s="68"/>
      <c r="K198" s="68"/>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row>
    <row r="199" spans="2:61" x14ac:dyDescent="0.25">
      <c r="B199" s="68"/>
      <c r="K199" s="68"/>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row>
    <row r="200" spans="2:61" x14ac:dyDescent="0.25">
      <c r="B200" s="68"/>
      <c r="K200" s="68"/>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row>
    <row r="201" spans="2:61" x14ac:dyDescent="0.25">
      <c r="B201" s="68"/>
      <c r="K201" s="68"/>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row>
    <row r="202" spans="2:61" x14ac:dyDescent="0.25">
      <c r="B202" s="68"/>
      <c r="K202" s="68"/>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row>
    <row r="203" spans="2:61" x14ac:dyDescent="0.25">
      <c r="B203" s="68"/>
      <c r="K203" s="68"/>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row>
    <row r="204" spans="2:61" x14ac:dyDescent="0.25">
      <c r="B204" s="68"/>
      <c r="K204" s="68"/>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row>
    <row r="205" spans="2:61" x14ac:dyDescent="0.25">
      <c r="B205" s="68"/>
      <c r="K205" s="68"/>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row>
    <row r="206" spans="2:61" x14ac:dyDescent="0.25">
      <c r="B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row>
    <row r="207" spans="2:61" x14ac:dyDescent="0.25">
      <c r="B207" s="68"/>
      <c r="K207" s="68"/>
      <c r="L207" s="68"/>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row>
    <row r="208" spans="2:61" x14ac:dyDescent="0.25">
      <c r="B208" s="68"/>
      <c r="K208" s="68"/>
      <c r="L208" s="68"/>
      <c r="M208" s="68"/>
      <c r="N208" s="68"/>
      <c r="O208" s="68"/>
      <c r="P208" s="68"/>
      <c r="Q208" s="68"/>
      <c r="R208" s="68"/>
      <c r="S208" s="68"/>
      <c r="T208" s="68"/>
      <c r="U208" s="68"/>
      <c r="V208" s="68"/>
      <c r="W208" s="68"/>
      <c r="X208" s="68"/>
      <c r="Y208" s="68"/>
      <c r="Z208" s="68"/>
      <c r="AA208" s="68"/>
      <c r="AB208" s="68"/>
      <c r="AC208" s="68"/>
      <c r="AD208" s="68"/>
      <c r="AE208" s="68"/>
      <c r="AF208" s="68"/>
      <c r="AG208" s="68"/>
      <c r="AH208" s="68"/>
      <c r="AI208" s="68"/>
      <c r="AJ208" s="68"/>
      <c r="AK208" s="68"/>
      <c r="AL208" s="68"/>
      <c r="AM208" s="68"/>
      <c r="AN208" s="68"/>
      <c r="AO208" s="68"/>
      <c r="AP208" s="68"/>
      <c r="AQ208" s="68"/>
      <c r="AR208" s="68"/>
      <c r="AS208" s="68"/>
      <c r="AT208" s="68"/>
      <c r="AU208" s="68"/>
      <c r="AV208" s="68"/>
      <c r="AW208" s="68"/>
      <c r="AX208" s="68"/>
      <c r="AY208" s="68"/>
      <c r="AZ208" s="68"/>
      <c r="BA208" s="68"/>
      <c r="BB208" s="68"/>
      <c r="BC208" s="68"/>
      <c r="BD208" s="68"/>
      <c r="BE208" s="68"/>
      <c r="BF208" s="68"/>
      <c r="BG208" s="68"/>
      <c r="BH208" s="68"/>
      <c r="BI208" s="68"/>
    </row>
    <row r="209" spans="2:61" x14ac:dyDescent="0.25">
      <c r="B209" s="68"/>
      <c r="K209" s="68"/>
      <c r="L209" s="68"/>
      <c r="M209" s="68"/>
      <c r="N209" s="68"/>
      <c r="O209" s="68"/>
      <c r="P209" s="68"/>
      <c r="Q209" s="68"/>
      <c r="R209" s="68"/>
      <c r="S209" s="68"/>
      <c r="T209" s="68"/>
      <c r="U209" s="68"/>
      <c r="V209" s="68"/>
      <c r="W209" s="68"/>
      <c r="X209" s="68"/>
      <c r="Y209" s="68"/>
      <c r="Z209" s="68"/>
      <c r="AA209" s="68"/>
      <c r="AB209" s="68"/>
      <c r="AC209" s="68"/>
      <c r="AD209" s="68"/>
      <c r="AE209" s="68"/>
      <c r="AF209" s="68"/>
      <c r="AG209" s="68"/>
      <c r="AH209" s="68"/>
      <c r="AI209" s="68"/>
      <c r="AJ209" s="68"/>
      <c r="AK209" s="68"/>
      <c r="AL209" s="68"/>
      <c r="AM209" s="68"/>
      <c r="AN209" s="68"/>
      <c r="AO209" s="68"/>
      <c r="AP209" s="68"/>
      <c r="AQ209" s="68"/>
      <c r="AR209" s="68"/>
      <c r="AS209" s="68"/>
      <c r="AT209" s="68"/>
      <c r="AU209" s="68"/>
      <c r="AV209" s="68"/>
      <c r="AW209" s="68"/>
      <c r="AX209" s="68"/>
      <c r="AY209" s="68"/>
      <c r="AZ209" s="68"/>
      <c r="BA209" s="68"/>
      <c r="BB209" s="68"/>
      <c r="BC209" s="68"/>
      <c r="BD209" s="68"/>
      <c r="BE209" s="68"/>
      <c r="BF209" s="68"/>
      <c r="BG209" s="68"/>
      <c r="BH209" s="68"/>
      <c r="BI209" s="68"/>
    </row>
    <row r="210" spans="2:61" x14ac:dyDescent="0.25">
      <c r="B210" s="68"/>
      <c r="K210" s="68"/>
      <c r="L210" s="68"/>
      <c r="M210" s="68"/>
      <c r="N210" s="68"/>
      <c r="O210" s="68"/>
      <c r="P210" s="68"/>
      <c r="Q210" s="68"/>
      <c r="R210" s="68"/>
      <c r="S210" s="68"/>
      <c r="T210" s="68"/>
      <c r="U210" s="68"/>
      <c r="V210" s="68"/>
      <c r="W210" s="68"/>
      <c r="X210" s="68"/>
      <c r="Y210" s="68"/>
      <c r="Z210" s="68"/>
      <c r="AA210" s="68"/>
      <c r="AB210" s="68"/>
      <c r="AC210" s="68"/>
      <c r="AD210" s="68"/>
      <c r="AE210" s="68"/>
      <c r="AF210" s="68"/>
      <c r="AG210" s="68"/>
      <c r="AH210" s="68"/>
      <c r="AI210" s="68"/>
      <c r="AJ210" s="68"/>
      <c r="AK210" s="68"/>
      <c r="AL210" s="68"/>
      <c r="AM210" s="68"/>
      <c r="AN210" s="68"/>
      <c r="AO210" s="68"/>
      <c r="AP210" s="68"/>
      <c r="AQ210" s="68"/>
      <c r="AR210" s="68"/>
      <c r="AS210" s="68"/>
      <c r="AT210" s="68"/>
      <c r="AU210" s="68"/>
      <c r="AV210" s="68"/>
      <c r="AW210" s="68"/>
      <c r="AX210" s="68"/>
      <c r="AY210" s="68"/>
      <c r="AZ210" s="68"/>
      <c r="BA210" s="68"/>
      <c r="BB210" s="68"/>
      <c r="BC210" s="68"/>
      <c r="BD210" s="68"/>
      <c r="BE210" s="68"/>
      <c r="BF210" s="68"/>
      <c r="BG210" s="68"/>
      <c r="BH210" s="68"/>
      <c r="BI210" s="68"/>
    </row>
    <row r="211" spans="2:61" x14ac:dyDescent="0.25">
      <c r="B211" s="68"/>
      <c r="K211" s="68"/>
      <c r="L211" s="68"/>
      <c r="M211" s="68"/>
      <c r="N211" s="68"/>
      <c r="O211" s="68"/>
      <c r="P211" s="68"/>
      <c r="Q211" s="68"/>
      <c r="R211" s="68"/>
      <c r="S211" s="68"/>
      <c r="T211" s="68"/>
      <c r="U211" s="68"/>
      <c r="V211" s="68"/>
      <c r="W211" s="68"/>
      <c r="X211" s="68"/>
      <c r="Y211" s="68"/>
      <c r="Z211" s="68"/>
      <c r="AA211" s="68"/>
      <c r="AB211" s="68"/>
      <c r="AC211" s="68"/>
      <c r="AD211" s="68"/>
      <c r="AE211" s="68"/>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row>
    <row r="212" spans="2:61" x14ac:dyDescent="0.25">
      <c r="B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row>
    <row r="213" spans="2:61" x14ac:dyDescent="0.25">
      <c r="B213" s="68"/>
      <c r="K213" s="68"/>
      <c r="L213" s="68"/>
      <c r="M213" s="68"/>
      <c r="N213" s="68"/>
      <c r="O213" s="68"/>
      <c r="P213" s="68"/>
      <c r="Q213" s="68"/>
      <c r="R213" s="68"/>
      <c r="S213" s="68"/>
      <c r="T213" s="68"/>
      <c r="U213" s="68"/>
      <c r="V213" s="68"/>
      <c r="W213" s="68"/>
      <c r="X213" s="68"/>
      <c r="Y213" s="68"/>
      <c r="Z213" s="68"/>
      <c r="AA213" s="68"/>
      <c r="AB213" s="68"/>
      <c r="AC213" s="68"/>
      <c r="AD213" s="68"/>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row>
    <row r="214" spans="2:61" x14ac:dyDescent="0.25">
      <c r="B214" s="68"/>
      <c r="K214" s="68"/>
      <c r="L214" s="68"/>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row>
    <row r="215" spans="2:61" x14ac:dyDescent="0.25">
      <c r="B215" s="68"/>
      <c r="K215" s="68"/>
      <c r="L215" s="68"/>
      <c r="M215" s="68"/>
      <c r="N215" s="68"/>
      <c r="O215" s="68"/>
      <c r="P215" s="68"/>
      <c r="Q215" s="68"/>
      <c r="R215" s="68"/>
      <c r="S215" s="68"/>
      <c r="T215" s="68"/>
      <c r="U215" s="68"/>
      <c r="V215" s="68"/>
      <c r="W215" s="68"/>
      <c r="X215" s="68"/>
      <c r="Y215" s="68"/>
      <c r="Z215" s="68"/>
      <c r="AA215" s="68"/>
      <c r="AB215" s="68"/>
      <c r="AC215" s="68"/>
      <c r="AD215" s="68"/>
      <c r="AE215" s="68"/>
      <c r="AF215" s="68"/>
      <c r="AG215" s="68"/>
      <c r="AH215" s="68"/>
      <c r="AI215" s="68"/>
      <c r="AJ215" s="68"/>
      <c r="AK215" s="68"/>
      <c r="AL215" s="68"/>
      <c r="AM215" s="68"/>
      <c r="AN215" s="68"/>
      <c r="AO215" s="68"/>
      <c r="AP215" s="68"/>
      <c r="AQ215" s="68"/>
      <c r="AR215" s="68"/>
      <c r="AS215" s="68"/>
      <c r="AT215" s="68"/>
      <c r="AU215" s="68"/>
      <c r="AV215" s="68"/>
      <c r="AW215" s="68"/>
      <c r="AX215" s="68"/>
      <c r="AY215" s="68"/>
      <c r="AZ215" s="68"/>
      <c r="BA215" s="68"/>
      <c r="BB215" s="68"/>
      <c r="BC215" s="68"/>
      <c r="BD215" s="68"/>
      <c r="BE215" s="68"/>
      <c r="BF215" s="68"/>
      <c r="BG215" s="68"/>
      <c r="BH215" s="68"/>
      <c r="BI215" s="68"/>
    </row>
    <row r="216" spans="2:61" x14ac:dyDescent="0.25">
      <c r="B216" s="68"/>
      <c r="K216" s="68"/>
      <c r="L216" s="68"/>
      <c r="M216" s="68"/>
      <c r="N216" s="68"/>
      <c r="O216" s="68"/>
      <c r="P216" s="68"/>
      <c r="Q216" s="68"/>
      <c r="R216" s="68"/>
      <c r="S216" s="68"/>
      <c r="T216" s="68"/>
      <c r="U216" s="68"/>
      <c r="V216" s="68"/>
      <c r="W216" s="68"/>
      <c r="X216" s="68"/>
      <c r="Y216" s="68"/>
      <c r="Z216" s="68"/>
      <c r="AA216" s="68"/>
      <c r="AB216" s="68"/>
      <c r="AC216" s="68"/>
      <c r="AD216" s="68"/>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row>
    <row r="217" spans="2:61" x14ac:dyDescent="0.25">
      <c r="B217" s="68"/>
      <c r="K217" s="68"/>
      <c r="L217" s="68"/>
      <c r="M217" s="68"/>
      <c r="N217" s="68"/>
      <c r="O217" s="68"/>
      <c r="P217" s="68"/>
      <c r="Q217" s="68"/>
      <c r="R217" s="68"/>
      <c r="S217" s="68"/>
      <c r="T217" s="68"/>
      <c r="U217" s="68"/>
      <c r="V217" s="68"/>
      <c r="W217" s="68"/>
      <c r="X217" s="68"/>
      <c r="Y217" s="68"/>
      <c r="Z217" s="68"/>
      <c r="AA217" s="68"/>
      <c r="AB217" s="68"/>
      <c r="AC217" s="68"/>
      <c r="AD217" s="68"/>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row>
    <row r="218" spans="2:61" x14ac:dyDescent="0.25">
      <c r="B218" s="68"/>
      <c r="K218" s="68"/>
      <c r="L218" s="68"/>
      <c r="M218" s="68"/>
      <c r="N218" s="68"/>
      <c r="O218" s="68"/>
      <c r="P218" s="68"/>
      <c r="Q218" s="68"/>
      <c r="R218" s="68"/>
      <c r="S218" s="68"/>
      <c r="T218" s="68"/>
      <c r="U218" s="68"/>
      <c r="V218" s="68"/>
      <c r="W218" s="68"/>
      <c r="X218" s="68"/>
      <c r="Y218" s="68"/>
      <c r="Z218" s="68"/>
      <c r="AA218" s="68"/>
      <c r="AB218" s="68"/>
      <c r="AC218" s="68"/>
      <c r="AD218" s="68"/>
      <c r="AE218" s="68"/>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row>
    <row r="219" spans="2:61" x14ac:dyDescent="0.25">
      <c r="B219" s="68"/>
      <c r="K219" s="68"/>
      <c r="L219" s="68"/>
      <c r="M219" s="68"/>
      <c r="N219" s="68"/>
      <c r="O219" s="68"/>
      <c r="P219" s="68"/>
      <c r="Q219" s="68"/>
      <c r="R219" s="68"/>
      <c r="S219" s="68"/>
      <c r="T219" s="68"/>
      <c r="U219" s="68"/>
      <c r="V219" s="68"/>
      <c r="W219" s="68"/>
      <c r="X219" s="68"/>
      <c r="Y219" s="68"/>
      <c r="Z219" s="68"/>
      <c r="AA219" s="68"/>
      <c r="AB219" s="68"/>
      <c r="AC219" s="68"/>
      <c r="AD219" s="68"/>
      <c r="AE219" s="68"/>
      <c r="AF219" s="68"/>
      <c r="AG219" s="68"/>
      <c r="AH219" s="68"/>
      <c r="AI219" s="68"/>
      <c r="AJ219" s="68"/>
      <c r="AK219" s="68"/>
      <c r="AL219" s="68"/>
      <c r="AM219" s="68"/>
      <c r="AN219" s="68"/>
      <c r="AO219" s="68"/>
      <c r="AP219" s="68"/>
      <c r="AQ219" s="68"/>
      <c r="AR219" s="68"/>
      <c r="AS219" s="68"/>
      <c r="AT219" s="68"/>
      <c r="AU219" s="68"/>
      <c r="AV219" s="68"/>
      <c r="AW219" s="68"/>
      <c r="AX219" s="68"/>
      <c r="AY219" s="68"/>
      <c r="AZ219" s="68"/>
      <c r="BA219" s="68"/>
      <c r="BB219" s="68"/>
      <c r="BC219" s="68"/>
      <c r="BD219" s="68"/>
      <c r="BE219" s="68"/>
      <c r="BF219" s="68"/>
      <c r="BG219" s="68"/>
      <c r="BH219" s="68"/>
      <c r="BI219" s="68"/>
    </row>
    <row r="220" spans="2:61" x14ac:dyDescent="0.25">
      <c r="B220" s="68"/>
      <c r="K220" s="68"/>
      <c r="L220" s="68"/>
      <c r="M220" s="68"/>
      <c r="N220" s="68"/>
      <c r="O220" s="68"/>
      <c r="P220" s="68"/>
      <c r="Q220" s="68"/>
      <c r="R220" s="68"/>
      <c r="S220" s="68"/>
      <c r="T220" s="68"/>
      <c r="U220" s="68"/>
      <c r="V220" s="68"/>
      <c r="W220" s="68"/>
      <c r="X220" s="68"/>
      <c r="Y220" s="68"/>
      <c r="Z220" s="68"/>
      <c r="AA220" s="68"/>
      <c r="AB220" s="68"/>
      <c r="AC220" s="68"/>
      <c r="AD220" s="68"/>
      <c r="AE220" s="68"/>
      <c r="AF220" s="68"/>
      <c r="AG220" s="68"/>
      <c r="AH220" s="68"/>
      <c r="AI220" s="68"/>
      <c r="AJ220" s="68"/>
      <c r="AK220" s="68"/>
      <c r="AL220" s="68"/>
      <c r="AM220" s="68"/>
      <c r="AN220" s="68"/>
      <c r="AO220" s="68"/>
      <c r="AP220" s="68"/>
      <c r="AQ220" s="68"/>
      <c r="AR220" s="68"/>
      <c r="AS220" s="68"/>
      <c r="AT220" s="68"/>
      <c r="AU220" s="68"/>
      <c r="AV220" s="68"/>
      <c r="AW220" s="68"/>
      <c r="AX220" s="68"/>
      <c r="AY220" s="68"/>
      <c r="AZ220" s="68"/>
      <c r="BA220" s="68"/>
      <c r="BB220" s="68"/>
      <c r="BC220" s="68"/>
      <c r="BD220" s="68"/>
      <c r="BE220" s="68"/>
      <c r="BF220" s="68"/>
      <c r="BG220" s="68"/>
      <c r="BH220" s="68"/>
      <c r="BI220" s="68"/>
    </row>
    <row r="221" spans="2:61" x14ac:dyDescent="0.25">
      <c r="B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row>
    <row r="222" spans="2:61" x14ac:dyDescent="0.25">
      <c r="B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row>
    <row r="223" spans="2:61" x14ac:dyDescent="0.25">
      <c r="B223" s="68"/>
      <c r="K223" s="68"/>
      <c r="L223" s="68"/>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8"/>
      <c r="AT223" s="68"/>
      <c r="AU223" s="68"/>
      <c r="AV223" s="68"/>
      <c r="AW223" s="68"/>
      <c r="AX223" s="68"/>
      <c r="AY223" s="68"/>
      <c r="AZ223" s="68"/>
      <c r="BA223" s="68"/>
      <c r="BB223" s="68"/>
      <c r="BC223" s="68"/>
      <c r="BD223" s="68"/>
      <c r="BE223" s="68"/>
      <c r="BF223" s="68"/>
      <c r="BG223" s="68"/>
      <c r="BH223" s="68"/>
      <c r="BI223" s="68"/>
    </row>
    <row r="224" spans="2:61" x14ac:dyDescent="0.25">
      <c r="B224" s="68"/>
      <c r="K224" s="68"/>
      <c r="L224" s="68"/>
      <c r="M224" s="68"/>
      <c r="N224" s="68"/>
      <c r="O224" s="68"/>
      <c r="P224" s="68"/>
      <c r="Q224" s="68"/>
      <c r="R224" s="68"/>
      <c r="S224" s="68"/>
      <c r="T224" s="68"/>
      <c r="U224" s="68"/>
      <c r="V224" s="68"/>
      <c r="W224" s="68"/>
      <c r="X224" s="68"/>
      <c r="Y224" s="68"/>
      <c r="Z224" s="68"/>
      <c r="AA224" s="68"/>
      <c r="AB224" s="68"/>
      <c r="AC224" s="68"/>
      <c r="AD224" s="68"/>
      <c r="AE224" s="68"/>
      <c r="AF224" s="68"/>
      <c r="AG224" s="68"/>
      <c r="AH224" s="68"/>
      <c r="AI224" s="68"/>
      <c r="AJ224" s="68"/>
      <c r="AK224" s="68"/>
      <c r="AL224" s="68"/>
      <c r="AM224" s="68"/>
      <c r="AN224" s="68"/>
      <c r="AO224" s="68"/>
      <c r="AP224" s="68"/>
      <c r="AQ224" s="68"/>
      <c r="AR224" s="68"/>
      <c r="AS224" s="68"/>
      <c r="AT224" s="68"/>
      <c r="AU224" s="68"/>
      <c r="AV224" s="68"/>
      <c r="AW224" s="68"/>
      <c r="AX224" s="68"/>
      <c r="AY224" s="68"/>
      <c r="AZ224" s="68"/>
      <c r="BA224" s="68"/>
      <c r="BB224" s="68"/>
      <c r="BC224" s="68"/>
      <c r="BD224" s="68"/>
      <c r="BE224" s="68"/>
      <c r="BF224" s="68"/>
      <c r="BG224" s="68"/>
      <c r="BH224" s="68"/>
      <c r="BI224" s="68"/>
    </row>
    <row r="225" spans="2:61" x14ac:dyDescent="0.25">
      <c r="B225" s="68"/>
      <c r="K225" s="68"/>
      <c r="L225" s="68"/>
      <c r="M225" s="68"/>
      <c r="N225" s="68"/>
      <c r="O225" s="68"/>
      <c r="P225" s="68"/>
      <c r="Q225" s="68"/>
      <c r="R225" s="68"/>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row>
    <row r="226" spans="2:61" x14ac:dyDescent="0.25">
      <c r="B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row>
    <row r="227" spans="2:61" x14ac:dyDescent="0.25">
      <c r="B227" s="68"/>
      <c r="K227" s="68"/>
      <c r="L227" s="68"/>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row>
    <row r="228" spans="2:61" x14ac:dyDescent="0.25">
      <c r="B228" s="68"/>
      <c r="K228" s="68"/>
      <c r="L228" s="68"/>
      <c r="M228" s="68"/>
      <c r="N228" s="68"/>
      <c r="O228" s="68"/>
      <c r="P228" s="68"/>
      <c r="Q228" s="68"/>
      <c r="R228" s="68"/>
      <c r="S228" s="68"/>
      <c r="T228" s="68"/>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row>
    <row r="229" spans="2:61" x14ac:dyDescent="0.25">
      <c r="B229" s="68"/>
      <c r="K229" s="68"/>
      <c r="L229" s="68"/>
      <c r="M229" s="68"/>
      <c r="N229" s="68"/>
      <c r="O229" s="68"/>
      <c r="P229" s="68"/>
      <c r="Q229" s="68"/>
      <c r="R229" s="68"/>
      <c r="S229" s="68"/>
      <c r="T229" s="68"/>
      <c r="U229" s="68"/>
      <c r="V229" s="68"/>
      <c r="W229" s="68"/>
      <c r="X229" s="68"/>
      <c r="Y229" s="68"/>
      <c r="Z229" s="68"/>
      <c r="AA229" s="68"/>
      <c r="AB229" s="68"/>
      <c r="AC229" s="68"/>
      <c r="AD229" s="68"/>
      <c r="AE229" s="68"/>
      <c r="AF229" s="68"/>
      <c r="AG229" s="68"/>
      <c r="AH229" s="68"/>
      <c r="AI229" s="68"/>
      <c r="AJ229" s="68"/>
      <c r="AK229" s="68"/>
      <c r="AL229" s="68"/>
      <c r="AM229" s="68"/>
      <c r="AN229" s="68"/>
      <c r="AO229" s="68"/>
      <c r="AP229" s="68"/>
      <c r="AQ229" s="68"/>
      <c r="AR229" s="68"/>
      <c r="AS229" s="68"/>
      <c r="AT229" s="68"/>
      <c r="AU229" s="68"/>
      <c r="AV229" s="68"/>
      <c r="AW229" s="68"/>
      <c r="AX229" s="68"/>
      <c r="AY229" s="68"/>
      <c r="AZ229" s="68"/>
      <c r="BA229" s="68"/>
      <c r="BB229" s="68"/>
      <c r="BC229" s="68"/>
      <c r="BD229" s="68"/>
      <c r="BE229" s="68"/>
      <c r="BF229" s="68"/>
      <c r="BG229" s="68"/>
      <c r="BH229" s="68"/>
      <c r="BI229" s="68"/>
    </row>
    <row r="230" spans="2:61" x14ac:dyDescent="0.25">
      <c r="B230" s="68"/>
      <c r="K230" s="68"/>
      <c r="L230" s="68"/>
      <c r="M230" s="68"/>
      <c r="N230" s="68"/>
      <c r="O230" s="68"/>
      <c r="P230" s="68"/>
      <c r="Q230" s="68"/>
      <c r="R230" s="68"/>
      <c r="S230" s="68"/>
      <c r="T230" s="68"/>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row>
    <row r="231" spans="2:61" x14ac:dyDescent="0.25">
      <c r="B231" s="68"/>
      <c r="K231" s="68"/>
      <c r="L231" s="68"/>
      <c r="M231" s="68"/>
      <c r="N231" s="68"/>
      <c r="O231" s="68"/>
      <c r="P231" s="68"/>
      <c r="Q231" s="68"/>
      <c r="R231" s="68"/>
      <c r="S231" s="68"/>
      <c r="T231" s="68"/>
      <c r="U231" s="68"/>
      <c r="V231" s="68"/>
      <c r="W231" s="68"/>
      <c r="X231" s="68"/>
      <c r="Y231" s="68"/>
      <c r="Z231" s="68"/>
      <c r="AA231" s="68"/>
      <c r="AB231" s="68"/>
      <c r="AC231" s="68"/>
      <c r="AD231" s="68"/>
      <c r="AE231" s="68"/>
      <c r="AF231" s="68"/>
      <c r="AG231" s="68"/>
      <c r="AH231" s="68"/>
      <c r="AI231" s="68"/>
      <c r="AJ231" s="68"/>
      <c r="AK231" s="68"/>
      <c r="AL231" s="68"/>
      <c r="AM231" s="68"/>
      <c r="AN231" s="68"/>
      <c r="AO231" s="68"/>
      <c r="AP231" s="68"/>
      <c r="AQ231" s="68"/>
      <c r="AR231" s="68"/>
      <c r="AS231" s="68"/>
      <c r="AT231" s="68"/>
      <c r="AU231" s="68"/>
      <c r="AV231" s="68"/>
      <c r="AW231" s="68"/>
      <c r="AX231" s="68"/>
      <c r="AY231" s="68"/>
      <c r="AZ231" s="68"/>
      <c r="BA231" s="68"/>
      <c r="BB231" s="68"/>
      <c r="BC231" s="68"/>
      <c r="BD231" s="68"/>
      <c r="BE231" s="68"/>
      <c r="BF231" s="68"/>
      <c r="BG231" s="68"/>
      <c r="BH231" s="68"/>
      <c r="BI231" s="68"/>
    </row>
    <row r="232" spans="2:61" x14ac:dyDescent="0.25">
      <c r="B232" s="68"/>
      <c r="K232" s="68"/>
      <c r="L232" s="68"/>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row>
    <row r="233" spans="2:61" x14ac:dyDescent="0.25">
      <c r="B233" s="68"/>
      <c r="K233" s="68"/>
      <c r="L233" s="68"/>
      <c r="M233" s="68"/>
      <c r="N233" s="68"/>
      <c r="O233" s="68"/>
      <c r="P233" s="68"/>
      <c r="Q233" s="68"/>
      <c r="R233" s="68"/>
      <c r="S233" s="68"/>
      <c r="T233" s="68"/>
      <c r="U233" s="68"/>
      <c r="V233" s="68"/>
      <c r="W233" s="68"/>
      <c r="X233" s="68"/>
      <c r="Y233" s="68"/>
      <c r="Z233" s="68"/>
      <c r="AA233" s="68"/>
      <c r="AB233" s="68"/>
      <c r="AC233" s="68"/>
      <c r="AD233" s="68"/>
      <c r="AE233" s="68"/>
      <c r="AF233" s="68"/>
      <c r="AG233" s="68"/>
      <c r="AH233" s="68"/>
      <c r="AI233" s="68"/>
      <c r="AJ233" s="68"/>
      <c r="AK233" s="68"/>
      <c r="AL233" s="68"/>
      <c r="AM233" s="68"/>
      <c r="AN233" s="68"/>
      <c r="AO233" s="68"/>
      <c r="AP233" s="68"/>
      <c r="AQ233" s="68"/>
      <c r="AR233" s="68"/>
      <c r="AS233" s="68"/>
      <c r="AT233" s="68"/>
      <c r="AU233" s="68"/>
      <c r="AV233" s="68"/>
      <c r="AW233" s="68"/>
      <c r="AX233" s="68"/>
      <c r="AY233" s="68"/>
      <c r="AZ233" s="68"/>
      <c r="BA233" s="68"/>
      <c r="BB233" s="68"/>
      <c r="BC233" s="68"/>
      <c r="BD233" s="68"/>
      <c r="BE233" s="68"/>
      <c r="BF233" s="68"/>
      <c r="BG233" s="68"/>
      <c r="BH233" s="68"/>
      <c r="BI233" s="68"/>
    </row>
    <row r="234" spans="2:61" x14ac:dyDescent="0.25">
      <c r="B234" s="68"/>
      <c r="K234" s="68"/>
      <c r="L234" s="68"/>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row>
    <row r="235" spans="2:61" x14ac:dyDescent="0.25">
      <c r="B235" s="68"/>
      <c r="K235" s="68"/>
      <c r="L235" s="68"/>
      <c r="M235" s="68"/>
      <c r="N235" s="68"/>
      <c r="O235" s="68"/>
      <c r="P235" s="68"/>
      <c r="Q235" s="68"/>
      <c r="R235" s="68"/>
      <c r="S235" s="68"/>
      <c r="T235" s="68"/>
      <c r="U235" s="68"/>
      <c r="V235" s="68"/>
      <c r="W235" s="68"/>
      <c r="X235" s="68"/>
      <c r="Y235" s="68"/>
      <c r="Z235" s="68"/>
      <c r="AA235" s="68"/>
      <c r="AB235" s="68"/>
      <c r="AC235" s="68"/>
      <c r="AD235" s="68"/>
      <c r="AE235" s="68"/>
      <c r="AF235" s="68"/>
      <c r="AG235" s="68"/>
      <c r="AH235" s="68"/>
      <c r="AI235" s="68"/>
      <c r="AJ235" s="68"/>
      <c r="AK235" s="68"/>
      <c r="AL235" s="68"/>
      <c r="AM235" s="68"/>
      <c r="AN235" s="68"/>
      <c r="AO235" s="68"/>
      <c r="AP235" s="68"/>
      <c r="AQ235" s="68"/>
      <c r="AR235" s="68"/>
      <c r="AS235" s="68"/>
      <c r="AT235" s="68"/>
      <c r="AU235" s="68"/>
      <c r="AV235" s="68"/>
      <c r="AW235" s="68"/>
      <c r="AX235" s="68"/>
      <c r="AY235" s="68"/>
      <c r="AZ235" s="68"/>
      <c r="BA235" s="68"/>
      <c r="BB235" s="68"/>
      <c r="BC235" s="68"/>
      <c r="BD235" s="68"/>
      <c r="BE235" s="68"/>
      <c r="BF235" s="68"/>
      <c r="BG235" s="68"/>
      <c r="BH235" s="68"/>
      <c r="BI235" s="68"/>
    </row>
    <row r="236" spans="2:61" x14ac:dyDescent="0.25">
      <c r="B236" s="68"/>
      <c r="K236" s="68"/>
      <c r="L236" s="68"/>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row>
    <row r="237" spans="2:61" x14ac:dyDescent="0.25">
      <c r="B237" s="68"/>
      <c r="K237" s="68"/>
      <c r="L237" s="68"/>
      <c r="M237" s="68"/>
      <c r="N237" s="68"/>
      <c r="O237" s="68"/>
      <c r="P237" s="68"/>
      <c r="Q237" s="68"/>
      <c r="R237" s="68"/>
      <c r="S237" s="68"/>
      <c r="T237" s="68"/>
      <c r="U237" s="68"/>
      <c r="V237" s="68"/>
      <c r="W237" s="68"/>
      <c r="X237" s="68"/>
      <c r="Y237" s="68"/>
      <c r="Z237" s="68"/>
      <c r="AA237" s="68"/>
      <c r="AB237" s="68"/>
      <c r="AC237" s="68"/>
      <c r="AD237" s="68"/>
      <c r="AE237" s="68"/>
      <c r="AF237" s="68"/>
      <c r="AG237" s="68"/>
      <c r="AH237" s="68"/>
      <c r="AI237" s="68"/>
      <c r="AJ237" s="68"/>
      <c r="AK237" s="68"/>
      <c r="AL237" s="68"/>
      <c r="AM237" s="68"/>
      <c r="AN237" s="68"/>
      <c r="AO237" s="68"/>
      <c r="AP237" s="68"/>
      <c r="AQ237" s="68"/>
      <c r="AR237" s="68"/>
      <c r="AS237" s="68"/>
      <c r="AT237" s="68"/>
      <c r="AU237" s="68"/>
      <c r="AV237" s="68"/>
      <c r="AW237" s="68"/>
      <c r="AX237" s="68"/>
      <c r="AY237" s="68"/>
      <c r="AZ237" s="68"/>
      <c r="BA237" s="68"/>
      <c r="BB237" s="68"/>
      <c r="BC237" s="68"/>
      <c r="BD237" s="68"/>
      <c r="BE237" s="68"/>
      <c r="BF237" s="68"/>
      <c r="BG237" s="68"/>
      <c r="BH237" s="68"/>
      <c r="BI237" s="68"/>
    </row>
    <row r="238" spans="2:61" x14ac:dyDescent="0.25">
      <c r="B238" s="68"/>
      <c r="K238" s="68"/>
      <c r="L238" s="68"/>
      <c r="M238" s="68"/>
      <c r="N238" s="68"/>
      <c r="O238" s="68"/>
      <c r="P238" s="68"/>
      <c r="Q238" s="68"/>
      <c r="R238" s="68"/>
      <c r="S238" s="68"/>
      <c r="T238" s="68"/>
      <c r="U238" s="68"/>
      <c r="V238" s="68"/>
      <c r="W238" s="68"/>
      <c r="X238" s="68"/>
      <c r="Y238" s="68"/>
      <c r="Z238" s="68"/>
      <c r="AA238" s="68"/>
      <c r="AB238" s="68"/>
      <c r="AC238" s="68"/>
      <c r="AD238" s="68"/>
      <c r="AE238" s="68"/>
      <c r="AF238" s="68"/>
      <c r="AG238" s="68"/>
      <c r="AH238" s="68"/>
      <c r="AI238" s="68"/>
      <c r="AJ238" s="68"/>
      <c r="AK238" s="68"/>
      <c r="AL238" s="68"/>
      <c r="AM238" s="68"/>
      <c r="AN238" s="68"/>
      <c r="AO238" s="68"/>
      <c r="AP238" s="68"/>
      <c r="AQ238" s="68"/>
      <c r="AR238" s="68"/>
      <c r="AS238" s="68"/>
      <c r="AT238" s="68"/>
      <c r="AU238" s="68"/>
      <c r="AV238" s="68"/>
      <c r="AW238" s="68"/>
      <c r="AX238" s="68"/>
      <c r="AY238" s="68"/>
      <c r="AZ238" s="68"/>
      <c r="BA238" s="68"/>
      <c r="BB238" s="68"/>
      <c r="BC238" s="68"/>
      <c r="BD238" s="68"/>
      <c r="BE238" s="68"/>
      <c r="BF238" s="68"/>
      <c r="BG238" s="68"/>
      <c r="BH238" s="68"/>
      <c r="BI238" s="68"/>
    </row>
    <row r="239" spans="2:61" x14ac:dyDescent="0.25">
      <c r="B239" s="68"/>
      <c r="K239" s="68"/>
      <c r="L239" s="68"/>
      <c r="M239" s="68"/>
      <c r="N239" s="68"/>
      <c r="O239" s="68"/>
      <c r="P239" s="68"/>
      <c r="Q239" s="68"/>
      <c r="R239" s="68"/>
      <c r="S239" s="68"/>
      <c r="T239" s="68"/>
      <c r="U239" s="68"/>
      <c r="V239" s="68"/>
      <c r="W239" s="68"/>
      <c r="X239" s="68"/>
      <c r="Y239" s="68"/>
      <c r="Z239" s="68"/>
      <c r="AA239" s="68"/>
      <c r="AB239" s="68"/>
      <c r="AC239" s="68"/>
      <c r="AD239" s="68"/>
      <c r="AE239" s="68"/>
      <c r="AF239" s="68"/>
      <c r="AG239" s="68"/>
      <c r="AH239" s="68"/>
      <c r="AI239" s="68"/>
      <c r="AJ239" s="68"/>
      <c r="AK239" s="68"/>
      <c r="AL239" s="68"/>
      <c r="AM239" s="68"/>
      <c r="AN239" s="68"/>
      <c r="AO239" s="68"/>
      <c r="AP239" s="68"/>
      <c r="AQ239" s="68"/>
      <c r="AR239" s="68"/>
      <c r="AS239" s="68"/>
      <c r="AT239" s="68"/>
      <c r="AU239" s="68"/>
      <c r="AV239" s="68"/>
      <c r="AW239" s="68"/>
      <c r="AX239" s="68"/>
      <c r="AY239" s="68"/>
      <c r="AZ239" s="68"/>
      <c r="BA239" s="68"/>
      <c r="BB239" s="68"/>
      <c r="BC239" s="68"/>
      <c r="BD239" s="68"/>
      <c r="BE239" s="68"/>
      <c r="BF239" s="68"/>
      <c r="BG239" s="68"/>
      <c r="BH239" s="68"/>
      <c r="BI239" s="68"/>
    </row>
    <row r="240" spans="2:61" x14ac:dyDescent="0.25">
      <c r="B240" s="68"/>
      <c r="K240" s="68"/>
      <c r="L240" s="68"/>
      <c r="M240" s="68"/>
      <c r="N240" s="68"/>
      <c r="O240" s="68"/>
      <c r="P240" s="68"/>
      <c r="Q240" s="68"/>
      <c r="R240" s="68"/>
      <c r="S240" s="68"/>
      <c r="T240" s="68"/>
      <c r="U240" s="68"/>
      <c r="V240" s="68"/>
      <c r="W240" s="68"/>
      <c r="X240" s="68"/>
      <c r="Y240" s="68"/>
      <c r="Z240" s="68"/>
      <c r="AA240" s="68"/>
      <c r="AB240" s="68"/>
      <c r="AC240" s="68"/>
      <c r="AD240" s="68"/>
      <c r="AE240" s="68"/>
      <c r="AF240" s="68"/>
      <c r="AG240" s="68"/>
      <c r="AH240" s="68"/>
      <c r="AI240" s="68"/>
      <c r="AJ240" s="68"/>
      <c r="AK240" s="68"/>
      <c r="AL240" s="68"/>
      <c r="AM240" s="68"/>
      <c r="AN240" s="68"/>
      <c r="AO240" s="68"/>
      <c r="AP240" s="68"/>
      <c r="AQ240" s="68"/>
      <c r="AR240" s="68"/>
      <c r="AS240" s="68"/>
      <c r="AT240" s="68"/>
      <c r="AU240" s="68"/>
      <c r="AV240" s="68"/>
      <c r="AW240" s="68"/>
      <c r="AX240" s="68"/>
      <c r="AY240" s="68"/>
      <c r="AZ240" s="68"/>
      <c r="BA240" s="68"/>
      <c r="BB240" s="68"/>
      <c r="BC240" s="68"/>
      <c r="BD240" s="68"/>
      <c r="BE240" s="68"/>
      <c r="BF240" s="68"/>
      <c r="BG240" s="68"/>
      <c r="BH240" s="68"/>
      <c r="BI240" s="68"/>
    </row>
    <row r="241" spans="2:61" x14ac:dyDescent="0.25">
      <c r="B241" s="68"/>
      <c r="K241" s="68"/>
      <c r="L241" s="68"/>
      <c r="M241" s="68"/>
      <c r="N241" s="68"/>
      <c r="O241" s="68"/>
      <c r="P241" s="68"/>
      <c r="Q241" s="68"/>
      <c r="R241" s="68"/>
      <c r="S241" s="68"/>
      <c r="T241" s="68"/>
      <c r="U241" s="68"/>
      <c r="V241" s="68"/>
      <c r="W241" s="68"/>
      <c r="X241" s="68"/>
      <c r="Y241" s="68"/>
      <c r="Z241" s="68"/>
      <c r="AA241" s="68"/>
      <c r="AB241" s="68"/>
      <c r="AC241" s="68"/>
      <c r="AD241" s="68"/>
      <c r="AE241" s="68"/>
      <c r="AF241" s="68"/>
      <c r="AG241" s="68"/>
      <c r="AH241" s="68"/>
      <c r="AI241" s="68"/>
      <c r="AJ241" s="68"/>
      <c r="AK241" s="68"/>
      <c r="AL241" s="68"/>
      <c r="AM241" s="68"/>
      <c r="AN241" s="68"/>
      <c r="AO241" s="68"/>
      <c r="AP241" s="68"/>
      <c r="AQ241" s="68"/>
      <c r="AR241" s="68"/>
      <c r="AS241" s="68"/>
      <c r="AT241" s="68"/>
      <c r="AU241" s="68"/>
      <c r="AV241" s="68"/>
      <c r="AW241" s="68"/>
      <c r="AX241" s="68"/>
      <c r="AY241" s="68"/>
      <c r="AZ241" s="68"/>
      <c r="BA241" s="68"/>
      <c r="BB241" s="68"/>
      <c r="BC241" s="68"/>
      <c r="BD241" s="68"/>
      <c r="BE241" s="68"/>
      <c r="BF241" s="68"/>
      <c r="BG241" s="68"/>
      <c r="BH241" s="68"/>
      <c r="BI241" s="68"/>
    </row>
    <row r="242" spans="2:61" x14ac:dyDescent="0.25">
      <c r="B242" s="68"/>
      <c r="K242" s="68"/>
      <c r="L242" s="68"/>
      <c r="M242" s="68"/>
      <c r="N242" s="68"/>
      <c r="O242" s="68"/>
      <c r="P242" s="68"/>
      <c r="Q242" s="68"/>
      <c r="R242" s="68"/>
      <c r="S242" s="68"/>
      <c r="T242" s="68"/>
      <c r="U242" s="68"/>
      <c r="V242" s="68"/>
      <c r="W242" s="68"/>
      <c r="X242" s="68"/>
      <c r="Y242" s="68"/>
      <c r="Z242" s="68"/>
      <c r="AA242" s="68"/>
      <c r="AB242" s="68"/>
      <c r="AC242" s="68"/>
      <c r="AD242" s="68"/>
      <c r="AE242" s="68"/>
      <c r="AF242" s="68"/>
      <c r="AG242" s="68"/>
      <c r="AH242" s="68"/>
      <c r="AI242" s="68"/>
      <c r="AJ242" s="68"/>
      <c r="AK242" s="68"/>
      <c r="AL242" s="68"/>
      <c r="AM242" s="68"/>
      <c r="AN242" s="68"/>
      <c r="AO242" s="68"/>
      <c r="AP242" s="68"/>
      <c r="AQ242" s="68"/>
      <c r="AR242" s="68"/>
      <c r="AS242" s="68"/>
      <c r="AT242" s="68"/>
      <c r="AU242" s="68"/>
      <c r="AV242" s="68"/>
      <c r="AW242" s="68"/>
      <c r="AX242" s="68"/>
      <c r="AY242" s="68"/>
      <c r="AZ242" s="68"/>
      <c r="BA242" s="68"/>
      <c r="BB242" s="68"/>
      <c r="BC242" s="68"/>
      <c r="BD242" s="68"/>
      <c r="BE242" s="68"/>
      <c r="BF242" s="68"/>
      <c r="BG242" s="68"/>
      <c r="BH242" s="68"/>
      <c r="BI242" s="68"/>
    </row>
    <row r="243" spans="2:61" x14ac:dyDescent="0.25">
      <c r="B243" s="68"/>
      <c r="K243" s="68"/>
      <c r="L243" s="68"/>
      <c r="M243" s="68"/>
      <c r="N243" s="68"/>
      <c r="O243" s="68"/>
      <c r="P243" s="68"/>
      <c r="Q243" s="68"/>
      <c r="R243" s="68"/>
      <c r="S243" s="68"/>
      <c r="T243" s="68"/>
      <c r="U243" s="68"/>
      <c r="V243" s="68"/>
      <c r="W243" s="68"/>
      <c r="X243" s="68"/>
      <c r="Y243" s="68"/>
      <c r="Z243" s="68"/>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68"/>
      <c r="AW243" s="68"/>
      <c r="AX243" s="68"/>
      <c r="AY243" s="68"/>
      <c r="AZ243" s="68"/>
      <c r="BA243" s="68"/>
      <c r="BB243" s="68"/>
      <c r="BC243" s="68"/>
      <c r="BD243" s="68"/>
      <c r="BE243" s="68"/>
      <c r="BF243" s="68"/>
      <c r="BG243" s="68"/>
      <c r="BH243" s="68"/>
      <c r="BI243" s="68"/>
    </row>
    <row r="244" spans="2:61" x14ac:dyDescent="0.25">
      <c r="B244" s="68"/>
      <c r="K244" s="68"/>
      <c r="L244" s="68"/>
      <c r="M244" s="68"/>
      <c r="N244" s="68"/>
      <c r="O244" s="68"/>
      <c r="P244" s="68"/>
      <c r="Q244" s="68"/>
      <c r="R244" s="68"/>
      <c r="S244" s="68"/>
      <c r="T244" s="68"/>
      <c r="U244" s="68"/>
      <c r="V244" s="68"/>
      <c r="W244" s="68"/>
      <c r="X244" s="68"/>
      <c r="Y244" s="68"/>
      <c r="Z244" s="68"/>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68"/>
      <c r="AW244" s="68"/>
      <c r="AX244" s="68"/>
      <c r="AY244" s="68"/>
      <c r="AZ244" s="68"/>
      <c r="BA244" s="68"/>
      <c r="BB244" s="68"/>
      <c r="BC244" s="68"/>
      <c r="BD244" s="68"/>
      <c r="BE244" s="68"/>
      <c r="BF244" s="68"/>
      <c r="BG244" s="68"/>
      <c r="BH244" s="68"/>
      <c r="BI244" s="68"/>
    </row>
    <row r="245" spans="2:61" x14ac:dyDescent="0.25">
      <c r="B245" s="68"/>
      <c r="K245" s="68"/>
      <c r="L245" s="68"/>
      <c r="M245" s="68"/>
      <c r="N245" s="68"/>
      <c r="O245" s="68"/>
      <c r="P245" s="68"/>
      <c r="Q245" s="68"/>
      <c r="R245" s="68"/>
      <c r="S245" s="68"/>
      <c r="T245" s="68"/>
      <c r="U245" s="68"/>
      <c r="V245" s="68"/>
      <c r="W245" s="68"/>
      <c r="X245" s="68"/>
      <c r="Y245" s="68"/>
      <c r="Z245" s="68"/>
      <c r="AA245" s="68"/>
      <c r="AB245" s="68"/>
      <c r="AC245" s="68"/>
      <c r="AD245" s="68"/>
      <c r="AE245" s="68"/>
      <c r="AF245" s="68"/>
      <c r="AG245" s="68"/>
      <c r="AH245" s="68"/>
      <c r="AI245" s="68"/>
      <c r="AJ245" s="68"/>
      <c r="AK245" s="68"/>
      <c r="AL245" s="68"/>
      <c r="AM245" s="68"/>
      <c r="AN245" s="68"/>
      <c r="AO245" s="68"/>
      <c r="AP245" s="68"/>
      <c r="AQ245" s="68"/>
      <c r="AR245" s="68"/>
      <c r="AS245" s="68"/>
      <c r="AT245" s="68"/>
      <c r="AU245" s="68"/>
      <c r="AV245" s="68"/>
      <c r="AW245" s="68"/>
      <c r="AX245" s="68"/>
      <c r="AY245" s="68"/>
      <c r="AZ245" s="68"/>
      <c r="BA245" s="68"/>
      <c r="BB245" s="68"/>
      <c r="BC245" s="68"/>
      <c r="BD245" s="68"/>
      <c r="BE245" s="68"/>
      <c r="BF245" s="68"/>
      <c r="BG245" s="68"/>
      <c r="BH245" s="68"/>
      <c r="BI245" s="68"/>
    </row>
    <row r="246" spans="2:61" x14ac:dyDescent="0.25">
      <c r="B246" s="68"/>
      <c r="K246" s="68"/>
      <c r="L246" s="68"/>
      <c r="M246" s="68"/>
      <c r="N246" s="68"/>
      <c r="O246" s="68"/>
      <c r="P246" s="68"/>
      <c r="Q246" s="68"/>
      <c r="R246" s="68"/>
      <c r="S246" s="68"/>
      <c r="T246" s="68"/>
      <c r="U246" s="68"/>
      <c r="V246" s="68"/>
      <c r="W246" s="68"/>
      <c r="X246" s="68"/>
      <c r="Y246" s="68"/>
      <c r="Z246" s="68"/>
      <c r="AA246" s="68"/>
      <c r="AB246" s="68"/>
      <c r="AC246" s="68"/>
      <c r="AD246" s="68"/>
      <c r="AE246" s="68"/>
      <c r="AF246" s="68"/>
      <c r="AG246" s="68"/>
      <c r="AH246" s="68"/>
      <c r="AI246" s="68"/>
      <c r="AJ246" s="68"/>
      <c r="AK246" s="68"/>
      <c r="AL246" s="68"/>
      <c r="AM246" s="68"/>
      <c r="AN246" s="68"/>
      <c r="AO246" s="68"/>
      <c r="AP246" s="68"/>
      <c r="AQ246" s="68"/>
      <c r="AR246" s="68"/>
      <c r="AS246" s="68"/>
      <c r="AT246" s="68"/>
      <c r="AU246" s="68"/>
      <c r="AV246" s="68"/>
      <c r="AW246" s="68"/>
      <c r="AX246" s="68"/>
      <c r="AY246" s="68"/>
      <c r="AZ246" s="68"/>
      <c r="BA246" s="68"/>
      <c r="BB246" s="68"/>
      <c r="BC246" s="68"/>
      <c r="BD246" s="68"/>
      <c r="BE246" s="68"/>
      <c r="BF246" s="68"/>
      <c r="BG246" s="68"/>
      <c r="BH246" s="68"/>
      <c r="BI246" s="68"/>
    </row>
    <row r="247" spans="2:61" x14ac:dyDescent="0.25">
      <c r="B247" s="68"/>
      <c r="K247" s="68"/>
      <c r="L247" s="68"/>
      <c r="M247" s="68"/>
      <c r="N247" s="68"/>
      <c r="O247" s="68"/>
      <c r="P247" s="68"/>
      <c r="Q247" s="68"/>
      <c r="R247" s="68"/>
      <c r="S247" s="68"/>
      <c r="T247" s="68"/>
      <c r="U247" s="68"/>
      <c r="V247" s="68"/>
      <c r="W247" s="68"/>
      <c r="X247" s="68"/>
      <c r="Y247" s="68"/>
      <c r="Z247" s="68"/>
      <c r="AA247" s="68"/>
      <c r="AB247" s="68"/>
      <c r="AC247" s="68"/>
      <c r="AD247" s="68"/>
      <c r="AE247" s="68"/>
      <c r="AF247" s="68"/>
      <c r="AG247" s="68"/>
      <c r="AH247" s="68"/>
      <c r="AI247" s="68"/>
      <c r="AJ247" s="68"/>
      <c r="AK247" s="68"/>
      <c r="AL247" s="68"/>
      <c r="AM247" s="68"/>
      <c r="AN247" s="68"/>
      <c r="AO247" s="68"/>
      <c r="AP247" s="68"/>
      <c r="AQ247" s="68"/>
      <c r="AR247" s="68"/>
      <c r="AS247" s="68"/>
      <c r="AT247" s="68"/>
      <c r="AU247" s="68"/>
      <c r="AV247" s="68"/>
      <c r="AW247" s="68"/>
      <c r="AX247" s="68"/>
      <c r="AY247" s="68"/>
      <c r="AZ247" s="68"/>
      <c r="BA247" s="68"/>
      <c r="BB247" s="68"/>
      <c r="BC247" s="68"/>
      <c r="BD247" s="68"/>
      <c r="BE247" s="68"/>
      <c r="BF247" s="68"/>
      <c r="BG247" s="68"/>
      <c r="BH247" s="68"/>
      <c r="BI247" s="68"/>
    </row>
    <row r="248" spans="2:61" x14ac:dyDescent="0.25">
      <c r="B248" s="68"/>
      <c r="K248" s="68"/>
      <c r="L248" s="68"/>
      <c r="M248" s="68"/>
      <c r="N248" s="68"/>
      <c r="O248" s="68"/>
      <c r="P248" s="68"/>
      <c r="Q248" s="68"/>
      <c r="R248" s="68"/>
      <c r="S248" s="68"/>
      <c r="T248" s="68"/>
      <c r="U248" s="68"/>
      <c r="V248" s="68"/>
      <c r="W248" s="68"/>
      <c r="X248" s="68"/>
      <c r="Y248" s="68"/>
      <c r="Z248" s="68"/>
      <c r="AA248" s="68"/>
      <c r="AB248" s="68"/>
      <c r="AC248" s="68"/>
      <c r="AD248" s="68"/>
      <c r="AE248" s="68"/>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row>
    <row r="249" spans="2:61" x14ac:dyDescent="0.25">
      <c r="B249" s="68"/>
      <c r="K249" s="68"/>
      <c r="L249" s="68"/>
      <c r="M249" s="68"/>
      <c r="N249" s="68"/>
      <c r="O249" s="68"/>
      <c r="P249" s="68"/>
      <c r="Q249" s="68"/>
      <c r="R249" s="68"/>
      <c r="S249" s="68"/>
      <c r="T249" s="68"/>
      <c r="U249" s="68"/>
      <c r="V249" s="68"/>
      <c r="W249" s="68"/>
      <c r="X249" s="68"/>
      <c r="Y249" s="68"/>
      <c r="Z249" s="68"/>
      <c r="AA249" s="68"/>
      <c r="AB249" s="68"/>
      <c r="AC249" s="68"/>
      <c r="AD249" s="68"/>
      <c r="AE249" s="68"/>
      <c r="AF249" s="68"/>
      <c r="AG249" s="68"/>
      <c r="AH249" s="68"/>
      <c r="AI249" s="68"/>
      <c r="AJ249" s="68"/>
      <c r="AK249" s="68"/>
      <c r="AL249" s="68"/>
      <c r="AM249" s="68"/>
      <c r="AN249" s="68"/>
      <c r="AO249" s="68"/>
      <c r="AP249" s="68"/>
      <c r="AQ249" s="68"/>
      <c r="AR249" s="68"/>
      <c r="AS249" s="68"/>
      <c r="AT249" s="68"/>
      <c r="AU249" s="68"/>
      <c r="AV249" s="68"/>
      <c r="AW249" s="68"/>
      <c r="AX249" s="68"/>
      <c r="AY249" s="68"/>
      <c r="AZ249" s="68"/>
      <c r="BA249" s="68"/>
      <c r="BB249" s="68"/>
      <c r="BC249" s="68"/>
      <c r="BD249" s="68"/>
      <c r="BE249" s="68"/>
      <c r="BF249" s="68"/>
      <c r="BG249" s="68"/>
      <c r="BH249" s="68"/>
      <c r="BI249" s="68"/>
    </row>
    <row r="250" spans="2:61" x14ac:dyDescent="0.25">
      <c r="B250" s="68"/>
      <c r="K250" s="68"/>
      <c r="L250" s="68"/>
      <c r="M250" s="68"/>
      <c r="N250" s="68"/>
      <c r="O250" s="68"/>
      <c r="P250" s="68"/>
      <c r="Q250" s="68"/>
      <c r="R250" s="68"/>
      <c r="S250" s="68"/>
      <c r="T250" s="68"/>
      <c r="U250" s="68"/>
      <c r="V250" s="68"/>
      <c r="W250" s="68"/>
      <c r="X250" s="68"/>
      <c r="Y250" s="68"/>
      <c r="Z250" s="68"/>
      <c r="AA250" s="68"/>
      <c r="AB250" s="68"/>
      <c r="AC250" s="68"/>
      <c r="AD250" s="68"/>
      <c r="AE250" s="68"/>
      <c r="AF250" s="68"/>
      <c r="AG250" s="68"/>
      <c r="AH250" s="68"/>
      <c r="AI250" s="68"/>
      <c r="AJ250" s="68"/>
      <c r="AK250" s="68"/>
      <c r="AL250" s="68"/>
      <c r="AM250" s="68"/>
      <c r="AN250" s="68"/>
      <c r="AO250" s="68"/>
      <c r="AP250" s="68"/>
      <c r="AQ250" s="68"/>
      <c r="AR250" s="68"/>
      <c r="AS250" s="68"/>
      <c r="AT250" s="68"/>
      <c r="AU250" s="68"/>
      <c r="AV250" s="68"/>
      <c r="AW250" s="68"/>
      <c r="AX250" s="68"/>
      <c r="AY250" s="68"/>
      <c r="AZ250" s="68"/>
      <c r="BA250" s="68"/>
      <c r="BB250" s="68"/>
      <c r="BC250" s="68"/>
      <c r="BD250" s="68"/>
      <c r="BE250" s="68"/>
      <c r="BF250" s="68"/>
      <c r="BG250" s="68"/>
      <c r="BH250" s="68"/>
      <c r="BI250" s="68"/>
    </row>
    <row r="251" spans="2:61" x14ac:dyDescent="0.25">
      <c r="B251" s="68"/>
    </row>
    <row r="252" spans="2:61" x14ac:dyDescent="0.25">
      <c r="B252" s="68"/>
    </row>
    <row r="253" spans="2:61" x14ac:dyDescent="0.25">
      <c r="B253" s="68"/>
    </row>
    <row r="254" spans="2:61" x14ac:dyDescent="0.25">
      <c r="B254" s="68"/>
    </row>
  </sheetData>
  <mergeCells count="24">
    <mergeCell ref="C2:J5"/>
    <mergeCell ref="K2:AN5"/>
    <mergeCell ref="AO2:AU2"/>
    <mergeCell ref="AO3:AU3"/>
    <mergeCell ref="AO4:AU4"/>
    <mergeCell ref="AO5:AU5"/>
    <mergeCell ref="AI62:AN67"/>
    <mergeCell ref="AP22:AU31"/>
    <mergeCell ref="F22:J31"/>
    <mergeCell ref="AP12:AU21"/>
    <mergeCell ref="C8:J10"/>
    <mergeCell ref="K8:AN10"/>
    <mergeCell ref="C12:E61"/>
    <mergeCell ref="F12:J21"/>
    <mergeCell ref="F52:J61"/>
    <mergeCell ref="AP42:AU51"/>
    <mergeCell ref="F42:J51"/>
    <mergeCell ref="AP32:AU41"/>
    <mergeCell ref="F32:J41"/>
    <mergeCell ref="A8:B8"/>
    <mergeCell ref="K62:P67"/>
    <mergeCell ref="Q62:V67"/>
    <mergeCell ref="W62:AB67"/>
    <mergeCell ref="AC62:AH6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26783C"/>
    <pageSetUpPr fitToPage="1"/>
  </sheetPr>
  <dimension ref="A1:F25"/>
  <sheetViews>
    <sheetView workbookViewId="0">
      <selection activeCell="G7" sqref="G7"/>
    </sheetView>
  </sheetViews>
  <sheetFormatPr baseColWidth="10" defaultColWidth="11.42578125" defaultRowHeight="15" x14ac:dyDescent="0.25"/>
  <cols>
    <col min="1" max="1" width="10.28515625" style="105" customWidth="1"/>
    <col min="2" max="2" width="32.42578125" style="105" customWidth="1"/>
    <col min="3" max="3" width="77" style="105" customWidth="1"/>
    <col min="4" max="4" width="21" style="105" customWidth="1"/>
    <col min="5" max="5" width="23.7109375" style="105" customWidth="1"/>
    <col min="6" max="16384" width="11.42578125" style="105"/>
  </cols>
  <sheetData>
    <row r="1" spans="1:6" ht="8.1" customHeight="1" x14ac:dyDescent="0.25"/>
    <row r="2" spans="1:6" ht="15.75" customHeight="1" x14ac:dyDescent="0.25">
      <c r="B2" s="514" t="s">
        <v>271</v>
      </c>
      <c r="C2" s="517" t="s">
        <v>1</v>
      </c>
      <c r="D2" s="242"/>
      <c r="E2" s="181" t="s">
        <v>2</v>
      </c>
      <c r="F2" s="106"/>
    </row>
    <row r="3" spans="1:6" ht="15.75" customHeight="1" x14ac:dyDescent="0.25">
      <c r="B3" s="515"/>
      <c r="C3" s="518"/>
      <c r="D3" s="245"/>
      <c r="E3" s="182" t="s">
        <v>3</v>
      </c>
      <c r="F3" s="106"/>
    </row>
    <row r="4" spans="1:6" ht="16.5" customHeight="1" x14ac:dyDescent="0.25">
      <c r="B4" s="515"/>
      <c r="C4" s="518"/>
      <c r="D4" s="245"/>
      <c r="E4" s="182" t="s">
        <v>4</v>
      </c>
      <c r="F4" s="106"/>
    </row>
    <row r="5" spans="1:6" ht="15" customHeight="1" x14ac:dyDescent="0.25">
      <c r="B5" s="516"/>
      <c r="C5" s="519"/>
      <c r="D5" s="248"/>
      <c r="E5" s="183" t="s">
        <v>5</v>
      </c>
      <c r="F5" s="106"/>
    </row>
    <row r="7" spans="1:6" x14ac:dyDescent="0.25">
      <c r="A7" s="520" t="s">
        <v>9</v>
      </c>
      <c r="B7" s="123" t="s">
        <v>272</v>
      </c>
      <c r="C7" s="124" t="s">
        <v>273</v>
      </c>
      <c r="D7" s="124" t="s">
        <v>274</v>
      </c>
      <c r="E7" s="124" t="s">
        <v>275</v>
      </c>
    </row>
    <row r="8" spans="1:6" ht="42.75" x14ac:dyDescent="0.25">
      <c r="A8" s="520"/>
      <c r="B8" s="107">
        <v>45687</v>
      </c>
      <c r="C8" s="178" t="s">
        <v>276</v>
      </c>
      <c r="D8" s="109" t="s">
        <v>277</v>
      </c>
      <c r="E8" s="109" t="s">
        <v>278</v>
      </c>
    </row>
    <row r="9" spans="1:6" ht="161.44999999999999" customHeight="1" x14ac:dyDescent="0.25">
      <c r="A9" s="520"/>
      <c r="B9" s="107">
        <v>45777</v>
      </c>
      <c r="C9" s="178" t="s">
        <v>279</v>
      </c>
      <c r="D9" s="109" t="s">
        <v>277</v>
      </c>
      <c r="E9" s="109" t="s">
        <v>278</v>
      </c>
    </row>
    <row r="10" spans="1:6" x14ac:dyDescent="0.25">
      <c r="A10" s="520"/>
      <c r="B10" s="107"/>
      <c r="C10" s="108"/>
      <c r="D10" s="109"/>
      <c r="E10" s="109"/>
    </row>
    <row r="11" spans="1:6" x14ac:dyDescent="0.25">
      <c r="A11" s="520"/>
      <c r="B11" s="107"/>
      <c r="C11" s="108"/>
      <c r="D11" s="109"/>
      <c r="E11" s="109"/>
    </row>
    <row r="12" spans="1:6" x14ac:dyDescent="0.25">
      <c r="A12" s="520"/>
      <c r="B12" s="107"/>
      <c r="C12" s="108"/>
      <c r="D12" s="109"/>
      <c r="E12" s="109"/>
    </row>
    <row r="13" spans="1:6" x14ac:dyDescent="0.25">
      <c r="A13" s="125"/>
      <c r="B13" s="107"/>
      <c r="C13" s="108"/>
      <c r="D13" s="109"/>
      <c r="E13" s="109"/>
    </row>
    <row r="14" spans="1:6" x14ac:dyDescent="0.25">
      <c r="A14" s="125"/>
      <c r="B14" s="107"/>
      <c r="C14" s="108"/>
      <c r="D14" s="109"/>
      <c r="E14" s="109"/>
    </row>
    <row r="15" spans="1:6" x14ac:dyDescent="0.25">
      <c r="A15" s="125"/>
      <c r="B15" s="107"/>
      <c r="C15" s="108"/>
      <c r="D15" s="109"/>
      <c r="E15" s="109"/>
    </row>
    <row r="16" spans="1:6" x14ac:dyDescent="0.25">
      <c r="A16" s="125"/>
      <c r="B16" s="107"/>
      <c r="C16" s="108"/>
      <c r="D16" s="109"/>
      <c r="E16" s="109"/>
    </row>
    <row r="17" spans="1:5" x14ac:dyDescent="0.25">
      <c r="A17" s="125"/>
      <c r="B17" s="107"/>
      <c r="C17" s="108"/>
      <c r="D17" s="109"/>
      <c r="E17" s="109"/>
    </row>
    <row r="18" spans="1:5" x14ac:dyDescent="0.25">
      <c r="A18" s="125"/>
      <c r="B18" s="107"/>
      <c r="C18" s="108"/>
      <c r="D18" s="109"/>
      <c r="E18" s="109"/>
    </row>
    <row r="19" spans="1:5" x14ac:dyDescent="0.25">
      <c r="B19" s="107"/>
      <c r="C19" s="110"/>
      <c r="D19" s="109"/>
      <c r="E19" s="109"/>
    </row>
    <row r="20" spans="1:5" x14ac:dyDescent="0.25">
      <c r="B20" s="107"/>
      <c r="C20" s="108"/>
      <c r="D20" s="109"/>
      <c r="E20" s="109"/>
    </row>
    <row r="25" spans="1:5" x14ac:dyDescent="0.25">
      <c r="C25" s="111"/>
    </row>
  </sheetData>
  <mergeCells count="3">
    <mergeCell ref="B2:B5"/>
    <mergeCell ref="C2:D5"/>
    <mergeCell ref="A7:A12"/>
  </mergeCells>
  <pageMargins left="0.7" right="0.7" top="0.75" bottom="0.75" header="0.3" footer="0.3"/>
  <pageSetup scale="6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
  <sheetViews>
    <sheetView workbookViewId="0">
      <selection activeCell="C28" sqref="C28"/>
    </sheetView>
  </sheetViews>
  <sheetFormatPr baseColWidth="10" defaultColWidth="11.42578125"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B1:J45"/>
  <sheetViews>
    <sheetView topLeftCell="A2" zoomScale="80" zoomScaleNormal="80" workbookViewId="0">
      <selection activeCell="H20" sqref="H20"/>
    </sheetView>
  </sheetViews>
  <sheetFormatPr baseColWidth="10" defaultColWidth="11.42578125" defaultRowHeight="15" x14ac:dyDescent="0.25"/>
  <cols>
    <col min="1" max="1" width="2.7109375" style="68" customWidth="1"/>
    <col min="2" max="3" width="24.7109375" style="68" customWidth="1"/>
    <col min="4" max="4" width="16" style="68" customWidth="1"/>
    <col min="5" max="5" width="24.7109375" style="68" customWidth="1"/>
    <col min="6" max="6" width="27.7109375" style="68" customWidth="1"/>
    <col min="7" max="8" width="24.7109375" style="68" customWidth="1"/>
    <col min="9" max="10" width="11.42578125" style="131"/>
    <col min="11" max="16384" width="11.42578125" style="68"/>
  </cols>
  <sheetData>
    <row r="1" spans="2:10" ht="15.75" thickBot="1" x14ac:dyDescent="0.3"/>
    <row r="2" spans="2:10" ht="18" customHeight="1" x14ac:dyDescent="0.25">
      <c r="B2" s="521" t="s">
        <v>280</v>
      </c>
      <c r="C2" s="522"/>
      <c r="D2" s="522"/>
      <c r="E2" s="522"/>
      <c r="F2" s="522"/>
      <c r="G2" s="522"/>
      <c r="H2" s="523"/>
      <c r="J2" s="132" t="s">
        <v>281</v>
      </c>
    </row>
    <row r="3" spans="2:10" ht="20.25" x14ac:dyDescent="0.25">
      <c r="B3" s="69"/>
      <c r="C3" s="70"/>
      <c r="D3" s="70"/>
      <c r="E3" s="70"/>
      <c r="F3" s="70"/>
      <c r="G3" s="70"/>
      <c r="H3" s="71"/>
      <c r="J3" s="132"/>
    </row>
    <row r="4" spans="2:10" ht="63" customHeight="1" x14ac:dyDescent="0.25">
      <c r="B4" s="524" t="s">
        <v>282</v>
      </c>
      <c r="C4" s="525"/>
      <c r="D4" s="525"/>
      <c r="E4" s="525"/>
      <c r="F4" s="525"/>
      <c r="G4" s="525"/>
      <c r="H4" s="526"/>
    </row>
    <row r="5" spans="2:10" ht="63" customHeight="1" x14ac:dyDescent="0.25">
      <c r="B5" s="527"/>
      <c r="C5" s="528"/>
      <c r="D5" s="528"/>
      <c r="E5" s="528"/>
      <c r="F5" s="528"/>
      <c r="G5" s="528"/>
      <c r="H5" s="529"/>
    </row>
    <row r="6" spans="2:10" ht="16.5" x14ac:dyDescent="0.25">
      <c r="B6" s="530" t="s">
        <v>283</v>
      </c>
      <c r="C6" s="531"/>
      <c r="D6" s="531"/>
      <c r="E6" s="531"/>
      <c r="F6" s="531"/>
      <c r="G6" s="531"/>
      <c r="H6" s="532"/>
    </row>
    <row r="7" spans="2:10" ht="95.25" customHeight="1" x14ac:dyDescent="0.25">
      <c r="B7" s="540" t="s">
        <v>284</v>
      </c>
      <c r="C7" s="541"/>
      <c r="D7" s="541"/>
      <c r="E7" s="541"/>
      <c r="F7" s="541"/>
      <c r="G7" s="541"/>
      <c r="H7" s="542"/>
    </row>
    <row r="8" spans="2:10" ht="16.5" x14ac:dyDescent="0.25">
      <c r="B8" s="101"/>
      <c r="C8" s="102"/>
      <c r="D8" s="102"/>
      <c r="E8" s="102"/>
      <c r="F8" s="102"/>
      <c r="G8" s="102"/>
      <c r="H8" s="103"/>
    </row>
    <row r="9" spans="2:10" ht="16.5" customHeight="1" x14ac:dyDescent="0.25">
      <c r="B9" s="533" t="s">
        <v>285</v>
      </c>
      <c r="C9" s="534"/>
      <c r="D9" s="534"/>
      <c r="E9" s="534"/>
      <c r="F9" s="534"/>
      <c r="G9" s="534"/>
      <c r="H9" s="535"/>
    </row>
    <row r="10" spans="2:10" ht="44.25" customHeight="1" x14ac:dyDescent="0.25">
      <c r="B10" s="533"/>
      <c r="C10" s="534"/>
      <c r="D10" s="534"/>
      <c r="E10" s="534"/>
      <c r="F10" s="534"/>
      <c r="G10" s="534"/>
      <c r="H10" s="535"/>
    </row>
    <row r="11" spans="2:10" ht="15.75" thickBot="1" x14ac:dyDescent="0.3">
      <c r="B11" s="90"/>
      <c r="C11" s="93"/>
      <c r="D11" s="98"/>
      <c r="E11" s="99"/>
      <c r="F11" s="99"/>
      <c r="G11" s="100"/>
      <c r="H11" s="94"/>
    </row>
    <row r="12" spans="2:10" ht="15.75" thickTop="1" x14ac:dyDescent="0.25">
      <c r="B12" s="90"/>
      <c r="C12" s="536" t="s">
        <v>286</v>
      </c>
      <c r="D12" s="537"/>
      <c r="E12" s="538" t="s">
        <v>287</v>
      </c>
      <c r="F12" s="539"/>
      <c r="G12" s="93"/>
      <c r="H12" s="94"/>
    </row>
    <row r="13" spans="2:10" ht="35.25" customHeight="1" x14ac:dyDescent="0.25">
      <c r="B13" s="90"/>
      <c r="C13" s="543" t="s">
        <v>288</v>
      </c>
      <c r="D13" s="544"/>
      <c r="E13" s="545" t="s">
        <v>289</v>
      </c>
      <c r="F13" s="546"/>
      <c r="G13" s="93"/>
      <c r="H13" s="94"/>
    </row>
    <row r="14" spans="2:10" ht="17.25" customHeight="1" x14ac:dyDescent="0.25">
      <c r="B14" s="90"/>
      <c r="C14" s="543" t="s">
        <v>290</v>
      </c>
      <c r="D14" s="544"/>
      <c r="E14" s="545" t="s">
        <v>291</v>
      </c>
      <c r="F14" s="546"/>
      <c r="G14" s="93"/>
      <c r="H14" s="94"/>
    </row>
    <row r="15" spans="2:10" ht="19.5" customHeight="1" x14ac:dyDescent="0.25">
      <c r="B15" s="90"/>
      <c r="C15" s="543" t="s">
        <v>292</v>
      </c>
      <c r="D15" s="544"/>
      <c r="E15" s="545" t="s">
        <v>293</v>
      </c>
      <c r="F15" s="546"/>
      <c r="G15" s="93"/>
      <c r="H15" s="94"/>
    </row>
    <row r="16" spans="2:10" ht="69.75" customHeight="1" x14ac:dyDescent="0.25">
      <c r="B16" s="90"/>
      <c r="C16" s="543" t="s">
        <v>294</v>
      </c>
      <c r="D16" s="544"/>
      <c r="E16" s="545" t="s">
        <v>295</v>
      </c>
      <c r="F16" s="546"/>
      <c r="G16" s="93"/>
      <c r="H16" s="94"/>
    </row>
    <row r="17" spans="2:8" ht="34.5" customHeight="1" x14ac:dyDescent="0.25">
      <c r="B17" s="90"/>
      <c r="C17" s="547" t="s">
        <v>56</v>
      </c>
      <c r="D17" s="548"/>
      <c r="E17" s="549" t="s">
        <v>296</v>
      </c>
      <c r="F17" s="550"/>
      <c r="G17" s="93"/>
      <c r="H17" s="94"/>
    </row>
    <row r="18" spans="2:8" ht="27.75" customHeight="1" x14ac:dyDescent="0.25">
      <c r="B18" s="90"/>
      <c r="C18" s="547" t="s">
        <v>297</v>
      </c>
      <c r="D18" s="548"/>
      <c r="E18" s="549" t="s">
        <v>298</v>
      </c>
      <c r="F18" s="550"/>
      <c r="G18" s="93"/>
      <c r="H18" s="94"/>
    </row>
    <row r="19" spans="2:8" ht="28.5" customHeight="1" x14ac:dyDescent="0.25">
      <c r="B19" s="90"/>
      <c r="C19" s="547" t="s">
        <v>299</v>
      </c>
      <c r="D19" s="548"/>
      <c r="E19" s="549" t="s">
        <v>300</v>
      </c>
      <c r="F19" s="550"/>
      <c r="G19" s="93"/>
      <c r="H19" s="94"/>
    </row>
    <row r="20" spans="2:8" ht="72.75" customHeight="1" x14ac:dyDescent="0.25">
      <c r="B20" s="90"/>
      <c r="C20" s="547" t="s">
        <v>301</v>
      </c>
      <c r="D20" s="548"/>
      <c r="E20" s="549" t="s">
        <v>302</v>
      </c>
      <c r="F20" s="550"/>
      <c r="G20" s="93"/>
      <c r="H20" s="94"/>
    </row>
    <row r="21" spans="2:8" ht="64.5" customHeight="1" x14ac:dyDescent="0.25">
      <c r="B21" s="90"/>
      <c r="C21" s="547" t="s">
        <v>62</v>
      </c>
      <c r="D21" s="548"/>
      <c r="E21" s="549" t="s">
        <v>303</v>
      </c>
      <c r="F21" s="550"/>
      <c r="G21" s="93"/>
      <c r="H21" s="94"/>
    </row>
    <row r="22" spans="2:8" ht="71.25" customHeight="1" x14ac:dyDescent="0.25">
      <c r="B22" s="90"/>
      <c r="C22" s="547" t="s">
        <v>304</v>
      </c>
      <c r="D22" s="548"/>
      <c r="E22" s="549" t="s">
        <v>305</v>
      </c>
      <c r="F22" s="550"/>
      <c r="G22" s="93"/>
      <c r="H22" s="94"/>
    </row>
    <row r="23" spans="2:8" ht="55.5" customHeight="1" x14ac:dyDescent="0.25">
      <c r="B23" s="90"/>
      <c r="C23" s="554" t="s">
        <v>306</v>
      </c>
      <c r="D23" s="555"/>
      <c r="E23" s="549" t="s">
        <v>307</v>
      </c>
      <c r="F23" s="550"/>
      <c r="G23" s="93"/>
      <c r="H23" s="94"/>
    </row>
    <row r="24" spans="2:8" ht="42" customHeight="1" x14ac:dyDescent="0.25">
      <c r="B24" s="90"/>
      <c r="C24" s="554" t="s">
        <v>69</v>
      </c>
      <c r="D24" s="555"/>
      <c r="E24" s="549" t="s">
        <v>308</v>
      </c>
      <c r="F24" s="550"/>
      <c r="G24" s="93"/>
      <c r="H24" s="94"/>
    </row>
    <row r="25" spans="2:8" ht="59.25" customHeight="1" x14ac:dyDescent="0.25">
      <c r="B25" s="90"/>
      <c r="C25" s="554" t="s">
        <v>309</v>
      </c>
      <c r="D25" s="555"/>
      <c r="E25" s="549" t="s">
        <v>310</v>
      </c>
      <c r="F25" s="550"/>
      <c r="G25" s="93"/>
      <c r="H25" s="94"/>
    </row>
    <row r="26" spans="2:8" ht="23.25" customHeight="1" x14ac:dyDescent="0.25">
      <c r="B26" s="90"/>
      <c r="C26" s="554" t="s">
        <v>73</v>
      </c>
      <c r="D26" s="555"/>
      <c r="E26" s="549" t="s">
        <v>311</v>
      </c>
      <c r="F26" s="550"/>
      <c r="G26" s="93"/>
      <c r="H26" s="94"/>
    </row>
    <row r="27" spans="2:8" ht="30.75" customHeight="1" x14ac:dyDescent="0.25">
      <c r="B27" s="90"/>
      <c r="C27" s="554" t="s">
        <v>312</v>
      </c>
      <c r="D27" s="555"/>
      <c r="E27" s="549" t="s">
        <v>313</v>
      </c>
      <c r="F27" s="550"/>
      <c r="G27" s="93"/>
      <c r="H27" s="94"/>
    </row>
    <row r="28" spans="2:8" ht="35.25" customHeight="1" x14ac:dyDescent="0.25">
      <c r="B28" s="90"/>
      <c r="C28" s="554" t="s">
        <v>314</v>
      </c>
      <c r="D28" s="555"/>
      <c r="E28" s="549" t="s">
        <v>315</v>
      </c>
      <c r="F28" s="550"/>
      <c r="G28" s="93"/>
      <c r="H28" s="94"/>
    </row>
    <row r="29" spans="2:8" ht="33" customHeight="1" x14ac:dyDescent="0.25">
      <c r="B29" s="90"/>
      <c r="C29" s="554" t="s">
        <v>314</v>
      </c>
      <c r="D29" s="555"/>
      <c r="E29" s="549" t="s">
        <v>315</v>
      </c>
      <c r="F29" s="550"/>
      <c r="G29" s="93"/>
      <c r="H29" s="94"/>
    </row>
    <row r="30" spans="2:8" ht="30" customHeight="1" x14ac:dyDescent="0.25">
      <c r="B30" s="90"/>
      <c r="C30" s="554" t="s">
        <v>316</v>
      </c>
      <c r="D30" s="555"/>
      <c r="E30" s="549" t="s">
        <v>317</v>
      </c>
      <c r="F30" s="550"/>
      <c r="G30" s="93"/>
      <c r="H30" s="94"/>
    </row>
    <row r="31" spans="2:8" ht="35.25" customHeight="1" x14ac:dyDescent="0.25">
      <c r="B31" s="90"/>
      <c r="C31" s="554" t="s">
        <v>318</v>
      </c>
      <c r="D31" s="555"/>
      <c r="E31" s="549" t="s">
        <v>319</v>
      </c>
      <c r="F31" s="550"/>
      <c r="G31" s="93"/>
      <c r="H31" s="94"/>
    </row>
    <row r="32" spans="2:8" ht="31.5" customHeight="1" x14ac:dyDescent="0.25">
      <c r="B32" s="90"/>
      <c r="C32" s="554" t="s">
        <v>320</v>
      </c>
      <c r="D32" s="555"/>
      <c r="E32" s="549" t="s">
        <v>321</v>
      </c>
      <c r="F32" s="550"/>
      <c r="G32" s="93"/>
      <c r="H32" s="94"/>
    </row>
    <row r="33" spans="2:8" ht="35.25" customHeight="1" x14ac:dyDescent="0.25">
      <c r="B33" s="90"/>
      <c r="C33" s="554" t="s">
        <v>322</v>
      </c>
      <c r="D33" s="555"/>
      <c r="E33" s="549" t="s">
        <v>323</v>
      </c>
      <c r="F33" s="550"/>
      <c r="G33" s="93"/>
      <c r="H33" s="94"/>
    </row>
    <row r="34" spans="2:8" ht="59.25" customHeight="1" x14ac:dyDescent="0.25">
      <c r="B34" s="90"/>
      <c r="C34" s="554" t="s">
        <v>324</v>
      </c>
      <c r="D34" s="555"/>
      <c r="E34" s="549" t="s">
        <v>325</v>
      </c>
      <c r="F34" s="550"/>
      <c r="G34" s="93"/>
      <c r="H34" s="94"/>
    </row>
    <row r="35" spans="2:8" ht="29.25" customHeight="1" x14ac:dyDescent="0.25">
      <c r="B35" s="90"/>
      <c r="C35" s="554" t="s">
        <v>79</v>
      </c>
      <c r="D35" s="555"/>
      <c r="E35" s="549" t="s">
        <v>326</v>
      </c>
      <c r="F35" s="550"/>
      <c r="G35" s="93"/>
      <c r="H35" s="94"/>
    </row>
    <row r="36" spans="2:8" ht="82.5" customHeight="1" x14ac:dyDescent="0.25">
      <c r="B36" s="90"/>
      <c r="C36" s="554" t="s">
        <v>327</v>
      </c>
      <c r="D36" s="555"/>
      <c r="E36" s="549" t="s">
        <v>328</v>
      </c>
      <c r="F36" s="550"/>
      <c r="G36" s="93"/>
      <c r="H36" s="94"/>
    </row>
    <row r="37" spans="2:8" ht="46.5" customHeight="1" x14ac:dyDescent="0.25">
      <c r="B37" s="90"/>
      <c r="C37" s="554" t="s">
        <v>329</v>
      </c>
      <c r="D37" s="555"/>
      <c r="E37" s="549" t="s">
        <v>330</v>
      </c>
      <c r="F37" s="550"/>
      <c r="G37" s="93"/>
      <c r="H37" s="94"/>
    </row>
    <row r="38" spans="2:8" ht="6.75" customHeight="1" thickBot="1" x14ac:dyDescent="0.3">
      <c r="B38" s="90"/>
      <c r="C38" s="556"/>
      <c r="D38" s="557"/>
      <c r="E38" s="558"/>
      <c r="F38" s="559"/>
      <c r="G38" s="93"/>
      <c r="H38" s="94"/>
    </row>
    <row r="39" spans="2:8" ht="15.75" thickTop="1" x14ac:dyDescent="0.25">
      <c r="B39" s="90"/>
      <c r="C39" s="91"/>
      <c r="D39" s="91"/>
      <c r="E39" s="92"/>
      <c r="F39" s="92"/>
      <c r="G39" s="93"/>
      <c r="H39" s="94"/>
    </row>
    <row r="40" spans="2:8" ht="21" customHeight="1" x14ac:dyDescent="0.25">
      <c r="B40" s="551" t="s">
        <v>331</v>
      </c>
      <c r="C40" s="552"/>
      <c r="D40" s="552"/>
      <c r="E40" s="552"/>
      <c r="F40" s="552"/>
      <c r="G40" s="552"/>
      <c r="H40" s="553"/>
    </row>
    <row r="41" spans="2:8" ht="20.25" customHeight="1" x14ac:dyDescent="0.25">
      <c r="B41" s="551" t="s">
        <v>332</v>
      </c>
      <c r="C41" s="552"/>
      <c r="D41" s="552"/>
      <c r="E41" s="552"/>
      <c r="F41" s="552"/>
      <c r="G41" s="552"/>
      <c r="H41" s="553"/>
    </row>
    <row r="42" spans="2:8" ht="20.25" customHeight="1" x14ac:dyDescent="0.25">
      <c r="B42" s="551" t="s">
        <v>333</v>
      </c>
      <c r="C42" s="552"/>
      <c r="D42" s="552"/>
      <c r="E42" s="552"/>
      <c r="F42" s="552"/>
      <c r="G42" s="552"/>
      <c r="H42" s="553"/>
    </row>
    <row r="43" spans="2:8" ht="20.25" customHeight="1" x14ac:dyDescent="0.25">
      <c r="B43" s="551" t="s">
        <v>334</v>
      </c>
      <c r="C43" s="552"/>
      <c r="D43" s="552"/>
      <c r="E43" s="552"/>
      <c r="F43" s="552"/>
      <c r="G43" s="552"/>
      <c r="H43" s="553"/>
    </row>
    <row r="44" spans="2:8" ht="15" customHeight="1" x14ac:dyDescent="0.25">
      <c r="B44" s="551" t="s">
        <v>335</v>
      </c>
      <c r="C44" s="552"/>
      <c r="D44" s="552"/>
      <c r="E44" s="552"/>
      <c r="F44" s="552"/>
      <c r="G44" s="552"/>
      <c r="H44" s="553"/>
    </row>
    <row r="45" spans="2:8" ht="15.75" thickBot="1" x14ac:dyDescent="0.3">
      <c r="B45" s="95"/>
      <c r="C45" s="96"/>
      <c r="D45" s="96"/>
      <c r="E45" s="96"/>
      <c r="F45" s="96"/>
      <c r="G45" s="96"/>
      <c r="H45" s="97"/>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
  <sheetViews>
    <sheetView workbookViewId="0">
      <selection activeCell="A2" sqref="A2"/>
    </sheetView>
  </sheetViews>
  <sheetFormatPr baseColWidth="10" defaultColWidth="11.4257812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D9"/>
  <sheetViews>
    <sheetView workbookViewId="0">
      <selection activeCell="K15" sqref="K15"/>
    </sheetView>
  </sheetViews>
  <sheetFormatPr baseColWidth="10" defaultColWidth="11.42578125" defaultRowHeight="15" x14ac:dyDescent="0.25"/>
  <sheetData>
    <row r="1" spans="1:4" x14ac:dyDescent="0.25">
      <c r="A1" t="s">
        <v>336</v>
      </c>
      <c r="B1" t="s">
        <v>58</v>
      </c>
      <c r="C1" t="s">
        <v>143</v>
      </c>
      <c r="D1" t="s">
        <v>144</v>
      </c>
    </row>
    <row r="2" spans="1:4" x14ac:dyDescent="0.25">
      <c r="A2" t="s">
        <v>337</v>
      </c>
      <c r="B2" t="s">
        <v>150</v>
      </c>
      <c r="C2" t="s">
        <v>180</v>
      </c>
      <c r="D2" t="s">
        <v>153</v>
      </c>
    </row>
    <row r="3" spans="1:4" x14ac:dyDescent="0.25">
      <c r="A3" t="s">
        <v>103</v>
      </c>
      <c r="B3" t="s">
        <v>164</v>
      </c>
      <c r="C3" t="s">
        <v>338</v>
      </c>
      <c r="D3" t="s">
        <v>167</v>
      </c>
    </row>
    <row r="4" spans="1:4" x14ac:dyDescent="0.25">
      <c r="A4" t="s">
        <v>339</v>
      </c>
      <c r="B4" t="s">
        <v>178</v>
      </c>
      <c r="C4" t="s">
        <v>188</v>
      </c>
      <c r="D4" t="s">
        <v>181</v>
      </c>
    </row>
    <row r="5" spans="1:4" x14ac:dyDescent="0.25">
      <c r="A5" t="s">
        <v>164</v>
      </c>
      <c r="B5" t="s">
        <v>186</v>
      </c>
      <c r="C5" t="s">
        <v>340</v>
      </c>
      <c r="D5" t="s">
        <v>106</v>
      </c>
    </row>
    <row r="6" spans="1:4" x14ac:dyDescent="0.25">
      <c r="A6" t="s">
        <v>146</v>
      </c>
      <c r="B6" t="s">
        <v>191</v>
      </c>
      <c r="C6" t="s">
        <v>106</v>
      </c>
    </row>
    <row r="7" spans="1:4" x14ac:dyDescent="0.25">
      <c r="A7" t="s">
        <v>341</v>
      </c>
      <c r="B7" t="s">
        <v>195</v>
      </c>
    </row>
    <row r="8" spans="1:4" x14ac:dyDescent="0.25">
      <c r="A8" t="s">
        <v>342</v>
      </c>
    </row>
    <row r="9" spans="1:4" x14ac:dyDescent="0.25">
      <c r="A9" t="s">
        <v>343</v>
      </c>
    </row>
  </sheetData>
  <sheetProtection algorithmName="SHA-512" hashValue="v7i/xahZG2C7t5BslLITKnVU2aeqZ2qUUc7D3ggQN7269OWOf4ZVULOvpishKqJW79vwiv5Gp2BFg470cY4dqQ==" saltValue="yCXLobWCYjK/kLc7JEpQfQ=="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
  <sheetViews>
    <sheetView workbookViewId="0"/>
  </sheetViews>
  <sheetFormatPr baseColWidth="10" defaultColWidth="11.42578125"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B1:L27"/>
  <sheetViews>
    <sheetView showGridLines="0" view="pageBreakPreview" zoomScaleNormal="100" zoomScaleSheetLayoutView="100" workbookViewId="0">
      <selection activeCell="M16" sqref="M16"/>
    </sheetView>
  </sheetViews>
  <sheetFormatPr baseColWidth="10" defaultColWidth="11.42578125" defaultRowHeight="15" x14ac:dyDescent="0.25"/>
  <cols>
    <col min="1" max="1" width="2.42578125" style="68" customWidth="1"/>
    <col min="2" max="2" width="33.28515625" style="68" customWidth="1"/>
    <col min="3" max="4" width="11.42578125" style="68"/>
    <col min="5" max="5" width="5.7109375" style="68" customWidth="1"/>
    <col min="6" max="6" width="16.28515625" style="68" customWidth="1"/>
    <col min="7" max="7" width="11.42578125" style="68"/>
    <col min="8" max="8" width="13.7109375" style="68" customWidth="1"/>
    <col min="9" max="9" width="14.28515625" style="68" customWidth="1"/>
    <col min="10" max="10" width="14.7109375" style="68" customWidth="1"/>
    <col min="11" max="11" width="7.42578125" style="68" customWidth="1"/>
    <col min="12" max="12" width="2.28515625" style="68" customWidth="1"/>
    <col min="13" max="16384" width="11.42578125" style="68"/>
  </cols>
  <sheetData>
    <row r="1" spans="2:11" ht="6" customHeight="1" thickBot="1" x14ac:dyDescent="0.3"/>
    <row r="2" spans="2:11" ht="15" customHeight="1" x14ac:dyDescent="0.25">
      <c r="B2" s="560" t="s">
        <v>251</v>
      </c>
      <c r="C2" s="563" t="s">
        <v>1</v>
      </c>
      <c r="D2" s="564"/>
      <c r="E2" s="564"/>
      <c r="F2" s="564"/>
      <c r="G2" s="564"/>
      <c r="H2" s="564"/>
      <c r="I2" s="564"/>
      <c r="J2" s="348" t="s">
        <v>252</v>
      </c>
      <c r="K2" s="257"/>
    </row>
    <row r="3" spans="2:11" ht="15" customHeight="1" x14ac:dyDescent="0.25">
      <c r="B3" s="561"/>
      <c r="C3" s="565"/>
      <c r="D3" s="566"/>
      <c r="E3" s="566"/>
      <c r="F3" s="566"/>
      <c r="G3" s="566"/>
      <c r="H3" s="566"/>
      <c r="I3" s="566"/>
      <c r="J3" s="349" t="s">
        <v>344</v>
      </c>
      <c r="K3" s="259"/>
    </row>
    <row r="4" spans="2:11" ht="15" customHeight="1" x14ac:dyDescent="0.25">
      <c r="B4" s="561"/>
      <c r="C4" s="565"/>
      <c r="D4" s="566"/>
      <c r="E4" s="566"/>
      <c r="F4" s="566"/>
      <c r="G4" s="566"/>
      <c r="H4" s="566"/>
      <c r="I4" s="566"/>
      <c r="J4" s="349" t="s">
        <v>253</v>
      </c>
      <c r="K4" s="259" t="s">
        <v>253</v>
      </c>
    </row>
    <row r="5" spans="2:11" ht="15" customHeight="1" thickBot="1" x14ac:dyDescent="0.3">
      <c r="B5" s="562"/>
      <c r="C5" s="567"/>
      <c r="D5" s="568"/>
      <c r="E5" s="568"/>
      <c r="F5" s="568"/>
      <c r="G5" s="568"/>
      <c r="H5" s="568"/>
      <c r="I5" s="568"/>
      <c r="J5" s="350" t="s">
        <v>5</v>
      </c>
      <c r="K5" s="261" t="s">
        <v>5</v>
      </c>
    </row>
    <row r="6" spans="2:11" ht="15.75" thickBot="1" x14ac:dyDescent="0.3"/>
    <row r="7" spans="2:11" customFormat="1" ht="15.75" thickBot="1" x14ac:dyDescent="0.3">
      <c r="B7" s="569" t="s">
        <v>272</v>
      </c>
      <c r="C7" s="570"/>
      <c r="D7" s="571" t="s">
        <v>345</v>
      </c>
      <c r="E7" s="572"/>
      <c r="F7" s="571" t="s">
        <v>346</v>
      </c>
      <c r="G7" s="573"/>
      <c r="H7" s="573"/>
      <c r="I7" s="573"/>
      <c r="J7" s="573"/>
      <c r="K7" s="574"/>
    </row>
    <row r="8" spans="2:11" customFormat="1" ht="18" customHeight="1" thickBot="1" x14ac:dyDescent="0.3">
      <c r="B8" s="575"/>
      <c r="C8" s="576"/>
      <c r="D8" s="577">
        <v>1</v>
      </c>
      <c r="E8" s="578"/>
      <c r="F8" s="579"/>
      <c r="G8" s="579"/>
      <c r="H8" s="579"/>
      <c r="I8" s="579"/>
      <c r="J8" s="579"/>
      <c r="K8" s="580"/>
    </row>
    <row r="9" spans="2:11" customFormat="1" ht="18" customHeight="1" thickBot="1" x14ac:dyDescent="0.3">
      <c r="B9" s="575"/>
      <c r="C9" s="576"/>
      <c r="D9" s="577">
        <v>2</v>
      </c>
      <c r="E9" s="578"/>
      <c r="F9" s="579"/>
      <c r="G9" s="579"/>
      <c r="H9" s="579"/>
      <c r="I9" s="579"/>
      <c r="J9" s="579"/>
      <c r="K9" s="580"/>
    </row>
    <row r="10" spans="2:11" customFormat="1" ht="18" customHeight="1" thickBot="1" x14ac:dyDescent="0.3">
      <c r="B10" s="575"/>
      <c r="C10" s="576"/>
      <c r="D10" s="577">
        <v>3</v>
      </c>
      <c r="E10" s="578"/>
      <c r="F10" s="579"/>
      <c r="G10" s="579"/>
      <c r="H10" s="579"/>
      <c r="I10" s="579"/>
      <c r="J10" s="579"/>
      <c r="K10" s="580"/>
    </row>
    <row r="11" spans="2:11" customFormat="1" ht="18" customHeight="1" thickBot="1" x14ac:dyDescent="0.3">
      <c r="B11" s="575"/>
      <c r="C11" s="576"/>
      <c r="D11" s="577">
        <v>4</v>
      </c>
      <c r="E11" s="578"/>
      <c r="F11" s="579"/>
      <c r="G11" s="579"/>
      <c r="H11" s="579"/>
      <c r="I11" s="579"/>
      <c r="J11" s="579"/>
      <c r="K11" s="580"/>
    </row>
    <row r="12" spans="2:11" customFormat="1" ht="18" customHeight="1" thickBot="1" x14ac:dyDescent="0.3">
      <c r="B12" s="575"/>
      <c r="C12" s="576"/>
      <c r="D12" s="577">
        <v>5</v>
      </c>
      <c r="E12" s="578"/>
      <c r="F12" s="579"/>
      <c r="G12" s="579"/>
      <c r="H12" s="579"/>
      <c r="I12" s="579"/>
      <c r="J12" s="579"/>
      <c r="K12" s="580"/>
    </row>
    <row r="13" spans="2:11" customFormat="1" ht="18" customHeight="1" thickBot="1" x14ac:dyDescent="0.3">
      <c r="B13" s="575"/>
      <c r="C13" s="576"/>
      <c r="D13" s="577">
        <v>6</v>
      </c>
      <c r="E13" s="578"/>
      <c r="F13" s="579"/>
      <c r="G13" s="579"/>
      <c r="H13" s="579"/>
      <c r="I13" s="579"/>
      <c r="J13" s="579"/>
      <c r="K13" s="580"/>
    </row>
    <row r="14" spans="2:11" customFormat="1" ht="18" customHeight="1" thickBot="1" x14ac:dyDescent="0.3">
      <c r="B14" s="575"/>
      <c r="C14" s="576"/>
      <c r="D14" s="577">
        <v>7</v>
      </c>
      <c r="E14" s="578"/>
      <c r="F14" s="579"/>
      <c r="G14" s="579"/>
      <c r="H14" s="579"/>
      <c r="I14" s="579"/>
      <c r="J14" s="579"/>
      <c r="K14" s="580"/>
    </row>
    <row r="15" spans="2:11" customFormat="1" ht="18" customHeight="1" x14ac:dyDescent="0.25">
      <c r="B15" s="575">
        <v>45352</v>
      </c>
      <c r="C15" s="576"/>
      <c r="D15" s="577">
        <v>8</v>
      </c>
      <c r="E15" s="578"/>
      <c r="F15" s="579" t="s">
        <v>347</v>
      </c>
      <c r="G15" s="579"/>
      <c r="H15" s="579"/>
      <c r="I15" s="579"/>
      <c r="J15" s="579"/>
      <c r="K15" s="580"/>
    </row>
    <row r="16" spans="2:11" customFormat="1" ht="150.75" customHeight="1" x14ac:dyDescent="0.25">
      <c r="B16" s="575" t="s">
        <v>348</v>
      </c>
      <c r="C16" s="576"/>
      <c r="D16" s="577">
        <v>9</v>
      </c>
      <c r="E16" s="578"/>
      <c r="F16" s="579" t="s">
        <v>349</v>
      </c>
      <c r="G16" s="579"/>
      <c r="H16" s="579"/>
      <c r="I16" s="579"/>
      <c r="J16" s="579"/>
      <c r="K16" s="580"/>
    </row>
    <row r="17" spans="2:12" customFormat="1" ht="15.75" customHeight="1" x14ac:dyDescent="0.25">
      <c r="B17" s="581"/>
      <c r="C17" s="581"/>
      <c r="D17" s="581"/>
      <c r="E17" s="581"/>
      <c r="F17" s="581"/>
      <c r="G17" s="581"/>
      <c r="H17" s="581"/>
      <c r="I17" s="581"/>
      <c r="J17" s="581"/>
      <c r="K17" s="581"/>
    </row>
    <row r="18" spans="2:12" customFormat="1" ht="15.75" customHeight="1" thickBot="1" x14ac:dyDescent="0.3">
      <c r="B18" s="582" t="s">
        <v>350</v>
      </c>
      <c r="C18" s="583"/>
      <c r="D18" s="583"/>
      <c r="E18" s="584"/>
      <c r="F18" s="585" t="s">
        <v>351</v>
      </c>
      <c r="G18" s="586"/>
      <c r="H18" s="587"/>
      <c r="I18" s="588" t="s">
        <v>352</v>
      </c>
      <c r="J18" s="589"/>
      <c r="K18" s="584"/>
    </row>
    <row r="19" spans="2:12" customFormat="1" ht="27" customHeight="1" x14ac:dyDescent="0.25">
      <c r="B19" s="590"/>
      <c r="C19" s="591"/>
      <c r="D19" s="591"/>
      <c r="E19" s="591"/>
      <c r="F19" s="591"/>
      <c r="G19" s="591"/>
      <c r="H19" s="591"/>
      <c r="I19" s="592"/>
      <c r="J19" s="592"/>
      <c r="K19" s="593"/>
    </row>
    <row r="20" spans="2:12" customFormat="1" ht="15" customHeight="1" x14ac:dyDescent="0.25">
      <c r="B20" s="595" t="s">
        <v>353</v>
      </c>
      <c r="C20" s="596"/>
      <c r="D20" s="596"/>
      <c r="E20" s="596"/>
      <c r="F20" s="597" t="s">
        <v>354</v>
      </c>
      <c r="G20" s="597"/>
      <c r="H20" s="598"/>
      <c r="I20" s="597" t="s">
        <v>354</v>
      </c>
      <c r="J20" s="597"/>
      <c r="K20" s="598"/>
    </row>
    <row r="21" spans="2:12" customFormat="1" ht="22.5" customHeight="1" thickBot="1" x14ac:dyDescent="0.3">
      <c r="B21" s="599" t="s">
        <v>355</v>
      </c>
      <c r="C21" s="600"/>
      <c r="D21" s="600"/>
      <c r="E21" s="600"/>
      <c r="F21" s="600" t="s">
        <v>356</v>
      </c>
      <c r="G21" s="600"/>
      <c r="H21" s="601"/>
      <c r="I21" s="600" t="s">
        <v>356</v>
      </c>
      <c r="J21" s="600"/>
      <c r="K21" s="601"/>
    </row>
    <row r="22" spans="2:12" customFormat="1" ht="9" customHeight="1" thickBot="1" x14ac:dyDescent="0.3">
      <c r="B22" s="602"/>
      <c r="C22" s="602"/>
      <c r="D22" s="602"/>
      <c r="E22" s="602"/>
      <c r="F22" s="602"/>
      <c r="G22" s="602"/>
      <c r="H22" s="602"/>
      <c r="I22" s="602"/>
      <c r="J22" s="602"/>
      <c r="K22" s="602"/>
    </row>
    <row r="23" spans="2:12" customFormat="1" ht="15.75" thickBot="1" x14ac:dyDescent="0.3">
      <c r="B23" s="603" t="s">
        <v>110</v>
      </c>
      <c r="C23" s="604"/>
      <c r="D23" s="605"/>
      <c r="E23" s="112" t="s">
        <v>111</v>
      </c>
      <c r="F23" s="603" t="s">
        <v>112</v>
      </c>
      <c r="G23" s="605"/>
      <c r="H23" s="113" t="s">
        <v>113</v>
      </c>
      <c r="I23" s="603" t="s">
        <v>114</v>
      </c>
      <c r="J23" s="605"/>
      <c r="K23" s="114">
        <v>1</v>
      </c>
    </row>
    <row r="24" spans="2:12" ht="8.25" customHeight="1" x14ac:dyDescent="0.25"/>
    <row r="25" spans="2:12" x14ac:dyDescent="0.25">
      <c r="B25" s="594" t="s">
        <v>357</v>
      </c>
      <c r="C25" s="594"/>
      <c r="D25" s="594"/>
      <c r="E25" s="594"/>
      <c r="F25" s="594"/>
      <c r="G25" s="594"/>
      <c r="H25" s="594"/>
      <c r="I25" s="594"/>
      <c r="J25" s="594"/>
      <c r="K25" s="594"/>
      <c r="L25" s="594"/>
    </row>
    <row r="26" spans="2:12" x14ac:dyDescent="0.25">
      <c r="B26" s="594" t="s">
        <v>358</v>
      </c>
      <c r="C26" s="594"/>
      <c r="D26" s="594"/>
      <c r="E26" s="594"/>
      <c r="F26" s="594"/>
      <c r="G26" s="594"/>
      <c r="H26" s="594"/>
      <c r="I26" s="594"/>
      <c r="J26" s="594"/>
      <c r="K26" s="594"/>
      <c r="L26" s="594"/>
    </row>
    <row r="27" spans="2:12" ht="9" customHeight="1" x14ac:dyDescent="0.25"/>
  </sheetData>
  <mergeCells count="55">
    <mergeCell ref="B16:C16"/>
    <mergeCell ref="D16:E16"/>
    <mergeCell ref="F16:K16"/>
    <mergeCell ref="F11:K11"/>
    <mergeCell ref="B12:C12"/>
    <mergeCell ref="D12:E12"/>
    <mergeCell ref="F12:K12"/>
    <mergeCell ref="B14:C14"/>
    <mergeCell ref="D14:E14"/>
    <mergeCell ref="F14:K14"/>
    <mergeCell ref="D13:E13"/>
    <mergeCell ref="F13:K13"/>
    <mergeCell ref="B11:C11"/>
    <mergeCell ref="D11:E11"/>
    <mergeCell ref="B26:L26"/>
    <mergeCell ref="B20:E20"/>
    <mergeCell ref="F20:H20"/>
    <mergeCell ref="I20:K20"/>
    <mergeCell ref="B21:E21"/>
    <mergeCell ref="F21:H21"/>
    <mergeCell ref="I21:K21"/>
    <mergeCell ref="B22:K22"/>
    <mergeCell ref="B23:D23"/>
    <mergeCell ref="F23:G23"/>
    <mergeCell ref="I23:J23"/>
    <mergeCell ref="B25:L25"/>
    <mergeCell ref="B17:K17"/>
    <mergeCell ref="B18:E18"/>
    <mergeCell ref="F18:H18"/>
    <mergeCell ref="I18:K18"/>
    <mergeCell ref="B19:E19"/>
    <mergeCell ref="F19:H19"/>
    <mergeCell ref="I19:K19"/>
    <mergeCell ref="B7:C7"/>
    <mergeCell ref="D7:E7"/>
    <mergeCell ref="F7:K7"/>
    <mergeCell ref="B15:C15"/>
    <mergeCell ref="D15:E15"/>
    <mergeCell ref="F15:K15"/>
    <mergeCell ref="B8:C8"/>
    <mergeCell ref="D8:E8"/>
    <mergeCell ref="F8:K8"/>
    <mergeCell ref="B13:C13"/>
    <mergeCell ref="B9:C9"/>
    <mergeCell ref="D9:E9"/>
    <mergeCell ref="F9:K9"/>
    <mergeCell ref="B10:C10"/>
    <mergeCell ref="D10:E10"/>
    <mergeCell ref="F10:K10"/>
    <mergeCell ref="B2:B5"/>
    <mergeCell ref="C2:I5"/>
    <mergeCell ref="J2:K2"/>
    <mergeCell ref="J3:K3"/>
    <mergeCell ref="J4:K4"/>
    <mergeCell ref="J5:K5"/>
  </mergeCells>
  <pageMargins left="0.7" right="0.7" top="0.75" bottom="0.75" header="0.3" footer="0.3"/>
  <pageSetup paperSize="9" scale="60" orientation="portrait"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tabColor rgb="FF00B0F0"/>
  </sheetPr>
  <dimension ref="A1:AK55"/>
  <sheetViews>
    <sheetView zoomScale="90" zoomScaleNormal="90" workbookViewId="0">
      <selection activeCell="K13" sqref="K13"/>
    </sheetView>
  </sheetViews>
  <sheetFormatPr baseColWidth="10" defaultColWidth="11.42578125" defaultRowHeight="15" x14ac:dyDescent="0.25"/>
  <cols>
    <col min="2" max="2" width="24.28515625" customWidth="1"/>
    <col min="3" max="3" width="70.28515625" customWidth="1"/>
    <col min="4" max="4" width="29.7109375" customWidth="1"/>
  </cols>
  <sheetData>
    <row r="1" spans="1:37" ht="23.25" x14ac:dyDescent="0.25">
      <c r="A1" s="68"/>
      <c r="B1" s="606" t="s">
        <v>359</v>
      </c>
      <c r="C1" s="606"/>
      <c r="D1" s="606"/>
      <c r="E1" s="68"/>
      <c r="F1" s="68"/>
      <c r="G1" s="68"/>
      <c r="H1" s="68"/>
      <c r="I1" s="68"/>
      <c r="J1" s="68"/>
      <c r="K1" s="68"/>
      <c r="L1" s="68"/>
      <c r="M1" s="68"/>
      <c r="N1" s="68"/>
      <c r="O1" s="68"/>
      <c r="P1" s="68"/>
      <c r="Q1" s="68"/>
      <c r="R1" s="68"/>
      <c r="S1" s="68"/>
      <c r="T1" s="68"/>
      <c r="U1" s="68"/>
      <c r="V1" s="68"/>
      <c r="W1" s="68"/>
      <c r="X1" s="68"/>
      <c r="Y1" s="68"/>
      <c r="Z1" s="68"/>
      <c r="AA1" s="68"/>
      <c r="AB1" s="68"/>
      <c r="AC1" s="68"/>
      <c r="AD1" s="68"/>
      <c r="AE1" s="68"/>
    </row>
    <row r="2" spans="1:37" x14ac:dyDescent="0.25">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row>
    <row r="3" spans="1:37" ht="25.5" x14ac:dyDescent="0.25">
      <c r="A3" s="68"/>
      <c r="B3" s="3"/>
      <c r="C3" s="4" t="s">
        <v>360</v>
      </c>
      <c r="D3" s="4" t="s">
        <v>255</v>
      </c>
      <c r="E3" s="68"/>
      <c r="F3" s="68"/>
      <c r="G3" s="68"/>
      <c r="H3" s="68"/>
      <c r="I3" s="68"/>
      <c r="J3" s="68"/>
      <c r="K3" s="68"/>
      <c r="L3" s="68"/>
      <c r="M3" s="68"/>
      <c r="N3" s="68"/>
      <c r="O3" s="68"/>
      <c r="P3" s="68"/>
      <c r="Q3" s="68"/>
      <c r="R3" s="68"/>
      <c r="S3" s="68"/>
      <c r="T3" s="68"/>
      <c r="U3" s="68"/>
      <c r="V3" s="68"/>
      <c r="W3" s="68"/>
      <c r="X3" s="68"/>
      <c r="Y3" s="68"/>
      <c r="Z3" s="68"/>
      <c r="AA3" s="68"/>
      <c r="AB3" s="68"/>
      <c r="AC3" s="68"/>
      <c r="AD3" s="68"/>
      <c r="AE3" s="68"/>
    </row>
    <row r="4" spans="1:37" ht="51" x14ac:dyDescent="0.25">
      <c r="A4" s="68"/>
      <c r="B4" s="5" t="s">
        <v>361</v>
      </c>
      <c r="C4" s="6" t="s">
        <v>362</v>
      </c>
      <c r="D4" s="7">
        <v>0.2</v>
      </c>
      <c r="E4" s="68"/>
      <c r="F4" s="68"/>
      <c r="G4" s="68"/>
      <c r="H4" s="68"/>
      <c r="I4" s="68"/>
      <c r="J4" s="68"/>
      <c r="K4" s="68"/>
      <c r="L4" s="68"/>
      <c r="M4" s="68"/>
      <c r="N4" s="68"/>
      <c r="O4" s="68"/>
      <c r="P4" s="68"/>
      <c r="Q4" s="68"/>
      <c r="R4" s="68"/>
      <c r="S4" s="68"/>
      <c r="T4" s="68"/>
      <c r="U4" s="68"/>
      <c r="V4" s="68"/>
      <c r="W4" s="68"/>
      <c r="X4" s="68"/>
      <c r="Y4" s="68"/>
      <c r="Z4" s="68"/>
      <c r="AA4" s="68"/>
      <c r="AB4" s="68"/>
      <c r="AC4" s="68"/>
      <c r="AD4" s="68"/>
      <c r="AE4" s="68"/>
    </row>
    <row r="5" spans="1:37" ht="51" x14ac:dyDescent="0.25">
      <c r="A5" s="68"/>
      <c r="B5" s="8" t="s">
        <v>363</v>
      </c>
      <c r="C5" s="9" t="s">
        <v>364</v>
      </c>
      <c r="D5" s="10">
        <v>0.4</v>
      </c>
      <c r="E5" s="68"/>
      <c r="F5" s="68"/>
      <c r="G5" s="68"/>
      <c r="H5" s="68"/>
      <c r="I5" s="68"/>
      <c r="J5" s="68"/>
      <c r="K5" s="68"/>
      <c r="L5" s="68"/>
      <c r="M5" s="68"/>
      <c r="N5" s="68"/>
      <c r="O5" s="68"/>
      <c r="P5" s="68"/>
      <c r="Q5" s="68"/>
      <c r="R5" s="68"/>
      <c r="S5" s="68"/>
      <c r="T5" s="68"/>
      <c r="U5" s="68"/>
      <c r="V5" s="68"/>
      <c r="W5" s="68"/>
      <c r="X5" s="68"/>
      <c r="Y5" s="68"/>
      <c r="Z5" s="68"/>
      <c r="AA5" s="68"/>
      <c r="AB5" s="68"/>
      <c r="AC5" s="68"/>
      <c r="AD5" s="68"/>
      <c r="AE5" s="68"/>
    </row>
    <row r="6" spans="1:37" ht="51" x14ac:dyDescent="0.25">
      <c r="A6" s="68"/>
      <c r="B6" s="11" t="s">
        <v>365</v>
      </c>
      <c r="C6" s="9" t="s">
        <v>366</v>
      </c>
      <c r="D6" s="10">
        <v>0.6</v>
      </c>
      <c r="E6" s="68"/>
      <c r="F6" s="68"/>
      <c r="G6" s="68"/>
      <c r="H6" s="68"/>
      <c r="I6" s="68"/>
      <c r="J6" s="68"/>
      <c r="K6" s="68"/>
      <c r="L6" s="68"/>
      <c r="M6" s="68"/>
      <c r="N6" s="68"/>
      <c r="O6" s="68"/>
      <c r="P6" s="68"/>
      <c r="Q6" s="68"/>
      <c r="R6" s="68"/>
      <c r="S6" s="68"/>
      <c r="T6" s="68"/>
      <c r="U6" s="68"/>
      <c r="V6" s="68"/>
      <c r="W6" s="68"/>
      <c r="X6" s="68"/>
      <c r="Y6" s="68"/>
      <c r="Z6" s="68"/>
      <c r="AA6" s="68"/>
      <c r="AB6" s="68"/>
      <c r="AC6" s="68"/>
      <c r="AD6" s="68"/>
      <c r="AE6" s="68"/>
    </row>
    <row r="7" spans="1:37" ht="76.5" x14ac:dyDescent="0.25">
      <c r="A7" s="68"/>
      <c r="B7" s="12" t="s">
        <v>367</v>
      </c>
      <c r="C7" s="9" t="s">
        <v>368</v>
      </c>
      <c r="D7" s="10">
        <v>0.8</v>
      </c>
      <c r="E7" s="68"/>
      <c r="F7" s="68"/>
      <c r="G7" s="68"/>
      <c r="H7" s="68"/>
      <c r="I7" s="68"/>
      <c r="J7" s="68"/>
      <c r="K7" s="68"/>
      <c r="L7" s="68"/>
      <c r="M7" s="68"/>
      <c r="N7" s="68"/>
      <c r="O7" s="68"/>
      <c r="P7" s="68"/>
      <c r="Q7" s="68"/>
      <c r="R7" s="68"/>
      <c r="S7" s="68"/>
      <c r="T7" s="68"/>
      <c r="U7" s="68"/>
      <c r="V7" s="68"/>
      <c r="W7" s="68"/>
      <c r="X7" s="68"/>
      <c r="Y7" s="68"/>
      <c r="Z7" s="68"/>
      <c r="AA7" s="68"/>
      <c r="AB7" s="68"/>
      <c r="AC7" s="68"/>
      <c r="AD7" s="68"/>
      <c r="AE7" s="68"/>
    </row>
    <row r="8" spans="1:37" ht="51" x14ac:dyDescent="0.25">
      <c r="A8" s="68"/>
      <c r="B8" s="13" t="s">
        <v>369</v>
      </c>
      <c r="C8" s="9" t="s">
        <v>370</v>
      </c>
      <c r="D8" s="10">
        <v>1</v>
      </c>
      <c r="E8" s="68"/>
      <c r="F8" s="68"/>
      <c r="G8" s="68"/>
      <c r="H8" s="68"/>
      <c r="I8" s="68"/>
      <c r="J8" s="68"/>
      <c r="K8" s="68"/>
      <c r="L8" s="68"/>
      <c r="M8" s="68"/>
      <c r="N8" s="68"/>
      <c r="O8" s="68"/>
      <c r="P8" s="68"/>
      <c r="Q8" s="68"/>
      <c r="R8" s="68"/>
      <c r="S8" s="68"/>
      <c r="T8" s="68"/>
      <c r="U8" s="68"/>
      <c r="V8" s="68"/>
      <c r="W8" s="68"/>
      <c r="X8" s="68"/>
      <c r="Y8" s="68"/>
      <c r="Z8" s="68"/>
      <c r="AA8" s="68"/>
      <c r="AB8" s="68"/>
      <c r="AC8" s="68"/>
      <c r="AD8" s="68"/>
      <c r="AE8" s="68"/>
    </row>
    <row r="9" spans="1:37" x14ac:dyDescent="0.25">
      <c r="A9" s="68"/>
      <c r="B9" s="88"/>
      <c r="C9" s="88"/>
      <c r="D9" s="8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row>
    <row r="10" spans="1:37" ht="16.5" x14ac:dyDescent="0.25">
      <c r="A10" s="68"/>
      <c r="B10" s="89"/>
      <c r="C10" s="88"/>
      <c r="D10" s="8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row>
    <row r="11" spans="1:37" x14ac:dyDescent="0.25">
      <c r="A11" s="68"/>
      <c r="B11" s="88"/>
      <c r="C11" s="88"/>
      <c r="D11" s="8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row>
    <row r="12" spans="1:37" x14ac:dyDescent="0.25">
      <c r="A12" s="68"/>
      <c r="B12" s="88"/>
      <c r="C12" s="88"/>
      <c r="D12" s="8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row>
    <row r="13" spans="1:37" x14ac:dyDescent="0.25">
      <c r="A13" s="68"/>
      <c r="B13" s="88"/>
      <c r="C13" s="88"/>
      <c r="D13" s="8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row>
    <row r="14" spans="1:37" x14ac:dyDescent="0.25">
      <c r="A14" s="68"/>
      <c r="B14" s="88"/>
      <c r="C14" s="88"/>
      <c r="D14" s="8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row>
    <row r="15" spans="1:37" x14ac:dyDescent="0.25">
      <c r="A15" s="68"/>
      <c r="B15" s="88"/>
      <c r="C15" s="88"/>
      <c r="D15" s="8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row>
    <row r="16" spans="1:37" x14ac:dyDescent="0.25">
      <c r="A16" s="68"/>
      <c r="B16" s="88"/>
      <c r="C16" s="88"/>
      <c r="D16" s="8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row>
    <row r="17" spans="1:37" x14ac:dyDescent="0.25">
      <c r="A17" s="68"/>
      <c r="B17" s="88"/>
      <c r="C17" s="88"/>
      <c r="D17" s="8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row>
    <row r="18" spans="1:37" x14ac:dyDescent="0.25">
      <c r="A18" s="68"/>
      <c r="B18" s="88"/>
      <c r="C18" s="88"/>
      <c r="D18" s="8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row>
    <row r="19" spans="1:37" x14ac:dyDescent="0.25">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row>
    <row r="20" spans="1:37" x14ac:dyDescent="0.25">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row>
    <row r="21" spans="1:37" x14ac:dyDescent="0.25">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row>
    <row r="22" spans="1:37" x14ac:dyDescent="0.25">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row>
    <row r="23" spans="1:37" x14ac:dyDescent="0.25">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row>
    <row r="24" spans="1:37" x14ac:dyDescent="0.25">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row>
    <row r="25" spans="1:37" x14ac:dyDescent="0.25">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row>
    <row r="26" spans="1:37" x14ac:dyDescent="0.25">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row>
    <row r="27" spans="1:37" x14ac:dyDescent="0.25">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row>
    <row r="28" spans="1:37" x14ac:dyDescent="0.25">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row>
    <row r="29" spans="1:37" x14ac:dyDescent="0.25">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row>
    <row r="30" spans="1:37" x14ac:dyDescent="0.25">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row>
    <row r="31" spans="1:37" x14ac:dyDescent="0.25">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row>
    <row r="32" spans="1:37" x14ac:dyDescent="0.25">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row>
    <row r="33" spans="1:31" x14ac:dyDescent="0.25">
      <c r="A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row>
    <row r="34" spans="1:31" x14ac:dyDescent="0.25">
      <c r="A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row>
    <row r="35" spans="1:31" x14ac:dyDescent="0.25">
      <c r="A35" s="68"/>
    </row>
    <row r="36" spans="1:31" x14ac:dyDescent="0.25">
      <c r="A36" s="68"/>
    </row>
    <row r="37" spans="1:31" x14ac:dyDescent="0.25">
      <c r="A37" s="68"/>
    </row>
    <row r="38" spans="1:31" x14ac:dyDescent="0.25">
      <c r="A38" s="68"/>
    </row>
    <row r="39" spans="1:31" x14ac:dyDescent="0.25">
      <c r="A39" s="68"/>
    </row>
    <row r="40" spans="1:31" x14ac:dyDescent="0.25">
      <c r="A40" s="68"/>
    </row>
    <row r="41" spans="1:31" x14ac:dyDescent="0.25">
      <c r="A41" s="68"/>
    </row>
    <row r="42" spans="1:31" x14ac:dyDescent="0.25">
      <c r="A42" s="68"/>
    </row>
    <row r="43" spans="1:31" x14ac:dyDescent="0.25">
      <c r="A43" s="68"/>
    </row>
    <row r="44" spans="1:31" x14ac:dyDescent="0.25">
      <c r="A44" s="68"/>
    </row>
    <row r="45" spans="1:31" x14ac:dyDescent="0.25">
      <c r="A45" s="68"/>
    </row>
    <row r="46" spans="1:31" x14ac:dyDescent="0.25">
      <c r="A46" s="68"/>
    </row>
    <row r="47" spans="1:31" x14ac:dyDescent="0.25">
      <c r="A47" s="68"/>
    </row>
    <row r="48" spans="1:31" x14ac:dyDescent="0.25">
      <c r="A48" s="68"/>
    </row>
    <row r="49" spans="1:1" x14ac:dyDescent="0.25">
      <c r="A49" s="68"/>
    </row>
    <row r="50" spans="1:1" x14ac:dyDescent="0.25">
      <c r="A50" s="68"/>
    </row>
    <row r="51" spans="1:1" x14ac:dyDescent="0.25">
      <c r="A51" s="68"/>
    </row>
    <row r="52" spans="1:1" x14ac:dyDescent="0.25">
      <c r="A52" s="68"/>
    </row>
    <row r="53" spans="1:1" x14ac:dyDescent="0.25">
      <c r="A53" s="68"/>
    </row>
    <row r="54" spans="1:1" x14ac:dyDescent="0.25">
      <c r="A54" s="68"/>
    </row>
    <row r="55" spans="1:1" x14ac:dyDescent="0.25">
      <c r="A55" s="68"/>
    </row>
  </sheetData>
  <mergeCells count="1">
    <mergeCell ref="B1:D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tabColor theme="6" tint="-0.249977111117893"/>
  </sheetPr>
  <dimension ref="A1:U232"/>
  <sheetViews>
    <sheetView topLeftCell="D173" zoomScale="55" zoomScaleNormal="55" workbookViewId="0">
      <selection activeCell="G1" sqref="G1"/>
    </sheetView>
  </sheetViews>
  <sheetFormatPr baseColWidth="10" defaultColWidth="11.42578125" defaultRowHeight="15" x14ac:dyDescent="0.25"/>
  <cols>
    <col min="2" max="2" width="40.42578125" customWidth="1"/>
    <col min="3" max="3" width="74.7109375" customWidth="1"/>
    <col min="4" max="4" width="135" bestFit="1" customWidth="1"/>
    <col min="5" max="5" width="144.7109375" bestFit="1" customWidth="1"/>
    <col min="6" max="6" width="136.42578125" bestFit="1" customWidth="1"/>
  </cols>
  <sheetData>
    <row r="1" spans="1:21" ht="33.75" x14ac:dyDescent="0.25">
      <c r="A1" s="68"/>
      <c r="B1" s="607" t="s">
        <v>371</v>
      </c>
      <c r="C1" s="607"/>
      <c r="D1" s="607"/>
      <c r="E1" s="68"/>
      <c r="F1" s="68"/>
      <c r="G1" s="68"/>
      <c r="H1" s="68"/>
      <c r="I1" s="68"/>
      <c r="J1" s="68"/>
      <c r="K1" s="68"/>
      <c r="L1" s="68"/>
      <c r="M1" s="68"/>
      <c r="N1" s="68"/>
      <c r="O1" s="68"/>
      <c r="P1" s="68"/>
      <c r="Q1" s="68"/>
      <c r="R1" s="68"/>
      <c r="S1" s="68"/>
      <c r="T1" s="68"/>
      <c r="U1" s="68"/>
    </row>
    <row r="2" spans="1:21" x14ac:dyDescent="0.25">
      <c r="A2" s="68"/>
      <c r="B2" s="68"/>
      <c r="C2" s="68"/>
      <c r="D2" s="68"/>
      <c r="E2" s="68"/>
      <c r="F2" s="68"/>
      <c r="G2" s="68"/>
      <c r="H2" s="68"/>
      <c r="I2" s="68"/>
      <c r="J2" s="68"/>
      <c r="K2" s="68"/>
      <c r="L2" s="68"/>
      <c r="M2" s="68"/>
      <c r="N2" s="68"/>
      <c r="O2" s="68"/>
      <c r="P2" s="68"/>
      <c r="Q2" s="68"/>
      <c r="R2" s="68"/>
      <c r="S2" s="68"/>
      <c r="T2" s="68"/>
      <c r="U2" s="68"/>
    </row>
    <row r="3" spans="1:21" ht="60" x14ac:dyDescent="0.25">
      <c r="A3" s="68"/>
      <c r="B3" s="85"/>
      <c r="C3" s="22" t="s">
        <v>372</v>
      </c>
      <c r="D3" s="22" t="s">
        <v>373</v>
      </c>
      <c r="E3" s="68"/>
      <c r="F3" s="68"/>
      <c r="G3" s="68"/>
      <c r="H3" s="68"/>
      <c r="I3" s="68"/>
      <c r="J3" s="68"/>
      <c r="K3" s="68"/>
      <c r="L3" s="68"/>
      <c r="M3" s="68"/>
      <c r="N3" s="68"/>
      <c r="O3" s="68"/>
      <c r="P3" s="68"/>
      <c r="Q3" s="68"/>
      <c r="R3" s="68"/>
      <c r="S3" s="68"/>
      <c r="T3" s="68"/>
      <c r="U3" s="68"/>
    </row>
    <row r="4" spans="1:21" ht="33.75" x14ac:dyDescent="0.25">
      <c r="A4" s="84" t="s">
        <v>374</v>
      </c>
      <c r="B4" s="25" t="s">
        <v>375</v>
      </c>
      <c r="C4" s="30" t="s">
        <v>376</v>
      </c>
      <c r="D4" s="23" t="s">
        <v>377</v>
      </c>
      <c r="E4" s="68"/>
      <c r="F4" s="68"/>
      <c r="G4" s="68"/>
      <c r="H4" s="68"/>
      <c r="I4" s="68"/>
      <c r="J4" s="68"/>
      <c r="K4" s="68"/>
      <c r="L4" s="68"/>
      <c r="M4" s="68"/>
      <c r="N4" s="68"/>
      <c r="O4" s="68"/>
      <c r="P4" s="68"/>
      <c r="Q4" s="68"/>
      <c r="R4" s="68"/>
      <c r="S4" s="68"/>
      <c r="T4" s="68"/>
      <c r="U4" s="68"/>
    </row>
    <row r="5" spans="1:21" ht="101.25" x14ac:dyDescent="0.25">
      <c r="A5" s="84" t="s">
        <v>122</v>
      </c>
      <c r="B5" s="26" t="s">
        <v>378</v>
      </c>
      <c r="C5" s="31" t="s">
        <v>379</v>
      </c>
      <c r="D5" s="24" t="s">
        <v>380</v>
      </c>
      <c r="E5" s="68"/>
      <c r="F5" s="68"/>
      <c r="G5" s="68"/>
      <c r="H5" s="68"/>
      <c r="I5" s="68"/>
      <c r="J5" s="68"/>
      <c r="K5" s="68"/>
      <c r="L5" s="68"/>
      <c r="M5" s="68"/>
      <c r="N5" s="68"/>
      <c r="O5" s="68"/>
      <c r="P5" s="68"/>
      <c r="Q5" s="68"/>
      <c r="R5" s="68"/>
      <c r="S5" s="68"/>
      <c r="T5" s="68"/>
      <c r="U5" s="68"/>
    </row>
    <row r="6" spans="1:21" ht="67.5" x14ac:dyDescent="0.25">
      <c r="A6" s="84" t="s">
        <v>124</v>
      </c>
      <c r="B6" s="27" t="s">
        <v>381</v>
      </c>
      <c r="C6" s="31" t="s">
        <v>382</v>
      </c>
      <c r="D6" s="24" t="s">
        <v>383</v>
      </c>
      <c r="E6" s="68"/>
      <c r="F6" s="68"/>
      <c r="G6" s="68"/>
      <c r="H6" s="68"/>
      <c r="I6" s="68"/>
      <c r="J6" s="68"/>
      <c r="K6" s="68"/>
      <c r="L6" s="68"/>
      <c r="M6" s="68"/>
      <c r="N6" s="68"/>
      <c r="O6" s="68"/>
      <c r="P6" s="68"/>
      <c r="Q6" s="68"/>
      <c r="R6" s="68"/>
      <c r="S6" s="68"/>
      <c r="T6" s="68"/>
      <c r="U6" s="68"/>
    </row>
    <row r="7" spans="1:21" ht="101.25" x14ac:dyDescent="0.25">
      <c r="A7" s="84" t="s">
        <v>126</v>
      </c>
      <c r="B7" s="28" t="s">
        <v>384</v>
      </c>
      <c r="C7" s="31" t="s">
        <v>385</v>
      </c>
      <c r="D7" s="24" t="s">
        <v>386</v>
      </c>
      <c r="E7" s="68"/>
      <c r="F7" s="68"/>
      <c r="G7" s="68"/>
      <c r="H7" s="68"/>
      <c r="I7" s="68"/>
      <c r="J7" s="68"/>
      <c r="K7" s="68"/>
      <c r="L7" s="68"/>
      <c r="M7" s="68"/>
      <c r="N7" s="68"/>
      <c r="O7" s="68"/>
      <c r="P7" s="68"/>
      <c r="Q7" s="68"/>
      <c r="R7" s="68"/>
      <c r="S7" s="68"/>
      <c r="T7" s="68"/>
      <c r="U7" s="68"/>
    </row>
    <row r="8" spans="1:21" ht="67.5" x14ac:dyDescent="0.25">
      <c r="A8" s="84" t="s">
        <v>128</v>
      </c>
      <c r="B8" s="29" t="s">
        <v>387</v>
      </c>
      <c r="C8" s="31" t="s">
        <v>388</v>
      </c>
      <c r="D8" s="24" t="s">
        <v>389</v>
      </c>
      <c r="E8" s="68"/>
      <c r="F8" s="68"/>
      <c r="G8" s="68"/>
      <c r="H8" s="68"/>
      <c r="I8" s="68"/>
      <c r="J8" s="68"/>
      <c r="K8" s="68"/>
      <c r="L8" s="68"/>
      <c r="M8" s="68"/>
      <c r="N8" s="68"/>
      <c r="O8" s="68"/>
      <c r="P8" s="68"/>
      <c r="Q8" s="68"/>
      <c r="R8" s="68"/>
      <c r="S8" s="68"/>
      <c r="T8" s="68"/>
      <c r="U8" s="68"/>
    </row>
    <row r="9" spans="1:21" ht="20.25" x14ac:dyDescent="0.25">
      <c r="A9" s="84"/>
      <c r="B9" s="84"/>
      <c r="C9" s="86"/>
      <c r="D9" s="86"/>
      <c r="E9" s="68"/>
      <c r="F9" s="68"/>
      <c r="G9" s="68"/>
      <c r="H9" s="68"/>
      <c r="I9" s="68"/>
      <c r="J9" s="68"/>
      <c r="K9" s="68"/>
      <c r="L9" s="68"/>
      <c r="M9" s="68"/>
      <c r="N9" s="68"/>
      <c r="O9" s="68"/>
      <c r="P9" s="68"/>
      <c r="Q9" s="68"/>
      <c r="R9" s="68"/>
      <c r="S9" s="68"/>
      <c r="T9" s="68"/>
      <c r="U9" s="68"/>
    </row>
    <row r="10" spans="1:21" ht="16.5" x14ac:dyDescent="0.25">
      <c r="A10" s="84"/>
      <c r="B10" s="87"/>
      <c r="C10" s="87"/>
      <c r="D10" s="87"/>
      <c r="E10" s="68"/>
      <c r="F10" s="68"/>
      <c r="G10" s="68"/>
      <c r="H10" s="68"/>
      <c r="I10" s="68"/>
      <c r="J10" s="68"/>
      <c r="K10" s="68"/>
      <c r="L10" s="68"/>
      <c r="M10" s="68"/>
      <c r="N10" s="68"/>
      <c r="O10" s="68"/>
      <c r="P10" s="68"/>
      <c r="Q10" s="68"/>
      <c r="R10" s="68"/>
      <c r="S10" s="68"/>
      <c r="T10" s="68"/>
      <c r="U10" s="68"/>
    </row>
    <row r="11" spans="1:21" x14ac:dyDescent="0.25">
      <c r="A11" s="84"/>
      <c r="B11" s="84" t="s">
        <v>390</v>
      </c>
      <c r="C11" s="84" t="s">
        <v>119</v>
      </c>
      <c r="D11" s="84" t="s">
        <v>129</v>
      </c>
      <c r="E11" s="68"/>
      <c r="F11" s="68"/>
      <c r="G11" s="68"/>
      <c r="H11" s="68"/>
      <c r="I11" s="68"/>
      <c r="J11" s="68"/>
      <c r="K11" s="68"/>
      <c r="L11" s="68"/>
      <c r="M11" s="68"/>
      <c r="N11" s="68"/>
      <c r="O11" s="68"/>
      <c r="P11" s="68"/>
      <c r="Q11" s="68"/>
      <c r="R11" s="68"/>
      <c r="S11" s="68"/>
      <c r="T11" s="68"/>
      <c r="U11" s="68"/>
    </row>
    <row r="12" spans="1:21" x14ac:dyDescent="0.25">
      <c r="A12" s="84"/>
      <c r="B12" s="84" t="s">
        <v>391</v>
      </c>
      <c r="C12" s="84" t="s">
        <v>121</v>
      </c>
      <c r="D12" s="84" t="s">
        <v>130</v>
      </c>
      <c r="E12" s="68"/>
      <c r="F12" s="68"/>
      <c r="G12" s="68"/>
      <c r="H12" s="68"/>
      <c r="I12" s="68"/>
      <c r="J12" s="68"/>
      <c r="K12" s="68"/>
      <c r="L12" s="68"/>
      <c r="M12" s="68"/>
      <c r="N12" s="68"/>
      <c r="O12" s="68"/>
      <c r="P12" s="68"/>
      <c r="Q12" s="68"/>
      <c r="R12" s="68"/>
      <c r="S12" s="68"/>
      <c r="T12" s="68"/>
      <c r="U12" s="68"/>
    </row>
    <row r="13" spans="1:21" x14ac:dyDescent="0.25">
      <c r="A13" s="84"/>
      <c r="B13" s="84"/>
      <c r="C13" s="84" t="s">
        <v>123</v>
      </c>
      <c r="D13" s="84" t="s">
        <v>131</v>
      </c>
      <c r="E13" s="68"/>
      <c r="F13" s="68"/>
      <c r="G13" s="68"/>
      <c r="H13" s="68"/>
      <c r="I13" s="68"/>
      <c r="J13" s="68"/>
      <c r="K13" s="68"/>
      <c r="L13" s="68"/>
      <c r="M13" s="68"/>
      <c r="N13" s="68"/>
      <c r="O13" s="68"/>
      <c r="P13" s="68"/>
      <c r="Q13" s="68"/>
      <c r="R13" s="68"/>
      <c r="S13" s="68"/>
      <c r="T13" s="68"/>
      <c r="U13" s="68"/>
    </row>
    <row r="14" spans="1:21" x14ac:dyDescent="0.25">
      <c r="A14" s="84"/>
      <c r="B14" s="84"/>
      <c r="C14" s="84" t="s">
        <v>125</v>
      </c>
      <c r="D14" s="84" t="s">
        <v>132</v>
      </c>
      <c r="E14" s="68"/>
      <c r="F14" s="68"/>
      <c r="G14" s="68"/>
      <c r="H14" s="68"/>
      <c r="I14" s="68"/>
      <c r="J14" s="68"/>
      <c r="K14" s="68"/>
      <c r="L14" s="68"/>
      <c r="M14" s="68"/>
      <c r="N14" s="68"/>
      <c r="O14" s="68"/>
      <c r="P14" s="68"/>
      <c r="Q14" s="68"/>
      <c r="R14" s="68"/>
      <c r="S14" s="68"/>
      <c r="T14" s="68"/>
      <c r="U14" s="68"/>
    </row>
    <row r="15" spans="1:21" x14ac:dyDescent="0.25">
      <c r="A15" s="84"/>
      <c r="B15" s="84"/>
      <c r="C15" s="84" t="s">
        <v>127</v>
      </c>
      <c r="D15" s="84" t="s">
        <v>133</v>
      </c>
      <c r="E15" s="68"/>
      <c r="F15" s="68"/>
      <c r="G15" s="68"/>
      <c r="H15" s="68"/>
      <c r="I15" s="68"/>
      <c r="J15" s="68"/>
      <c r="K15" s="68"/>
      <c r="L15" s="68"/>
      <c r="M15" s="68"/>
      <c r="N15" s="68"/>
      <c r="O15" s="68"/>
      <c r="P15" s="68"/>
      <c r="Q15" s="68"/>
      <c r="R15" s="68"/>
      <c r="S15" s="68"/>
      <c r="T15" s="68"/>
      <c r="U15" s="68"/>
    </row>
    <row r="16" spans="1:21" x14ac:dyDescent="0.25">
      <c r="A16" s="84"/>
      <c r="B16" s="84"/>
      <c r="C16" s="84"/>
      <c r="D16" s="84"/>
      <c r="E16" s="68"/>
      <c r="F16" s="68"/>
      <c r="G16" s="68"/>
      <c r="H16" s="68"/>
      <c r="I16" s="68"/>
      <c r="J16" s="68"/>
      <c r="K16" s="68"/>
      <c r="L16" s="68"/>
      <c r="M16" s="68"/>
      <c r="N16" s="68"/>
      <c r="O16" s="68"/>
    </row>
    <row r="17" spans="1:15" x14ac:dyDescent="0.25">
      <c r="A17" s="84"/>
      <c r="B17" s="84"/>
      <c r="C17" s="84"/>
      <c r="D17" s="84"/>
      <c r="E17" s="68"/>
      <c r="F17" s="68"/>
      <c r="G17" s="68"/>
      <c r="H17" s="68"/>
      <c r="I17" s="68"/>
      <c r="J17" s="68"/>
      <c r="K17" s="68"/>
      <c r="L17" s="68"/>
      <c r="M17" s="68"/>
      <c r="N17" s="68"/>
      <c r="O17" s="68"/>
    </row>
    <row r="18" spans="1:15" x14ac:dyDescent="0.25">
      <c r="A18" s="84"/>
      <c r="B18" s="88"/>
      <c r="C18" s="88"/>
      <c r="D18" s="88"/>
      <c r="E18" s="68"/>
      <c r="F18" s="68"/>
      <c r="G18" s="68"/>
      <c r="H18" s="68"/>
      <c r="I18" s="68"/>
      <c r="J18" s="68"/>
      <c r="K18" s="68"/>
      <c r="L18" s="68"/>
      <c r="M18" s="68"/>
      <c r="N18" s="68"/>
      <c r="O18" s="68"/>
    </row>
    <row r="19" spans="1:15" x14ac:dyDescent="0.25">
      <c r="A19" s="84"/>
      <c r="B19" s="88"/>
      <c r="C19" s="88"/>
      <c r="D19" s="88"/>
      <c r="E19" s="68"/>
      <c r="F19" s="68"/>
      <c r="G19" s="68"/>
      <c r="H19" s="68"/>
      <c r="I19" s="68"/>
      <c r="J19" s="68"/>
      <c r="K19" s="68"/>
      <c r="L19" s="68"/>
      <c r="M19" s="68"/>
      <c r="N19" s="68"/>
      <c r="O19" s="68"/>
    </row>
    <row r="20" spans="1:15" x14ac:dyDescent="0.25">
      <c r="A20" s="84"/>
      <c r="B20" s="88"/>
      <c r="C20" s="88"/>
      <c r="D20" s="88"/>
      <c r="E20" s="68"/>
      <c r="F20" s="68"/>
      <c r="G20" s="68"/>
      <c r="H20" s="68"/>
      <c r="I20" s="68"/>
      <c r="J20" s="68"/>
      <c r="K20" s="68"/>
      <c r="L20" s="68"/>
      <c r="M20" s="68"/>
      <c r="N20" s="68"/>
      <c r="O20" s="68"/>
    </row>
    <row r="21" spans="1:15" x14ac:dyDescent="0.25">
      <c r="A21" s="84"/>
      <c r="B21" s="88"/>
      <c r="C21" s="88"/>
      <c r="D21" s="88"/>
      <c r="E21" s="68"/>
      <c r="F21" s="68"/>
      <c r="G21" s="68"/>
      <c r="H21" s="68"/>
      <c r="I21" s="68"/>
      <c r="J21" s="68"/>
      <c r="K21" s="68"/>
      <c r="L21" s="68"/>
      <c r="M21" s="68"/>
      <c r="N21" s="68"/>
      <c r="O21" s="68"/>
    </row>
    <row r="22" spans="1:15" ht="20.25" x14ac:dyDescent="0.25">
      <c r="A22" s="84"/>
      <c r="B22" s="84"/>
      <c r="C22" s="86"/>
      <c r="D22" s="86"/>
      <c r="E22" s="68"/>
      <c r="F22" s="68"/>
      <c r="G22" s="68"/>
      <c r="H22" s="68"/>
      <c r="I22" s="68"/>
      <c r="J22" s="68"/>
      <c r="K22" s="68"/>
      <c r="L22" s="68"/>
      <c r="M22" s="68"/>
      <c r="N22" s="68"/>
      <c r="O22" s="68"/>
    </row>
    <row r="23" spans="1:15" ht="20.25" x14ac:dyDescent="0.25">
      <c r="A23" s="84"/>
      <c r="B23" s="84"/>
      <c r="C23" s="86"/>
      <c r="D23" s="86"/>
      <c r="E23" s="68"/>
      <c r="F23" s="68"/>
      <c r="G23" s="68"/>
      <c r="H23" s="68"/>
      <c r="I23" s="68"/>
      <c r="J23" s="68"/>
      <c r="K23" s="68"/>
      <c r="L23" s="68"/>
      <c r="M23" s="68"/>
      <c r="N23" s="68"/>
      <c r="O23" s="68"/>
    </row>
    <row r="24" spans="1:15" ht="20.25" x14ac:dyDescent="0.25">
      <c r="A24" s="84"/>
      <c r="B24" s="84"/>
      <c r="C24" s="86"/>
      <c r="D24" s="86"/>
      <c r="E24" s="68"/>
      <c r="F24" s="68"/>
      <c r="G24" s="68"/>
      <c r="H24" s="68"/>
      <c r="I24" s="68"/>
      <c r="J24" s="68"/>
      <c r="K24" s="68"/>
      <c r="L24" s="68"/>
      <c r="M24" s="68"/>
      <c r="N24" s="68"/>
      <c r="O24" s="68"/>
    </row>
    <row r="25" spans="1:15" ht="20.25" x14ac:dyDescent="0.25">
      <c r="A25" s="84"/>
      <c r="B25" s="84"/>
      <c r="C25" s="86"/>
      <c r="D25" s="86"/>
      <c r="E25" s="68"/>
      <c r="F25" s="68"/>
      <c r="G25" s="68"/>
      <c r="H25" s="68"/>
      <c r="I25" s="68"/>
      <c r="J25" s="68"/>
      <c r="K25" s="68"/>
      <c r="L25" s="68"/>
      <c r="M25" s="68"/>
      <c r="N25" s="68"/>
      <c r="O25" s="68"/>
    </row>
    <row r="26" spans="1:15" ht="20.25" x14ac:dyDescent="0.25">
      <c r="A26" s="84"/>
      <c r="B26" s="84"/>
      <c r="C26" s="86"/>
      <c r="D26" s="86"/>
      <c r="E26" s="68"/>
      <c r="F26" s="68"/>
      <c r="G26" s="68"/>
      <c r="H26" s="68"/>
      <c r="I26" s="68"/>
      <c r="J26" s="68"/>
      <c r="K26" s="68"/>
      <c r="L26" s="68"/>
      <c r="M26" s="68"/>
      <c r="N26" s="68"/>
      <c r="O26" s="68"/>
    </row>
    <row r="27" spans="1:15" ht="20.25" x14ac:dyDescent="0.25">
      <c r="A27" s="84"/>
      <c r="B27" s="84"/>
      <c r="C27" s="86"/>
      <c r="D27" s="86"/>
      <c r="E27" s="68"/>
      <c r="F27" s="68"/>
      <c r="G27" s="68"/>
      <c r="H27" s="68"/>
      <c r="I27" s="68"/>
      <c r="J27" s="68"/>
      <c r="K27" s="68"/>
      <c r="L27" s="68"/>
      <c r="M27" s="68"/>
      <c r="N27" s="68"/>
      <c r="O27" s="68"/>
    </row>
    <row r="28" spans="1:15" ht="20.25" x14ac:dyDescent="0.25">
      <c r="A28" s="84"/>
      <c r="B28" s="84"/>
      <c r="C28" s="86"/>
      <c r="D28" s="86"/>
      <c r="E28" s="68"/>
      <c r="F28" s="68"/>
      <c r="G28" s="68"/>
      <c r="H28" s="68"/>
      <c r="I28" s="68"/>
      <c r="J28" s="68"/>
      <c r="K28" s="68"/>
      <c r="L28" s="68"/>
      <c r="M28" s="68"/>
      <c r="N28" s="68"/>
      <c r="O28" s="68"/>
    </row>
    <row r="29" spans="1:15" ht="20.25" x14ac:dyDescent="0.25">
      <c r="A29" s="84"/>
      <c r="B29" s="84"/>
      <c r="C29" s="86"/>
      <c r="D29" s="86"/>
      <c r="E29" s="68"/>
      <c r="F29" s="68"/>
      <c r="G29" s="68"/>
      <c r="H29" s="68"/>
      <c r="I29" s="68"/>
      <c r="J29" s="68"/>
      <c r="K29" s="68"/>
      <c r="L29" s="68"/>
      <c r="M29" s="68"/>
      <c r="N29" s="68"/>
      <c r="O29" s="68"/>
    </row>
    <row r="30" spans="1:15" ht="20.25" x14ac:dyDescent="0.25">
      <c r="A30" s="84"/>
      <c r="B30" s="84"/>
      <c r="C30" s="86"/>
      <c r="D30" s="86"/>
      <c r="E30" s="68"/>
      <c r="F30" s="68"/>
      <c r="G30" s="68"/>
      <c r="H30" s="68"/>
      <c r="I30" s="68"/>
      <c r="J30" s="68"/>
      <c r="K30" s="68"/>
      <c r="L30" s="68"/>
      <c r="M30" s="68"/>
      <c r="N30" s="68"/>
      <c r="O30" s="68"/>
    </row>
    <row r="31" spans="1:15" ht="20.25" x14ac:dyDescent="0.25">
      <c r="A31" s="84"/>
      <c r="B31" s="84"/>
      <c r="C31" s="86"/>
      <c r="D31" s="86"/>
      <c r="E31" s="68"/>
      <c r="F31" s="68"/>
      <c r="G31" s="68"/>
      <c r="H31" s="68"/>
      <c r="I31" s="68"/>
      <c r="J31" s="68"/>
      <c r="K31" s="68"/>
      <c r="L31" s="68"/>
      <c r="M31" s="68"/>
      <c r="N31" s="68"/>
      <c r="O31" s="68"/>
    </row>
    <row r="32" spans="1:15" ht="20.25" x14ac:dyDescent="0.25">
      <c r="A32" s="84"/>
      <c r="B32" s="84"/>
      <c r="C32" s="86"/>
      <c r="D32" s="86"/>
      <c r="E32" s="68"/>
      <c r="F32" s="68"/>
      <c r="G32" s="68"/>
      <c r="H32" s="68"/>
      <c r="I32" s="68"/>
      <c r="J32" s="68"/>
      <c r="K32" s="68"/>
      <c r="L32" s="68"/>
      <c r="M32" s="68"/>
      <c r="N32" s="68"/>
      <c r="O32" s="68"/>
    </row>
    <row r="33" spans="1:15" ht="20.25" x14ac:dyDescent="0.25">
      <c r="A33" s="84"/>
      <c r="B33" s="84"/>
      <c r="C33" s="86"/>
      <c r="D33" s="86"/>
      <c r="E33" s="68"/>
      <c r="F33" s="68"/>
      <c r="G33" s="68"/>
      <c r="H33" s="68"/>
      <c r="I33" s="68"/>
      <c r="J33" s="68"/>
      <c r="K33" s="68"/>
      <c r="L33" s="68"/>
      <c r="M33" s="68"/>
      <c r="N33" s="68"/>
      <c r="O33" s="68"/>
    </row>
    <row r="34" spans="1:15" ht="20.25" x14ac:dyDescent="0.25">
      <c r="A34" s="84"/>
      <c r="B34" s="84"/>
      <c r="C34" s="86"/>
      <c r="D34" s="86"/>
      <c r="E34" s="68"/>
      <c r="F34" s="68"/>
      <c r="G34" s="68"/>
      <c r="H34" s="68"/>
      <c r="I34" s="68"/>
      <c r="J34" s="68"/>
      <c r="K34" s="68"/>
      <c r="L34" s="68"/>
      <c r="M34" s="68"/>
      <c r="N34" s="68"/>
      <c r="O34" s="68"/>
    </row>
    <row r="35" spans="1:15" ht="20.25" x14ac:dyDescent="0.25">
      <c r="A35" s="84"/>
      <c r="B35" s="84"/>
      <c r="C35" s="86"/>
      <c r="D35" s="86"/>
      <c r="E35" s="68"/>
      <c r="F35" s="68"/>
      <c r="G35" s="68"/>
      <c r="H35" s="68"/>
      <c r="I35" s="68"/>
      <c r="J35" s="68"/>
      <c r="K35" s="68"/>
      <c r="L35" s="68"/>
      <c r="M35" s="68"/>
      <c r="N35" s="68"/>
      <c r="O35" s="68"/>
    </row>
    <row r="36" spans="1:15" ht="20.25" x14ac:dyDescent="0.25">
      <c r="A36" s="84"/>
      <c r="B36" s="84"/>
      <c r="C36" s="86"/>
      <c r="D36" s="86"/>
      <c r="E36" s="68"/>
      <c r="F36" s="68"/>
      <c r="G36" s="68"/>
      <c r="H36" s="68"/>
      <c r="I36" s="68"/>
      <c r="J36" s="68"/>
      <c r="K36" s="68"/>
      <c r="L36" s="68"/>
      <c r="M36" s="68"/>
      <c r="N36" s="68"/>
      <c r="O36" s="68"/>
    </row>
    <row r="37" spans="1:15" ht="20.25" x14ac:dyDescent="0.25">
      <c r="A37" s="84"/>
      <c r="B37" s="84"/>
      <c r="C37" s="86"/>
      <c r="D37" s="86"/>
      <c r="E37" s="68"/>
      <c r="F37" s="68"/>
      <c r="G37" s="68"/>
      <c r="H37" s="68"/>
      <c r="I37" s="68"/>
      <c r="J37" s="68"/>
      <c r="K37" s="68"/>
      <c r="L37" s="68"/>
      <c r="M37" s="68"/>
      <c r="N37" s="68"/>
      <c r="O37" s="68"/>
    </row>
    <row r="38" spans="1:15" ht="20.25" x14ac:dyDescent="0.25">
      <c r="A38" s="84"/>
      <c r="B38" s="84"/>
      <c r="C38" s="86"/>
      <c r="D38" s="86"/>
      <c r="E38" s="68"/>
      <c r="F38" s="68"/>
      <c r="G38" s="68"/>
      <c r="H38" s="68"/>
      <c r="I38" s="68"/>
      <c r="J38" s="68"/>
      <c r="K38" s="68"/>
      <c r="L38" s="68"/>
      <c r="M38" s="68"/>
      <c r="N38" s="68"/>
      <c r="O38" s="68"/>
    </row>
    <row r="39" spans="1:15" ht="20.25" x14ac:dyDescent="0.25">
      <c r="A39" s="84"/>
      <c r="B39" s="84"/>
      <c r="C39" s="86"/>
      <c r="D39" s="86"/>
      <c r="E39" s="68"/>
      <c r="F39" s="68"/>
      <c r="G39" s="68"/>
      <c r="H39" s="68"/>
      <c r="I39" s="68"/>
      <c r="J39" s="68"/>
      <c r="K39" s="68"/>
      <c r="L39" s="68"/>
      <c r="M39" s="68"/>
      <c r="N39" s="68"/>
      <c r="O39" s="68"/>
    </row>
    <row r="40" spans="1:15" ht="20.25" x14ac:dyDescent="0.25">
      <c r="A40" s="84"/>
      <c r="B40" s="84"/>
      <c r="C40" s="86"/>
      <c r="D40" s="86"/>
      <c r="E40" s="68"/>
      <c r="F40" s="68"/>
      <c r="G40" s="68"/>
      <c r="H40" s="68"/>
      <c r="I40" s="68"/>
      <c r="J40" s="68"/>
      <c r="K40" s="68"/>
      <c r="L40" s="68"/>
      <c r="M40" s="68"/>
      <c r="N40" s="68"/>
      <c r="O40" s="68"/>
    </row>
    <row r="41" spans="1:15" ht="20.25" x14ac:dyDescent="0.25">
      <c r="A41" s="84"/>
      <c r="B41" s="84"/>
      <c r="C41" s="86"/>
      <c r="D41" s="86"/>
      <c r="E41" s="68"/>
      <c r="F41" s="68"/>
      <c r="G41" s="68"/>
      <c r="H41" s="68"/>
      <c r="I41" s="68"/>
      <c r="J41" s="68"/>
      <c r="K41" s="68"/>
      <c r="L41" s="68"/>
      <c r="M41" s="68"/>
      <c r="N41" s="68"/>
      <c r="O41" s="68"/>
    </row>
    <row r="42" spans="1:15" ht="20.25" x14ac:dyDescent="0.25">
      <c r="A42" s="84"/>
      <c r="B42" s="84"/>
      <c r="C42" s="86"/>
      <c r="D42" s="86"/>
      <c r="E42" s="68"/>
      <c r="F42" s="68"/>
      <c r="G42" s="68"/>
      <c r="H42" s="68"/>
      <c r="I42" s="68"/>
      <c r="J42" s="68"/>
      <c r="K42" s="68"/>
      <c r="L42" s="68"/>
      <c r="M42" s="68"/>
      <c r="N42" s="68"/>
      <c r="O42" s="68"/>
    </row>
    <row r="43" spans="1:15" ht="20.25" x14ac:dyDescent="0.25">
      <c r="A43" s="84"/>
      <c r="B43" s="84"/>
      <c r="C43" s="86"/>
      <c r="D43" s="86"/>
      <c r="E43" s="68"/>
      <c r="F43" s="68"/>
      <c r="G43" s="68"/>
      <c r="H43" s="68"/>
      <c r="I43" s="68"/>
      <c r="J43" s="68"/>
      <c r="K43" s="68"/>
      <c r="L43" s="68"/>
      <c r="M43" s="68"/>
      <c r="N43" s="68"/>
      <c r="O43" s="68"/>
    </row>
    <row r="44" spans="1:15" ht="20.25" x14ac:dyDescent="0.25">
      <c r="A44" s="84"/>
      <c r="B44" s="84"/>
      <c r="C44" s="86"/>
      <c r="D44" s="86"/>
      <c r="E44" s="68"/>
      <c r="F44" s="68"/>
      <c r="G44" s="68"/>
      <c r="H44" s="68"/>
      <c r="I44" s="68"/>
      <c r="J44" s="68"/>
      <c r="K44" s="68"/>
      <c r="L44" s="68"/>
      <c r="M44" s="68"/>
      <c r="N44" s="68"/>
      <c r="O44" s="68"/>
    </row>
    <row r="45" spans="1:15" ht="20.25" x14ac:dyDescent="0.25">
      <c r="A45" s="84"/>
      <c r="B45" s="84"/>
      <c r="C45" s="86"/>
      <c r="D45" s="86"/>
      <c r="E45" s="68"/>
      <c r="F45" s="68"/>
      <c r="G45" s="68"/>
      <c r="H45" s="68"/>
      <c r="I45" s="68"/>
      <c r="J45" s="68"/>
      <c r="K45" s="68"/>
      <c r="L45" s="68"/>
      <c r="M45" s="68"/>
      <c r="N45" s="68"/>
      <c r="O45" s="68"/>
    </row>
    <row r="46" spans="1:15" ht="20.25" x14ac:dyDescent="0.25">
      <c r="A46" s="84"/>
      <c r="B46" s="84"/>
      <c r="C46" s="86"/>
      <c r="D46" s="86"/>
      <c r="E46" s="68"/>
      <c r="F46" s="68"/>
      <c r="G46" s="68"/>
      <c r="H46" s="68"/>
      <c r="I46" s="68"/>
      <c r="J46" s="68"/>
      <c r="K46" s="68"/>
      <c r="L46" s="68"/>
      <c r="M46" s="68"/>
      <c r="N46" s="68"/>
      <c r="O46" s="68"/>
    </row>
    <row r="47" spans="1:15" ht="20.25" x14ac:dyDescent="0.25">
      <c r="A47" s="84"/>
      <c r="B47" s="84"/>
      <c r="C47" s="86"/>
      <c r="D47" s="86"/>
      <c r="E47" s="68"/>
      <c r="F47" s="68"/>
      <c r="G47" s="68"/>
      <c r="H47" s="68"/>
      <c r="I47" s="68"/>
      <c r="J47" s="68"/>
      <c r="K47" s="68"/>
      <c r="L47" s="68"/>
      <c r="M47" s="68"/>
      <c r="N47" s="68"/>
      <c r="O47" s="68"/>
    </row>
    <row r="48" spans="1:15" ht="20.25" x14ac:dyDescent="0.25">
      <c r="A48" s="84"/>
      <c r="B48" s="84"/>
      <c r="C48" s="86"/>
      <c r="D48" s="86"/>
      <c r="E48" s="68"/>
      <c r="F48" s="68"/>
      <c r="G48" s="68"/>
      <c r="H48" s="68"/>
      <c r="I48" s="68"/>
      <c r="J48" s="68"/>
      <c r="K48" s="68"/>
      <c r="L48" s="68"/>
      <c r="M48" s="68"/>
      <c r="N48" s="68"/>
      <c r="O48" s="68"/>
    </row>
    <row r="49" spans="1:15" ht="20.25" x14ac:dyDescent="0.25">
      <c r="A49" s="84"/>
      <c r="B49" s="84"/>
      <c r="C49" s="86"/>
      <c r="D49" s="86"/>
      <c r="E49" s="68"/>
      <c r="F49" s="68"/>
      <c r="G49" s="68"/>
      <c r="H49" s="68"/>
      <c r="I49" s="68"/>
      <c r="J49" s="68"/>
      <c r="K49" s="68"/>
      <c r="L49" s="68"/>
      <c r="M49" s="68"/>
      <c r="N49" s="68"/>
      <c r="O49" s="68"/>
    </row>
    <row r="50" spans="1:15" ht="20.25" x14ac:dyDescent="0.25">
      <c r="A50" s="84"/>
      <c r="B50" s="84"/>
      <c r="C50" s="86"/>
      <c r="D50" s="86"/>
      <c r="E50" s="68"/>
      <c r="F50" s="68"/>
      <c r="G50" s="68"/>
      <c r="H50" s="68"/>
      <c r="I50" s="68"/>
      <c r="J50" s="68"/>
      <c r="K50" s="68"/>
      <c r="L50" s="68"/>
      <c r="M50" s="68"/>
      <c r="N50" s="68"/>
      <c r="O50" s="68"/>
    </row>
    <row r="51" spans="1:15" ht="20.25" x14ac:dyDescent="0.25">
      <c r="A51" s="84"/>
      <c r="B51" s="84"/>
      <c r="C51" s="86"/>
      <c r="D51" s="86"/>
      <c r="E51" s="68"/>
      <c r="F51" s="68"/>
      <c r="G51" s="68"/>
      <c r="H51" s="68"/>
      <c r="I51" s="68"/>
      <c r="J51" s="68"/>
      <c r="K51" s="68"/>
      <c r="L51" s="68"/>
      <c r="M51" s="68"/>
      <c r="N51" s="68"/>
      <c r="O51" s="68"/>
    </row>
    <row r="52" spans="1:15" ht="20.25" x14ac:dyDescent="0.25">
      <c r="A52" s="84"/>
      <c r="B52" s="15"/>
      <c r="C52" s="20"/>
      <c r="D52" s="20"/>
    </row>
    <row r="53" spans="1:15" ht="20.25" x14ac:dyDescent="0.25">
      <c r="A53" s="84"/>
      <c r="B53" s="15"/>
      <c r="C53" s="20"/>
      <c r="D53" s="20"/>
    </row>
    <row r="54" spans="1:15" ht="20.25" x14ac:dyDescent="0.25">
      <c r="A54" s="84"/>
      <c r="B54" s="15"/>
      <c r="C54" s="20"/>
      <c r="D54" s="20"/>
    </row>
    <row r="55" spans="1:15" ht="20.25" x14ac:dyDescent="0.25">
      <c r="A55" s="84"/>
      <c r="B55" s="15"/>
      <c r="C55" s="20"/>
      <c r="D55" s="20"/>
    </row>
    <row r="56" spans="1:15" ht="20.25" x14ac:dyDescent="0.25">
      <c r="A56" s="84"/>
      <c r="B56" s="15"/>
      <c r="C56" s="20"/>
      <c r="D56" s="20"/>
    </row>
    <row r="57" spans="1:15" ht="20.25" x14ac:dyDescent="0.25">
      <c r="A57" s="84"/>
      <c r="B57" s="15"/>
      <c r="C57" s="20"/>
      <c r="D57" s="20"/>
    </row>
    <row r="58" spans="1:15" ht="20.25" x14ac:dyDescent="0.25">
      <c r="A58" s="84"/>
      <c r="B58" s="15"/>
      <c r="C58" s="20"/>
      <c r="D58" s="20"/>
    </row>
    <row r="59" spans="1:15" ht="20.25" x14ac:dyDescent="0.25">
      <c r="A59" s="84"/>
      <c r="B59" s="15"/>
      <c r="C59" s="20"/>
      <c r="D59" s="20"/>
    </row>
    <row r="60" spans="1:15" ht="20.25" x14ac:dyDescent="0.25">
      <c r="A60" s="84"/>
      <c r="B60" s="15"/>
      <c r="C60" s="20"/>
      <c r="D60" s="20"/>
    </row>
    <row r="61" spans="1:15" ht="20.25" x14ac:dyDescent="0.25">
      <c r="A61" s="84"/>
      <c r="B61" s="15"/>
      <c r="C61" s="20"/>
      <c r="D61" s="20"/>
    </row>
    <row r="62" spans="1:15" ht="20.25" x14ac:dyDescent="0.25">
      <c r="A62" s="84"/>
      <c r="B62" s="15"/>
      <c r="C62" s="20"/>
      <c r="D62" s="20"/>
    </row>
    <row r="63" spans="1:15" ht="20.25" x14ac:dyDescent="0.25">
      <c r="A63" s="84"/>
      <c r="B63" s="15"/>
      <c r="C63" s="20"/>
      <c r="D63" s="20"/>
    </row>
    <row r="64" spans="1:15" ht="20.25" x14ac:dyDescent="0.25">
      <c r="A64" s="84"/>
      <c r="B64" s="15"/>
      <c r="C64" s="20"/>
      <c r="D64" s="20"/>
    </row>
    <row r="65" spans="1:4" ht="20.25" x14ac:dyDescent="0.25">
      <c r="A65" s="84"/>
      <c r="B65" s="15"/>
      <c r="C65" s="20"/>
      <c r="D65" s="20"/>
    </row>
    <row r="66" spans="1:4" ht="20.25" x14ac:dyDescent="0.25">
      <c r="A66" s="84"/>
      <c r="B66" s="15"/>
      <c r="C66" s="20"/>
      <c r="D66" s="20"/>
    </row>
    <row r="67" spans="1:4" ht="20.25" x14ac:dyDescent="0.25">
      <c r="A67" s="84"/>
      <c r="B67" s="15"/>
      <c r="C67" s="20"/>
      <c r="D67" s="20"/>
    </row>
    <row r="68" spans="1:4" ht="20.25" x14ac:dyDescent="0.25">
      <c r="A68" s="84"/>
      <c r="B68" s="15"/>
      <c r="C68" s="20"/>
      <c r="D68" s="20"/>
    </row>
    <row r="69" spans="1:4" ht="20.25" x14ac:dyDescent="0.25">
      <c r="A69" s="84"/>
      <c r="B69" s="15"/>
      <c r="C69" s="20"/>
      <c r="D69" s="20"/>
    </row>
    <row r="70" spans="1:4" ht="20.25" x14ac:dyDescent="0.25">
      <c r="A70" s="84"/>
      <c r="B70" s="15"/>
      <c r="C70" s="20"/>
      <c r="D70" s="20"/>
    </row>
    <row r="71" spans="1:4" ht="20.25" x14ac:dyDescent="0.25">
      <c r="A71" s="84"/>
      <c r="B71" s="15"/>
      <c r="C71" s="20"/>
      <c r="D71" s="20"/>
    </row>
    <row r="72" spans="1:4" ht="20.25" x14ac:dyDescent="0.25">
      <c r="A72" s="84"/>
      <c r="B72" s="15"/>
      <c r="C72" s="20"/>
      <c r="D72" s="20"/>
    </row>
    <row r="73" spans="1:4" ht="20.25" x14ac:dyDescent="0.25">
      <c r="A73" s="84"/>
      <c r="B73" s="15"/>
      <c r="C73" s="20"/>
      <c r="D73" s="20"/>
    </row>
    <row r="74" spans="1:4" ht="20.25" x14ac:dyDescent="0.25">
      <c r="A74" s="84"/>
      <c r="B74" s="15"/>
      <c r="C74" s="20"/>
      <c r="D74" s="20"/>
    </row>
    <row r="75" spans="1:4" ht="20.25" x14ac:dyDescent="0.25">
      <c r="A75" s="84"/>
      <c r="B75" s="15"/>
      <c r="C75" s="20"/>
      <c r="D75" s="20"/>
    </row>
    <row r="76" spans="1:4" ht="20.25" x14ac:dyDescent="0.25">
      <c r="A76" s="84"/>
      <c r="B76" s="15"/>
      <c r="C76" s="20"/>
      <c r="D76" s="20"/>
    </row>
    <row r="77" spans="1:4" ht="20.25" x14ac:dyDescent="0.25">
      <c r="A77" s="84"/>
      <c r="B77" s="15"/>
      <c r="C77" s="20"/>
      <c r="D77" s="20"/>
    </row>
    <row r="78" spans="1:4" ht="20.25" x14ac:dyDescent="0.25">
      <c r="A78" s="84"/>
      <c r="B78" s="15"/>
      <c r="C78" s="20"/>
      <c r="D78" s="20"/>
    </row>
    <row r="79" spans="1:4" ht="20.25" x14ac:dyDescent="0.25">
      <c r="A79" s="84"/>
      <c r="B79" s="15"/>
      <c r="C79" s="20"/>
      <c r="D79" s="20"/>
    </row>
    <row r="80" spans="1:4" ht="20.25" x14ac:dyDescent="0.25">
      <c r="A80" s="84"/>
      <c r="B80" s="15"/>
      <c r="C80" s="20"/>
      <c r="D80" s="20"/>
    </row>
    <row r="81" spans="1:4" ht="20.25" x14ac:dyDescent="0.25">
      <c r="A81" s="84"/>
      <c r="B81" s="15"/>
      <c r="C81" s="20"/>
      <c r="D81" s="20"/>
    </row>
    <row r="82" spans="1:4" ht="20.25" x14ac:dyDescent="0.25">
      <c r="A82" s="84"/>
      <c r="B82" s="15"/>
      <c r="C82" s="20"/>
      <c r="D82" s="20"/>
    </row>
    <row r="83" spans="1:4" ht="20.25" x14ac:dyDescent="0.25">
      <c r="A83" s="84"/>
      <c r="B83" s="15"/>
      <c r="C83" s="20"/>
      <c r="D83" s="20"/>
    </row>
    <row r="84" spans="1:4" ht="20.25" x14ac:dyDescent="0.25">
      <c r="A84" s="84"/>
      <c r="B84" s="15"/>
      <c r="C84" s="20"/>
      <c r="D84" s="20"/>
    </row>
    <row r="85" spans="1:4" ht="20.25" x14ac:dyDescent="0.25">
      <c r="A85" s="84"/>
      <c r="B85" s="15"/>
      <c r="C85" s="20"/>
      <c r="D85" s="20"/>
    </row>
    <row r="86" spans="1:4" ht="20.25" x14ac:dyDescent="0.25">
      <c r="A86" s="84"/>
      <c r="B86" s="15"/>
      <c r="C86" s="20"/>
      <c r="D86" s="20"/>
    </row>
    <row r="87" spans="1:4" ht="20.25" x14ac:dyDescent="0.25">
      <c r="A87" s="84"/>
      <c r="B87" s="15"/>
      <c r="C87" s="20"/>
      <c r="D87" s="20"/>
    </row>
    <row r="88" spans="1:4" ht="20.25" x14ac:dyDescent="0.25">
      <c r="A88" s="84"/>
      <c r="B88" s="15"/>
      <c r="C88" s="20"/>
      <c r="D88" s="20"/>
    </row>
    <row r="89" spans="1:4" ht="20.25" x14ac:dyDescent="0.25">
      <c r="A89" s="84"/>
      <c r="B89" s="15"/>
      <c r="C89" s="20"/>
      <c r="D89" s="20"/>
    </row>
    <row r="90" spans="1:4" ht="20.25" x14ac:dyDescent="0.25">
      <c r="A90" s="84"/>
      <c r="B90" s="15"/>
      <c r="C90" s="20"/>
      <c r="D90" s="20"/>
    </row>
    <row r="91" spans="1:4" ht="20.25" x14ac:dyDescent="0.25">
      <c r="A91" s="84"/>
      <c r="B91" s="15"/>
      <c r="C91" s="20"/>
      <c r="D91" s="20"/>
    </row>
    <row r="92" spans="1:4" ht="20.25" x14ac:dyDescent="0.25">
      <c r="A92" s="84"/>
      <c r="B92" s="15"/>
      <c r="C92" s="20"/>
      <c r="D92" s="20"/>
    </row>
    <row r="93" spans="1:4" ht="20.25" x14ac:dyDescent="0.25">
      <c r="A93" s="84"/>
      <c r="B93" s="15"/>
      <c r="C93" s="20"/>
      <c r="D93" s="20"/>
    </row>
    <row r="94" spans="1:4" ht="20.25" x14ac:dyDescent="0.25">
      <c r="A94" s="84"/>
      <c r="B94" s="15"/>
      <c r="C94" s="20"/>
      <c r="D94" s="20"/>
    </row>
    <row r="95" spans="1:4" ht="20.25" x14ac:dyDescent="0.25">
      <c r="A95" s="84"/>
      <c r="B95" s="15"/>
      <c r="C95" s="20"/>
      <c r="D95" s="20"/>
    </row>
    <row r="96" spans="1:4" ht="20.25" x14ac:dyDescent="0.25">
      <c r="A96" s="84"/>
      <c r="B96" s="15"/>
      <c r="C96" s="20"/>
      <c r="D96" s="20"/>
    </row>
    <row r="97" spans="1:4" ht="20.25" x14ac:dyDescent="0.25">
      <c r="A97" s="84"/>
      <c r="B97" s="15"/>
      <c r="C97" s="20"/>
      <c r="D97" s="20"/>
    </row>
    <row r="98" spans="1:4" ht="20.25" x14ac:dyDescent="0.25">
      <c r="A98" s="84"/>
      <c r="B98" s="15"/>
      <c r="C98" s="20"/>
      <c r="D98" s="20"/>
    </row>
    <row r="99" spans="1:4" ht="20.25" x14ac:dyDescent="0.25">
      <c r="A99" s="84"/>
      <c r="B99" s="15"/>
      <c r="C99" s="20"/>
      <c r="D99" s="20"/>
    </row>
    <row r="100" spans="1:4" ht="20.25" x14ac:dyDescent="0.25">
      <c r="A100" s="84"/>
      <c r="B100" s="15"/>
      <c r="C100" s="20"/>
      <c r="D100" s="20"/>
    </row>
    <row r="101" spans="1:4" ht="20.25" x14ac:dyDescent="0.25">
      <c r="A101" s="84"/>
      <c r="B101" s="15"/>
      <c r="C101" s="20"/>
      <c r="D101" s="20"/>
    </row>
    <row r="102" spans="1:4" ht="20.25" x14ac:dyDescent="0.25">
      <c r="A102" s="84"/>
      <c r="B102" s="15"/>
      <c r="C102" s="20"/>
      <c r="D102" s="20"/>
    </row>
    <row r="103" spans="1:4" ht="20.25" x14ac:dyDescent="0.25">
      <c r="A103" s="84"/>
      <c r="B103" s="15"/>
      <c r="C103" s="20"/>
      <c r="D103" s="20"/>
    </row>
    <row r="104" spans="1:4" ht="20.25" x14ac:dyDescent="0.25">
      <c r="A104" s="84"/>
      <c r="B104" s="15"/>
      <c r="C104" s="20"/>
      <c r="D104" s="20"/>
    </row>
    <row r="105" spans="1:4" ht="20.25" x14ac:dyDescent="0.25">
      <c r="A105" s="84"/>
      <c r="B105" s="15"/>
      <c r="C105" s="20"/>
      <c r="D105" s="20"/>
    </row>
    <row r="106" spans="1:4" ht="20.25" x14ac:dyDescent="0.25">
      <c r="A106" s="84"/>
      <c r="B106" s="15"/>
      <c r="C106" s="20"/>
      <c r="D106" s="20"/>
    </row>
    <row r="107" spans="1:4" ht="20.25" x14ac:dyDescent="0.25">
      <c r="A107" s="84"/>
      <c r="B107" s="15"/>
      <c r="C107" s="20"/>
      <c r="D107" s="20"/>
    </row>
    <row r="108" spans="1:4" ht="20.25" x14ac:dyDescent="0.25">
      <c r="A108" s="84"/>
      <c r="B108" s="15"/>
      <c r="C108" s="20"/>
      <c r="D108" s="20"/>
    </row>
    <row r="109" spans="1:4" ht="20.25" x14ac:dyDescent="0.25">
      <c r="A109" s="84"/>
      <c r="B109" s="15"/>
      <c r="C109" s="20"/>
      <c r="D109" s="20"/>
    </row>
    <row r="110" spans="1:4" ht="20.25" x14ac:dyDescent="0.25">
      <c r="A110" s="84"/>
      <c r="B110" s="15"/>
      <c r="C110" s="20"/>
      <c r="D110" s="20"/>
    </row>
    <row r="111" spans="1:4" ht="20.25" x14ac:dyDescent="0.25">
      <c r="A111" s="84"/>
      <c r="B111" s="15"/>
      <c r="C111" s="20"/>
      <c r="D111" s="20"/>
    </row>
    <row r="112" spans="1:4" ht="20.25" x14ac:dyDescent="0.25">
      <c r="A112" s="84"/>
      <c r="B112" s="15"/>
      <c r="C112" s="20"/>
      <c r="D112" s="20"/>
    </row>
    <row r="113" spans="1:4" ht="20.25" x14ac:dyDescent="0.25">
      <c r="A113" s="84"/>
      <c r="B113" s="15"/>
      <c r="C113" s="20"/>
      <c r="D113" s="20"/>
    </row>
    <row r="114" spans="1:4" ht="20.25" x14ac:dyDescent="0.25">
      <c r="A114" s="84"/>
      <c r="B114" s="15"/>
      <c r="C114" s="20"/>
      <c r="D114" s="20"/>
    </row>
    <row r="115" spans="1:4" ht="20.25" x14ac:dyDescent="0.25">
      <c r="A115" s="84"/>
      <c r="B115" s="15"/>
      <c r="C115" s="20"/>
      <c r="D115" s="20"/>
    </row>
    <row r="116" spans="1:4" ht="20.25" x14ac:dyDescent="0.25">
      <c r="A116" s="84"/>
      <c r="B116" s="15"/>
      <c r="C116" s="20"/>
      <c r="D116" s="20"/>
    </row>
    <row r="117" spans="1:4" ht="20.25" x14ac:dyDescent="0.25">
      <c r="A117" s="84"/>
      <c r="B117" s="15"/>
      <c r="C117" s="20"/>
      <c r="D117" s="20"/>
    </row>
    <row r="118" spans="1:4" ht="20.25" x14ac:dyDescent="0.25">
      <c r="A118" s="84"/>
      <c r="B118" s="15"/>
      <c r="C118" s="20"/>
      <c r="D118" s="20"/>
    </row>
    <row r="119" spans="1:4" ht="20.25" x14ac:dyDescent="0.25">
      <c r="A119" s="84"/>
      <c r="B119" s="15"/>
      <c r="C119" s="20"/>
      <c r="D119" s="20"/>
    </row>
    <row r="120" spans="1:4" ht="20.25" x14ac:dyDescent="0.25">
      <c r="A120" s="84"/>
      <c r="B120" s="15"/>
      <c r="C120" s="20"/>
      <c r="D120" s="20"/>
    </row>
    <row r="121" spans="1:4" ht="20.25" x14ac:dyDescent="0.25">
      <c r="A121" s="84"/>
      <c r="B121" s="15"/>
      <c r="C121" s="20"/>
      <c r="D121" s="20"/>
    </row>
    <row r="122" spans="1:4" ht="20.25" x14ac:dyDescent="0.25">
      <c r="A122" s="84"/>
      <c r="B122" s="15"/>
      <c r="C122" s="20"/>
      <c r="D122" s="20"/>
    </row>
    <row r="123" spans="1:4" ht="20.25" x14ac:dyDescent="0.25">
      <c r="A123" s="84"/>
      <c r="B123" s="15"/>
      <c r="C123" s="20"/>
      <c r="D123" s="20"/>
    </row>
    <row r="124" spans="1:4" ht="20.25" x14ac:dyDescent="0.25">
      <c r="A124" s="84"/>
      <c r="B124" s="15"/>
      <c r="C124" s="20"/>
      <c r="D124" s="20"/>
    </row>
    <row r="125" spans="1:4" ht="20.25" x14ac:dyDescent="0.25">
      <c r="A125" s="84"/>
      <c r="B125" s="15"/>
      <c r="C125" s="20"/>
      <c r="D125" s="20"/>
    </row>
    <row r="126" spans="1:4" ht="20.25" x14ac:dyDescent="0.25">
      <c r="A126" s="84"/>
      <c r="B126" s="15"/>
      <c r="C126" s="20"/>
      <c r="D126" s="20"/>
    </row>
    <row r="127" spans="1:4" ht="20.25" x14ac:dyDescent="0.25">
      <c r="A127" s="84"/>
      <c r="B127" s="15"/>
      <c r="C127" s="20"/>
      <c r="D127" s="20"/>
    </row>
    <row r="128" spans="1:4" ht="20.25" x14ac:dyDescent="0.25">
      <c r="A128" s="84"/>
      <c r="B128" s="15"/>
      <c r="C128" s="20"/>
      <c r="D128" s="20"/>
    </row>
    <row r="129" spans="1:4" ht="20.25" x14ac:dyDescent="0.25">
      <c r="A129" s="84"/>
      <c r="B129" s="15"/>
      <c r="C129" s="20"/>
      <c r="D129" s="20"/>
    </row>
    <row r="130" spans="1:4" ht="20.25" x14ac:dyDescent="0.25">
      <c r="A130" s="84"/>
      <c r="B130" s="15"/>
      <c r="C130" s="20"/>
      <c r="D130" s="20"/>
    </row>
    <row r="131" spans="1:4" ht="20.25" x14ac:dyDescent="0.25">
      <c r="A131" s="84"/>
      <c r="B131" s="15"/>
      <c r="C131" s="20"/>
      <c r="D131" s="20"/>
    </row>
    <row r="132" spans="1:4" ht="20.25" x14ac:dyDescent="0.25">
      <c r="A132" s="84"/>
      <c r="B132" s="15"/>
      <c r="C132" s="20"/>
      <c r="D132" s="20"/>
    </row>
    <row r="133" spans="1:4" ht="20.25" x14ac:dyDescent="0.25">
      <c r="A133" s="84"/>
      <c r="B133" s="15"/>
      <c r="C133" s="20"/>
      <c r="D133" s="20"/>
    </row>
    <row r="134" spans="1:4" ht="20.25" x14ac:dyDescent="0.25">
      <c r="A134" s="84"/>
      <c r="B134" s="15"/>
      <c r="C134" s="20"/>
      <c r="D134" s="20"/>
    </row>
    <row r="135" spans="1:4" ht="20.25" x14ac:dyDescent="0.25">
      <c r="A135" s="84"/>
      <c r="B135" s="15"/>
      <c r="C135" s="20"/>
      <c r="D135" s="20"/>
    </row>
    <row r="136" spans="1:4" ht="20.25" x14ac:dyDescent="0.25">
      <c r="A136" s="84"/>
      <c r="B136" s="15"/>
      <c r="C136" s="20"/>
      <c r="D136" s="20"/>
    </row>
    <row r="137" spans="1:4" ht="20.25" x14ac:dyDescent="0.25">
      <c r="A137" s="84"/>
      <c r="B137" s="15"/>
      <c r="C137" s="20"/>
      <c r="D137" s="20"/>
    </row>
    <row r="138" spans="1:4" ht="20.25" x14ac:dyDescent="0.25">
      <c r="A138" s="84"/>
      <c r="B138" s="15"/>
      <c r="C138" s="20"/>
      <c r="D138" s="20"/>
    </row>
    <row r="139" spans="1:4" ht="20.25" x14ac:dyDescent="0.25">
      <c r="A139" s="84"/>
      <c r="B139" s="15"/>
      <c r="C139" s="20"/>
      <c r="D139" s="20"/>
    </row>
    <row r="140" spans="1:4" ht="20.25" x14ac:dyDescent="0.25">
      <c r="A140" s="84"/>
      <c r="B140" s="15"/>
      <c r="C140" s="20"/>
      <c r="D140" s="20"/>
    </row>
    <row r="141" spans="1:4" ht="20.25" x14ac:dyDescent="0.25">
      <c r="A141" s="84"/>
      <c r="B141" s="15"/>
      <c r="C141" s="20"/>
      <c r="D141" s="20"/>
    </row>
    <row r="142" spans="1:4" ht="20.25" x14ac:dyDescent="0.25">
      <c r="A142" s="84"/>
      <c r="B142" s="15"/>
      <c r="C142" s="20"/>
      <c r="D142" s="20"/>
    </row>
    <row r="143" spans="1:4" ht="20.25" x14ac:dyDescent="0.25">
      <c r="A143" s="84"/>
      <c r="B143" s="15"/>
      <c r="C143" s="20"/>
      <c r="D143" s="20"/>
    </row>
    <row r="144" spans="1:4" ht="20.25" x14ac:dyDescent="0.25">
      <c r="A144" s="84"/>
      <c r="B144" s="15"/>
      <c r="C144" s="20"/>
      <c r="D144" s="20"/>
    </row>
    <row r="145" spans="1:4" ht="20.25" x14ac:dyDescent="0.25">
      <c r="A145" s="84"/>
      <c r="B145" s="15"/>
      <c r="C145" s="20"/>
      <c r="D145" s="20"/>
    </row>
    <row r="146" spans="1:4" ht="20.25" x14ac:dyDescent="0.25">
      <c r="A146" s="84"/>
      <c r="B146" s="15"/>
      <c r="C146" s="20"/>
      <c r="D146" s="20"/>
    </row>
    <row r="147" spans="1:4" ht="20.25" x14ac:dyDescent="0.25">
      <c r="A147" s="84"/>
      <c r="B147" s="15"/>
      <c r="C147" s="20"/>
      <c r="D147" s="20"/>
    </row>
    <row r="148" spans="1:4" ht="20.25" x14ac:dyDescent="0.25">
      <c r="A148" s="84"/>
      <c r="B148" s="15"/>
      <c r="C148" s="20"/>
      <c r="D148" s="20"/>
    </row>
    <row r="149" spans="1:4" ht="20.25" x14ac:dyDescent="0.25">
      <c r="A149" s="84"/>
      <c r="B149" s="15"/>
      <c r="C149" s="20"/>
      <c r="D149" s="20"/>
    </row>
    <row r="150" spans="1:4" ht="20.25" x14ac:dyDescent="0.25">
      <c r="A150" s="84"/>
      <c r="B150" s="15"/>
      <c r="C150" s="20"/>
      <c r="D150" s="20"/>
    </row>
    <row r="151" spans="1:4" ht="20.25" x14ac:dyDescent="0.25">
      <c r="A151" s="84"/>
      <c r="B151" s="15"/>
      <c r="C151" s="20"/>
      <c r="D151" s="20"/>
    </row>
    <row r="152" spans="1:4" ht="20.25" x14ac:dyDescent="0.25">
      <c r="A152" s="84"/>
      <c r="B152" s="15"/>
      <c r="C152" s="20"/>
      <c r="D152" s="20"/>
    </row>
    <row r="153" spans="1:4" ht="20.25" x14ac:dyDescent="0.25">
      <c r="A153" s="84"/>
      <c r="B153" s="15"/>
      <c r="C153" s="20"/>
      <c r="D153" s="20"/>
    </row>
    <row r="154" spans="1:4" ht="20.25" x14ac:dyDescent="0.25">
      <c r="A154" s="84"/>
      <c r="B154" s="15"/>
      <c r="C154" s="20"/>
      <c r="D154" s="20"/>
    </row>
    <row r="155" spans="1:4" ht="20.25" x14ac:dyDescent="0.25">
      <c r="A155" s="84"/>
      <c r="B155" s="15"/>
      <c r="C155" s="20"/>
      <c r="D155" s="20"/>
    </row>
    <row r="156" spans="1:4" ht="20.25" x14ac:dyDescent="0.25">
      <c r="A156" s="84"/>
      <c r="B156" s="15"/>
      <c r="C156" s="20"/>
      <c r="D156" s="20"/>
    </row>
    <row r="157" spans="1:4" ht="20.25" x14ac:dyDescent="0.25">
      <c r="A157" s="84"/>
      <c r="B157" s="15"/>
      <c r="C157" s="20"/>
      <c r="D157" s="20"/>
    </row>
    <row r="158" spans="1:4" ht="20.25" x14ac:dyDescent="0.25">
      <c r="A158" s="84"/>
      <c r="B158" s="15"/>
      <c r="C158" s="20"/>
      <c r="D158" s="20"/>
    </row>
    <row r="159" spans="1:4" ht="20.25" x14ac:dyDescent="0.25">
      <c r="A159" s="84"/>
      <c r="B159" s="15"/>
      <c r="C159" s="20"/>
      <c r="D159" s="20"/>
    </row>
    <row r="160" spans="1:4" ht="20.25" x14ac:dyDescent="0.25">
      <c r="A160" s="84"/>
      <c r="B160" s="15"/>
      <c r="C160" s="20"/>
      <c r="D160" s="20"/>
    </row>
    <row r="161" spans="1:4" ht="20.25" x14ac:dyDescent="0.25">
      <c r="A161" s="84"/>
      <c r="B161" s="15"/>
      <c r="C161" s="20"/>
      <c r="D161" s="20"/>
    </row>
    <row r="162" spans="1:4" ht="20.25" x14ac:dyDescent="0.25">
      <c r="A162" s="84"/>
      <c r="B162" s="15"/>
      <c r="C162" s="20"/>
      <c r="D162" s="20"/>
    </row>
    <row r="163" spans="1:4" ht="20.25" x14ac:dyDescent="0.25">
      <c r="A163" s="84"/>
      <c r="B163" s="15"/>
      <c r="C163" s="20"/>
      <c r="D163" s="20"/>
    </row>
    <row r="164" spans="1:4" ht="20.25" x14ac:dyDescent="0.25">
      <c r="A164" s="84"/>
      <c r="B164" s="15"/>
      <c r="C164" s="20"/>
      <c r="D164" s="20"/>
    </row>
    <row r="165" spans="1:4" ht="20.25" x14ac:dyDescent="0.25">
      <c r="A165" s="84"/>
      <c r="B165" s="15"/>
      <c r="C165" s="20"/>
      <c r="D165" s="20"/>
    </row>
    <row r="166" spans="1:4" ht="20.25" x14ac:dyDescent="0.25">
      <c r="A166" s="84"/>
      <c r="B166" s="15"/>
      <c r="C166" s="20"/>
      <c r="D166" s="20"/>
    </row>
    <row r="167" spans="1:4" ht="20.25" x14ac:dyDescent="0.25">
      <c r="A167" s="84"/>
      <c r="B167" s="15"/>
      <c r="C167" s="20"/>
      <c r="D167" s="20"/>
    </row>
    <row r="168" spans="1:4" ht="20.25" x14ac:dyDescent="0.25">
      <c r="A168" s="84"/>
      <c r="B168" s="15"/>
      <c r="C168" s="20"/>
      <c r="D168" s="20"/>
    </row>
    <row r="169" spans="1:4" ht="20.25" x14ac:dyDescent="0.25">
      <c r="A169" s="84"/>
      <c r="B169" s="15"/>
      <c r="C169" s="20"/>
      <c r="D169" s="20"/>
    </row>
    <row r="170" spans="1:4" ht="20.25" x14ac:dyDescent="0.25">
      <c r="A170" s="84"/>
      <c r="B170" s="15"/>
      <c r="C170" s="20"/>
      <c r="D170" s="20"/>
    </row>
    <row r="171" spans="1:4" ht="20.25" x14ac:dyDescent="0.25">
      <c r="A171" s="84"/>
      <c r="B171" s="15"/>
      <c r="C171" s="20"/>
      <c r="D171" s="20"/>
    </row>
    <row r="172" spans="1:4" ht="20.25" x14ac:dyDescent="0.25">
      <c r="A172" s="84"/>
      <c r="B172" s="15"/>
      <c r="C172" s="20"/>
      <c r="D172" s="20"/>
    </row>
    <row r="173" spans="1:4" ht="20.25" x14ac:dyDescent="0.25">
      <c r="A173" s="84"/>
      <c r="B173" s="15"/>
      <c r="C173" s="20"/>
      <c r="D173" s="20"/>
    </row>
    <row r="174" spans="1:4" ht="20.25" x14ac:dyDescent="0.25">
      <c r="A174" s="84"/>
      <c r="B174" s="15"/>
      <c r="C174" s="20"/>
      <c r="D174" s="20"/>
    </row>
    <row r="175" spans="1:4" ht="20.25" x14ac:dyDescent="0.25">
      <c r="A175" s="84"/>
      <c r="B175" s="15"/>
      <c r="C175" s="20"/>
      <c r="D175" s="20"/>
    </row>
    <row r="176" spans="1:4" ht="20.25" x14ac:dyDescent="0.25">
      <c r="A176" s="84"/>
      <c r="B176" s="15"/>
      <c r="C176" s="20"/>
      <c r="D176" s="20"/>
    </row>
    <row r="177" spans="1:4" ht="20.25" x14ac:dyDescent="0.25">
      <c r="A177" s="84"/>
      <c r="B177" s="15"/>
      <c r="C177" s="20"/>
      <c r="D177" s="20"/>
    </row>
    <row r="178" spans="1:4" ht="20.25" x14ac:dyDescent="0.25">
      <c r="A178" s="84"/>
      <c r="B178" s="15"/>
      <c r="C178" s="20"/>
      <c r="D178" s="20"/>
    </row>
    <row r="179" spans="1:4" ht="20.25" x14ac:dyDescent="0.25">
      <c r="A179" s="84"/>
      <c r="B179" s="15"/>
      <c r="C179" s="20"/>
      <c r="D179" s="20"/>
    </row>
    <row r="180" spans="1:4" ht="20.25" x14ac:dyDescent="0.25">
      <c r="A180" s="84"/>
      <c r="B180" s="15"/>
      <c r="C180" s="20"/>
      <c r="D180" s="20"/>
    </row>
    <row r="181" spans="1:4" ht="20.25" x14ac:dyDescent="0.25">
      <c r="A181" s="84"/>
      <c r="B181" s="15"/>
      <c r="C181" s="20"/>
      <c r="D181" s="20"/>
    </row>
    <row r="182" spans="1:4" ht="20.25" x14ac:dyDescent="0.25">
      <c r="A182" s="84"/>
      <c r="B182" s="15"/>
      <c r="C182" s="20"/>
      <c r="D182" s="20"/>
    </row>
    <row r="183" spans="1:4" ht="20.25" x14ac:dyDescent="0.25">
      <c r="A183" s="84"/>
      <c r="B183" s="15"/>
      <c r="C183" s="20"/>
      <c r="D183" s="20"/>
    </row>
    <row r="184" spans="1:4" ht="20.25" x14ac:dyDescent="0.25">
      <c r="A184" s="84"/>
      <c r="B184" s="15"/>
      <c r="C184" s="20"/>
      <c r="D184" s="20"/>
    </row>
    <row r="185" spans="1:4" ht="20.25" x14ac:dyDescent="0.25">
      <c r="A185" s="84"/>
      <c r="B185" s="15"/>
      <c r="C185" s="20"/>
      <c r="D185" s="20"/>
    </row>
    <row r="186" spans="1:4" ht="20.25" x14ac:dyDescent="0.25">
      <c r="A186" s="84"/>
      <c r="B186" s="15"/>
      <c r="C186" s="20"/>
      <c r="D186" s="20"/>
    </row>
    <row r="187" spans="1:4" ht="20.25" x14ac:dyDescent="0.25">
      <c r="A187" s="84"/>
      <c r="B187" s="15"/>
      <c r="C187" s="20"/>
      <c r="D187" s="20"/>
    </row>
    <row r="188" spans="1:4" ht="20.25" x14ac:dyDescent="0.25">
      <c r="A188" s="84"/>
      <c r="B188" s="15"/>
      <c r="C188" s="20"/>
      <c r="D188" s="20"/>
    </row>
    <row r="189" spans="1:4" ht="20.25" x14ac:dyDescent="0.25">
      <c r="A189" s="84"/>
      <c r="B189" s="15"/>
      <c r="C189" s="20"/>
      <c r="D189" s="20"/>
    </row>
    <row r="190" spans="1:4" ht="20.25" x14ac:dyDescent="0.25">
      <c r="A190" s="84"/>
      <c r="B190" s="15"/>
      <c r="C190" s="20"/>
      <c r="D190" s="20"/>
    </row>
    <row r="191" spans="1:4" ht="20.25" x14ac:dyDescent="0.25">
      <c r="A191" s="84"/>
      <c r="B191" s="15"/>
      <c r="C191" s="20"/>
      <c r="D191" s="20"/>
    </row>
    <row r="192" spans="1:4" ht="20.25" x14ac:dyDescent="0.25">
      <c r="A192" s="84"/>
      <c r="B192" s="15"/>
      <c r="C192" s="20"/>
      <c r="D192" s="20"/>
    </row>
    <row r="193" spans="1:4" ht="20.25" x14ac:dyDescent="0.25">
      <c r="A193" s="84"/>
      <c r="B193" s="15"/>
      <c r="C193" s="20"/>
      <c r="D193" s="20"/>
    </row>
    <row r="194" spans="1:4" ht="20.25" x14ac:dyDescent="0.25">
      <c r="A194" s="84"/>
      <c r="B194" s="15"/>
      <c r="C194" s="20"/>
      <c r="D194" s="20"/>
    </row>
    <row r="195" spans="1:4" ht="20.25" x14ac:dyDescent="0.25">
      <c r="A195" s="84"/>
      <c r="B195" s="15"/>
      <c r="C195" s="20"/>
      <c r="D195" s="20"/>
    </row>
    <row r="196" spans="1:4" ht="20.25" x14ac:dyDescent="0.25">
      <c r="A196" s="84"/>
      <c r="B196" s="15"/>
      <c r="C196" s="20"/>
      <c r="D196" s="20"/>
    </row>
    <row r="197" spans="1:4" ht="20.25" x14ac:dyDescent="0.25">
      <c r="A197" s="84"/>
      <c r="B197" s="15"/>
      <c r="C197" s="20"/>
      <c r="D197" s="20"/>
    </row>
    <row r="198" spans="1:4" ht="20.25" x14ac:dyDescent="0.25">
      <c r="A198" s="84"/>
      <c r="B198" s="15"/>
      <c r="C198" s="20"/>
      <c r="D198" s="20"/>
    </row>
    <row r="199" spans="1:4" ht="20.25" x14ac:dyDescent="0.25">
      <c r="A199" s="84"/>
      <c r="B199" s="15"/>
      <c r="C199" s="20"/>
      <c r="D199" s="20"/>
    </row>
    <row r="200" spans="1:4" ht="20.25" x14ac:dyDescent="0.25">
      <c r="A200" s="84"/>
      <c r="B200" s="15"/>
      <c r="C200" s="20"/>
      <c r="D200" s="20"/>
    </row>
    <row r="201" spans="1:4" ht="20.25" x14ac:dyDescent="0.25">
      <c r="A201" s="84"/>
      <c r="B201" s="15"/>
      <c r="C201" s="20"/>
      <c r="D201" s="20"/>
    </row>
    <row r="202" spans="1:4" ht="20.25" x14ac:dyDescent="0.25">
      <c r="A202" s="84"/>
      <c r="B202" s="15"/>
      <c r="C202" s="20"/>
      <c r="D202" s="20"/>
    </row>
    <row r="203" spans="1:4" ht="20.25" x14ac:dyDescent="0.25">
      <c r="A203" s="84"/>
      <c r="B203" s="15"/>
      <c r="C203" s="20"/>
      <c r="D203" s="20"/>
    </row>
    <row r="204" spans="1:4" ht="20.25" x14ac:dyDescent="0.25">
      <c r="A204" s="84"/>
      <c r="B204" s="15"/>
      <c r="C204" s="20"/>
      <c r="D204" s="20"/>
    </row>
    <row r="205" spans="1:4" ht="20.25" x14ac:dyDescent="0.25">
      <c r="A205" s="84"/>
      <c r="B205" s="15"/>
      <c r="C205" s="20"/>
      <c r="D205" s="20"/>
    </row>
    <row r="206" spans="1:4" ht="20.25" x14ac:dyDescent="0.25">
      <c r="A206" s="84"/>
      <c r="B206" s="15"/>
      <c r="C206" s="20"/>
      <c r="D206" s="20"/>
    </row>
    <row r="207" spans="1:4" ht="20.25" x14ac:dyDescent="0.25">
      <c r="A207" s="84"/>
      <c r="B207" s="15"/>
      <c r="C207" s="20"/>
      <c r="D207" s="20"/>
    </row>
    <row r="208" spans="1:4" x14ac:dyDescent="0.25">
      <c r="A208" s="68"/>
      <c r="B208" s="15"/>
      <c r="C208" s="15"/>
      <c r="D208" s="15"/>
    </row>
    <row r="209" spans="1:8" ht="20.25" x14ac:dyDescent="0.25">
      <c r="A209" s="68"/>
      <c r="B209" s="16" t="s">
        <v>392</v>
      </c>
      <c r="C209" s="16" t="s">
        <v>393</v>
      </c>
      <c r="D209" s="19" t="s">
        <v>392</v>
      </c>
      <c r="E209" s="19" t="s">
        <v>393</v>
      </c>
    </row>
    <row r="210" spans="1:8" ht="21" x14ac:dyDescent="0.35">
      <c r="A210" s="68"/>
      <c r="B210" s="17" t="s">
        <v>394</v>
      </c>
      <c r="C210" s="17" t="s">
        <v>395</v>
      </c>
      <c r="D210" t="s">
        <v>394</v>
      </c>
      <c r="F210" t="str">
        <f>IF(NOT(ISBLANK(D210)),D210,IF(NOT(ISBLANK(E210)),"     "&amp;E210,FALSE))</f>
        <v>Afectación Económica o presupuestal</v>
      </c>
      <c r="G210" t="s">
        <v>394</v>
      </c>
      <c r="H210" t="str">
        <f>IF(NOT(ISERROR(MATCH(G210,_xlfn.ANCHORARRAY(B221),0))),F223&amp;"Por favor no seleccionar los criterios de impacto",G210)</f>
        <v>❌Por favor no seleccionar los criterios de impacto</v>
      </c>
    </row>
    <row r="211" spans="1:8" ht="21" x14ac:dyDescent="0.35">
      <c r="A211" s="68"/>
      <c r="B211" s="17" t="s">
        <v>394</v>
      </c>
      <c r="C211" s="17" t="s">
        <v>379</v>
      </c>
      <c r="E211" t="s">
        <v>395</v>
      </c>
      <c r="F211" t="str">
        <f t="shared" ref="F211:F221" si="0">IF(NOT(ISBLANK(D211)),D211,IF(NOT(ISBLANK(E211)),"     "&amp;E211,FALSE))</f>
        <v xml:space="preserve">     Afectación menor a 10 SMLMV .</v>
      </c>
    </row>
    <row r="212" spans="1:8" ht="21" x14ac:dyDescent="0.35">
      <c r="A212" s="68"/>
      <c r="B212" s="17" t="s">
        <v>394</v>
      </c>
      <c r="C212" s="17" t="s">
        <v>382</v>
      </c>
      <c r="E212" t="s">
        <v>379</v>
      </c>
      <c r="F212" t="str">
        <f t="shared" si="0"/>
        <v xml:space="preserve">     Entre 10 y 50 SMLMV </v>
      </c>
    </row>
    <row r="213" spans="1:8" ht="21" x14ac:dyDescent="0.35">
      <c r="A213" s="68"/>
      <c r="B213" s="17" t="s">
        <v>394</v>
      </c>
      <c r="C213" s="17" t="s">
        <v>385</v>
      </c>
      <c r="E213" t="s">
        <v>382</v>
      </c>
      <c r="F213" t="str">
        <f t="shared" si="0"/>
        <v xml:space="preserve">     Entre 50 y 100 SMLMV </v>
      </c>
    </row>
    <row r="214" spans="1:8" ht="21" x14ac:dyDescent="0.35">
      <c r="A214" s="68"/>
      <c r="B214" s="17" t="s">
        <v>394</v>
      </c>
      <c r="C214" s="17" t="s">
        <v>388</v>
      </c>
      <c r="E214" t="s">
        <v>385</v>
      </c>
      <c r="F214" t="str">
        <f t="shared" si="0"/>
        <v xml:space="preserve">     Entre 100 y 500 SMLMV </v>
      </c>
    </row>
    <row r="215" spans="1:8" ht="21" x14ac:dyDescent="0.35">
      <c r="A215" s="68"/>
      <c r="B215" s="17" t="s">
        <v>373</v>
      </c>
      <c r="C215" s="17" t="s">
        <v>377</v>
      </c>
      <c r="E215" t="s">
        <v>388</v>
      </c>
      <c r="F215" t="str">
        <f t="shared" si="0"/>
        <v xml:space="preserve">     Mayor a 500 SMLMV </v>
      </c>
    </row>
    <row r="216" spans="1:8" ht="21" x14ac:dyDescent="0.35">
      <c r="A216" s="68"/>
      <c r="B216" s="17" t="s">
        <v>373</v>
      </c>
      <c r="C216" s="17" t="s">
        <v>380</v>
      </c>
      <c r="D216" t="s">
        <v>373</v>
      </c>
      <c r="F216" t="str">
        <f t="shared" si="0"/>
        <v>Pérdida Reputacional</v>
      </c>
    </row>
    <row r="217" spans="1:8" ht="21" x14ac:dyDescent="0.35">
      <c r="A217" s="68"/>
      <c r="B217" s="17" t="s">
        <v>373</v>
      </c>
      <c r="C217" s="17" t="s">
        <v>383</v>
      </c>
      <c r="E217" t="s">
        <v>377</v>
      </c>
      <c r="F217" t="str">
        <f t="shared" si="0"/>
        <v xml:space="preserve">     El riesgo afecta la imagen de alguna área de la organización</v>
      </c>
    </row>
    <row r="218" spans="1:8" ht="21" x14ac:dyDescent="0.35">
      <c r="A218" s="68"/>
      <c r="B218" s="17" t="s">
        <v>373</v>
      </c>
      <c r="C218" s="17" t="s">
        <v>396</v>
      </c>
      <c r="E218" t="s">
        <v>380</v>
      </c>
      <c r="F218" t="str">
        <f t="shared" si="0"/>
        <v xml:space="preserve">     El riesgo afecta la imagen de la entidad internamente, de conocimiento general, nivel interno, de junta dircetiva y accionistas y/o de provedores</v>
      </c>
    </row>
    <row r="219" spans="1:8" ht="21" x14ac:dyDescent="0.35">
      <c r="A219" s="68"/>
      <c r="B219" s="17" t="s">
        <v>373</v>
      </c>
      <c r="C219" s="17" t="s">
        <v>389</v>
      </c>
      <c r="E219" t="s">
        <v>383</v>
      </c>
      <c r="F219" t="str">
        <f t="shared" si="0"/>
        <v xml:space="preserve">     El riesgo afecta la imagen de la entidad con algunos usuarios de relevancia frente al logro de los objetivos</v>
      </c>
    </row>
    <row r="220" spans="1:8" x14ac:dyDescent="0.25">
      <c r="A220" s="68"/>
      <c r="B220" s="18"/>
      <c r="C220" s="18"/>
      <c r="E220" t="s">
        <v>396</v>
      </c>
      <c r="F220" t="str">
        <f t="shared" si="0"/>
        <v xml:space="preserve">     El riesgo afecta la imagen de de la entidad con efecto publicitario sostenido a nivel de sector administrativo, nivel departamental o municipal</v>
      </c>
    </row>
    <row r="221" spans="1:8" x14ac:dyDescent="0.25">
      <c r="A221" s="68"/>
      <c r="B221" s="18" t="str">
        <f t="array" ref="B221:B223">_xlfn.UNIQUE(Tabla1[[#All],[Criterios]])</f>
        <v>Criterios</v>
      </c>
      <c r="C221" s="18"/>
      <c r="E221" t="s">
        <v>389</v>
      </c>
      <c r="F221" t="str">
        <f t="shared" si="0"/>
        <v xml:space="preserve">     El riesgo afecta la imagen de la entidad a nivel nacional, con efecto publicitarios sostenible a nivel país</v>
      </c>
    </row>
    <row r="222" spans="1:8" x14ac:dyDescent="0.25">
      <c r="A222" s="68"/>
      <c r="B222" s="18" t="str">
        <v>Afectación Económica o presupuestal</v>
      </c>
      <c r="C222" s="18"/>
    </row>
    <row r="223" spans="1:8" x14ac:dyDescent="0.25">
      <c r="B223" s="18" t="str">
        <v>Pérdida Reputacional</v>
      </c>
      <c r="C223" s="18"/>
      <c r="F223" s="21" t="s">
        <v>397</v>
      </c>
    </row>
    <row r="224" spans="1:8" x14ac:dyDescent="0.25">
      <c r="B224" s="14"/>
      <c r="C224" s="14"/>
      <c r="F224" s="21" t="s">
        <v>398</v>
      </c>
    </row>
    <row r="225" spans="2:4" x14ac:dyDescent="0.25">
      <c r="B225" s="14"/>
      <c r="C225" s="14"/>
    </row>
    <row r="226" spans="2:4" x14ac:dyDescent="0.25">
      <c r="B226" s="14"/>
      <c r="C226" s="14"/>
    </row>
    <row r="227" spans="2:4" x14ac:dyDescent="0.25">
      <c r="B227" s="14"/>
      <c r="C227" s="14"/>
      <c r="D227" s="14"/>
    </row>
    <row r="228" spans="2:4" x14ac:dyDescent="0.25">
      <c r="B228" s="14"/>
      <c r="C228" s="14"/>
      <c r="D228" s="14"/>
    </row>
    <row r="229" spans="2:4" x14ac:dyDescent="0.25">
      <c r="B229" s="14"/>
      <c r="C229" s="14"/>
      <c r="D229" s="14"/>
    </row>
    <row r="230" spans="2:4" x14ac:dyDescent="0.25">
      <c r="B230" s="14"/>
      <c r="C230" s="14"/>
      <c r="D230" s="14"/>
    </row>
    <row r="231" spans="2:4" x14ac:dyDescent="0.25">
      <c r="B231" s="14"/>
      <c r="C231" s="14"/>
      <c r="D231" s="14"/>
    </row>
    <row r="232" spans="2:4" x14ac:dyDescent="0.25">
      <c r="B232" s="14"/>
      <c r="C232" s="14"/>
      <c r="D232" s="14"/>
    </row>
  </sheetData>
  <mergeCells count="1">
    <mergeCell ref="B1:D1"/>
  </mergeCells>
  <dataValidations count="1">
    <dataValidation type="list" allowBlank="1" showInputMessage="1" showErrorMessage="1" sqref="G210" xr:uid="{00000000-0002-0000-1000-000000000000}">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tabColor theme="7" tint="-0.249977111117893"/>
  </sheetPr>
  <dimension ref="B1:F16"/>
  <sheetViews>
    <sheetView topLeftCell="A10" workbookViewId="0">
      <selection activeCell="I11" sqref="I11"/>
    </sheetView>
  </sheetViews>
  <sheetFormatPr baseColWidth="10" defaultColWidth="14.28515625" defaultRowHeight="12.75" x14ac:dyDescent="0.2"/>
  <cols>
    <col min="1" max="2" width="14.28515625" style="73"/>
    <col min="3" max="3" width="17" style="73" customWidth="1"/>
    <col min="4" max="4" width="14.28515625" style="73"/>
    <col min="5" max="5" width="46" style="73" customWidth="1"/>
    <col min="6" max="16384" width="14.28515625" style="73"/>
  </cols>
  <sheetData>
    <row r="1" spans="2:6" ht="24" customHeight="1" thickBot="1" x14ac:dyDescent="0.25">
      <c r="B1" s="608" t="s">
        <v>399</v>
      </c>
      <c r="C1" s="609"/>
      <c r="D1" s="609"/>
      <c r="E1" s="609"/>
      <c r="F1" s="610"/>
    </row>
    <row r="2" spans="2:6" ht="16.5" thickBot="1" x14ac:dyDescent="0.3">
      <c r="B2" s="74"/>
      <c r="C2" s="74"/>
      <c r="D2" s="74"/>
      <c r="E2" s="74"/>
      <c r="F2" s="74"/>
    </row>
    <row r="3" spans="2:6" ht="16.5" thickBot="1" x14ac:dyDescent="0.25">
      <c r="B3" s="612" t="s">
        <v>400</v>
      </c>
      <c r="C3" s="613"/>
      <c r="D3" s="613"/>
      <c r="E3" s="184" t="s">
        <v>401</v>
      </c>
      <c r="F3" s="83" t="s">
        <v>402</v>
      </c>
    </row>
    <row r="4" spans="2:6" ht="31.5" x14ac:dyDescent="0.2">
      <c r="B4" s="614" t="s">
        <v>403</v>
      </c>
      <c r="C4" s="616" t="s">
        <v>98</v>
      </c>
      <c r="D4" s="185" t="s">
        <v>154</v>
      </c>
      <c r="E4" s="75" t="s">
        <v>404</v>
      </c>
      <c r="F4" s="76">
        <v>0.25</v>
      </c>
    </row>
    <row r="5" spans="2:6" ht="47.25" x14ac:dyDescent="0.2">
      <c r="B5" s="615"/>
      <c r="C5" s="617"/>
      <c r="D5" s="186" t="s">
        <v>104</v>
      </c>
      <c r="E5" s="77" t="s">
        <v>405</v>
      </c>
      <c r="F5" s="78">
        <v>0.15</v>
      </c>
    </row>
    <row r="6" spans="2:6" ht="47.25" x14ac:dyDescent="0.2">
      <c r="B6" s="615"/>
      <c r="C6" s="617"/>
      <c r="D6" s="186" t="s">
        <v>182</v>
      </c>
      <c r="E6" s="77" t="s">
        <v>406</v>
      </c>
      <c r="F6" s="78">
        <v>0.1</v>
      </c>
    </row>
    <row r="7" spans="2:6" ht="63" x14ac:dyDescent="0.2">
      <c r="B7" s="615"/>
      <c r="C7" s="617" t="s">
        <v>99</v>
      </c>
      <c r="D7" s="186" t="s">
        <v>155</v>
      </c>
      <c r="E7" s="77" t="s">
        <v>407</v>
      </c>
      <c r="F7" s="78">
        <v>0.25</v>
      </c>
    </row>
    <row r="8" spans="2:6" ht="31.5" x14ac:dyDescent="0.2">
      <c r="B8" s="615"/>
      <c r="C8" s="617"/>
      <c r="D8" s="186" t="s">
        <v>168</v>
      </c>
      <c r="E8" s="77" t="s">
        <v>408</v>
      </c>
      <c r="F8" s="78">
        <v>0.15</v>
      </c>
    </row>
    <row r="9" spans="2:6" ht="47.25" x14ac:dyDescent="0.2">
      <c r="B9" s="615" t="s">
        <v>409</v>
      </c>
      <c r="C9" s="617" t="s">
        <v>51</v>
      </c>
      <c r="D9" s="186" t="s">
        <v>156</v>
      </c>
      <c r="E9" s="77" t="s">
        <v>410</v>
      </c>
      <c r="F9" s="79" t="s">
        <v>411</v>
      </c>
    </row>
    <row r="10" spans="2:6" ht="63" x14ac:dyDescent="0.2">
      <c r="B10" s="615"/>
      <c r="C10" s="617"/>
      <c r="D10" s="186" t="s">
        <v>169</v>
      </c>
      <c r="E10" s="77" t="s">
        <v>412</v>
      </c>
      <c r="F10" s="79" t="s">
        <v>411</v>
      </c>
    </row>
    <row r="11" spans="2:6" ht="47.25" x14ac:dyDescent="0.2">
      <c r="B11" s="615"/>
      <c r="C11" s="617" t="s">
        <v>101</v>
      </c>
      <c r="D11" s="186" t="s">
        <v>157</v>
      </c>
      <c r="E11" s="77" t="s">
        <v>413</v>
      </c>
      <c r="F11" s="79" t="s">
        <v>411</v>
      </c>
    </row>
    <row r="12" spans="2:6" ht="47.25" x14ac:dyDescent="0.2">
      <c r="B12" s="615"/>
      <c r="C12" s="617"/>
      <c r="D12" s="186" t="s">
        <v>170</v>
      </c>
      <c r="E12" s="77" t="s">
        <v>414</v>
      </c>
      <c r="F12" s="79" t="s">
        <v>411</v>
      </c>
    </row>
    <row r="13" spans="2:6" ht="31.5" x14ac:dyDescent="0.2">
      <c r="B13" s="615"/>
      <c r="C13" s="617" t="s">
        <v>102</v>
      </c>
      <c r="D13" s="186" t="s">
        <v>415</v>
      </c>
      <c r="E13" s="77" t="s">
        <v>416</v>
      </c>
      <c r="F13" s="79" t="s">
        <v>411</v>
      </c>
    </row>
    <row r="14" spans="2:6" ht="32.25" thickBot="1" x14ac:dyDescent="0.25">
      <c r="B14" s="618"/>
      <c r="C14" s="619"/>
      <c r="D14" s="187" t="s">
        <v>417</v>
      </c>
      <c r="E14" s="80" t="s">
        <v>418</v>
      </c>
      <c r="F14" s="81" t="s">
        <v>411</v>
      </c>
    </row>
    <row r="15" spans="2:6" ht="49.5" customHeight="1" x14ac:dyDescent="0.2">
      <c r="B15" s="611" t="s">
        <v>419</v>
      </c>
      <c r="C15" s="611"/>
      <c r="D15" s="611"/>
      <c r="E15" s="611"/>
      <c r="F15" s="611"/>
    </row>
    <row r="16" spans="2:6" ht="27" customHeight="1" x14ac:dyDescent="0.25">
      <c r="B16" s="82"/>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15E6C-1BAB-42A6-9F77-3D9DA9FB7F99}">
  <dimension ref="A1"/>
  <sheetViews>
    <sheetView workbookViewId="0"/>
  </sheetViews>
  <sheetFormatPr baseColWidth="10" defaultColWidth="8.85546875"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A240F-939E-4DF6-BA8B-1D095F22F1E8}">
  <dimension ref="A1"/>
  <sheetViews>
    <sheetView workbookViewId="0"/>
  </sheetViews>
  <sheetFormatPr baseColWidth="10" defaultColWidth="8.85546875"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B2:E19"/>
  <sheetViews>
    <sheetView workbookViewId="0">
      <selection activeCell="E2" sqref="E2:E4"/>
    </sheetView>
  </sheetViews>
  <sheetFormatPr baseColWidth="10" defaultColWidth="11.42578125" defaultRowHeight="15" x14ac:dyDescent="0.25"/>
  <sheetData>
    <row r="2" spans="2:5" x14ac:dyDescent="0.25">
      <c r="B2" t="s">
        <v>159</v>
      </c>
      <c r="E2" t="s">
        <v>148</v>
      </c>
    </row>
    <row r="3" spans="2:5" x14ac:dyDescent="0.25">
      <c r="B3" t="s">
        <v>172</v>
      </c>
      <c r="E3" t="s">
        <v>162</v>
      </c>
    </row>
    <row r="4" spans="2:5" x14ac:dyDescent="0.25">
      <c r="B4" t="s">
        <v>194</v>
      </c>
      <c r="E4" t="s">
        <v>176</v>
      </c>
    </row>
    <row r="5" spans="2:5" x14ac:dyDescent="0.25">
      <c r="B5" t="s">
        <v>105</v>
      </c>
    </row>
    <row r="8" spans="2:5" x14ac:dyDescent="0.25">
      <c r="B8" t="s">
        <v>145</v>
      </c>
    </row>
    <row r="9" spans="2:5" x14ac:dyDescent="0.25">
      <c r="B9" t="s">
        <v>160</v>
      </c>
    </row>
    <row r="10" spans="2:5" x14ac:dyDescent="0.25">
      <c r="B10" t="s">
        <v>173</v>
      </c>
    </row>
    <row r="13" spans="2:5" x14ac:dyDescent="0.25">
      <c r="B13" t="s">
        <v>151</v>
      </c>
    </row>
    <row r="14" spans="2:5" x14ac:dyDescent="0.25">
      <c r="B14" t="s">
        <v>165</v>
      </c>
    </row>
    <row r="15" spans="2:5" x14ac:dyDescent="0.25">
      <c r="B15" t="s">
        <v>179</v>
      </c>
    </row>
    <row r="16" spans="2:5" x14ac:dyDescent="0.25">
      <c r="B16" t="s">
        <v>187</v>
      </c>
    </row>
    <row r="17" spans="2:2" x14ac:dyDescent="0.25">
      <c r="B17" t="s">
        <v>192</v>
      </c>
    </row>
    <row r="18" spans="2:2" x14ac:dyDescent="0.25">
      <c r="B18" t="s">
        <v>196</v>
      </c>
    </row>
    <row r="19" spans="2:2" x14ac:dyDescent="0.25">
      <c r="B19" t="s">
        <v>198</v>
      </c>
    </row>
  </sheetData>
  <sortState xmlns:xlrd2="http://schemas.microsoft.com/office/spreadsheetml/2017/richdata2" ref="B2:B5">
    <sortCondition ref="B2:B5"/>
  </sortState>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3:A21"/>
  <sheetViews>
    <sheetView workbookViewId="0">
      <selection activeCell="H29" sqref="H29"/>
    </sheetView>
  </sheetViews>
  <sheetFormatPr baseColWidth="10" defaultColWidth="11.42578125" defaultRowHeight="12.75" x14ac:dyDescent="0.2"/>
  <cols>
    <col min="1" max="1" width="32.7109375" style="1" customWidth="1"/>
    <col min="2" max="16384" width="11.42578125" style="1"/>
  </cols>
  <sheetData>
    <row r="3" spans="1:1" x14ac:dyDescent="0.2">
      <c r="A3" s="2" t="s">
        <v>154</v>
      </c>
    </row>
    <row r="4" spans="1:1" x14ac:dyDescent="0.2">
      <c r="A4" s="2" t="s">
        <v>104</v>
      </c>
    </row>
    <row r="5" spans="1:1" x14ac:dyDescent="0.2">
      <c r="A5" s="2" t="s">
        <v>182</v>
      </c>
    </row>
    <row r="6" spans="1:1" x14ac:dyDescent="0.2">
      <c r="A6" s="2" t="s">
        <v>155</v>
      </c>
    </row>
    <row r="7" spans="1:1" x14ac:dyDescent="0.2">
      <c r="A7" s="2" t="s">
        <v>168</v>
      </c>
    </row>
    <row r="8" spans="1:1" x14ac:dyDescent="0.2">
      <c r="A8" s="2" t="s">
        <v>156</v>
      </c>
    </row>
    <row r="9" spans="1:1" x14ac:dyDescent="0.2">
      <c r="A9" s="2" t="s">
        <v>169</v>
      </c>
    </row>
    <row r="10" spans="1:1" x14ac:dyDescent="0.2">
      <c r="A10" s="2" t="s">
        <v>157</v>
      </c>
    </row>
    <row r="11" spans="1:1" x14ac:dyDescent="0.2">
      <c r="A11" s="2" t="s">
        <v>170</v>
      </c>
    </row>
    <row r="12" spans="1:1" x14ac:dyDescent="0.2">
      <c r="A12" s="2" t="s">
        <v>158</v>
      </c>
    </row>
    <row r="13" spans="1:1" x14ac:dyDescent="0.2">
      <c r="A13" s="2" t="s">
        <v>171</v>
      </c>
    </row>
    <row r="14" spans="1:1" x14ac:dyDescent="0.2">
      <c r="A14" s="2" t="s">
        <v>183</v>
      </c>
    </row>
    <row r="16" spans="1:1" x14ac:dyDescent="0.2">
      <c r="A16" s="2" t="s">
        <v>184</v>
      </c>
    </row>
    <row r="17" spans="1:1" x14ac:dyDescent="0.2">
      <c r="A17" s="2" t="s">
        <v>159</v>
      </c>
    </row>
    <row r="18" spans="1:1" x14ac:dyDescent="0.2">
      <c r="A18" s="2" t="s">
        <v>172</v>
      </c>
    </row>
    <row r="20" spans="1:1" x14ac:dyDescent="0.2">
      <c r="A20" s="2" t="s">
        <v>160</v>
      </c>
    </row>
    <row r="21" spans="1:1" x14ac:dyDescent="0.2">
      <c r="A21" s="2"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4</vt:i4>
      </vt:variant>
    </vt:vector>
  </HeadingPairs>
  <TitlesOfParts>
    <vt:vector size="27" baseType="lpstr">
      <vt:lpstr>PORTADA </vt:lpstr>
      <vt:lpstr>Mapa final</vt:lpstr>
      <vt:lpstr>Datos</vt:lpstr>
      <vt:lpstr>Formulas</vt:lpstr>
      <vt:lpstr>CRITERIOS R CORRUPCION</vt:lpstr>
      <vt:lpstr>Apayo Visual </vt:lpstr>
      <vt:lpstr>eliminar</vt:lpstr>
      <vt:lpstr>Matriz Calor Inherente</vt:lpstr>
      <vt:lpstr>Matriz Calor Residual</vt:lpstr>
      <vt:lpstr>CAMBIOS REGISTRO</vt:lpstr>
      <vt:lpstr>SGI</vt:lpstr>
      <vt:lpstr>Intructivo</vt:lpstr>
      <vt:lpstr>CONTROL DE CAMBIOS REGISTRO </vt:lpstr>
      <vt:lpstr>Listas</vt:lpstr>
      <vt:lpstr>Hoja3</vt:lpstr>
      <vt:lpstr>Control de Cambios FORMATO </vt:lpstr>
      <vt:lpstr>Tabla probabilidad</vt:lpstr>
      <vt:lpstr>Tabla Impacto</vt:lpstr>
      <vt:lpstr>Tabla Valoración controles</vt:lpstr>
      <vt:lpstr>Hoja4</vt:lpstr>
      <vt:lpstr>Hoja2</vt:lpstr>
      <vt:lpstr>Opciones Tratamiento</vt:lpstr>
      <vt:lpstr>Hoja1</vt:lpstr>
      <vt:lpstr>'CAMBIOS REGISTRO'!Área_de_impresión</vt:lpstr>
      <vt:lpstr>'Control de Cambios FORMATO '!Área_de_impresión</vt:lpstr>
      <vt:lpstr>Criterios_Impacto</vt:lpstr>
      <vt:lpstr>'CAMBIOS REGISTRO'!OLE_LINK2</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ANAY PINTO VALENCIA-Analista de procesos</dc:creator>
  <cp:keywords/>
  <dc:description/>
  <cp:lastModifiedBy>MIPG ETITC</cp:lastModifiedBy>
  <cp:revision/>
  <dcterms:created xsi:type="dcterms:W3CDTF">2020-03-24T23:12:47Z</dcterms:created>
  <dcterms:modified xsi:type="dcterms:W3CDTF">2026-09-25T20:06:35Z</dcterms:modified>
  <cp:category/>
  <cp:contentStatus/>
</cp:coreProperties>
</file>