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codeName="ThisWorkbook" hidePivotFieldList="1" defaultThemeVersion="124226"/>
  <mc:AlternateContent xmlns:mc="http://schemas.openxmlformats.org/markup-compatibility/2006">
    <mc:Choice Requires="x15">
      <x15ac:absPath xmlns:x15ac="http://schemas.microsoft.com/office/spreadsheetml/2010/11/ac" url="https://itceduco-my.sharepoint.com/personal/gestionculturaorganizacional_itc_edu_co/Documents/SIG/Gestión de riesgos/Matrices de riesgos 2026/Gestión de Egresados/"/>
    </mc:Choice>
  </mc:AlternateContent>
  <xr:revisionPtr revIDLastSave="359" documentId="8_{40A9DF85-CA35-4856-8FA9-12C035AAE35B}" xr6:coauthVersionLast="47" xr6:coauthVersionMax="47" xr10:uidLastSave="{C52A092A-AC5B-C54D-ACAD-FC2323E511D0}"/>
  <bookViews>
    <workbookView xWindow="0" yWindow="580" windowWidth="25600" windowHeight="16060" tabRatio="882" firstSheet="2" activeTab="2" xr2:uid="{00000000-000D-0000-FFFF-FFFF00000000}"/>
  </bookViews>
  <sheets>
    <sheet name="PORTADA " sheetId="22" r:id="rId1"/>
    <sheet name="CRITERIOS R CORRUPCION" sheetId="27" r:id="rId2"/>
    <sheet name="Mapa final" sheetId="1" r:id="rId3"/>
    <sheet name="Datos" sheetId="32" state="hidden" r:id="rId4"/>
    <sheet name="Formulas" sheetId="28" state="hidden"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6"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5" i="1" l="1"/>
  <c r="AB16" i="1"/>
  <c r="Y16" i="1"/>
  <c r="AK16" i="1" s="1"/>
  <c r="AJ16" i="1" s="1"/>
  <c r="O15" i="1"/>
  <c r="P15" i="1" s="1"/>
  <c r="P18" i="1"/>
  <c r="S18" i="1"/>
  <c r="T18" i="1" s="1"/>
  <c r="S15" i="1"/>
  <c r="AB15" i="1"/>
  <c r="AB17" i="1"/>
  <c r="AB18" i="1"/>
  <c r="Y17" i="1"/>
  <c r="Y18" i="1"/>
  <c r="AG16" i="1" l="1"/>
  <c r="AE51" i="19"/>
  <c r="AI16" i="1" l="1"/>
  <c r="AH16" i="1"/>
  <c r="AL16" i="1" s="1"/>
  <c r="Q15" i="1" l="1"/>
  <c r="AG15" i="1" s="1"/>
  <c r="U15" i="1"/>
  <c r="Q18"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G17" i="1" l="1"/>
  <c r="AI17" i="1" s="1"/>
  <c r="AH15" i="1"/>
  <c r="AI15" i="1"/>
  <c r="AG18" i="1"/>
  <c r="AI18" i="1" s="1"/>
  <c r="AI53" i="19"/>
  <c r="AN13" i="18"/>
  <c r="AN29" i="18"/>
  <c r="AN37" i="18"/>
  <c r="AN21" i="18"/>
  <c r="AN45" i="18"/>
  <c r="AH17" i="1" l="1"/>
  <c r="AH18" i="1"/>
  <c r="F29" i="27"/>
  <c r="E29" i="27"/>
  <c r="G29" i="27" s="1"/>
  <c r="P23"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8" i="1" l="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K18" i="1" l="1"/>
  <c r="AJ18" i="1" s="1"/>
  <c r="M52" i="19" s="1"/>
  <c r="Z43" i="18"/>
  <c r="T15" i="1"/>
  <c r="AK17" i="1" s="1"/>
  <c r="AJ17" i="1" s="1"/>
  <c r="AL17"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L18" i="1"/>
  <c r="AE12" i="19"/>
  <c r="AK15" i="1"/>
  <c r="AJ15" i="1" s="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Stefany Parra</author>
  </authors>
  <commentList>
    <comment ref="F13" authorId="0" shapeId="0" xr:uid="{31DE014E-1502-4058-AF14-D12B122223C2}">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Tu versión de Excel te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1816B48D-01BB-448B-AFCC-2FEDB756BA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O15" authorId="7" shapeId="0" xr:uid="{9FD6E16C-D0E9-F14E-A5E8-E7511DF7DAC3}">
      <text>
        <r>
          <rPr>
            <b/>
            <sz val="10"/>
            <color rgb="FF000000"/>
            <rFont val="Tahoma"/>
            <family val="2"/>
          </rPr>
          <t>Stefany Parra:</t>
        </r>
        <r>
          <rPr>
            <sz val="10"/>
            <color rgb="FF000000"/>
            <rFont val="Tahoma"/>
            <family val="2"/>
          </rPr>
          <t xml:space="preserve">
</t>
        </r>
        <r>
          <rPr>
            <sz val="10"/>
            <color rgb="FF000000"/>
            <rFont val="Tahoma"/>
            <family val="2"/>
          </rPr>
          <t>número de actividades de comunicación con egresados realizadas durante la vigencia 2025</t>
        </r>
      </text>
    </comment>
  </commentList>
</comments>
</file>

<file path=xl/sharedStrings.xml><?xml version="1.0" encoding="utf-8"?>
<sst xmlns="http://schemas.openxmlformats.org/spreadsheetml/2006/main" count="722" uniqueCount="451">
  <si>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</si>
  <si>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</si>
  <si>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</si>
  <si>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</si>
  <si>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</si>
  <si>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</si>
  <si>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</si>
  <si>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</si>
  <si>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</si>
  <si>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</si>
  <si>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</si>
  <si>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</si>
  <si>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</si>
  <si>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</si>
  <si>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</si>
  <si>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</si>
  <si>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</si>
  <si>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</si>
  <si>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</si>
  <si>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</si>
  <si>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</si>
  <si>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</si>
  <si>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</si>
  <si>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</si>
  <si>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</si>
  <si>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</si>
  <si>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</si>
  <si>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</si>
  <si>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</si>
  <si>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</si>
  <si>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</si>
  <si>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</si>
  <si>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</si>
  <si>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</si>
  <si>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</si>
  <si>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</si>
  <si>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</si>
  <si>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</si>
  <si>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</si>
  <si>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</si>
  <si>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</si>
  <si>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</si>
  <si>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Objetivo:</t>
  </si>
  <si>
    <t>Alcance:</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</si>
  <si>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</si>
  <si>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</si>
  <si>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</si>
  <si>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</si>
  <si>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</si>
  <si>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</si>
  <si>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</si>
  <si>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</si>
  <si>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</si>
  <si>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</si>
  <si>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</si>
  <si>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</si>
  <si>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</si>
  <si>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</si>
  <si>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</si>
  <si>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</si>
  <si>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</si>
  <si>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</si>
  <si>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</si>
  <si>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</si>
  <si>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</si>
  <si>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</si>
  <si>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</si>
  <si>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</si>
  <si>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</si>
  <si>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</si>
  <si>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</si>
  <si>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</si>
  <si>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</si>
  <si>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</si>
  <si>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</si>
  <si>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</si>
  <si>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</si>
  <si>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</si>
  <si>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</si>
  <si>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</si>
  <si>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</si>
  <si>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</si>
  <si>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</si>
  <si>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</si>
  <si>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</si>
  <si>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</si>
  <si>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</si>
  <si>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Evidencias de la ejecución del Control </t>
  </si>
  <si>
    <t xml:space="preserve">
Avance de Ejecución de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</si>
  <si>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</si>
  <si>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</si>
  <si>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</si>
  <si>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</si>
  <si>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</si>
  <si>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</si>
  <si>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</si>
  <si>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</si>
  <si>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</si>
  <si>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</si>
  <si>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</si>
  <si>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</si>
  <si>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Corrupción</t>
  </si>
  <si>
    <t>Detectivo</t>
  </si>
  <si>
    <t>Reducir (mitigar)</t>
  </si>
  <si>
    <t>NA</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</si>
  <si>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</si>
  <si>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</si>
  <si>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</si>
  <si>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</si>
  <si>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</si>
  <si>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</si>
  <si>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</si>
  <si>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</si>
  <si>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</si>
  <si>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</si>
  <si>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</si>
  <si>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</si>
  <si>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</si>
  <si>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</si>
  <si>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</si>
  <si>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</si>
  <si>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</si>
  <si>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</si>
  <si>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</si>
  <si>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</si>
  <si>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</si>
  <si>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</si>
  <si>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</si>
  <si>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</si>
  <si>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</si>
  <si>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</si>
  <si>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</si>
  <si>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Moderado (Corrupción)</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</si>
  <si>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</si>
  <si>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</si>
  <si>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</si>
  <si>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</si>
  <si>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</si>
  <si>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</si>
  <si>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</si>
  <si>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</si>
  <si>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</si>
  <si>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</si>
  <si>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</si>
  <si>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Gestión</t>
  </si>
  <si>
    <t>•	Procesos</t>
  </si>
  <si>
    <t>Económico</t>
  </si>
  <si>
    <t>Recursos Públicos</t>
  </si>
  <si>
    <t>Evento externo</t>
  </si>
  <si>
    <t>Daños Activos Fisicos</t>
  </si>
  <si>
    <t>Información</t>
  </si>
  <si>
    <t>Confidencialidad</t>
  </si>
  <si>
    <t>Preventivo</t>
  </si>
  <si>
    <t>Automático</t>
  </si>
  <si>
    <t>Documentado</t>
  </si>
  <si>
    <t>Continua</t>
  </si>
  <si>
    <t>Registro Sustancial</t>
  </si>
  <si>
    <t>Aceptar</t>
  </si>
  <si>
    <t>Finalizado</t>
  </si>
  <si>
    <t>•	Talento humano</t>
  </si>
  <si>
    <t>Reputacional</t>
  </si>
  <si>
    <t>Bienes Públicos</t>
  </si>
  <si>
    <t>Financiero</t>
  </si>
  <si>
    <t>Ejecucion y Administracion de procesos</t>
  </si>
  <si>
    <t xml:space="preserve">Software </t>
  </si>
  <si>
    <t>Disponibilidad</t>
  </si>
  <si>
    <t>Manual</t>
  </si>
  <si>
    <t>Sin Documentar</t>
  </si>
  <si>
    <t>Aleatoria</t>
  </si>
  <si>
    <t>Registro Material</t>
  </si>
  <si>
    <t>Evitar</t>
  </si>
  <si>
    <t>En curso</t>
  </si>
  <si>
    <t>Fiscal</t>
  </si>
  <si>
    <t>•	Tecnología</t>
  </si>
  <si>
    <t>Económico y Reputacional</t>
  </si>
  <si>
    <t>Intereses Patrimoniales de Naturaleza Pública</t>
  </si>
  <si>
    <t>Infraestructura</t>
  </si>
  <si>
    <t>Fallas Tecnologicas</t>
  </si>
  <si>
    <t>Hardware</t>
  </si>
  <si>
    <t>Integridad</t>
  </si>
  <si>
    <t>Correctivo</t>
  </si>
  <si>
    <t>Sin registro</t>
  </si>
  <si>
    <t>Reducir</t>
  </si>
  <si>
    <t>•	Infraestructura</t>
  </si>
  <si>
    <t>Procesos</t>
  </si>
  <si>
    <t>Fraude Externo</t>
  </si>
  <si>
    <t>Servicios</t>
  </si>
  <si>
    <t>NO APLICA</t>
  </si>
  <si>
    <t>•	Evento externo</t>
  </si>
  <si>
    <t>Talento humano</t>
  </si>
  <si>
    <t>Fraude Interno</t>
  </si>
  <si>
    <t>Intangibles</t>
  </si>
  <si>
    <t>Reducir (compartir)</t>
  </si>
  <si>
    <t>Tecnología</t>
  </si>
  <si>
    <t>Relaciones Laborales</t>
  </si>
  <si>
    <t>Componentes
de red</t>
  </si>
  <si>
    <t>Usuarios, productos y practicas , organizacionales</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</si>
  <si>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</si>
  <si>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</si>
  <si>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</si>
  <si>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</si>
  <si>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</si>
  <si>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</si>
  <si>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</si>
  <si>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</si>
  <si>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</si>
  <si>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</si>
  <si>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</si>
  <si>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</si>
  <si>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</si>
  <si>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</si>
  <si>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</si>
  <si>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</si>
  <si>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</si>
  <si>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</si>
  <si>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</si>
  <si>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</si>
  <si>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</si>
  <si>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</si>
  <si>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</si>
  <si>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</si>
  <si>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</si>
  <si>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</si>
  <si>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</si>
  <si>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</si>
  <si>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</si>
  <si>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</si>
  <si>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</si>
  <si>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</si>
  <si>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</si>
  <si>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</si>
  <si>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</si>
  <si>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</si>
  <si>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</si>
  <si>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</si>
  <si>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</si>
  <si>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</si>
  <si>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</si>
  <si>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</si>
  <si>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</si>
  <si>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</si>
  <si>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</si>
  <si>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</si>
  <si>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</si>
  <si>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</si>
  <si>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</si>
  <si>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</si>
  <si>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</si>
  <si>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</si>
  <si>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</si>
  <si>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</si>
  <si>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</si>
  <si>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</si>
  <si>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</si>
  <si>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</si>
  <si>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</si>
  <si>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</si>
  <si>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</si>
  <si>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</si>
  <si>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</si>
  <si>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</si>
  <si>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</si>
  <si>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</si>
  <si>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</si>
  <si>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</si>
  <si>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</si>
  <si>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</si>
  <si>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</si>
  <si>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</si>
  <si>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</si>
  <si>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</si>
  <si>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</si>
  <si>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</si>
  <si>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</si>
  <si>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</si>
  <si>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</si>
  <si>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</si>
  <si>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</si>
  <si>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</si>
  <si>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t>X</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</si>
  <si>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</si>
  <si>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</si>
  <si>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</si>
  <si>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</si>
  <si>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</si>
  <si>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</si>
  <si>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</si>
  <si>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</si>
  <si>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</si>
  <si>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</si>
  <si>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</si>
  <si>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</si>
  <si>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</si>
  <si>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</si>
  <si>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</si>
  <si>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</si>
  <si>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</si>
  <si>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</si>
  <si>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</si>
  <si>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</si>
  <si>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</si>
  <si>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</si>
  <si>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</si>
  <si>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</si>
  <si>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</si>
  <si>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</si>
  <si>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</si>
  <si>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</si>
  <si>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</si>
  <si>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</si>
  <si>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</si>
  <si>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</si>
  <si>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</si>
  <si>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</si>
  <si>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</si>
  <si>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</si>
  <si>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</si>
  <si>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</si>
  <si>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</si>
  <si>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</si>
  <si>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</si>
  <si>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</si>
  <si>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</si>
  <si>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</si>
  <si>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</si>
  <si>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</si>
  <si>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</si>
  <si>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</si>
  <si>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</si>
  <si>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</si>
  <si>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</si>
  <si>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</si>
  <si>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</si>
  <si>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</si>
  <si>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</si>
  <si>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</si>
  <si>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</si>
  <si>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</si>
  <si>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</si>
  <si>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</si>
  <si>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</si>
  <si>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</si>
  <si>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</si>
  <si>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</si>
  <si>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</si>
  <si>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</si>
  <si>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</si>
  <si>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</si>
  <si>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</si>
  <si>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</si>
  <si>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</si>
  <si>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</si>
  <si>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</si>
  <si>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</si>
  <si>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</si>
  <si>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</si>
  <si>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</si>
  <si>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</si>
  <si>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</si>
  <si>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</si>
  <si>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</si>
  <si>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</si>
  <si>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</si>
  <si>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</si>
  <si>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</si>
  <si>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</si>
  <si>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</si>
  <si>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</si>
  <si>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</si>
  <si>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</si>
  <si>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</si>
  <si>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</si>
  <si>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</si>
  <si>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</si>
  <si>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</si>
  <si>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</si>
  <si>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</si>
  <si>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</si>
  <si>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</si>
  <si>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</si>
  <si>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</si>
  <si>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</si>
  <si>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</si>
  <si>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</si>
  <si>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</si>
  <si>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</si>
  <si>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</si>
  <si>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</si>
  <si>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</si>
  <si>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</si>
  <si>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</si>
  <si>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</si>
  <si>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</si>
  <si>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</si>
  <si>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</si>
  <si>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</si>
  <si>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</si>
  <si>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</si>
  <si>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</si>
  <si>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</si>
  <si>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</si>
  <si>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</si>
  <si>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</si>
  <si>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</si>
  <si>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</si>
  <si>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</si>
  <si>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</si>
  <si>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</si>
  <si>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</si>
  <si>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</si>
  <si>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</si>
  <si>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</si>
  <si>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</si>
  <si>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</si>
  <si>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</si>
  <si>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</si>
  <si>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</si>
  <si>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</si>
  <si>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Debilidades en los canales institucionales de comunicación y relacionamiento con los egresados.</t>
  </si>
  <si>
    <r>
      <t xml:space="preserve">El líder del proceso o a quien se designe, en articulación con el área de Registro y Control, </t>
    </r>
    <r>
      <rPr>
        <b/>
        <sz val="10"/>
        <rFont val="Arial Narrow"/>
        <family val="2"/>
      </rPr>
      <t>verifican</t>
    </r>
    <r>
      <rPr>
        <sz val="10"/>
        <rFont val="Arial Narrow"/>
        <family val="2"/>
      </rPr>
      <t xml:space="preserve"> </t>
    </r>
    <r>
      <rPr>
        <sz val="10"/>
        <color theme="1"/>
        <rFont val="Arial Narrow"/>
        <family val="2"/>
      </rPr>
      <t>semestralmente la a</t>
    </r>
    <r>
      <rPr>
        <sz val="10"/>
        <rFont val="Arial Narrow"/>
        <family val="2"/>
      </rPr>
      <t xml:space="preserve">pertura y diligenciamiento de la encuesta OLE e institucional durante el proceso de graduación, mediante el </t>
    </r>
    <r>
      <rPr>
        <b/>
        <sz val="10"/>
        <rFont val="Arial Narrow"/>
        <family val="2"/>
      </rPr>
      <t xml:space="preserve">seguimiento al registro </t>
    </r>
    <r>
      <rPr>
        <sz val="10"/>
        <rFont val="Arial Narrow"/>
        <family val="2"/>
      </rPr>
      <t xml:space="preserve">de estudiantes graduandos y la </t>
    </r>
    <r>
      <rPr>
        <b/>
        <sz val="10"/>
        <rFont val="Arial Narrow"/>
        <family val="2"/>
      </rPr>
      <t xml:space="preserve">validación de respuestas registradas </t>
    </r>
    <r>
      <rPr>
        <sz val="10"/>
        <rFont val="Arial Narrow"/>
        <family val="2"/>
      </rPr>
      <t xml:space="preserve">en las plataformas correspondientes, con el fin de fortalecer la actualización y trazabilidad de la información de los egresados.
En caso de evidenciar estudiantes que no hayan diligenciado las encuestas, </t>
    </r>
    <r>
      <rPr>
        <u/>
        <sz val="10"/>
        <rFont val="Arial Narrow"/>
        <family val="2"/>
      </rPr>
      <t>se remite notificación y recordatorio a través del correo institucional</t>
    </r>
    <r>
      <rPr>
        <sz val="10"/>
        <rFont val="Arial Narrow"/>
        <family val="2"/>
      </rPr>
      <t>, dejando registro del seguimiento realizado.</t>
    </r>
  </si>
  <si>
    <t>Muestra de los correos electrónicos con la validación de cumplimiento de requisitos para paz y salvo por estudiante próximo a graduarse
Excel con el consolidado de los Paz y Salvo de las cohortes de graduación
Muestra de los correos electrónicos enviados a los postulantes de graduación con el recordatorio de diligenciamiento</t>
  </si>
  <si>
    <t xml:space="preserve">Correo dirigido a Comunicaciones con la solicitud de publicación de eventos y actividades en la página web institucional 
Muenstra de los correos electrónicos dirigidos a las partes interesadas con información de los eventos y actividades </t>
  </si>
  <si>
    <r>
      <t xml:space="preserve">El líder del proceso o a quien designe </t>
    </r>
    <r>
      <rPr>
        <b/>
        <sz val="10"/>
        <rFont val="Arial Narrow"/>
        <family val="2"/>
      </rPr>
      <t xml:space="preserve">gestionan </t>
    </r>
    <r>
      <rPr>
        <sz val="10"/>
        <rFont val="Arial Narrow"/>
        <family val="2"/>
      </rPr>
      <t xml:space="preserve">permanentemente la </t>
    </r>
    <r>
      <rPr>
        <b/>
        <sz val="10"/>
        <rFont val="Arial Narrow"/>
        <family val="2"/>
      </rPr>
      <t>divulgación</t>
    </r>
    <r>
      <rPr>
        <sz val="10"/>
        <rFont val="Arial Narrow"/>
        <family val="2"/>
      </rPr>
      <t xml:space="preserve"> de eventos y actividades dirigidas a egresados, mediante redes sociales institucionales y los mecanismos oficiales de comunicación establecidos, con el fin de fortalecer la interacción y participación de los egresados con la institución.
En caso de identificar baja cobertura o ausencia de respuesta por parte de los egresados, se realizan </t>
    </r>
    <r>
      <rPr>
        <b/>
        <sz val="10"/>
        <rFont val="Arial Narrow"/>
        <family val="2"/>
      </rPr>
      <t>comunicaciones adicionales</t>
    </r>
    <r>
      <rPr>
        <sz val="10"/>
        <rFont val="Arial Narrow"/>
        <family val="2"/>
      </rPr>
      <t xml:space="preserve"> a través de correos autorizados y otros canales institucionales, dejando evidencia de las acciones de difusión efectuadas.</t>
    </r>
  </si>
  <si>
    <t>Posibilidad de afectación reputacional por la baja interacción y retroalimentación de los egresados con la instituciónon debido a debilidades en las estrategias institucionales para el seguimiento y relacionamiento con egresados</t>
  </si>
  <si>
    <t>Debilidades en las estrategias institucionales para el seguimiento y relacionamiento con egresados.</t>
  </si>
  <si>
    <r>
      <t>El líder del proceso anualmente promueve la participación de los egresados en los cuerpos colegiados de la institución, especialmente en los consejos de facultad,</t>
    </r>
    <r>
      <rPr>
        <b/>
        <sz val="10"/>
        <rFont val="Arial Narrow"/>
        <family val="2"/>
      </rPr>
      <t xml:space="preserve"> mediante convocatorias y socialización de los espacios </t>
    </r>
    <r>
      <rPr>
        <sz val="10"/>
        <rFont val="Arial Narrow"/>
        <family val="2"/>
      </rPr>
      <t>de representación institucional, con el fin de fortalecer el relacionamiento y la retroalimentación entre los egresados y la ETITC.
En caso de evidenciar baja participación, se implementan estrategias adicionales de divulgación y convocatoria, dejando registro de las acciones realizadas.</t>
    </r>
  </si>
  <si>
    <t xml:space="preserve">Correos electrónicos con las convocatorias para ser parte de los cuerpos colegiados
Soportes de las acciones adicionales que se implementen </t>
  </si>
  <si>
    <t>Sin documentar</t>
  </si>
  <si>
    <t>Resolución XXXX</t>
  </si>
  <si>
    <t>Líder de proceso</t>
  </si>
  <si>
    <t>Gestionar la implementación de la licencia de ADVISER para el módulo de egresados</t>
  </si>
  <si>
    <t>Actas de reunión, cotización y estudios previos para la adquisición de la licencia</t>
  </si>
  <si>
    <t>Durante la vigencia 2026</t>
  </si>
  <si>
    <t>Definir e implementar un plan de trabajo con las actividades a realizar con los egresados durante la vigencia</t>
  </si>
  <si>
    <t>Plan de trabajo</t>
  </si>
  <si>
    <t>Evidencias de la ejecución del Plan de Tratamiento</t>
  </si>
  <si>
    <t>Avance de Ejecución de Control(es)</t>
  </si>
  <si>
    <t>A3 - Perdida de Información por Hacker Informáticos</t>
  </si>
  <si>
    <t xml:space="preserve">Ingresar a links de Correos mal intencionados y se puede causar dicha acción de daño cibernético </t>
  </si>
  <si>
    <t xml:space="preserve">El profesional del área y sus colaboradores deben realizar reporte de correos desconocidos o mal intencionados a la mesa de ayuda , para mitigar el daño en los sistemas de información </t>
  </si>
  <si>
    <t xml:space="preserve">Código asignado por Mesa de Ayuda </t>
  </si>
  <si>
    <t>GIT-PC-08 Procedimiento Gestión de Servicios de TI</t>
  </si>
  <si>
    <t xml:space="preserve">Realizar el reporte los correo, mensajes y otros  que sean sospechosos y afecten la calidad del servicio </t>
  </si>
  <si>
    <t xml:space="preserve">Profesional de Egresados </t>
  </si>
  <si>
    <t>Correo electrónico</t>
  </si>
  <si>
    <t>31/04/2026</t>
  </si>
  <si>
    <t xml:space="preserve">Posibilidad de afectación reputacional por ataques de tipo cibernéticos o fuentes externas debido a la falta de sensibilización de las políticas de seguridad de la información </t>
  </si>
  <si>
    <t>Fortalecer los lazos de fraternidad entre los graduados y la institución estructurando un sistema de comunicación permanente y efectivo que facilite la realimentación de los graduados con la Escuela Tecnológica ITC de acuerdo a los conocimientos adquiridos frente a las necesidades de la empresa donde presta sus servicios para mejorar su competitividad, contribuir a su cohesión social con su participación de conocimientos e las necesidades personales, sociales y profesionales.</t>
  </si>
  <si>
    <t>Egresados</t>
  </si>
  <si>
    <t>Desde la caracterización de egresados, hasta el informe de gestión donde se evidencie la ejecución de las estrategias implementadas con la comunidad de egresados.</t>
  </si>
  <si>
    <r>
      <rPr>
        <b/>
        <sz val="14"/>
        <rFont val="Arial"/>
        <family val="2"/>
      </rPr>
      <t>LIDER DEL PROCESO:</t>
    </r>
    <r>
      <rPr>
        <sz val="14"/>
        <rFont val="Arial"/>
        <family val="2"/>
      </rPr>
      <t xml:space="preserve"> John Freddy Ortegate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</si>
</sst>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07">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family val="2"/>
      <scheme val="minor"/>
    </font>
    <font>
      <b/>
      <sz val="11"/>
      <name val="Arial"/>
      <family val="2"/>
    </font>
    <font>
      <b/>
      <sz val="10"/>
      <color rgb="FF000000"/>
      <name val="Arial"/>
      <family val="2"/>
    </font>
    <font>
      <sz val="11"/>
      <color rgb="FF000000"/>
      <name val="Calibri"/>
      <family val="2"/>
    </font>
    <font>
      <sz val="10"/>
      <color rgb="FF000000"/>
      <name val="Tahoma"/>
      <family val="2"/>
    </font>
    <font>
      <b/>
      <sz val="10"/>
      <color rgb="FF000000"/>
      <name val="Tahoma"/>
      <family val="2"/>
    </font>
    <font>
      <sz val="10"/>
      <color theme="1"/>
      <name val="Arial Narrow"/>
      <family val="2"/>
    </font>
    <font>
      <u/>
      <sz val="10"/>
      <name val="Arial Narrow"/>
      <family val="2"/>
    </font>
    <font>
      <sz val="11"/>
      <color theme="1"/>
      <name val="Arial Narrow"/>
      <family val="2"/>
    </font>
    <font>
      <sz val="10"/>
      <color rgb="FFFF0000"/>
      <name val="Arial"/>
      <family val="2"/>
    </font>
  </fonts>
  <fills count="29">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6" tint="0.79998168889431442"/>
        <bgColor indexed="64"/>
      </patternFill>
    </fill>
    <fill>
      <patternFill patternType="solid">
        <fgColor theme="6" tint="-0.249977111117893"/>
        <bgColor indexed="64"/>
      </patternFill>
    </fill>
  </fills>
  <borders count="114">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cellStyleXfs>
  <cellXfs count="663">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3" fillId="16" borderId="21" xfId="0" applyFont="1" applyFill="1" applyBorder="1" applyAlignment="1">
      <alignment horizontal="center" vertical="center" wrapText="1"/>
    </xf>
    <xf numFmtId="0" fontId="90" fillId="0" borderId="0" xfId="0" applyFont="1" applyAlignment="1">
      <alignment horizontal="center" vertical="center" wrapText="1"/>
    </xf>
    <xf numFmtId="0" fontId="90" fillId="0" borderId="21" xfId="0" applyFont="1" applyBorder="1" applyAlignment="1">
      <alignment horizontal="center" vertical="center" wrapText="1"/>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164" fontId="90" fillId="0" borderId="21" xfId="1" applyNumberFormat="1" applyFont="1" applyBorder="1" applyAlignment="1">
      <alignment horizontal="center" vertical="center" wrapText="1"/>
    </xf>
    <xf numFmtId="0" fontId="95" fillId="0" borderId="21" xfId="0" applyFont="1" applyBorder="1" applyAlignment="1" applyProtection="1">
      <alignment horizontal="center" vertical="center" textRotation="90" wrapText="1"/>
      <protection hidden="1"/>
    </xf>
    <xf numFmtId="0" fontId="90" fillId="3" borderId="0" xfId="0" applyFont="1" applyFill="1" applyAlignment="1">
      <alignment horizontal="center" vertical="center" wrapText="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84" fillId="16" borderId="21" xfId="0" applyFont="1" applyFill="1" applyBorder="1" applyAlignment="1">
      <alignment horizontal="center" vertical="center" textRotation="90"/>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6" fillId="3" borderId="0" xfId="5" applyNumberFormat="1" applyFill="1" applyAlignment="1">
      <alignment horizontal="center" vertical="center" wrapText="1"/>
    </xf>
    <xf numFmtId="0" fontId="96" fillId="3" borderId="0" xfId="5" applyFill="1" applyAlignment="1">
      <alignment horizontal="center" vertical="center" wrapText="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83" fillId="3" borderId="0" xfId="0" applyFont="1" applyFill="1" applyAlignment="1">
      <alignment horizontal="center" vertical="center"/>
    </xf>
    <xf numFmtId="0" fontId="84" fillId="16" borderId="63" xfId="0" applyFont="1" applyFill="1" applyBorder="1" applyAlignment="1">
      <alignment horizontal="center" vertical="center"/>
    </xf>
    <xf numFmtId="0" fontId="90" fillId="25" borderId="21" xfId="0" applyFont="1" applyFill="1" applyBorder="1" applyAlignment="1" applyProtection="1">
      <alignment horizontal="center" vertical="center" wrapText="1"/>
      <protection locked="0"/>
    </xf>
    <xf numFmtId="0" fontId="90" fillId="17" borderId="21" xfId="0" applyFont="1" applyFill="1" applyBorder="1" applyAlignment="1">
      <alignment horizontal="center" vertical="center" wrapText="1"/>
    </xf>
    <xf numFmtId="14" fontId="96" fillId="17" borderId="21" xfId="5" applyNumberFormat="1" applyFill="1" applyBorder="1" applyAlignment="1">
      <alignment horizontal="center" vertical="center" wrapText="1"/>
    </xf>
    <xf numFmtId="0" fontId="96" fillId="17" borderId="21" xfId="5" applyFill="1" applyBorder="1" applyAlignment="1">
      <alignment horizontal="center" vertical="center" wrapText="1"/>
    </xf>
    <xf numFmtId="0" fontId="99" fillId="0" borderId="21" xfId="0" applyFont="1" applyBorder="1" applyAlignment="1">
      <alignment horizontal="left" vertical="center"/>
    </xf>
    <xf numFmtId="0" fontId="45" fillId="0" borderId="21" xfId="0" quotePrefix="1" applyFont="1" applyBorder="1" applyAlignment="1" applyProtection="1">
      <alignment horizontal="left" vertical="center" wrapText="1"/>
      <protection locked="0"/>
    </xf>
    <xf numFmtId="0" fontId="106" fillId="0" borderId="101" xfId="0" applyFont="1" applyBorder="1" applyAlignment="1" applyProtection="1">
      <alignment horizontal="center" vertical="center" wrapText="1"/>
      <protection locked="0"/>
    </xf>
    <xf numFmtId="0" fontId="1" fillId="0" borderId="21" xfId="0" applyFont="1" applyBorder="1" applyAlignment="1" applyProtection="1">
      <alignment vertical="center" wrapText="1"/>
      <protection locked="0"/>
    </xf>
    <xf numFmtId="14" fontId="1" fillId="0" borderId="21" xfId="0" applyNumberFormat="1" applyFont="1" applyBorder="1" applyAlignment="1" applyProtection="1">
      <alignment vertical="center" wrapText="1"/>
      <protection locked="0"/>
    </xf>
    <xf numFmtId="14" fontId="1" fillId="0" borderId="21" xfId="0" applyNumberFormat="1" applyFont="1" applyBorder="1" applyAlignment="1" applyProtection="1">
      <alignment horizontal="center" vertical="center" wrapText="1"/>
      <protection locked="0"/>
    </xf>
    <xf numFmtId="14" fontId="1" fillId="0" borderId="21" xfId="0" applyNumberFormat="1" applyFont="1" applyBorder="1" applyAlignment="1" applyProtection="1">
      <alignment horizontal="left" vertical="center" wrapText="1"/>
      <protection locked="0"/>
    </xf>
    <xf numFmtId="14" fontId="90" fillId="27" borderId="21" xfId="0" applyNumberFormat="1" applyFont="1" applyFill="1" applyBorder="1" applyAlignment="1" applyProtection="1">
      <alignment horizontal="center" vertical="center" wrapText="1"/>
      <protection locked="0"/>
    </xf>
    <xf numFmtId="0" fontId="1" fillId="0" borderId="101" xfId="0" applyFont="1" applyBorder="1" applyAlignment="1" applyProtection="1">
      <alignment horizontal="center" vertical="center" wrapText="1"/>
      <protection locked="0"/>
    </xf>
    <xf numFmtId="0" fontId="95" fillId="0" borderId="101" xfId="0" applyFont="1" applyBorder="1" applyAlignment="1" applyProtection="1">
      <alignment horizontal="center" vertical="center" wrapText="1"/>
      <protection hidden="1"/>
    </xf>
    <xf numFmtId="0" fontId="90" fillId="0" borderId="101" xfId="0" applyFont="1" applyBorder="1" applyAlignment="1" applyProtection="1">
      <alignment horizontal="center" vertical="center" textRotation="90" wrapText="1"/>
      <protection locked="0"/>
    </xf>
    <xf numFmtId="9" fontId="90" fillId="0" borderId="101" xfId="0" applyNumberFormat="1" applyFont="1" applyBorder="1" applyAlignment="1" applyProtection="1">
      <alignment horizontal="center" vertical="center" wrapText="1"/>
      <protection hidden="1"/>
    </xf>
    <xf numFmtId="9" fontId="90" fillId="0" borderId="101" xfId="0" applyNumberFormat="1" applyFont="1" applyBorder="1" applyAlignment="1" applyProtection="1">
      <alignment horizontal="center" vertical="center" wrapText="1"/>
      <protection locked="0"/>
    </xf>
    <xf numFmtId="0" fontId="90" fillId="0" borderId="101" xfId="0" applyFont="1" applyBorder="1" applyAlignment="1" applyProtection="1">
      <alignment horizontal="center" vertical="center" wrapText="1"/>
      <protection locked="0"/>
    </xf>
    <xf numFmtId="0" fontId="90" fillId="0" borderId="101" xfId="0" applyFont="1" applyBorder="1" applyAlignment="1">
      <alignment horizontal="center" vertical="center" wrapText="1"/>
    </xf>
    <xf numFmtId="0" fontId="95" fillId="0" borderId="101" xfId="0" applyFont="1" applyBorder="1" applyAlignment="1">
      <alignment horizontal="center" vertical="center" wrapText="1"/>
    </xf>
    <xf numFmtId="0" fontId="98" fillId="0" borderId="101" xfId="0" applyFont="1" applyBorder="1" applyAlignment="1" applyProtection="1">
      <alignment horizontal="center" vertical="center" wrapText="1"/>
      <protection hidden="1"/>
    </xf>
    <xf numFmtId="0" fontId="90" fillId="17" borderId="101" xfId="0" applyFont="1" applyFill="1" applyBorder="1" applyAlignment="1">
      <alignment horizontal="center" vertical="center" wrapText="1"/>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97" fillId="0" borderId="111" xfId="0" applyFont="1" applyBorder="1" applyAlignment="1">
      <alignment horizontal="center" wrapText="1"/>
    </xf>
    <xf numFmtId="0" fontId="97" fillId="0" borderId="112" xfId="0" applyFont="1" applyBorder="1" applyAlignment="1">
      <alignment horizontal="center" wrapText="1"/>
    </xf>
    <xf numFmtId="0" fontId="97" fillId="0" borderId="113" xfId="0" applyFont="1" applyBorder="1" applyAlignment="1">
      <alignment horizont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0" fillId="0" borderId="103" xfId="0" applyBorder="1" applyAlignment="1">
      <alignment horizontal="left" wrapText="1"/>
    </xf>
    <xf numFmtId="0" fontId="0" fillId="0" borderId="103" xfId="0" applyBorder="1" applyAlignment="1">
      <alignment horizontal="left"/>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84" fillId="16" borderId="101" xfId="0" applyFont="1" applyFill="1" applyBorder="1" applyAlignment="1">
      <alignment horizontal="center" vertical="center" textRotation="90"/>
    </xf>
    <xf numFmtId="0" fontId="84" fillId="16" borderId="102" xfId="0" applyFont="1" applyFill="1" applyBorder="1" applyAlignment="1">
      <alignment horizontal="center" vertical="center" textRotation="90"/>
    </xf>
    <xf numFmtId="0" fontId="84" fillId="16" borderId="22" xfId="0" applyFont="1" applyFill="1" applyBorder="1" applyAlignment="1">
      <alignment horizontal="center" vertical="center" textRotation="90"/>
    </xf>
    <xf numFmtId="0" fontId="76" fillId="0" borderId="0" xfId="0" applyFont="1" applyAlignment="1">
      <alignment horizontal="center"/>
    </xf>
    <xf numFmtId="0" fontId="76" fillId="0" borderId="72" xfId="0" applyFont="1" applyBorder="1" applyAlignment="1">
      <alignment horizontal="center"/>
    </xf>
    <xf numFmtId="0" fontId="84" fillId="16" borderId="101" xfId="0" applyFont="1" applyFill="1" applyBorder="1" applyAlignment="1">
      <alignment horizontal="center" vertical="center"/>
    </xf>
    <xf numFmtId="0" fontId="84" fillId="16" borderId="22" xfId="0" applyFont="1" applyFill="1" applyBorder="1" applyAlignment="1">
      <alignment horizontal="center" vertical="center"/>
    </xf>
    <xf numFmtId="0" fontId="84" fillId="16" borderId="101" xfId="0" applyFont="1" applyFill="1" applyBorder="1" applyAlignment="1">
      <alignment horizontal="center" vertical="center" wrapText="1"/>
    </xf>
    <xf numFmtId="0" fontId="84" fillId="16" borderId="22" xfId="0" applyFont="1" applyFill="1" applyBorder="1" applyAlignment="1">
      <alignment horizontal="center" vertical="center" wrapText="1"/>
    </xf>
    <xf numFmtId="0" fontId="84" fillId="16" borderId="21" xfId="0" applyFont="1" applyFill="1" applyBorder="1" applyAlignment="1">
      <alignment horizontal="center" vertical="center" textRotation="90" wrapText="1"/>
    </xf>
    <xf numFmtId="0" fontId="84" fillId="16" borderId="21" xfId="0" applyFont="1" applyFill="1" applyBorder="1" applyAlignment="1">
      <alignment horizontal="center" vertical="center" wrapText="1"/>
    </xf>
    <xf numFmtId="0" fontId="84" fillId="16" borderId="21" xfId="0" applyFont="1" applyFill="1" applyBorder="1" applyAlignment="1">
      <alignment horizontal="center" vertical="center"/>
    </xf>
    <xf numFmtId="0" fontId="90" fillId="0" borderId="101" xfId="0" applyFont="1" applyBorder="1" applyAlignment="1" applyProtection="1">
      <alignment horizontal="center" vertical="center" wrapText="1"/>
      <protection locked="0"/>
    </xf>
    <xf numFmtId="0" fontId="90" fillId="0" borderId="102" xfId="0" applyFont="1" applyBorder="1" applyAlignment="1" applyProtection="1">
      <alignment horizontal="center" vertical="center" wrapText="1"/>
      <protection locked="0"/>
    </xf>
    <xf numFmtId="0" fontId="90" fillId="0" borderId="22" xfId="0" applyFont="1" applyBorder="1" applyAlignment="1" applyProtection="1">
      <alignment horizontal="center" vertical="center" wrapText="1"/>
      <protection locked="0"/>
    </xf>
    <xf numFmtId="0" fontId="90" fillId="17" borderId="101" xfId="0" applyFont="1" applyFill="1" applyBorder="1" applyAlignment="1" applyProtection="1">
      <alignment horizontal="center" vertical="center" wrapText="1"/>
      <protection locked="0"/>
    </xf>
    <xf numFmtId="0" fontId="90" fillId="17" borderId="102" xfId="0" applyFont="1" applyFill="1" applyBorder="1" applyAlignment="1" applyProtection="1">
      <alignment horizontal="center" vertical="center" wrapText="1"/>
      <protection locked="0"/>
    </xf>
    <xf numFmtId="0" fontId="90" fillId="17" borderId="22" xfId="0" applyFont="1" applyFill="1" applyBorder="1" applyAlignment="1" applyProtection="1">
      <alignment horizontal="center" vertical="center" wrapText="1"/>
      <protection locked="0"/>
    </xf>
    <xf numFmtId="0" fontId="95" fillId="0" borderId="101" xfId="0" applyFont="1" applyBorder="1" applyAlignment="1">
      <alignment horizontal="center" vertical="center" wrapText="1"/>
    </xf>
    <xf numFmtId="0" fontId="95" fillId="0" borderId="102" xfId="0" applyFont="1" applyBorder="1" applyAlignment="1">
      <alignment horizontal="center" vertical="center" wrapText="1"/>
    </xf>
    <xf numFmtId="0" fontId="95" fillId="0" borderId="22" xfId="0" applyFont="1" applyBorder="1" applyAlignment="1">
      <alignment horizontal="center" vertical="center" wrapText="1"/>
    </xf>
    <xf numFmtId="0" fontId="90" fillId="0" borderId="101" xfId="0" applyFont="1" applyBorder="1" applyAlignment="1">
      <alignment horizontal="center" vertical="center" wrapText="1"/>
    </xf>
    <xf numFmtId="0" fontId="90" fillId="0" borderId="102" xfId="0" applyFont="1" applyBorder="1" applyAlignment="1">
      <alignment horizontal="center" vertical="center" wrapText="1"/>
    </xf>
    <xf numFmtId="0" fontId="90" fillId="0" borderId="22" xfId="0" applyFont="1" applyBorder="1" applyAlignment="1">
      <alignment horizontal="center" vertical="center" wrapText="1"/>
    </xf>
    <xf numFmtId="0" fontId="95" fillId="0" borderId="101" xfId="0" applyFont="1" applyBorder="1" applyAlignment="1" applyProtection="1">
      <alignment horizontal="center" vertical="center" wrapText="1"/>
      <protection hidden="1"/>
    </xf>
    <xf numFmtId="0" fontId="95" fillId="0" borderId="102" xfId="0" applyFont="1" applyBorder="1" applyAlignment="1" applyProtection="1">
      <alignment horizontal="center" vertical="center" wrapText="1"/>
      <protection hidden="1"/>
    </xf>
    <xf numFmtId="0" fontId="95" fillId="0" borderId="22" xfId="0" applyFont="1" applyBorder="1" applyAlignment="1" applyProtection="1">
      <alignment horizontal="center" vertical="center" wrapText="1"/>
      <protection hidden="1"/>
    </xf>
    <xf numFmtId="14" fontId="90" fillId="26" borderId="108" xfId="0" applyNumberFormat="1" applyFont="1" applyFill="1" applyBorder="1" applyAlignment="1">
      <alignment horizontal="center" vertical="center" wrapText="1"/>
    </xf>
    <xf numFmtId="14" fontId="90" fillId="26" borderId="22" xfId="0" applyNumberFormat="1" applyFont="1" applyFill="1" applyBorder="1" applyAlignment="1">
      <alignment horizontal="center" vertical="center" wrapText="1"/>
    </xf>
    <xf numFmtId="14" fontId="89" fillId="28" borderId="108" xfId="0" applyNumberFormat="1" applyFont="1" applyFill="1" applyBorder="1" applyAlignment="1">
      <alignment horizontal="center" vertical="center" wrapText="1"/>
    </xf>
    <xf numFmtId="14" fontId="89" fillId="28" borderId="22" xfId="0" applyNumberFormat="1" applyFont="1" applyFill="1" applyBorder="1" applyAlignment="1">
      <alignment horizontal="center" vertical="center" wrapText="1"/>
    </xf>
    <xf numFmtId="0" fontId="84" fillId="16" borderId="104" xfId="0" applyFont="1" applyFill="1" applyBorder="1" applyAlignment="1">
      <alignment horizontal="center" vertical="center" wrapText="1"/>
    </xf>
    <xf numFmtId="0" fontId="58" fillId="0" borderId="68" xfId="0" applyFont="1" applyBorder="1" applyAlignment="1">
      <alignment horizontal="center" vertical="center" wrapText="1"/>
    </xf>
    <xf numFmtId="0" fontId="59" fillId="0" borderId="68" xfId="0" applyFont="1" applyBorder="1" applyAlignment="1">
      <alignment horizontal="center" vertical="center" wrapText="1"/>
    </xf>
    <xf numFmtId="0" fontId="65" fillId="0" borderId="64" xfId="0" applyFont="1" applyBorder="1" applyAlignment="1">
      <alignment horizontal="left" vertical="center" wrapText="1"/>
    </xf>
    <xf numFmtId="0" fontId="90" fillId="0" borderId="101" xfId="0" applyFont="1" applyBorder="1" applyAlignment="1" applyProtection="1">
      <alignment horizontal="center" vertical="center" textRotation="90" wrapText="1"/>
      <protection locked="0"/>
    </xf>
    <xf numFmtId="0" fontId="90" fillId="0" borderId="102" xfId="0" applyFont="1" applyBorder="1" applyAlignment="1" applyProtection="1">
      <alignment horizontal="center" vertical="center" textRotation="90" wrapText="1"/>
      <protection locked="0"/>
    </xf>
    <xf numFmtId="0" fontId="90" fillId="0" borderId="22" xfId="0" applyFont="1" applyBorder="1" applyAlignment="1" applyProtection="1">
      <alignment horizontal="center" vertical="center" textRotation="90" wrapText="1"/>
      <protection locked="0"/>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8" fillId="0" borderId="66" xfId="0" applyFont="1" applyBorder="1" applyAlignment="1">
      <alignment horizontal="left" vertical="center" wrapText="1"/>
    </xf>
    <xf numFmtId="0" fontId="88" fillId="0" borderId="65" xfId="0" applyFont="1" applyBorder="1" applyAlignment="1">
      <alignment horizontal="left" vertical="center" wrapText="1"/>
    </xf>
    <xf numFmtId="0" fontId="84" fillId="16" borderId="21" xfId="0" applyFont="1" applyFill="1" applyBorder="1" applyAlignment="1">
      <alignment horizontal="center" vertical="center" textRotation="90"/>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0" fontId="84" fillId="16" borderId="107" xfId="0" applyFont="1" applyFill="1" applyBorder="1" applyAlignment="1">
      <alignment horizontal="center" vertical="center"/>
    </xf>
    <xf numFmtId="9" fontId="90" fillId="0" borderId="101" xfId="0" applyNumberFormat="1" applyFont="1" applyBorder="1" applyAlignment="1" applyProtection="1">
      <alignment horizontal="center" vertical="center" wrapText="1"/>
      <protection locked="0"/>
    </xf>
    <xf numFmtId="9" fontId="90" fillId="0" borderId="22" xfId="0" applyNumberFormat="1" applyFont="1" applyBorder="1" applyAlignment="1" applyProtection="1">
      <alignment horizontal="center" vertical="center" wrapText="1"/>
      <protection locked="0"/>
    </xf>
    <xf numFmtId="9" fontId="90" fillId="0" borderId="101" xfId="0" applyNumberFormat="1" applyFont="1" applyBorder="1" applyAlignment="1" applyProtection="1">
      <alignment horizontal="center" vertical="center" wrapText="1"/>
      <protection hidden="1"/>
    </xf>
    <xf numFmtId="9" fontId="90" fillId="0" borderId="22" xfId="0" applyNumberFormat="1" applyFont="1" applyBorder="1" applyAlignment="1" applyProtection="1">
      <alignment horizontal="center" vertical="center" wrapText="1"/>
      <protection hidden="1"/>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0"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1" fillId="0" borderId="101"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98" fillId="0" borderId="101" xfId="0" applyFont="1" applyBorder="1" applyAlignment="1" applyProtection="1">
      <alignment horizontal="center" vertical="center" wrapText="1"/>
      <protection hidden="1"/>
    </xf>
    <xf numFmtId="0" fontId="98" fillId="0" borderId="22" xfId="0" applyFont="1" applyBorder="1" applyAlignment="1" applyProtection="1">
      <alignment horizontal="center" vertical="center" wrapText="1"/>
      <protection hidden="1"/>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91" fillId="0" borderId="21" xfId="0" applyFont="1" applyBorder="1" applyAlignment="1">
      <alignment horizontal="left" vertical="center" wrapText="1"/>
    </xf>
    <xf numFmtId="0" fontId="1" fillId="0" borderId="102" xfId="0" applyFont="1" applyBorder="1" applyAlignment="1" applyProtection="1">
      <alignment horizontal="center" vertical="center" wrapText="1"/>
      <protection locked="0"/>
    </xf>
    <xf numFmtId="0" fontId="105" fillId="0" borderId="101" xfId="0" applyFont="1" applyBorder="1" applyAlignment="1" applyProtection="1">
      <alignment horizontal="center" vertical="center" wrapText="1"/>
      <protection locked="0"/>
    </xf>
    <xf numFmtId="0" fontId="105" fillId="0" borderId="102" xfId="0" applyFont="1" applyBorder="1" applyAlignment="1" applyProtection="1">
      <alignment horizontal="center" vertical="center" wrapText="1"/>
      <protection locked="0"/>
    </xf>
    <xf numFmtId="0" fontId="105" fillId="0" borderId="22" xfId="0" applyFont="1" applyBorder="1" applyAlignment="1" applyProtection="1">
      <alignment horizontal="center" vertical="center" wrapText="1"/>
      <protection locked="0"/>
    </xf>
    <xf numFmtId="0" fontId="98" fillId="0" borderId="102" xfId="0" applyFont="1" applyBorder="1" applyAlignment="1" applyProtection="1">
      <alignment horizontal="center" vertical="center" wrapText="1"/>
      <protection hidden="1"/>
    </xf>
    <xf numFmtId="9" fontId="90" fillId="0" borderId="102" xfId="0" applyNumberFormat="1" applyFont="1" applyBorder="1" applyAlignment="1" applyProtection="1">
      <alignment horizontal="center" vertical="center" wrapText="1"/>
      <protection hidden="1"/>
    </xf>
    <xf numFmtId="0" fontId="90" fillId="17" borderId="101" xfId="0" applyFont="1" applyFill="1" applyBorder="1" applyAlignment="1">
      <alignment horizontal="center" vertical="center" wrapText="1"/>
    </xf>
    <xf numFmtId="0" fontId="90" fillId="17" borderId="102" xfId="0" applyFont="1" applyFill="1" applyBorder="1" applyAlignment="1">
      <alignment horizontal="center" vertical="center" wrapText="1"/>
    </xf>
    <xf numFmtId="0" fontId="90" fillId="17" borderId="22" xfId="0" applyFont="1" applyFill="1" applyBorder="1" applyAlignment="1">
      <alignment horizontal="center" vertical="center" wrapText="1"/>
    </xf>
    <xf numFmtId="9" fontId="90" fillId="0" borderId="102" xfId="0" applyNumberFormat="1" applyFont="1" applyBorder="1" applyAlignment="1" applyProtection="1">
      <alignment horizontal="center" vertical="center" wrapText="1"/>
      <protection locked="0"/>
    </xf>
    <xf numFmtId="14" fontId="90" fillId="17" borderId="101" xfId="0" applyNumberFormat="1" applyFont="1" applyFill="1" applyBorder="1" applyAlignment="1">
      <alignment horizontal="center" vertical="center" wrapText="1"/>
    </xf>
    <xf numFmtId="14" fontId="90" fillId="17" borderId="102" xfId="0" applyNumberFormat="1" applyFont="1" applyFill="1" applyBorder="1" applyAlignment="1">
      <alignment horizontal="center" vertical="center" wrapText="1"/>
    </xf>
    <xf numFmtId="14" fontId="90" fillId="25" borderId="101" xfId="0" applyNumberFormat="1" applyFont="1" applyFill="1" applyBorder="1" applyAlignment="1" applyProtection="1">
      <alignment horizontal="center" vertical="center" wrapText="1"/>
      <protection locked="0"/>
    </xf>
    <xf numFmtId="14" fontId="90" fillId="25" borderId="102" xfId="0" applyNumberFormat="1" applyFont="1" applyFill="1" applyBorder="1" applyAlignment="1" applyProtection="1">
      <alignment horizontal="center" vertical="center" wrapText="1"/>
      <protection locked="0"/>
    </xf>
    <xf numFmtId="0" fontId="0" fillId="5" borderId="0" xfId="0" applyFill="1" applyAlignment="1">
      <alignment horizont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22" fillId="0" borderId="0" xfId="0" applyFont="1" applyAlignment="1">
      <alignment horizontal="center" vertical="center" wrapText="1"/>
    </xf>
    <xf numFmtId="0" fontId="18" fillId="5" borderId="7"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1" borderId="7" xfId="0" applyFont="1" applyFill="1" applyBorder="1" applyAlignment="1" applyProtection="1">
      <alignment horizontal="center" vertical="center" wrapText="1" readingOrder="1"/>
      <protection hidden="1"/>
    </xf>
    <xf numFmtId="0" fontId="18" fillId="11" borderId="0" xfId="0" applyFont="1" applyFill="1" applyAlignment="1" applyProtection="1">
      <alignment horizontal="center" vertical="center" wrapText="1" readingOrder="1"/>
      <protection hidden="1"/>
    </xf>
    <xf numFmtId="0" fontId="18" fillId="11" borderId="8" xfId="0" applyFont="1" applyFill="1" applyBorder="1" applyAlignment="1" applyProtection="1">
      <alignment horizontal="center" vertical="center" wrapText="1" readingOrder="1"/>
      <protection hidden="1"/>
    </xf>
    <xf numFmtId="0" fontId="18" fillId="11" borderId="9"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6" fillId="25" borderId="0" xfId="0" applyFont="1" applyFill="1" applyAlignment="1">
      <alignment horizontal="center" vertical="center" wrapText="1" readingOrder="1"/>
    </xf>
    <xf numFmtId="0" fontId="61" fillId="0" borderId="0" xfId="0" applyFont="1" applyAlignment="1">
      <alignment horizontal="center"/>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2" xfId="0" applyFont="1" applyBorder="1" applyAlignment="1">
      <alignment horizontal="center" vertical="center" wrapText="1"/>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165" fontId="65" fillId="0" borderId="23" xfId="0" applyNumberFormat="1" applyFont="1" applyBorder="1" applyAlignment="1">
      <alignment horizontal="center" vertical="center"/>
    </xf>
    <xf numFmtId="165"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65" fillId="0" borderId="21" xfId="0" applyFont="1" applyBorder="1" applyAlignment="1" applyProtection="1">
      <alignment horizontal="center" vertical="center" wrapText="1"/>
      <protection locked="0"/>
    </xf>
    <xf numFmtId="0" fontId="45" fillId="0" borderId="21" xfId="0" applyFont="1" applyBorder="1" applyAlignment="1" applyProtection="1">
      <alignment horizontal="left" vertical="top" wrapText="1"/>
      <protection locked="0"/>
    </xf>
    <xf numFmtId="0" fontId="103" fillId="0" borderId="21" xfId="0" applyFont="1" applyBorder="1" applyAlignment="1" applyProtection="1">
      <alignment horizontal="left" vertical="top" wrapText="1"/>
      <protection locked="0"/>
    </xf>
    <xf numFmtId="0" fontId="90" fillId="0" borderId="101" xfId="0" applyFont="1" applyFill="1" applyBorder="1" applyAlignment="1" applyProtection="1">
      <alignment horizontal="center" vertical="center" wrapText="1"/>
      <protection locked="0"/>
    </xf>
    <xf numFmtId="14" fontId="65" fillId="0" borderId="101" xfId="0" applyNumberFormat="1" applyFont="1" applyBorder="1" applyAlignment="1" applyProtection="1">
      <alignment horizontal="center" vertical="center" wrapText="1"/>
      <protection locked="0"/>
    </xf>
    <xf numFmtId="0" fontId="105" fillId="0" borderId="21" xfId="0" applyFont="1" applyBorder="1" applyAlignment="1" applyProtection="1">
      <alignment horizontal="center" vertical="center"/>
      <protection locked="0"/>
    </xf>
    <xf numFmtId="0" fontId="1" fillId="17" borderId="21" xfId="0" applyFont="1" applyFill="1" applyBorder="1" applyAlignment="1">
      <alignment horizontal="center" vertical="center"/>
    </xf>
    <xf numFmtId="0" fontId="1" fillId="17" borderId="22" xfId="0" applyFont="1" applyFill="1" applyBorder="1" applyAlignment="1" applyProtection="1">
      <alignment vertical="center" wrapText="1"/>
      <protection locked="0"/>
    </xf>
    <xf numFmtId="14" fontId="1" fillId="17" borderId="22" xfId="0" applyNumberFormat="1" applyFont="1" applyFill="1" applyBorder="1" applyAlignment="1" applyProtection="1">
      <alignment vertical="center" wrapText="1"/>
      <protection locked="0"/>
    </xf>
    <xf numFmtId="14" fontId="90" fillId="17" borderId="22" xfId="0" applyNumberFormat="1" applyFont="1" applyFill="1" applyBorder="1" applyAlignment="1" applyProtection="1">
      <alignment vertical="center" wrapText="1"/>
      <protection locked="0"/>
    </xf>
    <xf numFmtId="14" fontId="90" fillId="27" borderId="21" xfId="0" applyNumberFormat="1" applyFont="1" applyFill="1" applyBorder="1" applyAlignment="1" applyProtection="1">
      <alignment horizontal="center" vertical="center" wrapText="1"/>
      <protection locked="0"/>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287840"/>
      <color rgb="FF00CC66"/>
      <color rgb="FFB4B3B6"/>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831473" y="1761289"/>
          <a:ext cx="9571790" cy="3920290"/>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7</xdr:row>
      <xdr:rowOff>975026</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42</xdr:row>
      <xdr:rowOff>180975</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6850"/>
          <a:ext cx="676275" cy="7461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6"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25" dataDxfId="24">
  <autoFilter ref="B209:C219" xr:uid="{00000000-0009-0000-0100-000001000000}"/>
  <tableColumns count="2">
    <tableColumn id="1" xr3:uid="{00000000-0010-0000-0000-000001000000}" name="Criterios" dataDxfId="23"/>
    <tableColumn id="2" xr3:uid="{00000000-0010-0000-0000-000002000000}" name="Subcriterios" dataDxfId="2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P13" sqref="P13"/>
    </sheetView>
  </sheetViews>
  <sheetFormatPr baseColWidth="10" defaultColWidth="11.5" defaultRowHeight="15"/>
  <cols>
    <col min="1" max="1" width="3.6640625" style="68" customWidth="1"/>
    <col min="2" max="2" width="16.6640625" customWidth="1"/>
    <col min="3" max="3" width="25" customWidth="1"/>
    <col min="4" max="12" width="10.6640625" customWidth="1"/>
    <col min="13" max="13" width="13.33203125" customWidth="1"/>
    <col min="14" max="14" width="15.5" customWidth="1"/>
    <col min="15" max="16384" width="11.5" style="68"/>
  </cols>
  <sheetData>
    <row r="1" spans="2:14" ht="12.75" customHeight="1" thickBot="1">
      <c r="B1" s="68"/>
      <c r="C1" s="68"/>
      <c r="D1" s="68"/>
      <c r="E1" s="68"/>
      <c r="F1" s="68"/>
      <c r="G1" s="68"/>
      <c r="H1" s="68"/>
      <c r="I1" s="68"/>
      <c r="J1" s="68"/>
      <c r="K1" s="68"/>
      <c r="L1" s="68"/>
      <c r="M1" s="68"/>
      <c r="N1" s="68"/>
    </row>
    <row r="2" spans="2:14" ht="18.75" customHeight="1">
      <c r="B2" s="251" t="s">
        <v>0</v>
      </c>
      <c r="C2" s="252"/>
      <c r="D2" s="242" t="s">
        <v>1</v>
      </c>
      <c r="E2" s="243"/>
      <c r="F2" s="243"/>
      <c r="G2" s="243"/>
      <c r="H2" s="243"/>
      <c r="I2" s="243"/>
      <c r="J2" s="243"/>
      <c r="K2" s="243"/>
      <c r="L2" s="244"/>
      <c r="M2" s="257" t="s">
        <v>2</v>
      </c>
      <c r="N2" s="258"/>
    </row>
    <row r="3" spans="2:14" ht="15.75" customHeight="1">
      <c r="B3" s="253"/>
      <c r="C3" s="254"/>
      <c r="D3" s="245"/>
      <c r="E3" s="246"/>
      <c r="F3" s="246"/>
      <c r="G3" s="246"/>
      <c r="H3" s="246"/>
      <c r="I3" s="246"/>
      <c r="J3" s="246"/>
      <c r="K3" s="246"/>
      <c r="L3" s="247"/>
      <c r="M3" s="259" t="s">
        <v>3</v>
      </c>
      <c r="N3" s="260"/>
    </row>
    <row r="4" spans="2:14" ht="18.75" customHeight="1">
      <c r="B4" s="253"/>
      <c r="C4" s="254"/>
      <c r="D4" s="245"/>
      <c r="E4" s="246"/>
      <c r="F4" s="246"/>
      <c r="G4" s="246"/>
      <c r="H4" s="246"/>
      <c r="I4" s="246"/>
      <c r="J4" s="246"/>
      <c r="K4" s="246"/>
      <c r="L4" s="247"/>
      <c r="M4" s="259" t="s">
        <v>4</v>
      </c>
      <c r="N4" s="260"/>
    </row>
    <row r="5" spans="2:14" ht="29.25" customHeight="1" thickBot="1">
      <c r="B5" s="255"/>
      <c r="C5" s="256"/>
      <c r="D5" s="248"/>
      <c r="E5" s="249"/>
      <c r="F5" s="249"/>
      <c r="G5" s="249"/>
      <c r="H5" s="249"/>
      <c r="I5" s="249"/>
      <c r="J5" s="249"/>
      <c r="K5" s="249"/>
      <c r="L5" s="250"/>
      <c r="M5" s="261" t="s">
        <v>5</v>
      </c>
      <c r="N5" s="262"/>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241" t="s">
        <v>6</v>
      </c>
      <c r="E31" s="241"/>
      <c r="N31" s="130"/>
    </row>
    <row r="32" spans="2:14">
      <c r="B32" s="129"/>
      <c r="D32" s="241"/>
      <c r="E32" s="241"/>
      <c r="N32" s="130"/>
    </row>
    <row r="33" spans="2:14">
      <c r="B33" s="129"/>
      <c r="N33" s="130"/>
    </row>
    <row r="34" spans="2:14">
      <c r="B34" s="129"/>
      <c r="N34" s="130"/>
    </row>
    <row r="35" spans="2:14">
      <c r="B35" s="129"/>
      <c r="N35" s="130"/>
    </row>
    <row r="36" spans="2:14">
      <c r="B36" s="129"/>
      <c r="N36" s="130"/>
    </row>
    <row r="37" spans="2:14">
      <c r="B37" s="129"/>
      <c r="N37" s="130"/>
    </row>
    <row r="38" spans="2:14" ht="16"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5" defaultRowHeight="15"/>
  <cols>
    <col min="1" max="1" width="10.33203125" style="116" customWidth="1"/>
    <col min="2" max="2" width="32.5" style="116" customWidth="1"/>
    <col min="3" max="3" width="77" style="116" customWidth="1"/>
    <col min="4" max="4" width="21" style="116" customWidth="1"/>
    <col min="5" max="5" width="23.6640625" style="116" customWidth="1"/>
    <col min="6" max="16384" width="11.5" style="116"/>
  </cols>
  <sheetData>
    <row r="1" spans="1:6" ht="8" customHeight="1"/>
    <row r="2" spans="1:6" ht="15.75" customHeight="1">
      <c r="B2" s="546" t="s">
        <v>269</v>
      </c>
      <c r="C2" s="549" t="s">
        <v>1</v>
      </c>
      <c r="D2" s="243"/>
      <c r="E2" s="203" t="s">
        <v>2</v>
      </c>
      <c r="F2" s="117"/>
    </row>
    <row r="3" spans="1:6" ht="15.75" customHeight="1">
      <c r="B3" s="547"/>
      <c r="C3" s="550"/>
      <c r="D3" s="246"/>
      <c r="E3" s="204" t="s">
        <v>3</v>
      </c>
      <c r="F3" s="117"/>
    </row>
    <row r="4" spans="1:6" ht="16.5" customHeight="1">
      <c r="B4" s="547"/>
      <c r="C4" s="550"/>
      <c r="D4" s="246"/>
      <c r="E4" s="204" t="s">
        <v>4</v>
      </c>
      <c r="F4" s="117"/>
    </row>
    <row r="5" spans="1:6" ht="15" customHeight="1">
      <c r="B5" s="548"/>
      <c r="C5" s="551"/>
      <c r="D5" s="249"/>
      <c r="E5" s="205" t="s">
        <v>5</v>
      </c>
      <c r="F5" s="117"/>
    </row>
    <row r="7" spans="1:6">
      <c r="A7" s="552" t="s">
        <v>9</v>
      </c>
      <c r="B7" s="134" t="s">
        <v>270</v>
      </c>
      <c r="C7" s="135" t="s">
        <v>271</v>
      </c>
      <c r="D7" s="135" t="s">
        <v>272</v>
      </c>
      <c r="E7" s="135" t="s">
        <v>273</v>
      </c>
    </row>
    <row r="8" spans="1:6" ht="30">
      <c r="A8" s="552"/>
      <c r="B8" s="118">
        <v>45687</v>
      </c>
      <c r="C8" s="200" t="s">
        <v>274</v>
      </c>
      <c r="D8" s="120" t="s">
        <v>275</v>
      </c>
      <c r="E8" s="120" t="s">
        <v>276</v>
      </c>
    </row>
    <row r="9" spans="1:6" ht="161.5" customHeight="1">
      <c r="A9" s="552"/>
      <c r="B9" s="118">
        <v>45777</v>
      </c>
      <c r="C9" s="200" t="s">
        <v>277</v>
      </c>
      <c r="D9" s="120" t="s">
        <v>275</v>
      </c>
      <c r="E9" s="120" t="s">
        <v>276</v>
      </c>
    </row>
    <row r="10" spans="1:6">
      <c r="A10" s="552"/>
      <c r="B10" s="118"/>
      <c r="C10" s="119"/>
      <c r="D10" s="120"/>
      <c r="E10" s="120"/>
    </row>
    <row r="11" spans="1:6">
      <c r="A11" s="552"/>
      <c r="B11" s="118"/>
      <c r="C11" s="119"/>
      <c r="D11" s="120"/>
      <c r="E11" s="120"/>
    </row>
    <row r="12" spans="1:6">
      <c r="A12" s="552"/>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5"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H20" sqref="H20"/>
    </sheetView>
  </sheetViews>
  <sheetFormatPr baseColWidth="10" defaultColWidth="11.5" defaultRowHeight="15"/>
  <cols>
    <col min="1" max="1" width="2.6640625" style="68" customWidth="1"/>
    <col min="2" max="3" width="24.6640625" style="68" customWidth="1"/>
    <col min="4" max="4" width="16" style="68" customWidth="1"/>
    <col min="5" max="5" width="24.6640625" style="68" customWidth="1"/>
    <col min="6" max="6" width="27.6640625" style="68" customWidth="1"/>
    <col min="7" max="8" width="24.6640625" style="68" customWidth="1"/>
    <col min="9" max="10" width="11.5" style="142"/>
    <col min="11" max="16384" width="11.5" style="68"/>
  </cols>
  <sheetData>
    <row r="1" spans="2:10" ht="16" thickBot="1"/>
    <row r="2" spans="2:10" ht="18" customHeight="1">
      <c r="B2" s="553" t="s">
        <v>278</v>
      </c>
      <c r="C2" s="554"/>
      <c r="D2" s="554"/>
      <c r="E2" s="554"/>
      <c r="F2" s="554"/>
      <c r="G2" s="554"/>
      <c r="H2" s="555"/>
      <c r="J2" s="143" t="s">
        <v>279</v>
      </c>
    </row>
    <row r="3" spans="2:10" ht="20">
      <c r="B3" s="69"/>
      <c r="C3" s="70"/>
      <c r="D3" s="70"/>
      <c r="E3" s="70"/>
      <c r="F3" s="70"/>
      <c r="G3" s="70"/>
      <c r="H3" s="71"/>
      <c r="J3" s="143"/>
    </row>
    <row r="4" spans="2:10" ht="63" customHeight="1">
      <c r="B4" s="556" t="s">
        <v>280</v>
      </c>
      <c r="C4" s="557"/>
      <c r="D4" s="557"/>
      <c r="E4" s="557"/>
      <c r="F4" s="557"/>
      <c r="G4" s="557"/>
      <c r="H4" s="558"/>
    </row>
    <row r="5" spans="2:10" ht="63" customHeight="1">
      <c r="B5" s="559"/>
      <c r="C5" s="560"/>
      <c r="D5" s="560"/>
      <c r="E5" s="560"/>
      <c r="F5" s="560"/>
      <c r="G5" s="560"/>
      <c r="H5" s="561"/>
    </row>
    <row r="6" spans="2:10">
      <c r="B6" s="562" t="s">
        <v>281</v>
      </c>
      <c r="C6" s="563"/>
      <c r="D6" s="563"/>
      <c r="E6" s="563"/>
      <c r="F6" s="563"/>
      <c r="G6" s="563"/>
      <c r="H6" s="564"/>
    </row>
    <row r="7" spans="2:10" ht="95.25" customHeight="1">
      <c r="B7" s="572" t="s">
        <v>282</v>
      </c>
      <c r="C7" s="573"/>
      <c r="D7" s="573"/>
      <c r="E7" s="573"/>
      <c r="F7" s="573"/>
      <c r="G7" s="573"/>
      <c r="H7" s="574"/>
    </row>
    <row r="8" spans="2:10">
      <c r="B8" s="101"/>
      <c r="C8" s="102"/>
      <c r="D8" s="102"/>
      <c r="E8" s="102"/>
      <c r="F8" s="102"/>
      <c r="G8" s="102"/>
      <c r="H8" s="103"/>
    </row>
    <row r="9" spans="2:10" ht="16.5" customHeight="1">
      <c r="B9" s="565" t="s">
        <v>283</v>
      </c>
      <c r="C9" s="566"/>
      <c r="D9" s="566"/>
      <c r="E9" s="566"/>
      <c r="F9" s="566"/>
      <c r="G9" s="566"/>
      <c r="H9" s="567"/>
    </row>
    <row r="10" spans="2:10" ht="44.25" customHeight="1">
      <c r="B10" s="565"/>
      <c r="C10" s="566"/>
      <c r="D10" s="566"/>
      <c r="E10" s="566"/>
      <c r="F10" s="566"/>
      <c r="G10" s="566"/>
      <c r="H10" s="567"/>
    </row>
    <row r="11" spans="2:10" ht="16" thickBot="1">
      <c r="B11" s="90"/>
      <c r="C11" s="93"/>
      <c r="D11" s="98"/>
      <c r="E11" s="99"/>
      <c r="F11" s="99"/>
      <c r="G11" s="100"/>
      <c r="H11" s="94"/>
    </row>
    <row r="12" spans="2:10" ht="16" thickTop="1">
      <c r="B12" s="90"/>
      <c r="C12" s="568" t="s">
        <v>284</v>
      </c>
      <c r="D12" s="569"/>
      <c r="E12" s="570" t="s">
        <v>285</v>
      </c>
      <c r="F12" s="571"/>
      <c r="G12" s="93"/>
      <c r="H12" s="94"/>
    </row>
    <row r="13" spans="2:10" ht="35.25" customHeight="1">
      <c r="B13" s="90"/>
      <c r="C13" s="575" t="s">
        <v>286</v>
      </c>
      <c r="D13" s="576"/>
      <c r="E13" s="577" t="s">
        <v>287</v>
      </c>
      <c r="F13" s="578"/>
      <c r="G13" s="93"/>
      <c r="H13" s="94"/>
    </row>
    <row r="14" spans="2:10" ht="17.25" customHeight="1">
      <c r="B14" s="90"/>
      <c r="C14" s="575" t="s">
        <v>288</v>
      </c>
      <c r="D14" s="576"/>
      <c r="E14" s="577" t="s">
        <v>289</v>
      </c>
      <c r="F14" s="578"/>
      <c r="G14" s="93"/>
      <c r="H14" s="94"/>
    </row>
    <row r="15" spans="2:10" ht="19.5" customHeight="1">
      <c r="B15" s="90"/>
      <c r="C15" s="575" t="s">
        <v>290</v>
      </c>
      <c r="D15" s="576"/>
      <c r="E15" s="577" t="s">
        <v>291</v>
      </c>
      <c r="F15" s="578"/>
      <c r="G15" s="93"/>
      <c r="H15" s="94"/>
    </row>
    <row r="16" spans="2:10" ht="69.75" customHeight="1">
      <c r="B16" s="90"/>
      <c r="C16" s="575" t="s">
        <v>292</v>
      </c>
      <c r="D16" s="576"/>
      <c r="E16" s="577" t="s">
        <v>293</v>
      </c>
      <c r="F16" s="578"/>
      <c r="G16" s="93"/>
      <c r="H16" s="94"/>
    </row>
    <row r="17" spans="2:8" ht="34.5" customHeight="1">
      <c r="B17" s="90"/>
      <c r="C17" s="579" t="s">
        <v>56</v>
      </c>
      <c r="D17" s="580"/>
      <c r="E17" s="581" t="s">
        <v>294</v>
      </c>
      <c r="F17" s="582"/>
      <c r="G17" s="93"/>
      <c r="H17" s="94"/>
    </row>
    <row r="18" spans="2:8" ht="27.75" customHeight="1">
      <c r="B18" s="90"/>
      <c r="C18" s="579" t="s">
        <v>295</v>
      </c>
      <c r="D18" s="580"/>
      <c r="E18" s="581" t="s">
        <v>296</v>
      </c>
      <c r="F18" s="582"/>
      <c r="G18" s="93"/>
      <c r="H18" s="94"/>
    </row>
    <row r="19" spans="2:8" ht="28.5" customHeight="1">
      <c r="B19" s="90"/>
      <c r="C19" s="579" t="s">
        <v>297</v>
      </c>
      <c r="D19" s="580"/>
      <c r="E19" s="581" t="s">
        <v>298</v>
      </c>
      <c r="F19" s="582"/>
      <c r="G19" s="93"/>
      <c r="H19" s="94"/>
    </row>
    <row r="20" spans="2:8" ht="72.75" customHeight="1">
      <c r="B20" s="90"/>
      <c r="C20" s="579" t="s">
        <v>299</v>
      </c>
      <c r="D20" s="580"/>
      <c r="E20" s="581" t="s">
        <v>300</v>
      </c>
      <c r="F20" s="582"/>
      <c r="G20" s="93"/>
      <c r="H20" s="94"/>
    </row>
    <row r="21" spans="2:8" ht="64.5" customHeight="1">
      <c r="B21" s="90"/>
      <c r="C21" s="579" t="s">
        <v>62</v>
      </c>
      <c r="D21" s="580"/>
      <c r="E21" s="581" t="s">
        <v>301</v>
      </c>
      <c r="F21" s="582"/>
      <c r="G21" s="93"/>
      <c r="H21" s="94"/>
    </row>
    <row r="22" spans="2:8" ht="71.25" customHeight="1">
      <c r="B22" s="90"/>
      <c r="C22" s="579" t="s">
        <v>302</v>
      </c>
      <c r="D22" s="580"/>
      <c r="E22" s="581" t="s">
        <v>303</v>
      </c>
      <c r="F22" s="582"/>
      <c r="G22" s="93"/>
      <c r="H22" s="94"/>
    </row>
    <row r="23" spans="2:8" ht="55.5" customHeight="1">
      <c r="B23" s="90"/>
      <c r="C23" s="586" t="s">
        <v>304</v>
      </c>
      <c r="D23" s="587"/>
      <c r="E23" s="581" t="s">
        <v>305</v>
      </c>
      <c r="F23" s="582"/>
      <c r="G23" s="93"/>
      <c r="H23" s="94"/>
    </row>
    <row r="24" spans="2:8" ht="42" customHeight="1">
      <c r="B24" s="90"/>
      <c r="C24" s="586" t="s">
        <v>69</v>
      </c>
      <c r="D24" s="587"/>
      <c r="E24" s="581" t="s">
        <v>306</v>
      </c>
      <c r="F24" s="582"/>
      <c r="G24" s="93"/>
      <c r="H24" s="94"/>
    </row>
    <row r="25" spans="2:8" ht="59.25" customHeight="1">
      <c r="B25" s="90"/>
      <c r="C25" s="586" t="s">
        <v>307</v>
      </c>
      <c r="D25" s="587"/>
      <c r="E25" s="581" t="s">
        <v>308</v>
      </c>
      <c r="F25" s="582"/>
      <c r="G25" s="93"/>
      <c r="H25" s="94"/>
    </row>
    <row r="26" spans="2:8" ht="23.25" customHeight="1">
      <c r="B26" s="90"/>
      <c r="C26" s="586" t="s">
        <v>73</v>
      </c>
      <c r="D26" s="587"/>
      <c r="E26" s="581" t="s">
        <v>309</v>
      </c>
      <c r="F26" s="582"/>
      <c r="G26" s="93"/>
      <c r="H26" s="94"/>
    </row>
    <row r="27" spans="2:8" ht="30.75" customHeight="1">
      <c r="B27" s="90"/>
      <c r="C27" s="586" t="s">
        <v>310</v>
      </c>
      <c r="D27" s="587"/>
      <c r="E27" s="581" t="s">
        <v>311</v>
      </c>
      <c r="F27" s="582"/>
      <c r="G27" s="93"/>
      <c r="H27" s="94"/>
    </row>
    <row r="28" spans="2:8" ht="35.25" customHeight="1">
      <c r="B28" s="90"/>
      <c r="C28" s="586" t="s">
        <v>312</v>
      </c>
      <c r="D28" s="587"/>
      <c r="E28" s="581" t="s">
        <v>313</v>
      </c>
      <c r="F28" s="582"/>
      <c r="G28" s="93"/>
      <c r="H28" s="94"/>
    </row>
    <row r="29" spans="2:8" ht="33" customHeight="1">
      <c r="B29" s="90"/>
      <c r="C29" s="586" t="s">
        <v>312</v>
      </c>
      <c r="D29" s="587"/>
      <c r="E29" s="581" t="s">
        <v>313</v>
      </c>
      <c r="F29" s="582"/>
      <c r="G29" s="93"/>
      <c r="H29" s="94"/>
    </row>
    <row r="30" spans="2:8" ht="30" customHeight="1">
      <c r="B30" s="90"/>
      <c r="C30" s="586" t="s">
        <v>314</v>
      </c>
      <c r="D30" s="587"/>
      <c r="E30" s="581" t="s">
        <v>315</v>
      </c>
      <c r="F30" s="582"/>
      <c r="G30" s="93"/>
      <c r="H30" s="94"/>
    </row>
    <row r="31" spans="2:8" ht="35.25" customHeight="1">
      <c r="B31" s="90"/>
      <c r="C31" s="586" t="s">
        <v>316</v>
      </c>
      <c r="D31" s="587"/>
      <c r="E31" s="581" t="s">
        <v>317</v>
      </c>
      <c r="F31" s="582"/>
      <c r="G31" s="93"/>
      <c r="H31" s="94"/>
    </row>
    <row r="32" spans="2:8" ht="31.5" customHeight="1">
      <c r="B32" s="90"/>
      <c r="C32" s="586" t="s">
        <v>318</v>
      </c>
      <c r="D32" s="587"/>
      <c r="E32" s="581" t="s">
        <v>319</v>
      </c>
      <c r="F32" s="582"/>
      <c r="G32" s="93"/>
      <c r="H32" s="94"/>
    </row>
    <row r="33" spans="2:8" ht="35.25" customHeight="1">
      <c r="B33" s="90"/>
      <c r="C33" s="586" t="s">
        <v>320</v>
      </c>
      <c r="D33" s="587"/>
      <c r="E33" s="581" t="s">
        <v>321</v>
      </c>
      <c r="F33" s="582"/>
      <c r="G33" s="93"/>
      <c r="H33" s="94"/>
    </row>
    <row r="34" spans="2:8" ht="59.25" customHeight="1">
      <c r="B34" s="90"/>
      <c r="C34" s="586" t="s">
        <v>322</v>
      </c>
      <c r="D34" s="587"/>
      <c r="E34" s="581" t="s">
        <v>323</v>
      </c>
      <c r="F34" s="582"/>
      <c r="G34" s="93"/>
      <c r="H34" s="94"/>
    </row>
    <row r="35" spans="2:8" ht="29.25" customHeight="1">
      <c r="B35" s="90"/>
      <c r="C35" s="586" t="s">
        <v>79</v>
      </c>
      <c r="D35" s="587"/>
      <c r="E35" s="581" t="s">
        <v>324</v>
      </c>
      <c r="F35" s="582"/>
      <c r="G35" s="93"/>
      <c r="H35" s="94"/>
    </row>
    <row r="36" spans="2:8" ht="82.5" customHeight="1">
      <c r="B36" s="90"/>
      <c r="C36" s="586" t="s">
        <v>325</v>
      </c>
      <c r="D36" s="587"/>
      <c r="E36" s="581" t="s">
        <v>326</v>
      </c>
      <c r="F36" s="582"/>
      <c r="G36" s="93"/>
      <c r="H36" s="94"/>
    </row>
    <row r="37" spans="2:8" ht="46.5" customHeight="1">
      <c r="B37" s="90"/>
      <c r="C37" s="586" t="s">
        <v>327</v>
      </c>
      <c r="D37" s="587"/>
      <c r="E37" s="581" t="s">
        <v>328</v>
      </c>
      <c r="F37" s="582"/>
      <c r="G37" s="93"/>
      <c r="H37" s="94"/>
    </row>
    <row r="38" spans="2:8" ht="6.75" customHeight="1" thickBot="1">
      <c r="B38" s="90"/>
      <c r="C38" s="588"/>
      <c r="D38" s="589"/>
      <c r="E38" s="590"/>
      <c r="F38" s="591"/>
      <c r="G38" s="93"/>
      <c r="H38" s="94"/>
    </row>
    <row r="39" spans="2:8" ht="16" thickTop="1">
      <c r="B39" s="90"/>
      <c r="C39" s="91"/>
      <c r="D39" s="91"/>
      <c r="E39" s="92"/>
      <c r="F39" s="92"/>
      <c r="G39" s="93"/>
      <c r="H39" s="94"/>
    </row>
    <row r="40" spans="2:8" ht="21" customHeight="1">
      <c r="B40" s="583" t="s">
        <v>329</v>
      </c>
      <c r="C40" s="584"/>
      <c r="D40" s="584"/>
      <c r="E40" s="584"/>
      <c r="F40" s="584"/>
      <c r="G40" s="584"/>
      <c r="H40" s="585"/>
    </row>
    <row r="41" spans="2:8" ht="20.25" customHeight="1">
      <c r="B41" s="583" t="s">
        <v>330</v>
      </c>
      <c r="C41" s="584"/>
      <c r="D41" s="584"/>
      <c r="E41" s="584"/>
      <c r="F41" s="584"/>
      <c r="G41" s="584"/>
      <c r="H41" s="585"/>
    </row>
    <row r="42" spans="2:8" ht="20.25" customHeight="1">
      <c r="B42" s="583" t="s">
        <v>331</v>
      </c>
      <c r="C42" s="584"/>
      <c r="D42" s="584"/>
      <c r="E42" s="584"/>
      <c r="F42" s="584"/>
      <c r="G42" s="584"/>
      <c r="H42" s="585"/>
    </row>
    <row r="43" spans="2:8" ht="20.25" customHeight="1">
      <c r="B43" s="583" t="s">
        <v>332</v>
      </c>
      <c r="C43" s="584"/>
      <c r="D43" s="584"/>
      <c r="E43" s="584"/>
      <c r="F43" s="584"/>
      <c r="G43" s="584"/>
      <c r="H43" s="585"/>
    </row>
    <row r="44" spans="2:8" ht="15" customHeight="1">
      <c r="B44" s="583" t="s">
        <v>333</v>
      </c>
      <c r="C44" s="584"/>
      <c r="D44" s="584"/>
      <c r="E44" s="584"/>
      <c r="F44" s="584"/>
      <c r="G44" s="584"/>
      <c r="H44" s="585"/>
    </row>
    <row r="45" spans="2:8" ht="16" thickBot="1">
      <c r="B45" s="95"/>
      <c r="C45" s="96"/>
      <c r="D45" s="96"/>
      <c r="E45" s="96"/>
      <c r="F45" s="96"/>
      <c r="G45" s="96"/>
      <c r="H45" s="97"/>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5" defaultRowHeight="15"/>
  <sheetData>
    <row r="1" spans="1:4">
      <c r="A1" t="s">
        <v>334</v>
      </c>
      <c r="B1" t="s">
        <v>58</v>
      </c>
      <c r="C1" t="s">
        <v>141</v>
      </c>
      <c r="D1" t="s">
        <v>142</v>
      </c>
    </row>
    <row r="2" spans="1:4">
      <c r="A2" t="s">
        <v>335</v>
      </c>
      <c r="B2" t="s">
        <v>148</v>
      </c>
      <c r="C2" t="s">
        <v>178</v>
      </c>
      <c r="D2" t="s">
        <v>151</v>
      </c>
    </row>
    <row r="3" spans="1:4">
      <c r="A3" t="s">
        <v>101</v>
      </c>
      <c r="B3" t="s">
        <v>162</v>
      </c>
      <c r="C3" t="s">
        <v>336</v>
      </c>
      <c r="D3" t="s">
        <v>165</v>
      </c>
    </row>
    <row r="4" spans="1:4">
      <c r="A4" t="s">
        <v>337</v>
      </c>
      <c r="B4" t="s">
        <v>176</v>
      </c>
      <c r="C4" t="s">
        <v>186</v>
      </c>
      <c r="D4" t="s">
        <v>179</v>
      </c>
    </row>
    <row r="5" spans="1:4">
      <c r="A5" t="s">
        <v>162</v>
      </c>
      <c r="B5" t="s">
        <v>184</v>
      </c>
      <c r="C5" t="s">
        <v>338</v>
      </c>
      <c r="D5" t="s">
        <v>104</v>
      </c>
    </row>
    <row r="6" spans="1:4">
      <c r="A6" t="s">
        <v>144</v>
      </c>
      <c r="B6" t="s">
        <v>189</v>
      </c>
      <c r="C6" t="s">
        <v>104</v>
      </c>
    </row>
    <row r="7" spans="1:4">
      <c r="A7" t="s">
        <v>339</v>
      </c>
      <c r="B7" t="s">
        <v>193</v>
      </c>
    </row>
    <row r="8" spans="1:4">
      <c r="A8" t="s">
        <v>340</v>
      </c>
    </row>
    <row r="9" spans="1:4">
      <c r="A9" t="s">
        <v>341</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5" defaultRowHeight="1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baseColWidth="10" defaultColWidth="11.5" defaultRowHeight="15"/>
  <cols>
    <col min="1" max="1" width="2.5" style="68" customWidth="1"/>
    <col min="2" max="2" width="33.33203125" style="68" customWidth="1"/>
    <col min="3" max="4" width="11.5" style="68"/>
    <col min="5" max="5" width="5.6640625" style="68" customWidth="1"/>
    <col min="6" max="6" width="16.33203125" style="68" customWidth="1"/>
    <col min="7" max="7" width="11.5" style="68"/>
    <col min="8" max="8" width="13.6640625" style="68" customWidth="1"/>
    <col min="9" max="9" width="14.33203125" style="68" customWidth="1"/>
    <col min="10" max="10" width="14.6640625" style="68" customWidth="1"/>
    <col min="11" max="11" width="7.5" style="68" customWidth="1"/>
    <col min="12" max="12" width="2.33203125" style="68" customWidth="1"/>
    <col min="13" max="16384" width="11.5" style="68"/>
  </cols>
  <sheetData>
    <row r="1" spans="2:11" ht="6" customHeight="1" thickBot="1"/>
    <row r="2" spans="2:11" ht="15" customHeight="1">
      <c r="B2" s="592" t="s">
        <v>249</v>
      </c>
      <c r="C2" s="595" t="s">
        <v>1</v>
      </c>
      <c r="D2" s="596"/>
      <c r="E2" s="596"/>
      <c r="F2" s="596"/>
      <c r="G2" s="596"/>
      <c r="H2" s="596"/>
      <c r="I2" s="596"/>
      <c r="J2" s="284" t="s">
        <v>250</v>
      </c>
      <c r="K2" s="258"/>
    </row>
    <row r="3" spans="2:11" ht="15" customHeight="1">
      <c r="B3" s="593"/>
      <c r="C3" s="597"/>
      <c r="D3" s="598"/>
      <c r="E3" s="598"/>
      <c r="F3" s="598"/>
      <c r="G3" s="598"/>
      <c r="H3" s="598"/>
      <c r="I3" s="598"/>
      <c r="J3" s="285" t="s">
        <v>342</v>
      </c>
      <c r="K3" s="260"/>
    </row>
    <row r="4" spans="2:11" ht="15" customHeight="1">
      <c r="B4" s="593"/>
      <c r="C4" s="597"/>
      <c r="D4" s="598"/>
      <c r="E4" s="598"/>
      <c r="F4" s="598"/>
      <c r="G4" s="598"/>
      <c r="H4" s="598"/>
      <c r="I4" s="598"/>
      <c r="J4" s="285" t="s">
        <v>251</v>
      </c>
      <c r="K4" s="260" t="s">
        <v>251</v>
      </c>
    </row>
    <row r="5" spans="2:11" ht="15" customHeight="1" thickBot="1">
      <c r="B5" s="594"/>
      <c r="C5" s="599"/>
      <c r="D5" s="600"/>
      <c r="E5" s="600"/>
      <c r="F5" s="600"/>
      <c r="G5" s="600"/>
      <c r="H5" s="600"/>
      <c r="I5" s="600"/>
      <c r="J5" s="286" t="s">
        <v>5</v>
      </c>
      <c r="K5" s="262" t="s">
        <v>5</v>
      </c>
    </row>
    <row r="6" spans="2:11" ht="16" thickBot="1"/>
    <row r="7" spans="2:11" customFormat="1" ht="16" thickBot="1">
      <c r="B7" s="601" t="s">
        <v>270</v>
      </c>
      <c r="C7" s="602"/>
      <c r="D7" s="603" t="s">
        <v>343</v>
      </c>
      <c r="E7" s="604"/>
      <c r="F7" s="603" t="s">
        <v>344</v>
      </c>
      <c r="G7" s="605"/>
      <c r="H7" s="605"/>
      <c r="I7" s="605"/>
      <c r="J7" s="605"/>
      <c r="K7" s="606"/>
    </row>
    <row r="8" spans="2:11" customFormat="1" ht="18" customHeight="1" thickBot="1">
      <c r="B8" s="607"/>
      <c r="C8" s="608"/>
      <c r="D8" s="609">
        <v>1</v>
      </c>
      <c r="E8" s="610"/>
      <c r="F8" s="611"/>
      <c r="G8" s="611"/>
      <c r="H8" s="611"/>
      <c r="I8" s="611"/>
      <c r="J8" s="611"/>
      <c r="K8" s="612"/>
    </row>
    <row r="9" spans="2:11" customFormat="1" ht="18" customHeight="1" thickBot="1">
      <c r="B9" s="607"/>
      <c r="C9" s="608"/>
      <c r="D9" s="609">
        <v>2</v>
      </c>
      <c r="E9" s="610"/>
      <c r="F9" s="611"/>
      <c r="G9" s="611"/>
      <c r="H9" s="611"/>
      <c r="I9" s="611"/>
      <c r="J9" s="611"/>
      <c r="K9" s="612"/>
    </row>
    <row r="10" spans="2:11" customFormat="1" ht="18" customHeight="1" thickBot="1">
      <c r="B10" s="607"/>
      <c r="C10" s="608"/>
      <c r="D10" s="609">
        <v>3</v>
      </c>
      <c r="E10" s="610"/>
      <c r="F10" s="611"/>
      <c r="G10" s="611"/>
      <c r="H10" s="611"/>
      <c r="I10" s="611"/>
      <c r="J10" s="611"/>
      <c r="K10" s="612"/>
    </row>
    <row r="11" spans="2:11" customFormat="1" ht="18" customHeight="1" thickBot="1">
      <c r="B11" s="607"/>
      <c r="C11" s="608"/>
      <c r="D11" s="609">
        <v>4</v>
      </c>
      <c r="E11" s="610"/>
      <c r="F11" s="611"/>
      <c r="G11" s="611"/>
      <c r="H11" s="611"/>
      <c r="I11" s="611"/>
      <c r="J11" s="611"/>
      <c r="K11" s="612"/>
    </row>
    <row r="12" spans="2:11" customFormat="1" ht="18" customHeight="1" thickBot="1">
      <c r="B12" s="607"/>
      <c r="C12" s="608"/>
      <c r="D12" s="609">
        <v>5</v>
      </c>
      <c r="E12" s="610"/>
      <c r="F12" s="611"/>
      <c r="G12" s="611"/>
      <c r="H12" s="611"/>
      <c r="I12" s="611"/>
      <c r="J12" s="611"/>
      <c r="K12" s="612"/>
    </row>
    <row r="13" spans="2:11" customFormat="1" ht="18" customHeight="1" thickBot="1">
      <c r="B13" s="607"/>
      <c r="C13" s="608"/>
      <c r="D13" s="609">
        <v>6</v>
      </c>
      <c r="E13" s="610"/>
      <c r="F13" s="611"/>
      <c r="G13" s="611"/>
      <c r="H13" s="611"/>
      <c r="I13" s="611"/>
      <c r="J13" s="611"/>
      <c r="K13" s="612"/>
    </row>
    <row r="14" spans="2:11" customFormat="1" ht="18" customHeight="1" thickBot="1">
      <c r="B14" s="607"/>
      <c r="C14" s="608"/>
      <c r="D14" s="609">
        <v>7</v>
      </c>
      <c r="E14" s="610"/>
      <c r="F14" s="611"/>
      <c r="G14" s="611"/>
      <c r="H14" s="611"/>
      <c r="I14" s="611"/>
      <c r="J14" s="611"/>
      <c r="K14" s="612"/>
    </row>
    <row r="15" spans="2:11" customFormat="1" ht="18" customHeight="1">
      <c r="B15" s="607">
        <v>45352</v>
      </c>
      <c r="C15" s="608"/>
      <c r="D15" s="609">
        <v>8</v>
      </c>
      <c r="E15" s="610"/>
      <c r="F15" s="611" t="s">
        <v>345</v>
      </c>
      <c r="G15" s="611"/>
      <c r="H15" s="611"/>
      <c r="I15" s="611"/>
      <c r="J15" s="611"/>
      <c r="K15" s="612"/>
    </row>
    <row r="16" spans="2:11" customFormat="1" ht="150.75" customHeight="1">
      <c r="B16" s="607" t="s">
        <v>346</v>
      </c>
      <c r="C16" s="608"/>
      <c r="D16" s="609">
        <v>9</v>
      </c>
      <c r="E16" s="610"/>
      <c r="F16" s="611" t="s">
        <v>347</v>
      </c>
      <c r="G16" s="611"/>
      <c r="H16" s="611"/>
      <c r="I16" s="611"/>
      <c r="J16" s="611"/>
      <c r="K16" s="612"/>
    </row>
    <row r="17" spans="2:12" customFormat="1" ht="15.75" customHeight="1">
      <c r="B17" s="613"/>
      <c r="C17" s="613"/>
      <c r="D17" s="613"/>
      <c r="E17" s="613"/>
      <c r="F17" s="613"/>
      <c r="G17" s="613"/>
      <c r="H17" s="613"/>
      <c r="I17" s="613"/>
      <c r="J17" s="613"/>
      <c r="K17" s="613"/>
    </row>
    <row r="18" spans="2:12" customFormat="1" ht="15.75" customHeight="1" thickBot="1">
      <c r="B18" s="614" t="s">
        <v>348</v>
      </c>
      <c r="C18" s="615"/>
      <c r="D18" s="615"/>
      <c r="E18" s="616"/>
      <c r="F18" s="617" t="s">
        <v>349</v>
      </c>
      <c r="G18" s="618"/>
      <c r="H18" s="619"/>
      <c r="I18" s="620" t="s">
        <v>350</v>
      </c>
      <c r="J18" s="621"/>
      <c r="K18" s="616"/>
    </row>
    <row r="19" spans="2:12" customFormat="1" ht="27" customHeight="1">
      <c r="B19" s="622"/>
      <c r="C19" s="623"/>
      <c r="D19" s="623"/>
      <c r="E19" s="623"/>
      <c r="F19" s="623"/>
      <c r="G19" s="623"/>
      <c r="H19" s="623"/>
      <c r="I19" s="624"/>
      <c r="J19" s="624"/>
      <c r="K19" s="625"/>
    </row>
    <row r="20" spans="2:12" customFormat="1" ht="15" customHeight="1">
      <c r="B20" s="627" t="s">
        <v>351</v>
      </c>
      <c r="C20" s="628"/>
      <c r="D20" s="628"/>
      <c r="E20" s="628"/>
      <c r="F20" s="629" t="s">
        <v>352</v>
      </c>
      <c r="G20" s="629"/>
      <c r="H20" s="630"/>
      <c r="I20" s="629" t="s">
        <v>352</v>
      </c>
      <c r="J20" s="629"/>
      <c r="K20" s="630"/>
    </row>
    <row r="21" spans="2:12" customFormat="1" ht="22.5" customHeight="1" thickBot="1">
      <c r="B21" s="631" t="s">
        <v>353</v>
      </c>
      <c r="C21" s="632"/>
      <c r="D21" s="632"/>
      <c r="E21" s="632"/>
      <c r="F21" s="632" t="s">
        <v>354</v>
      </c>
      <c r="G21" s="632"/>
      <c r="H21" s="633"/>
      <c r="I21" s="632" t="s">
        <v>354</v>
      </c>
      <c r="J21" s="632"/>
      <c r="K21" s="633"/>
    </row>
    <row r="22" spans="2:12" customFormat="1" ht="9" customHeight="1" thickBot="1">
      <c r="B22" s="634"/>
      <c r="C22" s="634"/>
      <c r="D22" s="634"/>
      <c r="E22" s="634"/>
      <c r="F22" s="634"/>
      <c r="G22" s="634"/>
      <c r="H22" s="634"/>
      <c r="I22" s="634"/>
      <c r="J22" s="634"/>
      <c r="K22" s="634"/>
    </row>
    <row r="23" spans="2:12" customFormat="1" ht="16" thickBot="1">
      <c r="B23" s="635" t="s">
        <v>108</v>
      </c>
      <c r="C23" s="636"/>
      <c r="D23" s="637"/>
      <c r="E23" s="123" t="s">
        <v>109</v>
      </c>
      <c r="F23" s="635" t="s">
        <v>110</v>
      </c>
      <c r="G23" s="637"/>
      <c r="H23" s="124" t="s">
        <v>111</v>
      </c>
      <c r="I23" s="635" t="s">
        <v>112</v>
      </c>
      <c r="J23" s="637"/>
      <c r="K23" s="125">
        <v>1</v>
      </c>
    </row>
    <row r="24" spans="2:12" ht="8.25" customHeight="1"/>
    <row r="25" spans="2:12">
      <c r="B25" s="626" t="s">
        <v>355</v>
      </c>
      <c r="C25" s="626"/>
      <c r="D25" s="626"/>
      <c r="E25" s="626"/>
      <c r="F25" s="626"/>
      <c r="G25" s="626"/>
      <c r="H25" s="626"/>
      <c r="I25" s="626"/>
      <c r="J25" s="626"/>
      <c r="K25" s="626"/>
      <c r="L25" s="626"/>
    </row>
    <row r="26" spans="2:12">
      <c r="B26" s="626" t="s">
        <v>356</v>
      </c>
      <c r="C26" s="626"/>
      <c r="D26" s="626"/>
      <c r="E26" s="626"/>
      <c r="F26" s="626"/>
      <c r="G26" s="626"/>
      <c r="H26" s="626"/>
      <c r="I26" s="626"/>
      <c r="J26" s="626"/>
      <c r="K26" s="626"/>
      <c r="L26" s="626"/>
    </row>
    <row r="27" spans="2:12" ht="9" customHeight="1"/>
  </sheetData>
  <mergeCells count="5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 ref="B26:L26"/>
    <mergeCell ref="B20:E20"/>
    <mergeCell ref="F20:H20"/>
    <mergeCell ref="I20:K20"/>
    <mergeCell ref="B21:E21"/>
    <mergeCell ref="F21:H21"/>
    <mergeCell ref="I21:K21"/>
    <mergeCell ref="B22:K22"/>
    <mergeCell ref="B23:D23"/>
    <mergeCell ref="F23:G23"/>
    <mergeCell ref="I23:J23"/>
    <mergeCell ref="B25:L25"/>
    <mergeCell ref="B17:K17"/>
    <mergeCell ref="B18:E18"/>
    <mergeCell ref="F18:H18"/>
    <mergeCell ref="I18:K18"/>
    <mergeCell ref="B19:E19"/>
    <mergeCell ref="F19:H19"/>
    <mergeCell ref="I19:K19"/>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2:B5"/>
    <mergeCell ref="C2:I5"/>
    <mergeCell ref="J2:K2"/>
    <mergeCell ref="J3:K3"/>
    <mergeCell ref="J4:K4"/>
    <mergeCell ref="J5:K5"/>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K13" sqref="K13"/>
    </sheetView>
  </sheetViews>
  <sheetFormatPr baseColWidth="10" defaultColWidth="11.5" defaultRowHeight="15"/>
  <cols>
    <col min="2" max="2" width="24.33203125" customWidth="1"/>
    <col min="3" max="3" width="70.33203125" customWidth="1"/>
    <col min="4" max="4" width="29.6640625" customWidth="1"/>
  </cols>
  <sheetData>
    <row r="1" spans="1:37" ht="23">
      <c r="A1" s="68"/>
      <c r="B1" s="638" t="s">
        <v>357</v>
      </c>
      <c r="C1" s="638"/>
      <c r="D1" s="638"/>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6">
      <c r="A3" s="68"/>
      <c r="B3" s="3"/>
      <c r="C3" s="4" t="s">
        <v>358</v>
      </c>
      <c r="D3" s="4" t="s">
        <v>253</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2">
      <c r="A4" s="68"/>
      <c r="B4" s="5" t="s">
        <v>359</v>
      </c>
      <c r="C4" s="6" t="s">
        <v>360</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2">
      <c r="A5" s="68"/>
      <c r="B5" s="8" t="s">
        <v>361</v>
      </c>
      <c r="C5" s="9" t="s">
        <v>362</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2">
      <c r="A6" s="68"/>
      <c r="B6" s="11" t="s">
        <v>363</v>
      </c>
      <c r="C6" s="9" t="s">
        <v>364</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52">
      <c r="A7" s="68"/>
      <c r="B7" s="12" t="s">
        <v>365</v>
      </c>
      <c r="C7" s="9" t="s">
        <v>366</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2">
      <c r="A8" s="68"/>
      <c r="B8" s="13" t="s">
        <v>367</v>
      </c>
      <c r="C8" s="9" t="s">
        <v>368</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73" zoomScale="55" zoomScaleNormal="55" workbookViewId="0">
      <selection activeCell="G1" sqref="G1"/>
    </sheetView>
  </sheetViews>
  <sheetFormatPr baseColWidth="10" defaultColWidth="11.5" defaultRowHeight="15"/>
  <cols>
    <col min="2" max="2" width="40.5" customWidth="1"/>
    <col min="3" max="3" width="74.6640625" customWidth="1"/>
    <col min="4" max="4" width="135" bestFit="1" customWidth="1"/>
    <col min="5" max="5" width="144.6640625" bestFit="1" customWidth="1"/>
    <col min="6" max="6" width="136.5" bestFit="1" customWidth="1"/>
  </cols>
  <sheetData>
    <row r="1" spans="1:21" ht="33">
      <c r="A1" s="68"/>
      <c r="B1" s="639" t="s">
        <v>369</v>
      </c>
      <c r="C1" s="639"/>
      <c r="D1" s="639"/>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31">
      <c r="A3" s="68"/>
      <c r="B3" s="85"/>
      <c r="C3" s="22" t="s">
        <v>370</v>
      </c>
      <c r="D3" s="22" t="s">
        <v>371</v>
      </c>
      <c r="E3" s="68"/>
      <c r="F3" s="68"/>
      <c r="G3" s="68"/>
      <c r="H3" s="68"/>
      <c r="I3" s="68"/>
      <c r="J3" s="68"/>
      <c r="K3" s="68"/>
      <c r="L3" s="68"/>
      <c r="M3" s="68"/>
      <c r="N3" s="68"/>
      <c r="O3" s="68"/>
      <c r="P3" s="68"/>
      <c r="Q3" s="68"/>
      <c r="R3" s="68"/>
      <c r="S3" s="68"/>
      <c r="T3" s="68"/>
      <c r="U3" s="68"/>
    </row>
    <row r="4" spans="1:21" ht="34">
      <c r="A4" s="84" t="s">
        <v>372</v>
      </c>
      <c r="B4" s="25" t="s">
        <v>373</v>
      </c>
      <c r="C4" s="30" t="s">
        <v>374</v>
      </c>
      <c r="D4" s="23" t="s">
        <v>375</v>
      </c>
      <c r="E4" s="68"/>
      <c r="F4" s="68"/>
      <c r="G4" s="68"/>
      <c r="H4" s="68"/>
      <c r="I4" s="68"/>
      <c r="J4" s="68"/>
      <c r="K4" s="68"/>
      <c r="L4" s="68"/>
      <c r="M4" s="68"/>
      <c r="N4" s="68"/>
      <c r="O4" s="68"/>
      <c r="P4" s="68"/>
      <c r="Q4" s="68"/>
      <c r="R4" s="68"/>
      <c r="S4" s="68"/>
      <c r="T4" s="68"/>
      <c r="U4" s="68"/>
    </row>
    <row r="5" spans="1:21" ht="68">
      <c r="A5" s="84" t="s">
        <v>120</v>
      </c>
      <c r="B5" s="26" t="s">
        <v>376</v>
      </c>
      <c r="C5" s="31" t="s">
        <v>377</v>
      </c>
      <c r="D5" s="24" t="s">
        <v>378</v>
      </c>
      <c r="E5" s="68"/>
      <c r="F5" s="68"/>
      <c r="G5" s="68"/>
      <c r="H5" s="68"/>
      <c r="I5" s="68"/>
      <c r="J5" s="68"/>
      <c r="K5" s="68"/>
      <c r="L5" s="68"/>
      <c r="M5" s="68"/>
      <c r="N5" s="68"/>
      <c r="O5" s="68"/>
      <c r="P5" s="68"/>
      <c r="Q5" s="68"/>
      <c r="R5" s="68"/>
      <c r="S5" s="68"/>
      <c r="T5" s="68"/>
      <c r="U5" s="68"/>
    </row>
    <row r="6" spans="1:21" ht="68">
      <c r="A6" s="84" t="s">
        <v>122</v>
      </c>
      <c r="B6" s="27" t="s">
        <v>379</v>
      </c>
      <c r="C6" s="31" t="s">
        <v>380</v>
      </c>
      <c r="D6" s="24" t="s">
        <v>381</v>
      </c>
      <c r="E6" s="68"/>
      <c r="F6" s="68"/>
      <c r="G6" s="68"/>
      <c r="H6" s="68"/>
      <c r="I6" s="68"/>
      <c r="J6" s="68"/>
      <c r="K6" s="68"/>
      <c r="L6" s="68"/>
      <c r="M6" s="68"/>
      <c r="N6" s="68"/>
      <c r="O6" s="68"/>
      <c r="P6" s="68"/>
      <c r="Q6" s="68"/>
      <c r="R6" s="68"/>
      <c r="S6" s="68"/>
      <c r="T6" s="68"/>
      <c r="U6" s="68"/>
    </row>
    <row r="7" spans="1:21" ht="68">
      <c r="A7" s="84" t="s">
        <v>124</v>
      </c>
      <c r="B7" s="28" t="s">
        <v>382</v>
      </c>
      <c r="C7" s="31" t="s">
        <v>383</v>
      </c>
      <c r="D7" s="24" t="s">
        <v>384</v>
      </c>
      <c r="E7" s="68"/>
      <c r="F7" s="68"/>
      <c r="G7" s="68"/>
      <c r="H7" s="68"/>
      <c r="I7" s="68"/>
      <c r="J7" s="68"/>
      <c r="K7" s="68"/>
      <c r="L7" s="68"/>
      <c r="M7" s="68"/>
      <c r="N7" s="68"/>
      <c r="O7" s="68"/>
      <c r="P7" s="68"/>
      <c r="Q7" s="68"/>
      <c r="R7" s="68"/>
      <c r="S7" s="68"/>
      <c r="T7" s="68"/>
      <c r="U7" s="68"/>
    </row>
    <row r="8" spans="1:21" ht="68">
      <c r="A8" s="84" t="s">
        <v>126</v>
      </c>
      <c r="B8" s="29" t="s">
        <v>385</v>
      </c>
      <c r="C8" s="31" t="s">
        <v>386</v>
      </c>
      <c r="D8" s="24" t="s">
        <v>387</v>
      </c>
      <c r="E8" s="68"/>
      <c r="F8" s="68"/>
      <c r="G8" s="68"/>
      <c r="H8" s="68"/>
      <c r="I8" s="68"/>
      <c r="J8" s="68"/>
      <c r="K8" s="68"/>
      <c r="L8" s="68"/>
      <c r="M8" s="68"/>
      <c r="N8" s="68"/>
      <c r="O8" s="68"/>
      <c r="P8" s="68"/>
      <c r="Q8" s="68"/>
      <c r="R8" s="68"/>
      <c r="S8" s="68"/>
      <c r="T8" s="68"/>
      <c r="U8" s="68"/>
    </row>
    <row r="9" spans="1:21" ht="20">
      <c r="A9" s="84"/>
      <c r="B9" s="84"/>
      <c r="C9" s="86"/>
      <c r="D9" s="86"/>
      <c r="E9" s="68"/>
      <c r="F9" s="68"/>
      <c r="G9" s="68"/>
      <c r="H9" s="68"/>
      <c r="I9" s="68"/>
      <c r="J9" s="68"/>
      <c r="K9" s="68"/>
      <c r="L9" s="68"/>
      <c r="M9" s="68"/>
      <c r="N9" s="68"/>
      <c r="O9" s="68"/>
      <c r="P9" s="68"/>
      <c r="Q9" s="68"/>
      <c r="R9" s="68"/>
      <c r="S9" s="68"/>
      <c r="T9" s="68"/>
      <c r="U9" s="68"/>
    </row>
    <row r="10" spans="1:21">
      <c r="A10" s="84"/>
      <c r="B10" s="87"/>
      <c r="C10" s="87"/>
      <c r="D10" s="87"/>
      <c r="E10" s="68"/>
      <c r="F10" s="68"/>
      <c r="G10" s="68"/>
      <c r="H10" s="68"/>
      <c r="I10" s="68"/>
      <c r="J10" s="68"/>
      <c r="K10" s="68"/>
      <c r="L10" s="68"/>
      <c r="M10" s="68"/>
      <c r="N10" s="68"/>
      <c r="O10" s="68"/>
      <c r="P10" s="68"/>
      <c r="Q10" s="68"/>
      <c r="R10" s="68"/>
      <c r="S10" s="68"/>
      <c r="T10" s="68"/>
      <c r="U10" s="68"/>
    </row>
    <row r="11" spans="1:21">
      <c r="A11" s="84"/>
      <c r="B11" s="84" t="s">
        <v>388</v>
      </c>
      <c r="C11" s="84" t="s">
        <v>117</v>
      </c>
      <c r="D11" s="84" t="s">
        <v>127</v>
      </c>
      <c r="E11" s="68"/>
      <c r="F11" s="68"/>
      <c r="G11" s="68"/>
      <c r="H11" s="68"/>
      <c r="I11" s="68"/>
      <c r="J11" s="68"/>
      <c r="K11" s="68"/>
      <c r="L11" s="68"/>
      <c r="M11" s="68"/>
      <c r="N11" s="68"/>
      <c r="O11" s="68"/>
      <c r="P11" s="68"/>
      <c r="Q11" s="68"/>
      <c r="R11" s="68"/>
      <c r="S11" s="68"/>
      <c r="T11" s="68"/>
      <c r="U11" s="68"/>
    </row>
    <row r="12" spans="1:21">
      <c r="A12" s="84"/>
      <c r="B12" s="84" t="s">
        <v>389</v>
      </c>
      <c r="C12" s="84" t="s">
        <v>119</v>
      </c>
      <c r="D12" s="84" t="s">
        <v>128</v>
      </c>
      <c r="E12" s="68"/>
      <c r="F12" s="68"/>
      <c r="G12" s="68"/>
      <c r="H12" s="68"/>
      <c r="I12" s="68"/>
      <c r="J12" s="68"/>
      <c r="K12" s="68"/>
      <c r="L12" s="68"/>
      <c r="M12" s="68"/>
      <c r="N12" s="68"/>
      <c r="O12" s="68"/>
      <c r="P12" s="68"/>
      <c r="Q12" s="68"/>
      <c r="R12" s="68"/>
      <c r="S12" s="68"/>
      <c r="T12" s="68"/>
      <c r="U12" s="68"/>
    </row>
    <row r="13" spans="1:21">
      <c r="A13" s="84"/>
      <c r="B13" s="84"/>
      <c r="C13" s="84" t="s">
        <v>121</v>
      </c>
      <c r="D13" s="84" t="s">
        <v>129</v>
      </c>
      <c r="E13" s="68"/>
      <c r="F13" s="68"/>
      <c r="G13" s="68"/>
      <c r="H13" s="68"/>
      <c r="I13" s="68"/>
      <c r="J13" s="68"/>
      <c r="K13" s="68"/>
      <c r="L13" s="68"/>
      <c r="M13" s="68"/>
      <c r="N13" s="68"/>
      <c r="O13" s="68"/>
      <c r="P13" s="68"/>
      <c r="Q13" s="68"/>
      <c r="R13" s="68"/>
      <c r="S13" s="68"/>
      <c r="T13" s="68"/>
      <c r="U13" s="68"/>
    </row>
    <row r="14" spans="1:21">
      <c r="A14" s="84"/>
      <c r="B14" s="84"/>
      <c r="C14" s="84" t="s">
        <v>123</v>
      </c>
      <c r="D14" s="84" t="s">
        <v>130</v>
      </c>
      <c r="E14" s="68"/>
      <c r="F14" s="68"/>
      <c r="G14" s="68"/>
      <c r="H14" s="68"/>
      <c r="I14" s="68"/>
      <c r="J14" s="68"/>
      <c r="K14" s="68"/>
      <c r="L14" s="68"/>
      <c r="M14" s="68"/>
      <c r="N14" s="68"/>
      <c r="O14" s="68"/>
      <c r="P14" s="68"/>
      <c r="Q14" s="68"/>
      <c r="R14" s="68"/>
      <c r="S14" s="68"/>
      <c r="T14" s="68"/>
      <c r="U14" s="68"/>
    </row>
    <row r="15" spans="1:21">
      <c r="A15" s="84"/>
      <c r="B15" s="84"/>
      <c r="C15" s="84" t="s">
        <v>125</v>
      </c>
      <c r="D15" s="84" t="s">
        <v>131</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
      <c r="A22" s="84"/>
      <c r="B22" s="84"/>
      <c r="C22" s="86"/>
      <c r="D22" s="86"/>
      <c r="E22" s="68"/>
      <c r="F22" s="68"/>
      <c r="G22" s="68"/>
      <c r="H22" s="68"/>
      <c r="I22" s="68"/>
      <c r="J22" s="68"/>
      <c r="K22" s="68"/>
      <c r="L22" s="68"/>
      <c r="M22" s="68"/>
      <c r="N22" s="68"/>
      <c r="O22" s="68"/>
    </row>
    <row r="23" spans="1:15" ht="20">
      <c r="A23" s="84"/>
      <c r="B23" s="84"/>
      <c r="C23" s="86"/>
      <c r="D23" s="86"/>
      <c r="E23" s="68"/>
      <c r="F23" s="68"/>
      <c r="G23" s="68"/>
      <c r="H23" s="68"/>
      <c r="I23" s="68"/>
      <c r="J23" s="68"/>
      <c r="K23" s="68"/>
      <c r="L23" s="68"/>
      <c r="M23" s="68"/>
      <c r="N23" s="68"/>
      <c r="O23" s="68"/>
    </row>
    <row r="24" spans="1:15" ht="20">
      <c r="A24" s="84"/>
      <c r="B24" s="84"/>
      <c r="C24" s="86"/>
      <c r="D24" s="86"/>
      <c r="E24" s="68"/>
      <c r="F24" s="68"/>
      <c r="G24" s="68"/>
      <c r="H24" s="68"/>
      <c r="I24" s="68"/>
      <c r="J24" s="68"/>
      <c r="K24" s="68"/>
      <c r="L24" s="68"/>
      <c r="M24" s="68"/>
      <c r="N24" s="68"/>
      <c r="O24" s="68"/>
    </row>
    <row r="25" spans="1:15" ht="20">
      <c r="A25" s="84"/>
      <c r="B25" s="84"/>
      <c r="C25" s="86"/>
      <c r="D25" s="86"/>
      <c r="E25" s="68"/>
      <c r="F25" s="68"/>
      <c r="G25" s="68"/>
      <c r="H25" s="68"/>
      <c r="I25" s="68"/>
      <c r="J25" s="68"/>
      <c r="K25" s="68"/>
      <c r="L25" s="68"/>
      <c r="M25" s="68"/>
      <c r="N25" s="68"/>
      <c r="O25" s="68"/>
    </row>
    <row r="26" spans="1:15" ht="20">
      <c r="A26" s="84"/>
      <c r="B26" s="84"/>
      <c r="C26" s="86"/>
      <c r="D26" s="86"/>
      <c r="E26" s="68"/>
      <c r="F26" s="68"/>
      <c r="G26" s="68"/>
      <c r="H26" s="68"/>
      <c r="I26" s="68"/>
      <c r="J26" s="68"/>
      <c r="K26" s="68"/>
      <c r="L26" s="68"/>
      <c r="M26" s="68"/>
      <c r="N26" s="68"/>
      <c r="O26" s="68"/>
    </row>
    <row r="27" spans="1:15" ht="20">
      <c r="A27" s="84"/>
      <c r="B27" s="84"/>
      <c r="C27" s="86"/>
      <c r="D27" s="86"/>
      <c r="E27" s="68"/>
      <c r="F27" s="68"/>
      <c r="G27" s="68"/>
      <c r="H27" s="68"/>
      <c r="I27" s="68"/>
      <c r="J27" s="68"/>
      <c r="K27" s="68"/>
      <c r="L27" s="68"/>
      <c r="M27" s="68"/>
      <c r="N27" s="68"/>
      <c r="O27" s="68"/>
    </row>
    <row r="28" spans="1:15" ht="20">
      <c r="A28" s="84"/>
      <c r="B28" s="84"/>
      <c r="C28" s="86"/>
      <c r="D28" s="86"/>
      <c r="E28" s="68"/>
      <c r="F28" s="68"/>
      <c r="G28" s="68"/>
      <c r="H28" s="68"/>
      <c r="I28" s="68"/>
      <c r="J28" s="68"/>
      <c r="K28" s="68"/>
      <c r="L28" s="68"/>
      <c r="M28" s="68"/>
      <c r="N28" s="68"/>
      <c r="O28" s="68"/>
    </row>
    <row r="29" spans="1:15" ht="20">
      <c r="A29" s="84"/>
      <c r="B29" s="84"/>
      <c r="C29" s="86"/>
      <c r="D29" s="86"/>
      <c r="E29" s="68"/>
      <c r="F29" s="68"/>
      <c r="G29" s="68"/>
      <c r="H29" s="68"/>
      <c r="I29" s="68"/>
      <c r="J29" s="68"/>
      <c r="K29" s="68"/>
      <c r="L29" s="68"/>
      <c r="M29" s="68"/>
      <c r="N29" s="68"/>
      <c r="O29" s="68"/>
    </row>
    <row r="30" spans="1:15" ht="20">
      <c r="A30" s="84"/>
      <c r="B30" s="84"/>
      <c r="C30" s="86"/>
      <c r="D30" s="86"/>
      <c r="E30" s="68"/>
      <c r="F30" s="68"/>
      <c r="G30" s="68"/>
      <c r="H30" s="68"/>
      <c r="I30" s="68"/>
      <c r="J30" s="68"/>
      <c r="K30" s="68"/>
      <c r="L30" s="68"/>
      <c r="M30" s="68"/>
      <c r="N30" s="68"/>
      <c r="O30" s="68"/>
    </row>
    <row r="31" spans="1:15" ht="20">
      <c r="A31" s="84"/>
      <c r="B31" s="84"/>
      <c r="C31" s="86"/>
      <c r="D31" s="86"/>
      <c r="E31" s="68"/>
      <c r="F31" s="68"/>
      <c r="G31" s="68"/>
      <c r="H31" s="68"/>
      <c r="I31" s="68"/>
      <c r="J31" s="68"/>
      <c r="K31" s="68"/>
      <c r="L31" s="68"/>
      <c r="M31" s="68"/>
      <c r="N31" s="68"/>
      <c r="O31" s="68"/>
    </row>
    <row r="32" spans="1:15" ht="20">
      <c r="A32" s="84"/>
      <c r="B32" s="84"/>
      <c r="C32" s="86"/>
      <c r="D32" s="86"/>
      <c r="E32" s="68"/>
      <c r="F32" s="68"/>
      <c r="G32" s="68"/>
      <c r="H32" s="68"/>
      <c r="I32" s="68"/>
      <c r="J32" s="68"/>
      <c r="K32" s="68"/>
      <c r="L32" s="68"/>
      <c r="M32" s="68"/>
      <c r="N32" s="68"/>
      <c r="O32" s="68"/>
    </row>
    <row r="33" spans="1:15" ht="20">
      <c r="A33" s="84"/>
      <c r="B33" s="84"/>
      <c r="C33" s="86"/>
      <c r="D33" s="86"/>
      <c r="E33" s="68"/>
      <c r="F33" s="68"/>
      <c r="G33" s="68"/>
      <c r="H33" s="68"/>
      <c r="I33" s="68"/>
      <c r="J33" s="68"/>
      <c r="K33" s="68"/>
      <c r="L33" s="68"/>
      <c r="M33" s="68"/>
      <c r="N33" s="68"/>
      <c r="O33" s="68"/>
    </row>
    <row r="34" spans="1:15" ht="20">
      <c r="A34" s="84"/>
      <c r="B34" s="84"/>
      <c r="C34" s="86"/>
      <c r="D34" s="86"/>
      <c r="E34" s="68"/>
      <c r="F34" s="68"/>
      <c r="G34" s="68"/>
      <c r="H34" s="68"/>
      <c r="I34" s="68"/>
      <c r="J34" s="68"/>
      <c r="K34" s="68"/>
      <c r="L34" s="68"/>
      <c r="M34" s="68"/>
      <c r="N34" s="68"/>
      <c r="O34" s="68"/>
    </row>
    <row r="35" spans="1:15" ht="20">
      <c r="A35" s="84"/>
      <c r="B35" s="84"/>
      <c r="C35" s="86"/>
      <c r="D35" s="86"/>
      <c r="E35" s="68"/>
      <c r="F35" s="68"/>
      <c r="G35" s="68"/>
      <c r="H35" s="68"/>
      <c r="I35" s="68"/>
      <c r="J35" s="68"/>
      <c r="K35" s="68"/>
      <c r="L35" s="68"/>
      <c r="M35" s="68"/>
      <c r="N35" s="68"/>
      <c r="O35" s="68"/>
    </row>
    <row r="36" spans="1:15" ht="20">
      <c r="A36" s="84"/>
      <c r="B36" s="84"/>
      <c r="C36" s="86"/>
      <c r="D36" s="86"/>
      <c r="E36" s="68"/>
      <c r="F36" s="68"/>
      <c r="G36" s="68"/>
      <c r="H36" s="68"/>
      <c r="I36" s="68"/>
      <c r="J36" s="68"/>
      <c r="K36" s="68"/>
      <c r="L36" s="68"/>
      <c r="M36" s="68"/>
      <c r="N36" s="68"/>
      <c r="O36" s="68"/>
    </row>
    <row r="37" spans="1:15" ht="20">
      <c r="A37" s="84"/>
      <c r="B37" s="84"/>
      <c r="C37" s="86"/>
      <c r="D37" s="86"/>
      <c r="E37" s="68"/>
      <c r="F37" s="68"/>
      <c r="G37" s="68"/>
      <c r="H37" s="68"/>
      <c r="I37" s="68"/>
      <c r="J37" s="68"/>
      <c r="K37" s="68"/>
      <c r="L37" s="68"/>
      <c r="M37" s="68"/>
      <c r="N37" s="68"/>
      <c r="O37" s="68"/>
    </row>
    <row r="38" spans="1:15" ht="20">
      <c r="A38" s="84"/>
      <c r="B38" s="84"/>
      <c r="C38" s="86"/>
      <c r="D38" s="86"/>
      <c r="E38" s="68"/>
      <c r="F38" s="68"/>
      <c r="G38" s="68"/>
      <c r="H38" s="68"/>
      <c r="I38" s="68"/>
      <c r="J38" s="68"/>
      <c r="K38" s="68"/>
      <c r="L38" s="68"/>
      <c r="M38" s="68"/>
      <c r="N38" s="68"/>
      <c r="O38" s="68"/>
    </row>
    <row r="39" spans="1:15" ht="20">
      <c r="A39" s="84"/>
      <c r="B39" s="84"/>
      <c r="C39" s="86"/>
      <c r="D39" s="86"/>
      <c r="E39" s="68"/>
      <c r="F39" s="68"/>
      <c r="G39" s="68"/>
      <c r="H39" s="68"/>
      <c r="I39" s="68"/>
      <c r="J39" s="68"/>
      <c r="K39" s="68"/>
      <c r="L39" s="68"/>
      <c r="M39" s="68"/>
      <c r="N39" s="68"/>
      <c r="O39" s="68"/>
    </row>
    <row r="40" spans="1:15" ht="20">
      <c r="A40" s="84"/>
      <c r="B40" s="84"/>
      <c r="C40" s="86"/>
      <c r="D40" s="86"/>
      <c r="E40" s="68"/>
      <c r="F40" s="68"/>
      <c r="G40" s="68"/>
      <c r="H40" s="68"/>
      <c r="I40" s="68"/>
      <c r="J40" s="68"/>
      <c r="K40" s="68"/>
      <c r="L40" s="68"/>
      <c r="M40" s="68"/>
      <c r="N40" s="68"/>
      <c r="O40" s="68"/>
    </row>
    <row r="41" spans="1:15" ht="20">
      <c r="A41" s="84"/>
      <c r="B41" s="84"/>
      <c r="C41" s="86"/>
      <c r="D41" s="86"/>
      <c r="E41" s="68"/>
      <c r="F41" s="68"/>
      <c r="G41" s="68"/>
      <c r="H41" s="68"/>
      <c r="I41" s="68"/>
      <c r="J41" s="68"/>
      <c r="K41" s="68"/>
      <c r="L41" s="68"/>
      <c r="M41" s="68"/>
      <c r="N41" s="68"/>
      <c r="O41" s="68"/>
    </row>
    <row r="42" spans="1:15" ht="20">
      <c r="A42" s="84"/>
      <c r="B42" s="84"/>
      <c r="C42" s="86"/>
      <c r="D42" s="86"/>
      <c r="E42" s="68"/>
      <c r="F42" s="68"/>
      <c r="G42" s="68"/>
      <c r="H42" s="68"/>
      <c r="I42" s="68"/>
      <c r="J42" s="68"/>
      <c r="K42" s="68"/>
      <c r="L42" s="68"/>
      <c r="M42" s="68"/>
      <c r="N42" s="68"/>
      <c r="O42" s="68"/>
    </row>
    <row r="43" spans="1:15" ht="20">
      <c r="A43" s="84"/>
      <c r="B43" s="84"/>
      <c r="C43" s="86"/>
      <c r="D43" s="86"/>
      <c r="E43" s="68"/>
      <c r="F43" s="68"/>
      <c r="G43" s="68"/>
      <c r="H43" s="68"/>
      <c r="I43" s="68"/>
      <c r="J43" s="68"/>
      <c r="K43" s="68"/>
      <c r="L43" s="68"/>
      <c r="M43" s="68"/>
      <c r="N43" s="68"/>
      <c r="O43" s="68"/>
    </row>
    <row r="44" spans="1:15" ht="20">
      <c r="A44" s="84"/>
      <c r="B44" s="84"/>
      <c r="C44" s="86"/>
      <c r="D44" s="86"/>
      <c r="E44" s="68"/>
      <c r="F44" s="68"/>
      <c r="G44" s="68"/>
      <c r="H44" s="68"/>
      <c r="I44" s="68"/>
      <c r="J44" s="68"/>
      <c r="K44" s="68"/>
      <c r="L44" s="68"/>
      <c r="M44" s="68"/>
      <c r="N44" s="68"/>
      <c r="O44" s="68"/>
    </row>
    <row r="45" spans="1:15" ht="20">
      <c r="A45" s="84"/>
      <c r="B45" s="84"/>
      <c r="C45" s="86"/>
      <c r="D45" s="86"/>
      <c r="E45" s="68"/>
      <c r="F45" s="68"/>
      <c r="G45" s="68"/>
      <c r="H45" s="68"/>
      <c r="I45" s="68"/>
      <c r="J45" s="68"/>
      <c r="K45" s="68"/>
      <c r="L45" s="68"/>
      <c r="M45" s="68"/>
      <c r="N45" s="68"/>
      <c r="O45" s="68"/>
    </row>
    <row r="46" spans="1:15" ht="20">
      <c r="A46" s="84"/>
      <c r="B46" s="84"/>
      <c r="C46" s="86"/>
      <c r="D46" s="86"/>
      <c r="E46" s="68"/>
      <c r="F46" s="68"/>
      <c r="G46" s="68"/>
      <c r="H46" s="68"/>
      <c r="I46" s="68"/>
      <c r="J46" s="68"/>
      <c r="K46" s="68"/>
      <c r="L46" s="68"/>
      <c r="M46" s="68"/>
      <c r="N46" s="68"/>
      <c r="O46" s="68"/>
    </row>
    <row r="47" spans="1:15" ht="20">
      <c r="A47" s="84"/>
      <c r="B47" s="84"/>
      <c r="C47" s="86"/>
      <c r="D47" s="86"/>
      <c r="E47" s="68"/>
      <c r="F47" s="68"/>
      <c r="G47" s="68"/>
      <c r="H47" s="68"/>
      <c r="I47" s="68"/>
      <c r="J47" s="68"/>
      <c r="K47" s="68"/>
      <c r="L47" s="68"/>
      <c r="M47" s="68"/>
      <c r="N47" s="68"/>
      <c r="O47" s="68"/>
    </row>
    <row r="48" spans="1:15" ht="20">
      <c r="A48" s="84"/>
      <c r="B48" s="84"/>
      <c r="C48" s="86"/>
      <c r="D48" s="86"/>
      <c r="E48" s="68"/>
      <c r="F48" s="68"/>
      <c r="G48" s="68"/>
      <c r="H48" s="68"/>
      <c r="I48" s="68"/>
      <c r="J48" s="68"/>
      <c r="K48" s="68"/>
      <c r="L48" s="68"/>
      <c r="M48" s="68"/>
      <c r="N48" s="68"/>
      <c r="O48" s="68"/>
    </row>
    <row r="49" spans="1:15" ht="20">
      <c r="A49" s="84"/>
      <c r="B49" s="84"/>
      <c r="C49" s="86"/>
      <c r="D49" s="86"/>
      <c r="E49" s="68"/>
      <c r="F49" s="68"/>
      <c r="G49" s="68"/>
      <c r="H49" s="68"/>
      <c r="I49" s="68"/>
      <c r="J49" s="68"/>
      <c r="K49" s="68"/>
      <c r="L49" s="68"/>
      <c r="M49" s="68"/>
      <c r="N49" s="68"/>
      <c r="O49" s="68"/>
    </row>
    <row r="50" spans="1:15" ht="20">
      <c r="A50" s="84"/>
      <c r="B50" s="84"/>
      <c r="C50" s="86"/>
      <c r="D50" s="86"/>
      <c r="E50" s="68"/>
      <c r="F50" s="68"/>
      <c r="G50" s="68"/>
      <c r="H50" s="68"/>
      <c r="I50" s="68"/>
      <c r="J50" s="68"/>
      <c r="K50" s="68"/>
      <c r="L50" s="68"/>
      <c r="M50" s="68"/>
      <c r="N50" s="68"/>
      <c r="O50" s="68"/>
    </row>
    <row r="51" spans="1:15" ht="20">
      <c r="A51" s="84"/>
      <c r="B51" s="84"/>
      <c r="C51" s="86"/>
      <c r="D51" s="86"/>
      <c r="E51" s="68"/>
      <c r="F51" s="68"/>
      <c r="G51" s="68"/>
      <c r="H51" s="68"/>
      <c r="I51" s="68"/>
      <c r="J51" s="68"/>
      <c r="K51" s="68"/>
      <c r="L51" s="68"/>
      <c r="M51" s="68"/>
      <c r="N51" s="68"/>
      <c r="O51" s="68"/>
    </row>
    <row r="52" spans="1:15" ht="20">
      <c r="A52" s="84"/>
      <c r="B52" s="15"/>
      <c r="C52" s="20"/>
      <c r="D52" s="20"/>
    </row>
    <row r="53" spans="1:15" ht="20">
      <c r="A53" s="84"/>
      <c r="B53" s="15"/>
      <c r="C53" s="20"/>
      <c r="D53" s="20"/>
    </row>
    <row r="54" spans="1:15" ht="20">
      <c r="A54" s="84"/>
      <c r="B54" s="15"/>
      <c r="C54" s="20"/>
      <c r="D54" s="20"/>
    </row>
    <row r="55" spans="1:15" ht="20">
      <c r="A55" s="84"/>
      <c r="B55" s="15"/>
      <c r="C55" s="20"/>
      <c r="D55" s="20"/>
    </row>
    <row r="56" spans="1:15" ht="20">
      <c r="A56" s="84"/>
      <c r="B56" s="15"/>
      <c r="C56" s="20"/>
      <c r="D56" s="20"/>
    </row>
    <row r="57" spans="1:15" ht="20">
      <c r="A57" s="84"/>
      <c r="B57" s="15"/>
      <c r="C57" s="20"/>
      <c r="D57" s="20"/>
    </row>
    <row r="58" spans="1:15" ht="20">
      <c r="A58" s="84"/>
      <c r="B58" s="15"/>
      <c r="C58" s="20"/>
      <c r="D58" s="20"/>
    </row>
    <row r="59" spans="1:15" ht="20">
      <c r="A59" s="84"/>
      <c r="B59" s="15"/>
      <c r="C59" s="20"/>
      <c r="D59" s="20"/>
    </row>
    <row r="60" spans="1:15" ht="20">
      <c r="A60" s="84"/>
      <c r="B60" s="15"/>
      <c r="C60" s="20"/>
      <c r="D60" s="20"/>
    </row>
    <row r="61" spans="1:15" ht="20">
      <c r="A61" s="84"/>
      <c r="B61" s="15"/>
      <c r="C61" s="20"/>
      <c r="D61" s="20"/>
    </row>
    <row r="62" spans="1:15" ht="20">
      <c r="A62" s="84"/>
      <c r="B62" s="15"/>
      <c r="C62" s="20"/>
      <c r="D62" s="20"/>
    </row>
    <row r="63" spans="1:15" ht="20">
      <c r="A63" s="84"/>
      <c r="B63" s="15"/>
      <c r="C63" s="20"/>
      <c r="D63" s="20"/>
    </row>
    <row r="64" spans="1:15" ht="20">
      <c r="A64" s="84"/>
      <c r="B64" s="15"/>
      <c r="C64" s="20"/>
      <c r="D64" s="20"/>
    </row>
    <row r="65" spans="1:4" ht="20">
      <c r="A65" s="84"/>
      <c r="B65" s="15"/>
      <c r="C65" s="20"/>
      <c r="D65" s="20"/>
    </row>
    <row r="66" spans="1:4" ht="20">
      <c r="A66" s="84"/>
      <c r="B66" s="15"/>
      <c r="C66" s="20"/>
      <c r="D66" s="20"/>
    </row>
    <row r="67" spans="1:4" ht="20">
      <c r="A67" s="84"/>
      <c r="B67" s="15"/>
      <c r="C67" s="20"/>
      <c r="D67" s="20"/>
    </row>
    <row r="68" spans="1:4" ht="20">
      <c r="A68" s="84"/>
      <c r="B68" s="15"/>
      <c r="C68" s="20"/>
      <c r="D68" s="20"/>
    </row>
    <row r="69" spans="1:4" ht="20">
      <c r="A69" s="84"/>
      <c r="B69" s="15"/>
      <c r="C69" s="20"/>
      <c r="D69" s="20"/>
    </row>
    <row r="70" spans="1:4" ht="20">
      <c r="A70" s="84"/>
      <c r="B70" s="15"/>
      <c r="C70" s="20"/>
      <c r="D70" s="20"/>
    </row>
    <row r="71" spans="1:4" ht="20">
      <c r="A71" s="84"/>
      <c r="B71" s="15"/>
      <c r="C71" s="20"/>
      <c r="D71" s="20"/>
    </row>
    <row r="72" spans="1:4" ht="20">
      <c r="A72" s="84"/>
      <c r="B72" s="15"/>
      <c r="C72" s="20"/>
      <c r="D72" s="20"/>
    </row>
    <row r="73" spans="1:4" ht="20">
      <c r="A73" s="84"/>
      <c r="B73" s="15"/>
      <c r="C73" s="20"/>
      <c r="D73" s="20"/>
    </row>
    <row r="74" spans="1:4" ht="20">
      <c r="A74" s="84"/>
      <c r="B74" s="15"/>
      <c r="C74" s="20"/>
      <c r="D74" s="20"/>
    </row>
    <row r="75" spans="1:4" ht="20">
      <c r="A75" s="84"/>
      <c r="B75" s="15"/>
      <c r="C75" s="20"/>
      <c r="D75" s="20"/>
    </row>
    <row r="76" spans="1:4" ht="20">
      <c r="A76" s="84"/>
      <c r="B76" s="15"/>
      <c r="C76" s="20"/>
      <c r="D76" s="20"/>
    </row>
    <row r="77" spans="1:4" ht="20">
      <c r="A77" s="84"/>
      <c r="B77" s="15"/>
      <c r="C77" s="20"/>
      <c r="D77" s="20"/>
    </row>
    <row r="78" spans="1:4" ht="20">
      <c r="A78" s="84"/>
      <c r="B78" s="15"/>
      <c r="C78" s="20"/>
      <c r="D78" s="20"/>
    </row>
    <row r="79" spans="1:4" ht="20">
      <c r="A79" s="84"/>
      <c r="B79" s="15"/>
      <c r="C79" s="20"/>
      <c r="D79" s="20"/>
    </row>
    <row r="80" spans="1:4" ht="20">
      <c r="A80" s="84"/>
      <c r="B80" s="15"/>
      <c r="C80" s="20"/>
      <c r="D80" s="20"/>
    </row>
    <row r="81" spans="1:4" ht="20">
      <c r="A81" s="84"/>
      <c r="B81" s="15"/>
      <c r="C81" s="20"/>
      <c r="D81" s="20"/>
    </row>
    <row r="82" spans="1:4" ht="20">
      <c r="A82" s="84"/>
      <c r="B82" s="15"/>
      <c r="C82" s="20"/>
      <c r="D82" s="20"/>
    </row>
    <row r="83" spans="1:4" ht="20">
      <c r="A83" s="84"/>
      <c r="B83" s="15"/>
      <c r="C83" s="20"/>
      <c r="D83" s="20"/>
    </row>
    <row r="84" spans="1:4" ht="20">
      <c r="A84" s="84"/>
      <c r="B84" s="15"/>
      <c r="C84" s="20"/>
      <c r="D84" s="20"/>
    </row>
    <row r="85" spans="1:4" ht="20">
      <c r="A85" s="84"/>
      <c r="B85" s="15"/>
      <c r="C85" s="20"/>
      <c r="D85" s="20"/>
    </row>
    <row r="86" spans="1:4" ht="20">
      <c r="A86" s="84"/>
      <c r="B86" s="15"/>
      <c r="C86" s="20"/>
      <c r="D86" s="20"/>
    </row>
    <row r="87" spans="1:4" ht="20">
      <c r="A87" s="84"/>
      <c r="B87" s="15"/>
      <c r="C87" s="20"/>
      <c r="D87" s="20"/>
    </row>
    <row r="88" spans="1:4" ht="20">
      <c r="A88" s="84"/>
      <c r="B88" s="15"/>
      <c r="C88" s="20"/>
      <c r="D88" s="20"/>
    </row>
    <row r="89" spans="1:4" ht="20">
      <c r="A89" s="84"/>
      <c r="B89" s="15"/>
      <c r="C89" s="20"/>
      <c r="D89" s="20"/>
    </row>
    <row r="90" spans="1:4" ht="20">
      <c r="A90" s="84"/>
      <c r="B90" s="15"/>
      <c r="C90" s="20"/>
      <c r="D90" s="20"/>
    </row>
    <row r="91" spans="1:4" ht="20">
      <c r="A91" s="84"/>
      <c r="B91" s="15"/>
      <c r="C91" s="20"/>
      <c r="D91" s="20"/>
    </row>
    <row r="92" spans="1:4" ht="20">
      <c r="A92" s="84"/>
      <c r="B92" s="15"/>
      <c r="C92" s="20"/>
      <c r="D92" s="20"/>
    </row>
    <row r="93" spans="1:4" ht="20">
      <c r="A93" s="84"/>
      <c r="B93" s="15"/>
      <c r="C93" s="20"/>
      <c r="D93" s="20"/>
    </row>
    <row r="94" spans="1:4" ht="20">
      <c r="A94" s="84"/>
      <c r="B94" s="15"/>
      <c r="C94" s="20"/>
      <c r="D94" s="20"/>
    </row>
    <row r="95" spans="1:4" ht="20">
      <c r="A95" s="84"/>
      <c r="B95" s="15"/>
      <c r="C95" s="20"/>
      <c r="D95" s="20"/>
    </row>
    <row r="96" spans="1:4" ht="20">
      <c r="A96" s="84"/>
      <c r="B96" s="15"/>
      <c r="C96" s="20"/>
      <c r="D96" s="20"/>
    </row>
    <row r="97" spans="1:4" ht="20">
      <c r="A97" s="84"/>
      <c r="B97" s="15"/>
      <c r="C97" s="20"/>
      <c r="D97" s="20"/>
    </row>
    <row r="98" spans="1:4" ht="20">
      <c r="A98" s="84"/>
      <c r="B98" s="15"/>
      <c r="C98" s="20"/>
      <c r="D98" s="20"/>
    </row>
    <row r="99" spans="1:4" ht="20">
      <c r="A99" s="84"/>
      <c r="B99" s="15"/>
      <c r="C99" s="20"/>
      <c r="D99" s="20"/>
    </row>
    <row r="100" spans="1:4" ht="20">
      <c r="A100" s="84"/>
      <c r="B100" s="15"/>
      <c r="C100" s="20"/>
      <c r="D100" s="20"/>
    </row>
    <row r="101" spans="1:4" ht="20">
      <c r="A101" s="84"/>
      <c r="B101" s="15"/>
      <c r="C101" s="20"/>
      <c r="D101" s="20"/>
    </row>
    <row r="102" spans="1:4" ht="20">
      <c r="A102" s="84"/>
      <c r="B102" s="15"/>
      <c r="C102" s="20"/>
      <c r="D102" s="20"/>
    </row>
    <row r="103" spans="1:4" ht="20">
      <c r="A103" s="84"/>
      <c r="B103" s="15"/>
      <c r="C103" s="20"/>
      <c r="D103" s="20"/>
    </row>
    <row r="104" spans="1:4" ht="20">
      <c r="A104" s="84"/>
      <c r="B104" s="15"/>
      <c r="C104" s="20"/>
      <c r="D104" s="20"/>
    </row>
    <row r="105" spans="1:4" ht="20">
      <c r="A105" s="84"/>
      <c r="B105" s="15"/>
      <c r="C105" s="20"/>
      <c r="D105" s="20"/>
    </row>
    <row r="106" spans="1:4" ht="20">
      <c r="A106" s="84"/>
      <c r="B106" s="15"/>
      <c r="C106" s="20"/>
      <c r="D106" s="20"/>
    </row>
    <row r="107" spans="1:4" ht="20">
      <c r="A107" s="84"/>
      <c r="B107" s="15"/>
      <c r="C107" s="20"/>
      <c r="D107" s="20"/>
    </row>
    <row r="108" spans="1:4" ht="20">
      <c r="A108" s="84"/>
      <c r="B108" s="15"/>
      <c r="C108" s="20"/>
      <c r="D108" s="20"/>
    </row>
    <row r="109" spans="1:4" ht="20">
      <c r="A109" s="84"/>
      <c r="B109" s="15"/>
      <c r="C109" s="20"/>
      <c r="D109" s="20"/>
    </row>
    <row r="110" spans="1:4" ht="20">
      <c r="A110" s="84"/>
      <c r="B110" s="15"/>
      <c r="C110" s="20"/>
      <c r="D110" s="20"/>
    </row>
    <row r="111" spans="1:4" ht="20">
      <c r="A111" s="84"/>
      <c r="B111" s="15"/>
      <c r="C111" s="20"/>
      <c r="D111" s="20"/>
    </row>
    <row r="112" spans="1:4" ht="20">
      <c r="A112" s="84"/>
      <c r="B112" s="15"/>
      <c r="C112" s="20"/>
      <c r="D112" s="20"/>
    </row>
    <row r="113" spans="1:4" ht="20">
      <c r="A113" s="84"/>
      <c r="B113" s="15"/>
      <c r="C113" s="20"/>
      <c r="D113" s="20"/>
    </row>
    <row r="114" spans="1:4" ht="20">
      <c r="A114" s="84"/>
      <c r="B114" s="15"/>
      <c r="C114" s="20"/>
      <c r="D114" s="20"/>
    </row>
    <row r="115" spans="1:4" ht="20">
      <c r="A115" s="84"/>
      <c r="B115" s="15"/>
      <c r="C115" s="20"/>
      <c r="D115" s="20"/>
    </row>
    <row r="116" spans="1:4" ht="20">
      <c r="A116" s="84"/>
      <c r="B116" s="15"/>
      <c r="C116" s="20"/>
      <c r="D116" s="20"/>
    </row>
    <row r="117" spans="1:4" ht="20">
      <c r="A117" s="84"/>
      <c r="B117" s="15"/>
      <c r="C117" s="20"/>
      <c r="D117" s="20"/>
    </row>
    <row r="118" spans="1:4" ht="20">
      <c r="A118" s="84"/>
      <c r="B118" s="15"/>
      <c r="C118" s="20"/>
      <c r="D118" s="20"/>
    </row>
    <row r="119" spans="1:4" ht="20">
      <c r="A119" s="84"/>
      <c r="B119" s="15"/>
      <c r="C119" s="20"/>
      <c r="D119" s="20"/>
    </row>
    <row r="120" spans="1:4" ht="20">
      <c r="A120" s="84"/>
      <c r="B120" s="15"/>
      <c r="C120" s="20"/>
      <c r="D120" s="20"/>
    </row>
    <row r="121" spans="1:4" ht="20">
      <c r="A121" s="84"/>
      <c r="B121" s="15"/>
      <c r="C121" s="20"/>
      <c r="D121" s="20"/>
    </row>
    <row r="122" spans="1:4" ht="20">
      <c r="A122" s="84"/>
      <c r="B122" s="15"/>
      <c r="C122" s="20"/>
      <c r="D122" s="20"/>
    </row>
    <row r="123" spans="1:4" ht="20">
      <c r="A123" s="84"/>
      <c r="B123" s="15"/>
      <c r="C123" s="20"/>
      <c r="D123" s="20"/>
    </row>
    <row r="124" spans="1:4" ht="20">
      <c r="A124" s="84"/>
      <c r="B124" s="15"/>
      <c r="C124" s="20"/>
      <c r="D124" s="20"/>
    </row>
    <row r="125" spans="1:4" ht="20">
      <c r="A125" s="84"/>
      <c r="B125" s="15"/>
      <c r="C125" s="20"/>
      <c r="D125" s="20"/>
    </row>
    <row r="126" spans="1:4" ht="20">
      <c r="A126" s="84"/>
      <c r="B126" s="15"/>
      <c r="C126" s="20"/>
      <c r="D126" s="20"/>
    </row>
    <row r="127" spans="1:4" ht="20">
      <c r="A127" s="84"/>
      <c r="B127" s="15"/>
      <c r="C127" s="20"/>
      <c r="D127" s="20"/>
    </row>
    <row r="128" spans="1:4" ht="20">
      <c r="A128" s="84"/>
      <c r="B128" s="15"/>
      <c r="C128" s="20"/>
      <c r="D128" s="20"/>
    </row>
    <row r="129" spans="1:4" ht="20">
      <c r="A129" s="84"/>
      <c r="B129" s="15"/>
      <c r="C129" s="20"/>
      <c r="D129" s="20"/>
    </row>
    <row r="130" spans="1:4" ht="20">
      <c r="A130" s="84"/>
      <c r="B130" s="15"/>
      <c r="C130" s="20"/>
      <c r="D130" s="20"/>
    </row>
    <row r="131" spans="1:4" ht="20">
      <c r="A131" s="84"/>
      <c r="B131" s="15"/>
      <c r="C131" s="20"/>
      <c r="D131" s="20"/>
    </row>
    <row r="132" spans="1:4" ht="20">
      <c r="A132" s="84"/>
      <c r="B132" s="15"/>
      <c r="C132" s="20"/>
      <c r="D132" s="20"/>
    </row>
    <row r="133" spans="1:4" ht="20">
      <c r="A133" s="84"/>
      <c r="B133" s="15"/>
      <c r="C133" s="20"/>
      <c r="D133" s="20"/>
    </row>
    <row r="134" spans="1:4" ht="20">
      <c r="A134" s="84"/>
      <c r="B134" s="15"/>
      <c r="C134" s="20"/>
      <c r="D134" s="20"/>
    </row>
    <row r="135" spans="1:4" ht="20">
      <c r="A135" s="84"/>
      <c r="B135" s="15"/>
      <c r="C135" s="20"/>
      <c r="D135" s="20"/>
    </row>
    <row r="136" spans="1:4" ht="20">
      <c r="A136" s="84"/>
      <c r="B136" s="15"/>
      <c r="C136" s="20"/>
      <c r="D136" s="20"/>
    </row>
    <row r="137" spans="1:4" ht="20">
      <c r="A137" s="84"/>
      <c r="B137" s="15"/>
      <c r="C137" s="20"/>
      <c r="D137" s="20"/>
    </row>
    <row r="138" spans="1:4" ht="20">
      <c r="A138" s="84"/>
      <c r="B138" s="15"/>
      <c r="C138" s="20"/>
      <c r="D138" s="20"/>
    </row>
    <row r="139" spans="1:4" ht="20">
      <c r="A139" s="84"/>
      <c r="B139" s="15"/>
      <c r="C139" s="20"/>
      <c r="D139" s="20"/>
    </row>
    <row r="140" spans="1:4" ht="20">
      <c r="A140" s="84"/>
      <c r="B140" s="15"/>
      <c r="C140" s="20"/>
      <c r="D140" s="20"/>
    </row>
    <row r="141" spans="1:4" ht="20">
      <c r="A141" s="84"/>
      <c r="B141" s="15"/>
      <c r="C141" s="20"/>
      <c r="D141" s="20"/>
    </row>
    <row r="142" spans="1:4" ht="20">
      <c r="A142" s="84"/>
      <c r="B142" s="15"/>
      <c r="C142" s="20"/>
      <c r="D142" s="20"/>
    </row>
    <row r="143" spans="1:4" ht="20">
      <c r="A143" s="84"/>
      <c r="B143" s="15"/>
      <c r="C143" s="20"/>
      <c r="D143" s="20"/>
    </row>
    <row r="144" spans="1:4" ht="20">
      <c r="A144" s="84"/>
      <c r="B144" s="15"/>
      <c r="C144" s="20"/>
      <c r="D144" s="20"/>
    </row>
    <row r="145" spans="1:4" ht="20">
      <c r="A145" s="84"/>
      <c r="B145" s="15"/>
      <c r="C145" s="20"/>
      <c r="D145" s="20"/>
    </row>
    <row r="146" spans="1:4" ht="20">
      <c r="A146" s="84"/>
      <c r="B146" s="15"/>
      <c r="C146" s="20"/>
      <c r="D146" s="20"/>
    </row>
    <row r="147" spans="1:4" ht="20">
      <c r="A147" s="84"/>
      <c r="B147" s="15"/>
      <c r="C147" s="20"/>
      <c r="D147" s="20"/>
    </row>
    <row r="148" spans="1:4" ht="20">
      <c r="A148" s="84"/>
      <c r="B148" s="15"/>
      <c r="C148" s="20"/>
      <c r="D148" s="20"/>
    </row>
    <row r="149" spans="1:4" ht="20">
      <c r="A149" s="84"/>
      <c r="B149" s="15"/>
      <c r="C149" s="20"/>
      <c r="D149" s="20"/>
    </row>
    <row r="150" spans="1:4" ht="20">
      <c r="A150" s="84"/>
      <c r="B150" s="15"/>
      <c r="C150" s="20"/>
      <c r="D150" s="20"/>
    </row>
    <row r="151" spans="1:4" ht="20">
      <c r="A151" s="84"/>
      <c r="B151" s="15"/>
      <c r="C151" s="20"/>
      <c r="D151" s="20"/>
    </row>
    <row r="152" spans="1:4" ht="20">
      <c r="A152" s="84"/>
      <c r="B152" s="15"/>
      <c r="C152" s="20"/>
      <c r="D152" s="20"/>
    </row>
    <row r="153" spans="1:4" ht="20">
      <c r="A153" s="84"/>
      <c r="B153" s="15"/>
      <c r="C153" s="20"/>
      <c r="D153" s="20"/>
    </row>
    <row r="154" spans="1:4" ht="20">
      <c r="A154" s="84"/>
      <c r="B154" s="15"/>
      <c r="C154" s="20"/>
      <c r="D154" s="20"/>
    </row>
    <row r="155" spans="1:4" ht="20">
      <c r="A155" s="84"/>
      <c r="B155" s="15"/>
      <c r="C155" s="20"/>
      <c r="D155" s="20"/>
    </row>
    <row r="156" spans="1:4" ht="20">
      <c r="A156" s="84"/>
      <c r="B156" s="15"/>
      <c r="C156" s="20"/>
      <c r="D156" s="20"/>
    </row>
    <row r="157" spans="1:4" ht="20">
      <c r="A157" s="84"/>
      <c r="B157" s="15"/>
      <c r="C157" s="20"/>
      <c r="D157" s="20"/>
    </row>
    <row r="158" spans="1:4" ht="20">
      <c r="A158" s="84"/>
      <c r="B158" s="15"/>
      <c r="C158" s="20"/>
      <c r="D158" s="20"/>
    </row>
    <row r="159" spans="1:4" ht="20">
      <c r="A159" s="84"/>
      <c r="B159" s="15"/>
      <c r="C159" s="20"/>
      <c r="D159" s="20"/>
    </row>
    <row r="160" spans="1:4" ht="20">
      <c r="A160" s="84"/>
      <c r="B160" s="15"/>
      <c r="C160" s="20"/>
      <c r="D160" s="20"/>
    </row>
    <row r="161" spans="1:4" ht="20">
      <c r="A161" s="84"/>
      <c r="B161" s="15"/>
      <c r="C161" s="20"/>
      <c r="D161" s="20"/>
    </row>
    <row r="162" spans="1:4" ht="20">
      <c r="A162" s="84"/>
      <c r="B162" s="15"/>
      <c r="C162" s="20"/>
      <c r="D162" s="20"/>
    </row>
    <row r="163" spans="1:4" ht="20">
      <c r="A163" s="84"/>
      <c r="B163" s="15"/>
      <c r="C163" s="20"/>
      <c r="D163" s="20"/>
    </row>
    <row r="164" spans="1:4" ht="20">
      <c r="A164" s="84"/>
      <c r="B164" s="15"/>
      <c r="C164" s="20"/>
      <c r="D164" s="20"/>
    </row>
    <row r="165" spans="1:4" ht="20">
      <c r="A165" s="84"/>
      <c r="B165" s="15"/>
      <c r="C165" s="20"/>
      <c r="D165" s="20"/>
    </row>
    <row r="166" spans="1:4" ht="20">
      <c r="A166" s="84"/>
      <c r="B166" s="15"/>
      <c r="C166" s="20"/>
      <c r="D166" s="20"/>
    </row>
    <row r="167" spans="1:4" ht="20">
      <c r="A167" s="84"/>
      <c r="B167" s="15"/>
      <c r="C167" s="20"/>
      <c r="D167" s="20"/>
    </row>
    <row r="168" spans="1:4" ht="20">
      <c r="A168" s="84"/>
      <c r="B168" s="15"/>
      <c r="C168" s="20"/>
      <c r="D168" s="20"/>
    </row>
    <row r="169" spans="1:4" ht="20">
      <c r="A169" s="84"/>
      <c r="B169" s="15"/>
      <c r="C169" s="20"/>
      <c r="D169" s="20"/>
    </row>
    <row r="170" spans="1:4" ht="20">
      <c r="A170" s="84"/>
      <c r="B170" s="15"/>
      <c r="C170" s="20"/>
      <c r="D170" s="20"/>
    </row>
    <row r="171" spans="1:4" ht="20">
      <c r="A171" s="84"/>
      <c r="B171" s="15"/>
      <c r="C171" s="20"/>
      <c r="D171" s="20"/>
    </row>
    <row r="172" spans="1:4" ht="20">
      <c r="A172" s="84"/>
      <c r="B172" s="15"/>
      <c r="C172" s="20"/>
      <c r="D172" s="20"/>
    </row>
    <row r="173" spans="1:4" ht="20">
      <c r="A173" s="84"/>
      <c r="B173" s="15"/>
      <c r="C173" s="20"/>
      <c r="D173" s="20"/>
    </row>
    <row r="174" spans="1:4" ht="20">
      <c r="A174" s="84"/>
      <c r="B174" s="15"/>
      <c r="C174" s="20"/>
      <c r="D174" s="20"/>
    </row>
    <row r="175" spans="1:4" ht="20">
      <c r="A175" s="84"/>
      <c r="B175" s="15"/>
      <c r="C175" s="20"/>
      <c r="D175" s="20"/>
    </row>
    <row r="176" spans="1:4" ht="20">
      <c r="A176" s="84"/>
      <c r="B176" s="15"/>
      <c r="C176" s="20"/>
      <c r="D176" s="20"/>
    </row>
    <row r="177" spans="1:4" ht="20">
      <c r="A177" s="84"/>
      <c r="B177" s="15"/>
      <c r="C177" s="20"/>
      <c r="D177" s="20"/>
    </row>
    <row r="178" spans="1:4" ht="20">
      <c r="A178" s="84"/>
      <c r="B178" s="15"/>
      <c r="C178" s="20"/>
      <c r="D178" s="20"/>
    </row>
    <row r="179" spans="1:4" ht="20">
      <c r="A179" s="84"/>
      <c r="B179" s="15"/>
      <c r="C179" s="20"/>
      <c r="D179" s="20"/>
    </row>
    <row r="180" spans="1:4" ht="20">
      <c r="A180" s="84"/>
      <c r="B180" s="15"/>
      <c r="C180" s="20"/>
      <c r="D180" s="20"/>
    </row>
    <row r="181" spans="1:4" ht="20">
      <c r="A181" s="84"/>
      <c r="B181" s="15"/>
      <c r="C181" s="20"/>
      <c r="D181" s="20"/>
    </row>
    <row r="182" spans="1:4" ht="20">
      <c r="A182" s="84"/>
      <c r="B182" s="15"/>
      <c r="C182" s="20"/>
      <c r="D182" s="20"/>
    </row>
    <row r="183" spans="1:4" ht="20">
      <c r="A183" s="84"/>
      <c r="B183" s="15"/>
      <c r="C183" s="20"/>
      <c r="D183" s="20"/>
    </row>
    <row r="184" spans="1:4" ht="20">
      <c r="A184" s="84"/>
      <c r="B184" s="15"/>
      <c r="C184" s="20"/>
      <c r="D184" s="20"/>
    </row>
    <row r="185" spans="1:4" ht="20">
      <c r="A185" s="84"/>
      <c r="B185" s="15"/>
      <c r="C185" s="20"/>
      <c r="D185" s="20"/>
    </row>
    <row r="186" spans="1:4" ht="20">
      <c r="A186" s="84"/>
      <c r="B186" s="15"/>
      <c r="C186" s="20"/>
      <c r="D186" s="20"/>
    </row>
    <row r="187" spans="1:4" ht="20">
      <c r="A187" s="84"/>
      <c r="B187" s="15"/>
      <c r="C187" s="20"/>
      <c r="D187" s="20"/>
    </row>
    <row r="188" spans="1:4" ht="20">
      <c r="A188" s="84"/>
      <c r="B188" s="15"/>
      <c r="C188" s="20"/>
      <c r="D188" s="20"/>
    </row>
    <row r="189" spans="1:4" ht="20">
      <c r="A189" s="84"/>
      <c r="B189" s="15"/>
      <c r="C189" s="20"/>
      <c r="D189" s="20"/>
    </row>
    <row r="190" spans="1:4" ht="20">
      <c r="A190" s="84"/>
      <c r="B190" s="15"/>
      <c r="C190" s="20"/>
      <c r="D190" s="20"/>
    </row>
    <row r="191" spans="1:4" ht="20">
      <c r="A191" s="84"/>
      <c r="B191" s="15"/>
      <c r="C191" s="20"/>
      <c r="D191" s="20"/>
    </row>
    <row r="192" spans="1:4" ht="20">
      <c r="A192" s="84"/>
      <c r="B192" s="15"/>
      <c r="C192" s="20"/>
      <c r="D192" s="20"/>
    </row>
    <row r="193" spans="1:4" ht="20">
      <c r="A193" s="84"/>
      <c r="B193" s="15"/>
      <c r="C193" s="20"/>
      <c r="D193" s="20"/>
    </row>
    <row r="194" spans="1:4" ht="20">
      <c r="A194" s="84"/>
      <c r="B194" s="15"/>
      <c r="C194" s="20"/>
      <c r="D194" s="20"/>
    </row>
    <row r="195" spans="1:4" ht="20">
      <c r="A195" s="84"/>
      <c r="B195" s="15"/>
      <c r="C195" s="20"/>
      <c r="D195" s="20"/>
    </row>
    <row r="196" spans="1:4" ht="20">
      <c r="A196" s="84"/>
      <c r="B196" s="15"/>
      <c r="C196" s="20"/>
      <c r="D196" s="20"/>
    </row>
    <row r="197" spans="1:4" ht="20">
      <c r="A197" s="84"/>
      <c r="B197" s="15"/>
      <c r="C197" s="20"/>
      <c r="D197" s="20"/>
    </row>
    <row r="198" spans="1:4" ht="20">
      <c r="A198" s="84"/>
      <c r="B198" s="15"/>
      <c r="C198" s="20"/>
      <c r="D198" s="20"/>
    </row>
    <row r="199" spans="1:4" ht="20">
      <c r="A199" s="84"/>
      <c r="B199" s="15"/>
      <c r="C199" s="20"/>
      <c r="D199" s="20"/>
    </row>
    <row r="200" spans="1:4" ht="20">
      <c r="A200" s="84"/>
      <c r="B200" s="15"/>
      <c r="C200" s="20"/>
      <c r="D200" s="20"/>
    </row>
    <row r="201" spans="1:4" ht="20">
      <c r="A201" s="84"/>
      <c r="B201" s="15"/>
      <c r="C201" s="20"/>
      <c r="D201" s="20"/>
    </row>
    <row r="202" spans="1:4" ht="20">
      <c r="A202" s="84"/>
      <c r="B202" s="15"/>
      <c r="C202" s="20"/>
      <c r="D202" s="20"/>
    </row>
    <row r="203" spans="1:4" ht="20">
      <c r="A203" s="84"/>
      <c r="B203" s="15"/>
      <c r="C203" s="20"/>
      <c r="D203" s="20"/>
    </row>
    <row r="204" spans="1:4" ht="20">
      <c r="A204" s="84"/>
      <c r="B204" s="15"/>
      <c r="C204" s="20"/>
      <c r="D204" s="20"/>
    </row>
    <row r="205" spans="1:4" ht="20">
      <c r="A205" s="84"/>
      <c r="B205" s="15"/>
      <c r="C205" s="20"/>
      <c r="D205" s="20"/>
    </row>
    <row r="206" spans="1:4" ht="20">
      <c r="A206" s="84"/>
      <c r="B206" s="15"/>
      <c r="C206" s="20"/>
      <c r="D206" s="20"/>
    </row>
    <row r="207" spans="1:4" ht="20">
      <c r="A207" s="84"/>
      <c r="B207" s="15"/>
      <c r="C207" s="20"/>
      <c r="D207" s="20"/>
    </row>
    <row r="208" spans="1:4">
      <c r="A208" s="68"/>
      <c r="B208" s="15"/>
      <c r="C208" s="15"/>
      <c r="D208" s="15"/>
    </row>
    <row r="209" spans="1:8" ht="20">
      <c r="A209" s="68"/>
      <c r="B209" s="16" t="s">
        <v>390</v>
      </c>
      <c r="C209" s="16" t="s">
        <v>391</v>
      </c>
      <c r="D209" s="19" t="s">
        <v>390</v>
      </c>
      <c r="E209" s="19" t="s">
        <v>391</v>
      </c>
    </row>
    <row r="210" spans="1:8" ht="21">
      <c r="A210" s="68"/>
      <c r="B210" s="17" t="s">
        <v>392</v>
      </c>
      <c r="C210" s="17" t="s">
        <v>393</v>
      </c>
      <c r="D210" t="s">
        <v>392</v>
      </c>
      <c r="F210" t="str">
        <f>IF(NOT(ISBLANK(D210)),D210,IF(NOT(ISBLANK(E210)),"     "&amp;E210,FALSE))</f>
        <v>Afectación Económica o presupuestal</v>
      </c>
      <c r="G210" t="s">
        <v>392</v>
      </c>
      <c r="H210" t="str">
        <f>IF(NOT(ISERROR(MATCH(G210,_xlfn.ANCHORARRAY(B221),0))),F223&amp;"Por favor no seleccionar los criterios de impacto",G210)</f>
        <v>❌Por favor no seleccionar los criterios de impacto</v>
      </c>
    </row>
    <row r="211" spans="1:8" ht="21">
      <c r="A211" s="68"/>
      <c r="B211" s="17" t="s">
        <v>392</v>
      </c>
      <c r="C211" s="17" t="s">
        <v>377</v>
      </c>
      <c r="E211" t="s">
        <v>393</v>
      </c>
      <c r="F211" t="str">
        <f t="shared" ref="F211:F221" si="0">IF(NOT(ISBLANK(D211)),D211,IF(NOT(ISBLANK(E211)),"     "&amp;E211,FALSE))</f>
        <v xml:space="preserve">     Afectación menor a 10 SMLMV .</v>
      </c>
    </row>
    <row r="212" spans="1:8" ht="21">
      <c r="A212" s="68"/>
      <c r="B212" s="17" t="s">
        <v>392</v>
      </c>
      <c r="C212" s="17" t="s">
        <v>380</v>
      </c>
      <c r="E212" t="s">
        <v>377</v>
      </c>
      <c r="F212" t="str">
        <f t="shared" si="0"/>
        <v xml:space="preserve">     Entre 10 y 50 SMLMV </v>
      </c>
    </row>
    <row r="213" spans="1:8" ht="21">
      <c r="A213" s="68"/>
      <c r="B213" s="17" t="s">
        <v>392</v>
      </c>
      <c r="C213" s="17" t="s">
        <v>383</v>
      </c>
      <c r="E213" t="s">
        <v>380</v>
      </c>
      <c r="F213" t="str">
        <f t="shared" si="0"/>
        <v xml:space="preserve">     Entre 50 y 100 SMLMV </v>
      </c>
    </row>
    <row r="214" spans="1:8" ht="21">
      <c r="A214" s="68"/>
      <c r="B214" s="17" t="s">
        <v>392</v>
      </c>
      <c r="C214" s="17" t="s">
        <v>386</v>
      </c>
      <c r="E214" t="s">
        <v>383</v>
      </c>
      <c r="F214" t="str">
        <f t="shared" si="0"/>
        <v xml:space="preserve">     Entre 100 y 500 SMLMV </v>
      </c>
    </row>
    <row r="215" spans="1:8" ht="21">
      <c r="A215" s="68"/>
      <c r="B215" s="17" t="s">
        <v>371</v>
      </c>
      <c r="C215" s="17" t="s">
        <v>375</v>
      </c>
      <c r="E215" t="s">
        <v>386</v>
      </c>
      <c r="F215" t="str">
        <f t="shared" si="0"/>
        <v xml:space="preserve">     Mayor a 500 SMLMV </v>
      </c>
    </row>
    <row r="216" spans="1:8" ht="21">
      <c r="A216" s="68"/>
      <c r="B216" s="17" t="s">
        <v>371</v>
      </c>
      <c r="C216" s="17" t="s">
        <v>378</v>
      </c>
      <c r="D216" t="s">
        <v>371</v>
      </c>
      <c r="F216" t="str">
        <f t="shared" si="0"/>
        <v>Pérdida Reputacional</v>
      </c>
    </row>
    <row r="217" spans="1:8" ht="21">
      <c r="A217" s="68"/>
      <c r="B217" s="17" t="s">
        <v>371</v>
      </c>
      <c r="C217" s="17" t="s">
        <v>381</v>
      </c>
      <c r="E217" t="s">
        <v>375</v>
      </c>
      <c r="F217" t="str">
        <f t="shared" si="0"/>
        <v xml:space="preserve">     El riesgo afecta la imagen de alguna área de la organización</v>
      </c>
    </row>
    <row r="218" spans="1:8" ht="21">
      <c r="A218" s="68"/>
      <c r="B218" s="17" t="s">
        <v>371</v>
      </c>
      <c r="C218" s="17" t="s">
        <v>394</v>
      </c>
      <c r="E218" t="s">
        <v>378</v>
      </c>
      <c r="F218" t="str">
        <f t="shared" si="0"/>
        <v xml:space="preserve">     El riesgo afecta la imagen de la entidad internamente, de conocimiento general, nivel interno, de junta dircetiva y accionistas y/o de provedores</v>
      </c>
    </row>
    <row r="219" spans="1:8" ht="21">
      <c r="A219" s="68"/>
      <c r="B219" s="17" t="s">
        <v>371</v>
      </c>
      <c r="C219" s="17" t="s">
        <v>387</v>
      </c>
      <c r="E219" t="s">
        <v>381</v>
      </c>
      <c r="F219" t="str">
        <f t="shared" si="0"/>
        <v xml:space="preserve">     El riesgo afecta la imagen de la entidad con algunos usuarios de relevancia frente al logro de los objetivos</v>
      </c>
    </row>
    <row r="220" spans="1:8">
      <c r="A220" s="68"/>
      <c r="B220" s="18"/>
      <c r="C220" s="18"/>
      <c r="E220" t="s">
        <v>394</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387</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395</v>
      </c>
    </row>
    <row r="224" spans="1:8">
      <c r="B224" s="14"/>
      <c r="C224" s="14"/>
      <c r="F224" s="21" t="s">
        <v>396</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I11" sqref="I11"/>
    </sheetView>
  </sheetViews>
  <sheetFormatPr baseColWidth="10" defaultColWidth="14.33203125" defaultRowHeight="14"/>
  <cols>
    <col min="1" max="2" width="14.33203125" style="73"/>
    <col min="3" max="3" width="17" style="73" customWidth="1"/>
    <col min="4" max="4" width="14.33203125" style="73"/>
    <col min="5" max="5" width="46" style="73" customWidth="1"/>
    <col min="6" max="16384" width="14.33203125" style="73"/>
  </cols>
  <sheetData>
    <row r="1" spans="2:6" ht="24" customHeight="1" thickBot="1">
      <c r="B1" s="640" t="s">
        <v>397</v>
      </c>
      <c r="C1" s="641"/>
      <c r="D1" s="641"/>
      <c r="E1" s="641"/>
      <c r="F1" s="642"/>
    </row>
    <row r="2" spans="2:6" ht="17" thickBot="1">
      <c r="B2" s="74"/>
      <c r="C2" s="74"/>
      <c r="D2" s="74"/>
      <c r="E2" s="74"/>
      <c r="F2" s="74"/>
    </row>
    <row r="3" spans="2:6" ht="18" thickBot="1">
      <c r="B3" s="644" t="s">
        <v>398</v>
      </c>
      <c r="C3" s="645"/>
      <c r="D3" s="645"/>
      <c r="E3" s="208" t="s">
        <v>399</v>
      </c>
      <c r="F3" s="83" t="s">
        <v>400</v>
      </c>
    </row>
    <row r="4" spans="2:6" ht="34">
      <c r="B4" s="646" t="s">
        <v>401</v>
      </c>
      <c r="C4" s="648" t="s">
        <v>96</v>
      </c>
      <c r="D4" s="209" t="s">
        <v>152</v>
      </c>
      <c r="E4" s="75" t="s">
        <v>402</v>
      </c>
      <c r="F4" s="76">
        <v>0.25</v>
      </c>
    </row>
    <row r="5" spans="2:6" ht="51">
      <c r="B5" s="647"/>
      <c r="C5" s="649"/>
      <c r="D5" s="210" t="s">
        <v>102</v>
      </c>
      <c r="E5" s="77" t="s">
        <v>403</v>
      </c>
      <c r="F5" s="78">
        <v>0.15</v>
      </c>
    </row>
    <row r="6" spans="2:6" ht="34">
      <c r="B6" s="647"/>
      <c r="C6" s="649"/>
      <c r="D6" s="210" t="s">
        <v>180</v>
      </c>
      <c r="E6" s="77" t="s">
        <v>404</v>
      </c>
      <c r="F6" s="78">
        <v>0.1</v>
      </c>
    </row>
    <row r="7" spans="2:6" ht="51">
      <c r="B7" s="647"/>
      <c r="C7" s="649" t="s">
        <v>97</v>
      </c>
      <c r="D7" s="210" t="s">
        <v>153</v>
      </c>
      <c r="E7" s="77" t="s">
        <v>405</v>
      </c>
      <c r="F7" s="78">
        <v>0.25</v>
      </c>
    </row>
    <row r="8" spans="2:6" ht="34">
      <c r="B8" s="647"/>
      <c r="C8" s="649"/>
      <c r="D8" s="210" t="s">
        <v>166</v>
      </c>
      <c r="E8" s="77" t="s">
        <v>406</v>
      </c>
      <c r="F8" s="78">
        <v>0.15</v>
      </c>
    </row>
    <row r="9" spans="2:6" ht="51">
      <c r="B9" s="647" t="s">
        <v>407</v>
      </c>
      <c r="C9" s="649" t="s">
        <v>51</v>
      </c>
      <c r="D9" s="210" t="s">
        <v>154</v>
      </c>
      <c r="E9" s="77" t="s">
        <v>408</v>
      </c>
      <c r="F9" s="79" t="s">
        <v>409</v>
      </c>
    </row>
    <row r="10" spans="2:6" ht="51">
      <c r="B10" s="647"/>
      <c r="C10" s="649"/>
      <c r="D10" s="210" t="s">
        <v>167</v>
      </c>
      <c r="E10" s="77" t="s">
        <v>410</v>
      </c>
      <c r="F10" s="79" t="s">
        <v>409</v>
      </c>
    </row>
    <row r="11" spans="2:6" ht="34">
      <c r="B11" s="647"/>
      <c r="C11" s="649" t="s">
        <v>99</v>
      </c>
      <c r="D11" s="210" t="s">
        <v>155</v>
      </c>
      <c r="E11" s="77" t="s">
        <v>411</v>
      </c>
      <c r="F11" s="79" t="s">
        <v>409</v>
      </c>
    </row>
    <row r="12" spans="2:6" ht="34">
      <c r="B12" s="647"/>
      <c r="C12" s="649"/>
      <c r="D12" s="210" t="s">
        <v>168</v>
      </c>
      <c r="E12" s="77" t="s">
        <v>412</v>
      </c>
      <c r="F12" s="79" t="s">
        <v>409</v>
      </c>
    </row>
    <row r="13" spans="2:6" ht="34">
      <c r="B13" s="647"/>
      <c r="C13" s="649" t="s">
        <v>100</v>
      </c>
      <c r="D13" s="210" t="s">
        <v>413</v>
      </c>
      <c r="E13" s="77" t="s">
        <v>414</v>
      </c>
      <c r="F13" s="79" t="s">
        <v>409</v>
      </c>
    </row>
    <row r="14" spans="2:6" ht="18" thickBot="1">
      <c r="B14" s="650"/>
      <c r="C14" s="651"/>
      <c r="D14" s="211" t="s">
        <v>415</v>
      </c>
      <c r="E14" s="80" t="s">
        <v>416</v>
      </c>
      <c r="F14" s="81" t="s">
        <v>409</v>
      </c>
    </row>
    <row r="15" spans="2:6" ht="49.5" customHeight="1">
      <c r="B15" s="643" t="s">
        <v>417</v>
      </c>
      <c r="C15" s="643"/>
      <c r="D15" s="643"/>
      <c r="E15" s="643"/>
      <c r="F15" s="643"/>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L25" sqref="L25"/>
    </sheetView>
  </sheetViews>
  <sheetFormatPr baseColWidth="10" defaultColWidth="11.5" defaultRowHeight="15"/>
  <cols>
    <col min="1" max="1" width="17.5" customWidth="1"/>
    <col min="2" max="2" width="9.6640625" customWidth="1"/>
    <col min="4" max="4" width="72.33203125" customWidth="1"/>
    <col min="5" max="6" width="11" customWidth="1"/>
    <col min="7" max="7" width="11.5" style="138"/>
    <col min="8" max="8" width="11.5" style="15"/>
  </cols>
  <sheetData>
    <row r="1" spans="1:8" ht="16" thickBot="1"/>
    <row r="2" spans="1:8" ht="19.5" customHeight="1">
      <c r="B2" s="251" t="s">
        <v>0</v>
      </c>
      <c r="C2" s="252"/>
      <c r="D2" s="268" t="s">
        <v>7</v>
      </c>
      <c r="E2" s="284" t="s">
        <v>8</v>
      </c>
      <c r="F2" s="258"/>
    </row>
    <row r="3" spans="1:8" ht="19.5" customHeight="1">
      <c r="B3" s="253"/>
      <c r="C3" s="254"/>
      <c r="D3" s="269"/>
      <c r="E3" s="285" t="s">
        <v>3</v>
      </c>
      <c r="F3" s="260"/>
    </row>
    <row r="4" spans="1:8" ht="19.5" customHeight="1">
      <c r="B4" s="253"/>
      <c r="C4" s="254"/>
      <c r="D4" s="269"/>
      <c r="E4" s="285" t="s">
        <v>4</v>
      </c>
      <c r="F4" s="260"/>
    </row>
    <row r="5" spans="1:8" ht="19.5" customHeight="1" thickBot="1">
      <c r="A5" t="s">
        <v>9</v>
      </c>
      <c r="B5" s="255"/>
      <c r="C5" s="256"/>
      <c r="D5" s="270"/>
      <c r="E5" s="286" t="s">
        <v>5</v>
      </c>
      <c r="F5" s="262"/>
    </row>
    <row r="6" spans="1:8" ht="16" thickBot="1"/>
    <row r="7" spans="1:8">
      <c r="B7" s="271" t="s">
        <v>10</v>
      </c>
      <c r="C7" s="274" t="s">
        <v>11</v>
      </c>
      <c r="D7" s="275"/>
      <c r="E7" s="280" t="s">
        <v>12</v>
      </c>
      <c r="F7" s="281"/>
    </row>
    <row r="8" spans="1:8" ht="16" thickBot="1">
      <c r="B8" s="272"/>
      <c r="C8" s="276"/>
      <c r="D8" s="277"/>
      <c r="E8" s="282"/>
      <c r="F8" s="283"/>
      <c r="H8" s="148"/>
    </row>
    <row r="9" spans="1:8" ht="16" thickBot="1">
      <c r="B9" s="273"/>
      <c r="C9" s="278" t="s">
        <v>13</v>
      </c>
      <c r="D9" s="279"/>
      <c r="E9" s="145" t="s">
        <v>14</v>
      </c>
      <c r="F9" s="145" t="s">
        <v>15</v>
      </c>
      <c r="H9" s="148"/>
    </row>
    <row r="10" spans="1:8" ht="16" thickBot="1">
      <c r="B10" s="144">
        <v>1</v>
      </c>
      <c r="C10" s="263" t="s">
        <v>16</v>
      </c>
      <c r="D10" s="264"/>
      <c r="E10" s="140"/>
      <c r="F10" s="141"/>
      <c r="H10" s="148"/>
    </row>
    <row r="11" spans="1:8" ht="16" thickBot="1">
      <c r="B11" s="144">
        <v>2</v>
      </c>
      <c r="C11" s="263" t="s">
        <v>17</v>
      </c>
      <c r="D11" s="264" t="s">
        <v>17</v>
      </c>
      <c r="E11" s="140"/>
      <c r="F11" s="141"/>
      <c r="H11" s="149"/>
    </row>
    <row r="12" spans="1:8" ht="16" thickBot="1">
      <c r="B12" s="144">
        <v>3</v>
      </c>
      <c r="C12" s="263" t="s">
        <v>18</v>
      </c>
      <c r="D12" s="264" t="s">
        <v>18</v>
      </c>
      <c r="E12" s="140"/>
      <c r="F12" s="141"/>
    </row>
    <row r="13" spans="1:8" ht="16" thickBot="1">
      <c r="B13" s="144">
        <v>4</v>
      </c>
      <c r="C13" s="263" t="s">
        <v>19</v>
      </c>
      <c r="D13" s="264" t="s">
        <v>20</v>
      </c>
      <c r="E13" s="140"/>
      <c r="F13" s="141"/>
    </row>
    <row r="14" spans="1:8" ht="16" thickBot="1">
      <c r="B14" s="144">
        <v>5</v>
      </c>
      <c r="C14" s="263" t="s">
        <v>21</v>
      </c>
      <c r="D14" s="264" t="s">
        <v>21</v>
      </c>
      <c r="E14" s="140"/>
      <c r="F14" s="141"/>
    </row>
    <row r="15" spans="1:8" ht="16" thickBot="1">
      <c r="B15" s="144">
        <v>6</v>
      </c>
      <c r="C15" s="263" t="s">
        <v>22</v>
      </c>
      <c r="D15" s="264" t="s">
        <v>22</v>
      </c>
      <c r="E15" s="140"/>
      <c r="F15" s="141"/>
    </row>
    <row r="16" spans="1:8" ht="16" thickBot="1">
      <c r="B16" s="144">
        <v>7</v>
      </c>
      <c r="C16" s="263" t="s">
        <v>23</v>
      </c>
      <c r="D16" s="264" t="s">
        <v>23</v>
      </c>
      <c r="E16" s="140"/>
      <c r="F16" s="141"/>
    </row>
    <row r="17" spans="1:7" ht="28.5" customHeight="1" thickBot="1">
      <c r="B17" s="144">
        <v>8</v>
      </c>
      <c r="C17" s="263" t="s">
        <v>24</v>
      </c>
      <c r="D17" s="264" t="s">
        <v>24</v>
      </c>
      <c r="E17" s="140"/>
      <c r="F17" s="141"/>
    </row>
    <row r="18" spans="1:7" ht="18.75" customHeight="1" thickBot="1">
      <c r="B18" s="144">
        <v>9</v>
      </c>
      <c r="C18" s="263" t="s">
        <v>25</v>
      </c>
      <c r="D18" s="264" t="s">
        <v>25</v>
      </c>
      <c r="E18" s="140"/>
      <c r="F18" s="141"/>
    </row>
    <row r="19" spans="1:7" ht="16" thickBot="1">
      <c r="B19" s="144">
        <v>10</v>
      </c>
      <c r="C19" s="263" t="s">
        <v>26</v>
      </c>
      <c r="D19" s="264" t="s">
        <v>26</v>
      </c>
      <c r="E19" s="140"/>
      <c r="F19" s="141"/>
    </row>
    <row r="20" spans="1:7" ht="16" thickBot="1">
      <c r="B20" s="144">
        <v>11</v>
      </c>
      <c r="C20" s="263" t="s">
        <v>27</v>
      </c>
      <c r="D20" s="264" t="s">
        <v>27</v>
      </c>
      <c r="E20" s="140"/>
      <c r="F20" s="141"/>
    </row>
    <row r="21" spans="1:7" ht="16" thickBot="1">
      <c r="B21" s="144">
        <v>12</v>
      </c>
      <c r="C21" s="263" t="s">
        <v>28</v>
      </c>
      <c r="D21" s="264" t="s">
        <v>28</v>
      </c>
      <c r="E21" s="140"/>
      <c r="F21" s="141"/>
    </row>
    <row r="22" spans="1:7" ht="16" thickBot="1">
      <c r="B22" s="144">
        <v>13</v>
      </c>
      <c r="C22" s="263" t="s">
        <v>29</v>
      </c>
      <c r="D22" s="264" t="s">
        <v>29</v>
      </c>
      <c r="E22" s="140"/>
      <c r="F22" s="141"/>
    </row>
    <row r="23" spans="1:7" ht="16" thickBot="1">
      <c r="B23" s="144">
        <v>14</v>
      </c>
      <c r="C23" s="263" t="s">
        <v>30</v>
      </c>
      <c r="D23" s="264" t="s">
        <v>30</v>
      </c>
      <c r="E23" s="140"/>
      <c r="F23" s="141"/>
    </row>
    <row r="24" spans="1:7" ht="16" thickBot="1">
      <c r="B24" s="144">
        <v>15</v>
      </c>
      <c r="C24" s="263" t="s">
        <v>31</v>
      </c>
      <c r="D24" s="264" t="s">
        <v>31</v>
      </c>
      <c r="E24" s="140"/>
      <c r="F24" s="141"/>
    </row>
    <row r="25" spans="1:7" ht="16" thickBot="1">
      <c r="B25" s="144">
        <v>16</v>
      </c>
      <c r="C25" s="263" t="s">
        <v>32</v>
      </c>
      <c r="D25" s="264" t="s">
        <v>32</v>
      </c>
      <c r="E25" s="140"/>
      <c r="F25" s="141"/>
    </row>
    <row r="26" spans="1:7" ht="16" thickBot="1">
      <c r="B26" s="144">
        <v>17</v>
      </c>
      <c r="C26" s="263" t="s">
        <v>33</v>
      </c>
      <c r="D26" s="264" t="s">
        <v>33</v>
      </c>
      <c r="E26" s="140"/>
      <c r="F26" s="141"/>
    </row>
    <row r="27" spans="1:7" ht="16" thickBot="1">
      <c r="B27" s="144">
        <v>18</v>
      </c>
      <c r="C27" s="263" t="s">
        <v>34</v>
      </c>
      <c r="D27" s="264" t="s">
        <v>34</v>
      </c>
      <c r="E27" s="140"/>
      <c r="F27" s="141"/>
    </row>
    <row r="28" spans="1:7" ht="16" thickBot="1">
      <c r="B28" s="144">
        <v>19</v>
      </c>
      <c r="C28" s="263" t="s">
        <v>35</v>
      </c>
      <c r="D28" s="264" t="s">
        <v>35</v>
      </c>
      <c r="E28" s="140"/>
      <c r="F28" s="141"/>
    </row>
    <row r="29" spans="1:7">
      <c r="C29" s="139"/>
      <c r="D29" s="139"/>
      <c r="E29" s="147">
        <f>COUNTIF(E10:E28,"x")</f>
        <v>0</v>
      </c>
      <c r="F29" s="147">
        <f>COUNTIF(F10:F28,"x")</f>
        <v>0</v>
      </c>
      <c r="G29" s="146" t="str">
        <f>IF(E29=0,"",IF(E29&lt;=5,"Moderado",IF(E29&lt;=11,"Mayor",IF(E29&lt;=19,"Catastrófico",""))))</f>
        <v/>
      </c>
    </row>
    <row r="30" spans="1:7">
      <c r="C30" s="137"/>
      <c r="D30" s="137"/>
      <c r="E30" s="137"/>
      <c r="F30" s="137"/>
    </row>
    <row r="31" spans="1:7" ht="66" customHeight="1">
      <c r="A31" s="265" t="s">
        <v>36</v>
      </c>
      <c r="B31" s="266"/>
      <c r="C31" s="266"/>
      <c r="D31" s="266"/>
      <c r="E31" s="266"/>
      <c r="F31" s="267"/>
    </row>
  </sheetData>
  <mergeCells count="30">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s>
  <conditionalFormatting sqref="G29">
    <cfRule type="cellIs" dxfId="21" priority="1" stopIfTrue="1" operator="equal">
      <formula>"Catastrófico"</formula>
    </cfRule>
    <cfRule type="cellIs" dxfId="20" priority="2" stopIfTrue="1" operator="equal">
      <formula>"Moderado"</formula>
    </cfRule>
    <cfRule type="cellIs" dxfId="19"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baseColWidth="10" defaultColWidth="8.832031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8.83203125"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5" defaultRowHeight="15"/>
  <sheetData>
    <row r="2" spans="2:5">
      <c r="B2" t="s">
        <v>157</v>
      </c>
      <c r="E2" t="s">
        <v>146</v>
      </c>
    </row>
    <row r="3" spans="2:5">
      <c r="B3" t="s">
        <v>170</v>
      </c>
      <c r="E3" t="s">
        <v>160</v>
      </c>
    </row>
    <row r="4" spans="2:5">
      <c r="B4" t="s">
        <v>192</v>
      </c>
      <c r="E4" t="s">
        <v>174</v>
      </c>
    </row>
    <row r="5" spans="2:5">
      <c r="B5" t="s">
        <v>103</v>
      </c>
    </row>
    <row r="8" spans="2:5">
      <c r="B8" t="s">
        <v>143</v>
      </c>
    </row>
    <row r="9" spans="2:5">
      <c r="B9" t="s">
        <v>158</v>
      </c>
    </row>
    <row r="10" spans="2:5">
      <c r="B10" t="s">
        <v>171</v>
      </c>
    </row>
    <row r="13" spans="2:5">
      <c r="B13" t="s">
        <v>149</v>
      </c>
    </row>
    <row r="14" spans="2:5">
      <c r="B14" t="s">
        <v>163</v>
      </c>
    </row>
    <row r="15" spans="2:5">
      <c r="B15" t="s">
        <v>177</v>
      </c>
    </row>
    <row r="16" spans="2:5">
      <c r="B16" t="s">
        <v>185</v>
      </c>
    </row>
    <row r="17" spans="2:2">
      <c r="B17" t="s">
        <v>190</v>
      </c>
    </row>
    <row r="18" spans="2:2">
      <c r="B18" t="s">
        <v>194</v>
      </c>
    </row>
    <row r="19" spans="2:2">
      <c r="B19" t="s">
        <v>196</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5" defaultRowHeight="14"/>
  <cols>
    <col min="1" max="1" width="32.6640625" style="1" customWidth="1"/>
    <col min="2" max="16384" width="11.5" style="1"/>
  </cols>
  <sheetData>
    <row r="3" spans="1:1">
      <c r="A3" s="2" t="s">
        <v>152</v>
      </c>
    </row>
    <row r="4" spans="1:1">
      <c r="A4" s="2" t="s">
        <v>102</v>
      </c>
    </row>
    <row r="5" spans="1:1">
      <c r="A5" s="2" t="s">
        <v>180</v>
      </c>
    </row>
    <row r="6" spans="1:1">
      <c r="A6" s="2" t="s">
        <v>153</v>
      </c>
    </row>
    <row r="7" spans="1:1">
      <c r="A7" s="2" t="s">
        <v>166</v>
      </c>
    </row>
    <row r="8" spans="1:1">
      <c r="A8" s="2" t="s">
        <v>154</v>
      </c>
    </row>
    <row r="9" spans="1:1">
      <c r="A9" s="2" t="s">
        <v>167</v>
      </c>
    </row>
    <row r="10" spans="1:1">
      <c r="A10" s="2" t="s">
        <v>155</v>
      </c>
    </row>
    <row r="11" spans="1:1">
      <c r="A11" s="2" t="s">
        <v>168</v>
      </c>
    </row>
    <row r="12" spans="1:1">
      <c r="A12" s="2" t="s">
        <v>156</v>
      </c>
    </row>
    <row r="13" spans="1:1">
      <c r="A13" s="2" t="s">
        <v>169</v>
      </c>
    </row>
    <row r="14" spans="1:1">
      <c r="A14" s="2" t="s">
        <v>181</v>
      </c>
    </row>
    <row r="16" spans="1:1">
      <c r="A16" s="2" t="s">
        <v>182</v>
      </c>
    </row>
    <row r="17" spans="1:1">
      <c r="A17" s="2" t="s">
        <v>157</v>
      </c>
    </row>
    <row r="18" spans="1:1">
      <c r="A18" s="2" t="s">
        <v>170</v>
      </c>
    </row>
    <row r="20" spans="1:1">
      <c r="A20" s="2" t="s">
        <v>158</v>
      </c>
    </row>
    <row r="21" spans="1:1">
      <c r="A21" s="2" t="s">
        <v>171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25"/>
  <sheetViews>
    <sheetView tabSelected="1" topLeftCell="B18" zoomScale="152" zoomScaleNormal="150" workbookViewId="0">
      <selection activeCell="F27" sqref="F27"/>
    </sheetView>
  </sheetViews>
  <sheetFormatPr baseColWidth="10" defaultColWidth="11.5" defaultRowHeight="14"/>
  <cols>
    <col min="1" max="1" width="0" style="169" hidden="1" customWidth="1"/>
    <col min="2" max="2" width="4.5" style="169" customWidth="1"/>
    <col min="3" max="3" width="6.33203125" style="169" customWidth="1"/>
    <col min="4" max="4" width="4.6640625" style="170" customWidth="1"/>
    <col min="5" max="5" width="21" style="170" customWidth="1"/>
    <col min="6" max="7" width="20.6640625" style="170" customWidth="1"/>
    <col min="8" max="8" width="18.33203125" style="170" customWidth="1"/>
    <col min="9" max="9" width="31" style="170" customWidth="1"/>
    <col min="10" max="10" width="25.5" style="170" customWidth="1"/>
    <col min="11" max="11" width="58.33203125" style="169" customWidth="1"/>
    <col min="12" max="12" width="25.5" style="171" customWidth="1"/>
    <col min="13" max="13" width="31.83203125" style="171" customWidth="1"/>
    <col min="14" max="14" width="23.83203125" style="171" customWidth="1"/>
    <col min="15" max="15" width="14.83203125" style="169" customWidth="1"/>
    <col min="16" max="16" width="16.5" style="169" customWidth="1"/>
    <col min="17" max="17" width="8.83203125" style="169" customWidth="1"/>
    <col min="18" max="18" width="21.33203125" style="169" customWidth="1"/>
    <col min="19" max="19" width="17.5" style="169" customWidth="1"/>
    <col min="20" max="20" width="10.5" style="169" customWidth="1"/>
    <col min="21" max="21" width="16" style="169" customWidth="1"/>
    <col min="22" max="22" width="5.6640625" style="169" customWidth="1"/>
    <col min="23" max="23" width="63.5" style="169" customWidth="1"/>
    <col min="24" max="24" width="57.33203125" style="169" customWidth="1"/>
    <col min="25" max="25" width="15.33203125" style="169" customWidth="1"/>
    <col min="26" max="26" width="6.6640625" style="169" customWidth="1"/>
    <col min="27" max="27" width="5" style="169" customWidth="1"/>
    <col min="28" max="28" width="5.5" style="169" customWidth="1"/>
    <col min="29" max="29" width="7.33203125" style="169" customWidth="1"/>
    <col min="30" max="30" width="6.6640625" style="169" customWidth="1"/>
    <col min="31" max="31" width="8.33203125" style="169" customWidth="1"/>
    <col min="32" max="32" width="12" style="169" customWidth="1"/>
    <col min="33" max="33" width="13.6640625" style="169" customWidth="1"/>
    <col min="34" max="38" width="16.1640625" style="169" customWidth="1"/>
    <col min="39" max="40" width="7.33203125" style="169" customWidth="1"/>
    <col min="41" max="41" width="46.5" style="169" customWidth="1"/>
    <col min="42" max="42" width="24.33203125" style="169" customWidth="1"/>
    <col min="43" max="43" width="23.1640625" style="169" customWidth="1"/>
    <col min="44" max="46" width="19.6640625" style="169" customWidth="1"/>
    <col min="47" max="47" width="35.5" style="169" customWidth="1"/>
    <col min="48" max="50" width="34.6640625" style="169" customWidth="1"/>
    <col min="51" max="51" width="29" style="169" customWidth="1"/>
    <col min="52" max="52" width="23.33203125" style="169" customWidth="1"/>
    <col min="53" max="53" width="68.5" style="169" customWidth="1"/>
    <col min="54" max="54" width="31.5" style="169" customWidth="1"/>
    <col min="55" max="55" width="30.5" style="169" customWidth="1"/>
    <col min="56" max="56" width="53" style="169" customWidth="1"/>
    <col min="57" max="59" width="0" style="169" hidden="1" customWidth="1"/>
    <col min="60" max="61" width="11.5" style="169" hidden="1" customWidth="1"/>
    <col min="62" max="63" width="0" style="169" hidden="1" customWidth="1"/>
    <col min="64" max="16384" width="11.5" style="169"/>
  </cols>
  <sheetData>
    <row r="1" spans="1:82" ht="15" thickBot="1"/>
    <row r="2" spans="1:82" ht="27.75" customHeight="1">
      <c r="D2" s="350" t="s">
        <v>37</v>
      </c>
      <c r="E2" s="351"/>
      <c r="F2" s="351"/>
      <c r="G2" s="351"/>
      <c r="H2" s="352"/>
      <c r="I2" s="359" t="s">
        <v>38</v>
      </c>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214" t="s">
        <v>8</v>
      </c>
    </row>
    <row r="3" spans="1:82" ht="27.75" customHeight="1">
      <c r="D3" s="353"/>
      <c r="E3" s="354"/>
      <c r="F3" s="354"/>
      <c r="G3" s="354"/>
      <c r="H3" s="355"/>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223" t="s">
        <v>39</v>
      </c>
    </row>
    <row r="4" spans="1:82" ht="27.75" customHeight="1">
      <c r="D4" s="353"/>
      <c r="E4" s="354"/>
      <c r="F4" s="354"/>
      <c r="G4" s="354"/>
      <c r="H4" s="355"/>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c r="AX4" s="359"/>
      <c r="AY4" s="359"/>
      <c r="AZ4" s="359"/>
      <c r="BA4" s="359"/>
      <c r="BB4" s="359"/>
      <c r="BC4" s="359"/>
      <c r="BD4" s="215" t="s">
        <v>4</v>
      </c>
    </row>
    <row r="5" spans="1:82" ht="27.75" customHeight="1" thickBot="1">
      <c r="D5" s="356"/>
      <c r="E5" s="357"/>
      <c r="F5" s="357"/>
      <c r="G5" s="357"/>
      <c r="H5" s="358"/>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215" t="s">
        <v>40</v>
      </c>
    </row>
    <row r="6" spans="1:82" ht="14"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329" t="s">
        <v>41</v>
      </c>
      <c r="E7" s="330"/>
      <c r="F7" s="330"/>
      <c r="G7" s="331"/>
      <c r="H7" s="332" t="s">
        <v>448</v>
      </c>
      <c r="I7" s="333"/>
      <c r="J7" s="333"/>
      <c r="K7" s="333"/>
      <c r="L7" s="333"/>
      <c r="M7" s="333"/>
      <c r="N7" s="333"/>
      <c r="O7" s="333"/>
      <c r="P7" s="333"/>
      <c r="Q7" s="333"/>
      <c r="R7" s="333"/>
      <c r="S7" s="333"/>
      <c r="T7" s="333"/>
      <c r="U7" s="333"/>
      <c r="V7" s="333"/>
      <c r="W7" s="333"/>
      <c r="X7" s="333"/>
      <c r="Y7" s="333"/>
      <c r="Z7" s="333"/>
      <c r="AA7" s="333"/>
      <c r="AB7" s="333"/>
      <c r="AC7" s="333"/>
      <c r="AD7" s="333"/>
      <c r="AE7" s="333"/>
      <c r="AF7" s="333"/>
      <c r="AG7" s="333"/>
      <c r="AH7" s="333"/>
      <c r="AI7" s="333"/>
      <c r="AJ7" s="333"/>
      <c r="AK7" s="333"/>
      <c r="AL7" s="333"/>
      <c r="AM7" s="333"/>
      <c r="AN7" s="333"/>
      <c r="AO7" s="333"/>
      <c r="AP7" s="333"/>
      <c r="AQ7" s="333"/>
      <c r="AR7" s="333"/>
      <c r="AS7" s="333"/>
      <c r="AT7" s="333"/>
      <c r="AU7" s="333"/>
      <c r="AV7" s="333"/>
      <c r="AW7" s="333"/>
      <c r="AX7" s="333"/>
      <c r="AY7" s="333"/>
      <c r="AZ7" s="333"/>
      <c r="BA7" s="333"/>
      <c r="BB7" s="333"/>
      <c r="BC7" s="333"/>
      <c r="BD7" s="33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124" customHeight="1">
      <c r="D8" s="329" t="s">
        <v>42</v>
      </c>
      <c r="E8" s="330"/>
      <c r="F8" s="330"/>
      <c r="G8" s="331"/>
      <c r="H8" s="334" t="s">
        <v>447</v>
      </c>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5"/>
      <c r="AT8" s="335"/>
      <c r="AU8" s="335"/>
      <c r="AV8" s="335"/>
      <c r="AW8" s="335"/>
      <c r="AX8" s="335"/>
      <c r="AY8" s="335"/>
      <c r="AZ8" s="335"/>
      <c r="BA8" s="335"/>
      <c r="BB8" s="335"/>
      <c r="BC8" s="335"/>
      <c r="BD8" s="335"/>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c r="D9" s="329" t="s">
        <v>43</v>
      </c>
      <c r="E9" s="330"/>
      <c r="F9" s="330"/>
      <c r="G9" s="331"/>
      <c r="H9" s="332" t="s">
        <v>449</v>
      </c>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333"/>
      <c r="AL9" s="333"/>
      <c r="AM9" s="333"/>
      <c r="AN9" s="333"/>
      <c r="AO9" s="333"/>
      <c r="AP9" s="333"/>
      <c r="AQ9" s="333"/>
      <c r="AR9" s="333"/>
      <c r="AS9" s="333"/>
      <c r="AT9" s="333"/>
      <c r="AU9" s="333"/>
      <c r="AV9" s="333"/>
      <c r="AW9" s="333"/>
      <c r="AX9" s="333"/>
      <c r="AY9" s="333"/>
      <c r="AZ9" s="333"/>
      <c r="BA9" s="333"/>
      <c r="BB9" s="333"/>
      <c r="BC9" s="333"/>
      <c r="BD9" s="33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7"/>
      <c r="AT10" s="217"/>
      <c r="AU10" s="217"/>
      <c r="AV10" s="217"/>
      <c r="AW10" s="217"/>
      <c r="AX10" s="217"/>
      <c r="AY10" s="217"/>
      <c r="AZ10" s="179"/>
      <c r="BA10" s="179"/>
      <c r="BB10" s="179"/>
      <c r="BC10" s="179"/>
      <c r="BD10" s="179"/>
    </row>
    <row r="11" spans="1:82" s="174" customFormat="1" ht="25.5" customHeight="1">
      <c r="A11" s="294" t="s">
        <v>9</v>
      </c>
      <c r="B11" s="294"/>
      <c r="C11" s="295"/>
      <c r="D11" s="343" t="s">
        <v>44</v>
      </c>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c r="AJ11" s="344"/>
      <c r="AK11" s="344"/>
      <c r="AL11" s="344"/>
      <c r="AM11" s="344"/>
      <c r="AN11" s="344"/>
      <c r="AO11" s="344"/>
      <c r="AP11" s="344"/>
      <c r="AQ11" s="344"/>
      <c r="AR11" s="345"/>
      <c r="AS11" s="322" t="s">
        <v>45</v>
      </c>
      <c r="AT11" s="322"/>
      <c r="AU11" s="322"/>
      <c r="AV11" s="322"/>
      <c r="AW11" s="322"/>
      <c r="AX11" s="322"/>
      <c r="AY11" s="322"/>
      <c r="AZ11" s="337" t="s">
        <v>46</v>
      </c>
      <c r="BA11" s="338"/>
      <c r="BB11" s="338"/>
      <c r="BC11" s="339" t="s">
        <v>47</v>
      </c>
      <c r="BD11" s="340"/>
    </row>
    <row r="12" spans="1:82" ht="27" customHeight="1">
      <c r="D12" s="302" t="s">
        <v>48</v>
      </c>
      <c r="E12" s="302"/>
      <c r="F12" s="302"/>
      <c r="G12" s="302"/>
      <c r="H12" s="302"/>
      <c r="I12" s="297"/>
      <c r="J12" s="297"/>
      <c r="K12" s="297"/>
      <c r="L12" s="297"/>
      <c r="M12" s="297"/>
      <c r="N12" s="297"/>
      <c r="O12" s="297"/>
      <c r="P12" s="297" t="s">
        <v>49</v>
      </c>
      <c r="Q12" s="297"/>
      <c r="R12" s="297"/>
      <c r="S12" s="297"/>
      <c r="T12" s="297"/>
      <c r="U12" s="297"/>
      <c r="V12" s="297" t="s">
        <v>50</v>
      </c>
      <c r="W12" s="297"/>
      <c r="X12" s="297"/>
      <c r="Y12" s="297"/>
      <c r="Z12" s="297"/>
      <c r="AA12" s="297"/>
      <c r="AB12" s="297"/>
      <c r="AC12" s="297"/>
      <c r="AD12" s="297"/>
      <c r="AE12" s="297"/>
      <c r="AF12" s="291" t="s">
        <v>51</v>
      </c>
      <c r="AG12" s="297" t="s">
        <v>52</v>
      </c>
      <c r="AH12" s="297"/>
      <c r="AI12" s="297"/>
      <c r="AJ12" s="297"/>
      <c r="AK12" s="297"/>
      <c r="AL12" s="297"/>
      <c r="AM12" s="297"/>
      <c r="AN12" s="218"/>
      <c r="AO12" s="343" t="s">
        <v>53</v>
      </c>
      <c r="AP12" s="344"/>
      <c r="AQ12" s="344"/>
      <c r="AR12" s="344"/>
      <c r="AS12" s="322"/>
      <c r="AT12" s="322"/>
      <c r="AU12" s="322"/>
      <c r="AV12" s="322"/>
      <c r="AW12" s="322"/>
      <c r="AX12" s="322"/>
      <c r="AY12" s="322"/>
      <c r="AZ12" s="337"/>
      <c r="BA12" s="338"/>
      <c r="BB12" s="338"/>
      <c r="BC12" s="341"/>
      <c r="BD12" s="342"/>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336" t="s">
        <v>54</v>
      </c>
      <c r="E13" s="301" t="s">
        <v>55</v>
      </c>
      <c r="F13" s="296" t="s">
        <v>56</v>
      </c>
      <c r="G13" s="298" t="s">
        <v>57</v>
      </c>
      <c r="H13" s="302" t="s">
        <v>58</v>
      </c>
      <c r="I13" s="301" t="s">
        <v>59</v>
      </c>
      <c r="J13" s="301" t="s">
        <v>60</v>
      </c>
      <c r="K13" s="301" t="s">
        <v>61</v>
      </c>
      <c r="L13" s="298" t="s">
        <v>62</v>
      </c>
      <c r="M13" s="289" t="s">
        <v>63</v>
      </c>
      <c r="N13" s="290"/>
      <c r="O13" s="301" t="s">
        <v>64</v>
      </c>
      <c r="P13" s="301" t="s">
        <v>65</v>
      </c>
      <c r="Q13" s="302" t="s">
        <v>66</v>
      </c>
      <c r="R13" s="301" t="s">
        <v>67</v>
      </c>
      <c r="S13" s="301" t="s">
        <v>68</v>
      </c>
      <c r="T13" s="302" t="s">
        <v>66</v>
      </c>
      <c r="U13" s="301" t="s">
        <v>69</v>
      </c>
      <c r="V13" s="300" t="s">
        <v>70</v>
      </c>
      <c r="W13" s="301" t="s">
        <v>71</v>
      </c>
      <c r="X13" s="301" t="s">
        <v>72</v>
      </c>
      <c r="Y13" s="301" t="s">
        <v>73</v>
      </c>
      <c r="Z13" s="301" t="s">
        <v>74</v>
      </c>
      <c r="AA13" s="301"/>
      <c r="AB13" s="301"/>
      <c r="AC13" s="301"/>
      <c r="AD13" s="301"/>
      <c r="AE13" s="301"/>
      <c r="AF13" s="292"/>
      <c r="AG13" s="300" t="s">
        <v>75</v>
      </c>
      <c r="AH13" s="300" t="s">
        <v>76</v>
      </c>
      <c r="AI13" s="300" t="s">
        <v>66</v>
      </c>
      <c r="AJ13" s="300" t="s">
        <v>77</v>
      </c>
      <c r="AK13" s="300" t="s">
        <v>66</v>
      </c>
      <c r="AL13" s="300" t="s">
        <v>78</v>
      </c>
      <c r="AM13" s="300" t="s">
        <v>79</v>
      </c>
      <c r="AN13" s="300" t="s">
        <v>80</v>
      </c>
      <c r="AO13" s="301" t="s">
        <v>81</v>
      </c>
      <c r="AP13" s="301" t="s">
        <v>82</v>
      </c>
      <c r="AQ13" s="301" t="s">
        <v>83</v>
      </c>
      <c r="AR13" s="298" t="s">
        <v>84</v>
      </c>
      <c r="AS13" s="320" t="s">
        <v>85</v>
      </c>
      <c r="AT13" s="320" t="s">
        <v>86</v>
      </c>
      <c r="AU13" s="318" t="s">
        <v>436</v>
      </c>
      <c r="AV13" s="318" t="s">
        <v>87</v>
      </c>
      <c r="AW13" s="320" t="s">
        <v>88</v>
      </c>
      <c r="AX13" s="320" t="s">
        <v>435</v>
      </c>
      <c r="AY13" s="320" t="s">
        <v>89</v>
      </c>
      <c r="AZ13" s="301" t="s">
        <v>90</v>
      </c>
      <c r="BA13" s="301" t="s">
        <v>91</v>
      </c>
      <c r="BB13" s="301" t="s">
        <v>92</v>
      </c>
      <c r="BC13" s="318" t="s">
        <v>90</v>
      </c>
      <c r="BD13" s="318" t="s">
        <v>93</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40" customHeight="1">
      <c r="A14" s="180"/>
      <c r="B14" s="180"/>
      <c r="C14" s="180"/>
      <c r="D14" s="336"/>
      <c r="E14" s="301"/>
      <c r="F14" s="297"/>
      <c r="G14" s="299"/>
      <c r="H14" s="302"/>
      <c r="I14" s="301"/>
      <c r="J14" s="301"/>
      <c r="K14" s="302"/>
      <c r="L14" s="299"/>
      <c r="M14" s="188" t="s">
        <v>94</v>
      </c>
      <c r="N14" s="188" t="s">
        <v>95</v>
      </c>
      <c r="O14" s="301"/>
      <c r="P14" s="301"/>
      <c r="Q14" s="302"/>
      <c r="R14" s="301"/>
      <c r="S14" s="302"/>
      <c r="T14" s="302"/>
      <c r="U14" s="301"/>
      <c r="V14" s="300"/>
      <c r="W14" s="301"/>
      <c r="X14" s="301"/>
      <c r="Y14" s="301"/>
      <c r="Z14" s="206" t="s">
        <v>96</v>
      </c>
      <c r="AA14" s="206" t="s">
        <v>97</v>
      </c>
      <c r="AB14" s="206" t="s">
        <v>98</v>
      </c>
      <c r="AC14" s="206" t="s">
        <v>51</v>
      </c>
      <c r="AD14" s="206" t="s">
        <v>99</v>
      </c>
      <c r="AE14" s="206" t="s">
        <v>100</v>
      </c>
      <c r="AF14" s="293"/>
      <c r="AG14" s="300"/>
      <c r="AH14" s="300"/>
      <c r="AI14" s="300"/>
      <c r="AJ14" s="300"/>
      <c r="AK14" s="300"/>
      <c r="AL14" s="300"/>
      <c r="AM14" s="300"/>
      <c r="AN14" s="300"/>
      <c r="AO14" s="301"/>
      <c r="AP14" s="301"/>
      <c r="AQ14" s="301"/>
      <c r="AR14" s="299"/>
      <c r="AS14" s="321"/>
      <c r="AT14" s="321"/>
      <c r="AU14" s="319"/>
      <c r="AV14" s="319"/>
      <c r="AW14" s="321"/>
      <c r="AX14" s="321"/>
      <c r="AY14" s="321"/>
      <c r="AZ14" s="298"/>
      <c r="BA14" s="298"/>
      <c r="BB14" s="298"/>
      <c r="BC14" s="319"/>
      <c r="BD14" s="319"/>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189" customFormat="1" ht="98" customHeight="1">
      <c r="D15" s="309">
        <v>1</v>
      </c>
      <c r="E15" s="312" t="s">
        <v>144</v>
      </c>
      <c r="F15" s="312" t="s">
        <v>174</v>
      </c>
      <c r="G15" s="374"/>
      <c r="H15" s="312" t="s">
        <v>184</v>
      </c>
      <c r="I15" s="360" t="s">
        <v>418</v>
      </c>
      <c r="J15" s="369" t="s">
        <v>424</v>
      </c>
      <c r="K15" s="360" t="s">
        <v>423</v>
      </c>
      <c r="L15" s="303" t="s">
        <v>163</v>
      </c>
      <c r="M15" s="306"/>
      <c r="N15" s="306"/>
      <c r="O15" s="303">
        <f>3+7+2+48</f>
        <v>60</v>
      </c>
      <c r="P15" s="362" t="str">
        <f>IF(O15&lt;=0,"",IF(O15&lt;=2,"Muy Baja",IF(O15&lt;=24,"Baja",IF(O15&lt;=500,"Media",IF(O15&lt;=5000,"Alta","Muy Alta")))))</f>
        <v>Media</v>
      </c>
      <c r="Q15" s="348">
        <f>IF(P15="","",IF(P15="Muy Baja",0.2,IF(P15="Baja",0.4,IF(P15="Media",0.6,IF(P15="Alta",0.8,IF(P15="Muy Alta",1,))))))</f>
        <v>0.6</v>
      </c>
      <c r="R15" s="346" t="s">
        <v>128</v>
      </c>
      <c r="S15" s="315" t="str">
        <f>IFERROR(VLOOKUP(R15,Criterios[],2,FALSE),"")</f>
        <v>Menor</v>
      </c>
      <c r="T15" s="348">
        <f t="shared" ref="T15" si="0">IF(S15="","",IF(S15="Leve",0.2,IF(S15="Menor",0.4,IF(S15="Moderado",0.6,IF(S15="Mayor",0.8,IF(S15="Catastrófico",1,))))))</f>
        <v>0.4</v>
      </c>
      <c r="U15" s="315"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190">
        <v>1</v>
      </c>
      <c r="W15" s="191" t="s">
        <v>419</v>
      </c>
      <c r="X15" s="192" t="s">
        <v>420</v>
      </c>
      <c r="Y15" s="193" t="str">
        <f>IF(OR(Z15="Preventivo",Z15="Detectivo"),"Probabilidad",IF(Z15="Correctivo","Impacto",""))</f>
        <v>Probabilidad</v>
      </c>
      <c r="Z15" s="194" t="s">
        <v>102</v>
      </c>
      <c r="AA15" s="194" t="s">
        <v>166</v>
      </c>
      <c r="AB15" s="195" t="str">
        <f t="shared" ref="AB15:AB18" si="1">IF(AND(Z15="Preventivo",AA15="Automático"),"50%",IF(AND(Z15="Preventivo",AA15="Manual"),"40%",IF(AND(Z15="Detectivo",AA15="Automático"),"40%",IF(AND(Z15="Detectivo",AA15="Manual"),"30%",IF(AND(Z15="Correctivo",AA15="Automático"),"35%",IF(AND(Z15="Correctivo",AA15="Manual"),"25%",""))))))</f>
        <v>30%</v>
      </c>
      <c r="AC15" s="194" t="s">
        <v>167</v>
      </c>
      <c r="AD15" s="194" t="s">
        <v>155</v>
      </c>
      <c r="AE15" s="194" t="s">
        <v>413</v>
      </c>
      <c r="AF15" s="216" t="s">
        <v>427</v>
      </c>
      <c r="AG15" s="196">
        <f>IFERROR(IF(Y15="Probabilidad",(Q15-(+ Q15*AB15)),IF(Y15="Impacto",Q15,"")),"")</f>
        <v>0.42</v>
      </c>
      <c r="AH15" s="197" t="str">
        <f>IFERROR(IF(AG15="","",IF(AG15&lt;=0.2,"Muy Baja",IF(AG15&lt;=0.4,"Baja",IF(AG15&lt;=0.6,"Media",IF(AG15&lt;=0.8,"Alta","Muy Alta"))))),"")</f>
        <v>Media</v>
      </c>
      <c r="AI15" s="195">
        <f>+AG15</f>
        <v>0.42</v>
      </c>
      <c r="AJ15" s="197" t="str">
        <f>IFERROR(IF(AK15="","",IF(AK15&lt;=0.2,"Leve",IF(AK15&lt;=0.4,"Menor",IF(AK15&lt;=0.6,"Moderado",IF(AK15&lt;=0.8,"Mayor","Catastrófico"))))),"")</f>
        <v>Menor</v>
      </c>
      <c r="AK15" s="195">
        <f>IFERROR(IF(Y15="Impacto",(T15-(+T15*AB15)),IF(Y15="Probabilidad",T15,"")),"")</f>
        <v>0.4</v>
      </c>
      <c r="AL15" s="197"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326" t="s">
        <v>103</v>
      </c>
      <c r="AN15" s="190">
        <v>1</v>
      </c>
      <c r="AO15" s="226" t="s">
        <v>430</v>
      </c>
      <c r="AP15" s="228" t="s">
        <v>429</v>
      </c>
      <c r="AQ15" s="227" t="s">
        <v>431</v>
      </c>
      <c r="AR15" s="227" t="s">
        <v>432</v>
      </c>
      <c r="AS15" s="662" t="s">
        <v>445</v>
      </c>
      <c r="AT15" s="662"/>
      <c r="AU15" s="230"/>
      <c r="AV15" s="230"/>
      <c r="AW15" s="230"/>
      <c r="AX15" s="230"/>
      <c r="AY15" s="230"/>
      <c r="AZ15" s="378"/>
      <c r="BA15" s="220"/>
      <c r="BB15" s="221"/>
      <c r="BC15" s="380"/>
      <c r="BD15" s="219"/>
      <c r="BE15" s="212"/>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row>
    <row r="16" spans="1:82" s="189" customFormat="1" ht="95" customHeight="1">
      <c r="D16" s="310"/>
      <c r="E16" s="313"/>
      <c r="F16" s="313"/>
      <c r="G16" s="375"/>
      <c r="H16" s="313"/>
      <c r="I16" s="368"/>
      <c r="J16" s="370"/>
      <c r="K16" s="368"/>
      <c r="L16" s="304"/>
      <c r="M16" s="307"/>
      <c r="N16" s="307"/>
      <c r="O16" s="304"/>
      <c r="P16" s="372"/>
      <c r="Q16" s="373"/>
      <c r="R16" s="377"/>
      <c r="S16" s="316"/>
      <c r="T16" s="373"/>
      <c r="U16" s="316"/>
      <c r="V16" s="199">
        <v>2</v>
      </c>
      <c r="W16" s="191" t="s">
        <v>422</v>
      </c>
      <c r="X16" s="224" t="s">
        <v>421</v>
      </c>
      <c r="Y16" s="193" t="str">
        <f t="shared" ref="Y16" si="2">IF(OR(Z16="Preventivo",Z16="Detectivo"),"Probabilidad",IF(Z16="Correctivo","Impacto",""))</f>
        <v>Probabilidad</v>
      </c>
      <c r="Z16" s="194" t="s">
        <v>152</v>
      </c>
      <c r="AA16" s="194" t="s">
        <v>166</v>
      </c>
      <c r="AB16" s="195" t="str">
        <f t="shared" ref="AB16" si="3">IF(AND(Z16="Preventivo",AA16="Automático"),"50%",IF(AND(Z16="Preventivo",AA16="Manual"),"40%",IF(AND(Z16="Detectivo",AA16="Automático"),"40%",IF(AND(Z16="Detectivo",AA16="Manual"),"30%",IF(AND(Z16="Correctivo",AA16="Automático"),"35%",IF(AND(Z16="Correctivo",AA16="Manual"),"25%",""))))))</f>
        <v>40%</v>
      </c>
      <c r="AC16" s="194" t="s">
        <v>167</v>
      </c>
      <c r="AD16" s="194" t="s">
        <v>155</v>
      </c>
      <c r="AE16" s="194" t="s">
        <v>413</v>
      </c>
      <c r="AF16" s="216" t="s">
        <v>427</v>
      </c>
      <c r="AG16" s="196">
        <f>IFERROR(IF(Y16="Probabilidad",(Q14-(+ Q16*AB16)),IF(Y16="Impacto",Q16,"")),"")</f>
        <v>0</v>
      </c>
      <c r="AH16" s="197" t="str">
        <f t="shared" ref="AH16" si="4">IFERROR(IF(AG16="","",IF(AG16&lt;=0.2,"Muy Baja",IF(AG16&lt;=0.4,"Baja",IF(AG16&lt;=0.6,"Media",IF(AG16&lt;=0.8,"Alta","Muy Alta"))))),"")</f>
        <v>Muy Baja</v>
      </c>
      <c r="AI16" s="195">
        <f t="shared" ref="AI16" si="5">+AG16</f>
        <v>0</v>
      </c>
      <c r="AJ16" s="197" t="str">
        <f t="shared" ref="AJ16" si="6">IFERROR(IF(AK16="","",IF(AK16&lt;=0.2,"Leve",IF(AK16&lt;=0.4,"Menor",IF(AK16&lt;=0.6,"Moderado",IF(AK16&lt;=0.8,"Mayor","Catastrófico"))))),"")</f>
        <v>Leve</v>
      </c>
      <c r="AK16" s="195">
        <f>IFERROR(IF(Y16="Impacto",(T16-(+T16*AB16)),IF(Y16="Probabilidad",T14,"")),"")</f>
        <v>0</v>
      </c>
      <c r="AL16" s="197" t="str">
        <f t="shared" ref="AL16" si="7">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Bajo</v>
      </c>
      <c r="AM16" s="327"/>
      <c r="AN16" s="199">
        <v>2</v>
      </c>
      <c r="AO16" s="226" t="s">
        <v>433</v>
      </c>
      <c r="AP16" s="228" t="s">
        <v>429</v>
      </c>
      <c r="AQ16" s="229" t="s">
        <v>434</v>
      </c>
      <c r="AR16" s="227" t="s">
        <v>432</v>
      </c>
      <c r="AS16" s="662"/>
      <c r="AT16" s="662"/>
      <c r="AU16" s="230"/>
      <c r="AV16" s="230"/>
      <c r="AW16" s="230"/>
      <c r="AX16" s="230"/>
      <c r="AY16" s="230"/>
      <c r="AZ16" s="379"/>
      <c r="BA16" s="220"/>
      <c r="BB16" s="222"/>
      <c r="BC16" s="381"/>
      <c r="BD16" s="219"/>
      <c r="BE16" s="213"/>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row>
    <row r="17" spans="4:82" s="189" customFormat="1" ht="108" customHeight="1">
      <c r="D17" s="311"/>
      <c r="E17" s="314"/>
      <c r="F17" s="314"/>
      <c r="G17" s="376"/>
      <c r="H17" s="314"/>
      <c r="I17" s="361"/>
      <c r="J17" s="371"/>
      <c r="K17" s="361"/>
      <c r="L17" s="305"/>
      <c r="M17" s="308"/>
      <c r="N17" s="308"/>
      <c r="O17" s="305"/>
      <c r="P17" s="363"/>
      <c r="Q17" s="349"/>
      <c r="R17" s="347"/>
      <c r="S17" s="317"/>
      <c r="T17" s="349"/>
      <c r="U17" s="317"/>
      <c r="V17" s="199">
        <v>3</v>
      </c>
      <c r="W17" s="191" t="s">
        <v>425</v>
      </c>
      <c r="X17" s="224" t="s">
        <v>426</v>
      </c>
      <c r="Y17" s="193" t="str">
        <f t="shared" ref="Y17:Y18" si="8">IF(OR(Z17="Preventivo",Z17="Detectivo"),"Probabilidad",IF(Z17="Correctivo","Impacto",""))</f>
        <v>Probabilidad</v>
      </c>
      <c r="Z17" s="194" t="s">
        <v>152</v>
      </c>
      <c r="AA17" s="194" t="s">
        <v>166</v>
      </c>
      <c r="AB17" s="195" t="str">
        <f t="shared" si="1"/>
        <v>40%</v>
      </c>
      <c r="AC17" s="194" t="s">
        <v>154</v>
      </c>
      <c r="AD17" s="194" t="s">
        <v>155</v>
      </c>
      <c r="AE17" s="194" t="s">
        <v>413</v>
      </c>
      <c r="AF17" s="225" t="s">
        <v>428</v>
      </c>
      <c r="AG17" s="196">
        <f>IFERROR(IF(Y17="Probabilidad",(Q15-(+ Q17*AB17)),IF(Y17="Impacto",Q17,"")),"")</f>
        <v>0.6</v>
      </c>
      <c r="AH17" s="197" t="str">
        <f t="shared" ref="AH17:AH18" si="9">IFERROR(IF(AG17="","",IF(AG17&lt;=0.2,"Muy Baja",IF(AG17&lt;=0.4,"Baja",IF(AG17&lt;=0.6,"Media",IF(AG17&lt;=0.8,"Alta","Muy Alta"))))),"")</f>
        <v>Media</v>
      </c>
      <c r="AI17" s="195">
        <f t="shared" ref="AI17:AI18" si="10">+AG17</f>
        <v>0.6</v>
      </c>
      <c r="AJ17" s="197" t="str">
        <f t="shared" ref="AJ17:AJ18" si="11">IFERROR(IF(AK17="","",IF(AK17&lt;=0.2,"Leve",IF(AK17&lt;=0.4,"Menor",IF(AK17&lt;=0.6,"Moderado",IF(AK17&lt;=0.8,"Mayor","Catastrófico"))))),"")</f>
        <v>Menor</v>
      </c>
      <c r="AK17" s="195">
        <f>IFERROR(IF(Y17="Impacto",(T17-(+T17*AB17)),IF(Y17="Probabilidad",T15,"")),"")</f>
        <v>0.4</v>
      </c>
      <c r="AL17" s="197" t="str">
        <f t="shared" ref="AL17:AL18" si="12">IFERROR(IF(OR(AND(AH17="Muy Baja",AJ17="Leve"),AND(AH17="Muy Baja",AJ17="Menor"),AND(AH17="Baja",AJ17="Leve")),"Bajo",IF(OR(AND(AH17="Muy baja",AJ17="Moderado"),AND(AH17="Baja",AJ17="Menor"),AND(AH17="Baja",AJ17="Moderado"),AND(AH17="Media",AJ17="Leve"),AND(AH17="Media",AJ17="Menor"),AND(AH17="Media",AJ17="Moderado"),AND(AH17="Alta",AJ17="Leve"),AND(AH17="Alta",AJ17="Menor")),"Moderado",IF(OR(AND(AH17="Muy Baja",AJ17="Mayor"),AND(AH17="Baja",AJ17="Mayor"),AND(AH17="Media",AJ17="Mayor"),AND(AH17="Alta",AJ17="Moderado"),AND(AH17="Alta",AJ17="Mayor"),AND(AH17="Muy Alta",AJ17="Leve"),AND(AH17="Muy Alta",AJ17="Menor"),AND(AH17="Muy Alta",AJ17="Moderado"),AND(AH17="Muy Alta",AJ17="Mayor")),"Alto",IF(OR(AND(AH17="Muy Baja",AJ17="Catastrófico"),AND(AH17="Baja",AJ17="Catastrófico"),AND(AH17="Media",AJ17="Catastrófico"),AND(AH17="Alta",AJ17="Catastrófico"),AND(AH17="Muy Alta",AJ17="Catastrófico")),"Extremo","")))),"")</f>
        <v>Moderado</v>
      </c>
      <c r="AM17" s="328"/>
      <c r="AN17" s="658"/>
      <c r="AO17" s="659"/>
      <c r="AP17" s="660"/>
      <c r="AQ17" s="661"/>
      <c r="AR17" s="661"/>
      <c r="AS17" s="662"/>
      <c r="AT17" s="662"/>
      <c r="AU17" s="230"/>
      <c r="AV17" s="230"/>
      <c r="AW17" s="230"/>
      <c r="AX17" s="230"/>
      <c r="AY17" s="230"/>
      <c r="AZ17" s="379"/>
      <c r="BA17" s="220"/>
      <c r="BB17" s="222"/>
      <c r="BC17" s="381"/>
      <c r="BD17" s="219"/>
      <c r="BE17" s="213"/>
      <c r="BF17" s="198"/>
      <c r="BG17" s="198"/>
      <c r="BH17" s="198"/>
      <c r="BI17" s="198"/>
      <c r="BJ17" s="198"/>
      <c r="BK17" s="198"/>
      <c r="BL17" s="198"/>
      <c r="BM17" s="198"/>
      <c r="BN17" s="198"/>
      <c r="BO17" s="198"/>
      <c r="BP17" s="198"/>
      <c r="BQ17" s="198"/>
      <c r="BR17" s="198"/>
      <c r="BS17" s="198"/>
      <c r="BT17" s="198"/>
      <c r="BU17" s="198"/>
      <c r="BV17" s="198"/>
      <c r="BW17" s="198"/>
      <c r="BX17" s="198"/>
      <c r="BY17" s="198"/>
      <c r="BZ17" s="198"/>
      <c r="CA17" s="198"/>
      <c r="CB17" s="198"/>
      <c r="CC17" s="198"/>
      <c r="CD17" s="198"/>
    </row>
    <row r="18" spans="4:82" s="189" customFormat="1" ht="86" customHeight="1">
      <c r="D18" s="238">
        <v>2</v>
      </c>
      <c r="E18" s="237" t="s">
        <v>63</v>
      </c>
      <c r="F18" s="237" t="s">
        <v>160</v>
      </c>
      <c r="G18" s="240"/>
      <c r="H18" s="237" t="s">
        <v>193</v>
      </c>
      <c r="I18" s="231" t="s">
        <v>437</v>
      </c>
      <c r="J18" s="231" t="s">
        <v>438</v>
      </c>
      <c r="K18" s="231" t="s">
        <v>446</v>
      </c>
      <c r="L18" s="236" t="s">
        <v>177</v>
      </c>
      <c r="M18" s="655" t="s">
        <v>178</v>
      </c>
      <c r="N18" s="655" t="s">
        <v>165</v>
      </c>
      <c r="O18" s="236">
        <v>20</v>
      </c>
      <c r="P18" s="239" t="str">
        <f>IF(O18&lt;=0,"",IF(O18&lt;=2,"Muy Baja",IF(O18&lt;=24,"Baja",IF(O18&lt;=500,"Media",IF(O18&lt;=5000,"Alta","Muy Alta")))))</f>
        <v>Baja</v>
      </c>
      <c r="Q18" s="234">
        <f t="shared" ref="Q18" si="13">IF(P18="","",IF(P18="Muy Baja",0.2,IF(P18="Baja",0.4,IF(P18="Media",0.6,IF(P18="Alta",0.8,IF(P18="Muy Alta",1,))))))</f>
        <v>0.4</v>
      </c>
      <c r="R18" s="235" t="s">
        <v>117</v>
      </c>
      <c r="S18" s="232" t="str">
        <f>IFERROR(VLOOKUP(R18,Criterios[],2,FALSE),"")</f>
        <v>Leve</v>
      </c>
      <c r="T18" s="234">
        <f t="shared" ref="T18" si="14">IF(S18="","",IF(S18="Leve",0.2,IF(S18="Menor",0.4,IF(S18="Moderado",0.6,IF(S18="Mayor",0.8,IF(S18="Catastrófico",1,))))))</f>
        <v>0.2</v>
      </c>
      <c r="U18" s="232" t="str">
        <f>IF(OR(AND(P18="Muy Baja",S18="Leve"),AND(P18="Muy Baja",S18="Menor"),AND(P18="Baja",S18="Leve")),"Bajo",IF(OR(AND(P18="Muy baja",S18="Moderado"),AND(P18="Baja",S18="Menor"),AND(P18="Baja",S18="Moderado"),AND(P18="Media",S18="Leve"),AND(P18="Media",S18="Menor"),AND(P18="Media",S18="Moderado"),AND(P18="Alta",S18="Leve"),AND(P18="Alta",S18="Menor")),"Moderado",IF(OR(AND(P18="Muy Baja",S18="Mayor"),AND(P18="Baja",S18="Mayor"),AND(P18="Media",S18="Mayor"),AND(P18="Alta",S18="Moderado"),AND(P18="Alta",S18="Mayor"),AND(P18="Muy Alta",S18="Leve"),AND(P18="Muy Alta",S18="Menor"),AND(P18="Muy Alta",S18="Moderado"),AND(P18="Muy Alta",S18="Mayor")),"Alto",IF(OR(AND(P18="Muy Baja",S18="Catastrófico"),AND(P18="Baja",S18="Catastrófico"),AND(P18="Media",S18="Catastrófico"),AND(P18="Alta",S18="Catastrófico"),AND(P18="Muy Alta",S18="Catastrófico")),"Extremo",""))))</f>
        <v>Bajo</v>
      </c>
      <c r="V18" s="190">
        <v>1</v>
      </c>
      <c r="W18" s="653" t="s">
        <v>439</v>
      </c>
      <c r="X18" s="654" t="s">
        <v>440</v>
      </c>
      <c r="Y18" s="193" t="str">
        <f t="shared" si="8"/>
        <v>Probabilidad</v>
      </c>
      <c r="Z18" s="194" t="s">
        <v>152</v>
      </c>
      <c r="AA18" s="194" t="s">
        <v>166</v>
      </c>
      <c r="AB18" s="195" t="str">
        <f t="shared" si="1"/>
        <v>40%</v>
      </c>
      <c r="AC18" s="194" t="s">
        <v>154</v>
      </c>
      <c r="AD18" s="194" t="s">
        <v>155</v>
      </c>
      <c r="AE18" s="194" t="s">
        <v>413</v>
      </c>
      <c r="AF18" s="216" t="s">
        <v>441</v>
      </c>
      <c r="AG18" s="196">
        <f>IFERROR(IF(Y18="Probabilidad",(Q18-(+ Q18*AB18)),IF(Y18="Impacto",Q18,"")),"")</f>
        <v>0.24</v>
      </c>
      <c r="AH18" s="197" t="str">
        <f t="shared" si="9"/>
        <v>Baja</v>
      </c>
      <c r="AI18" s="195">
        <f t="shared" si="10"/>
        <v>0.24</v>
      </c>
      <c r="AJ18" s="197" t="str">
        <f t="shared" si="11"/>
        <v>Leve</v>
      </c>
      <c r="AK18" s="195">
        <f>IFERROR(IF(Y18="Impacto",(T103-(+T18*AB18)),IF(Y18="Probabilidad",T18,"")),"")</f>
        <v>0.2</v>
      </c>
      <c r="AL18" s="197" t="str">
        <f t="shared" si="12"/>
        <v>Bajo</v>
      </c>
      <c r="AM18" s="233" t="s">
        <v>103</v>
      </c>
      <c r="AN18" s="190">
        <v>1</v>
      </c>
      <c r="AO18" s="652" t="s">
        <v>442</v>
      </c>
      <c r="AP18" s="657" t="s">
        <v>443</v>
      </c>
      <c r="AQ18" s="656" t="s">
        <v>444</v>
      </c>
      <c r="AR18" s="656" t="s">
        <v>432</v>
      </c>
      <c r="AS18" s="230" t="s">
        <v>445</v>
      </c>
      <c r="AT18" s="230"/>
      <c r="AU18" s="230"/>
      <c r="AV18" s="230"/>
      <c r="AW18" s="230"/>
      <c r="AX18" s="230"/>
      <c r="AY18" s="230"/>
      <c r="AZ18" s="379"/>
      <c r="BA18" s="220"/>
      <c r="BB18" s="222"/>
      <c r="BC18" s="381"/>
      <c r="BD18" s="219"/>
      <c r="BE18" s="198"/>
      <c r="BF18" s="213"/>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row>
    <row r="19" spans="4:82" ht="49.5" customHeight="1">
      <c r="D19" s="183"/>
      <c r="E19" s="184"/>
      <c r="F19" s="184"/>
      <c r="G19" s="184"/>
      <c r="H19" s="184"/>
      <c r="I19" s="325" t="s">
        <v>105</v>
      </c>
      <c r="J19" s="325"/>
      <c r="K19" s="325"/>
      <c r="L19" s="325"/>
      <c r="M19" s="325"/>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row>
    <row r="21" spans="4:82" ht="16">
      <c r="D21" s="104"/>
      <c r="E21" s="105"/>
      <c r="F21" s="105"/>
      <c r="G21" s="105"/>
      <c r="H21" s="105"/>
      <c r="I21" s="105"/>
      <c r="J21" s="105"/>
      <c r="K21" s="105"/>
      <c r="L21" s="169"/>
      <c r="M21" s="169"/>
      <c r="N21" s="169"/>
      <c r="P21" s="106"/>
      <c r="Q21" s="105"/>
      <c r="R21" s="105"/>
      <c r="S21" s="105"/>
      <c r="T21" s="105"/>
      <c r="U21" s="105"/>
      <c r="V21" s="105"/>
      <c r="W21" s="105"/>
      <c r="X21" s="105"/>
      <c r="Y21" s="107"/>
      <c r="Z21" s="107"/>
      <c r="AA21" s="105"/>
      <c r="AB21" s="105"/>
      <c r="AC21" s="105"/>
      <c r="AD21" s="105"/>
      <c r="AE21" s="105"/>
      <c r="AF21" s="105"/>
      <c r="AG21" s="105"/>
      <c r="AH21" s="105"/>
      <c r="AI21" s="105"/>
      <c r="AJ21" s="105"/>
      <c r="AK21" s="105"/>
      <c r="AL21" s="105"/>
      <c r="AM21" s="108"/>
      <c r="AN21" s="108"/>
      <c r="AO21" s="108"/>
      <c r="AP21" s="105"/>
      <c r="AQ21" s="105"/>
      <c r="AR21" s="105"/>
      <c r="AS21" s="105"/>
      <c r="AT21" s="105"/>
      <c r="AU21" s="105"/>
      <c r="AV21" s="105"/>
      <c r="AW21" s="105"/>
      <c r="AX21" s="105"/>
      <c r="AY21" s="105"/>
      <c r="AZ21" s="105"/>
      <c r="BA21" s="105"/>
    </row>
    <row r="22" spans="4:82" ht="18">
      <c r="D22" s="367" t="s">
        <v>450</v>
      </c>
      <c r="E22" s="367"/>
      <c r="F22" s="367"/>
      <c r="G22" s="367"/>
      <c r="H22" s="367"/>
      <c r="I22" s="367"/>
      <c r="J22" s="367"/>
      <c r="K22" s="367"/>
      <c r="L22" s="169"/>
      <c r="M22" s="169"/>
      <c r="N22" s="169"/>
      <c r="O22" s="364"/>
      <c r="P22" s="365"/>
      <c r="Q22" s="365"/>
      <c r="R22" s="366"/>
      <c r="S22" s="105"/>
      <c r="T22" s="105"/>
      <c r="U22" s="105"/>
      <c r="V22" s="105"/>
      <c r="W22" s="105"/>
      <c r="X22" s="108"/>
      <c r="Y22" s="107"/>
      <c r="Z22" s="107"/>
      <c r="AA22" s="105"/>
      <c r="AB22" s="107"/>
      <c r="AC22" s="107"/>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H22" s="169" t="s">
        <v>106</v>
      </c>
    </row>
    <row r="23" spans="4:82" ht="15" thickBot="1">
      <c r="D23" s="169"/>
      <c r="E23" s="169"/>
      <c r="F23" s="169"/>
      <c r="G23" s="169"/>
      <c r="H23" s="169"/>
      <c r="I23" s="169"/>
      <c r="J23" s="169"/>
      <c r="L23" s="169"/>
      <c r="M23" s="169"/>
      <c r="N23" s="169"/>
      <c r="P23" s="171" t="str">
        <f>+IFERROR(VLOOKUP(L23,$L$178:$P$182,3,FALSE)*VLOOKUP(O23,$O$178:$P$182,3,FALSE),"")</f>
        <v/>
      </c>
      <c r="Y23" s="171"/>
      <c r="Z23" s="185"/>
      <c r="AB23" s="185"/>
      <c r="AC23" s="185"/>
      <c r="AD23" s="186"/>
      <c r="AE23" s="186"/>
      <c r="AF23" s="186"/>
      <c r="AG23" s="186"/>
      <c r="AH23" s="186"/>
      <c r="AI23" s="109"/>
      <c r="AJ23" s="109"/>
      <c r="AK23" s="186"/>
      <c r="AL23" s="187"/>
      <c r="AQ23" s="186"/>
      <c r="AY23" s="186"/>
      <c r="AZ23" s="186"/>
      <c r="BH23" s="169" t="s">
        <v>107</v>
      </c>
    </row>
    <row r="24" spans="4:82" ht="17.75" customHeight="1" thickTop="1" thickBot="1">
      <c r="D24" s="323" t="s">
        <v>108</v>
      </c>
      <c r="E24" s="323"/>
      <c r="F24" s="323"/>
      <c r="G24" s="323"/>
      <c r="H24" s="323"/>
      <c r="I24" s="323"/>
      <c r="J24" s="323"/>
      <c r="K24" s="207" t="s">
        <v>109</v>
      </c>
      <c r="L24" s="323" t="s">
        <v>110</v>
      </c>
      <c r="M24" s="323"/>
      <c r="N24" s="323"/>
      <c r="O24" s="323"/>
      <c r="P24" s="323"/>
      <c r="Q24" s="323"/>
      <c r="R24" s="323"/>
      <c r="S24" s="324" t="s">
        <v>111</v>
      </c>
      <c r="T24" s="324"/>
      <c r="U24" s="324"/>
      <c r="V24" s="323" t="s">
        <v>112</v>
      </c>
      <c r="W24" s="323"/>
      <c r="X24" s="323"/>
      <c r="Y24" s="323"/>
      <c r="Z24" s="324">
        <v>1</v>
      </c>
      <c r="AA24" s="324"/>
      <c r="AB24" s="324"/>
      <c r="AC24" s="324"/>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0"/>
      <c r="BH24" s="169" t="s">
        <v>113</v>
      </c>
    </row>
    <row r="25" spans="4:82" ht="13.5" customHeight="1" thickTop="1">
      <c r="D25" s="287" t="s">
        <v>114</v>
      </c>
      <c r="E25" s="288"/>
      <c r="F25" s="288"/>
      <c r="G25" s="288"/>
      <c r="H25" s="288"/>
      <c r="I25" s="288"/>
      <c r="J25" s="288"/>
      <c r="K25" s="288"/>
      <c r="L25" s="288"/>
      <c r="M25" s="288"/>
      <c r="N25" s="288"/>
      <c r="O25" s="288"/>
      <c r="P25" s="288"/>
      <c r="Q25" s="288"/>
      <c r="R25" s="288"/>
      <c r="S25" s="288"/>
      <c r="T25" s="288"/>
      <c r="U25" s="288"/>
      <c r="V25" s="288"/>
      <c r="W25" s="288"/>
      <c r="X25" s="288"/>
      <c r="Y25" s="288"/>
      <c r="Z25" s="288"/>
      <c r="AA25" s="288"/>
      <c r="AB25" s="288"/>
      <c r="AC25" s="288"/>
      <c r="BH25" s="169" t="s">
        <v>115</v>
      </c>
    </row>
  </sheetData>
  <sheetProtection formatCells="0" formatColumns="0" formatRows="0" selectLockedCells="1"/>
  <protectedRanges>
    <protectedRange sqref="P1:P1048576" name="Rango1"/>
  </protectedRanges>
  <dataConsolidate/>
  <mergeCells count="97">
    <mergeCell ref="AS15:AS17"/>
    <mergeCell ref="AT15:AT17"/>
    <mergeCell ref="AZ15:AZ18"/>
    <mergeCell ref="BC15:BC18"/>
    <mergeCell ref="R15:R17"/>
    <mergeCell ref="Q15:Q17"/>
    <mergeCell ref="S15:S17"/>
    <mergeCell ref="T15:T17"/>
    <mergeCell ref="AO13:AO14"/>
    <mergeCell ref="AG12:AM12"/>
    <mergeCell ref="Z13:AE13"/>
    <mergeCell ref="AO12:AR12"/>
    <mergeCell ref="AN13:AN14"/>
    <mergeCell ref="G15:G17"/>
    <mergeCell ref="H15:H17"/>
    <mergeCell ref="D24:J24"/>
    <mergeCell ref="O22:R22"/>
    <mergeCell ref="L24:R24"/>
    <mergeCell ref="S24:U24"/>
    <mergeCell ref="D22:K22"/>
    <mergeCell ref="I15:I17"/>
    <mergeCell ref="J15:J17"/>
    <mergeCell ref="K15:K17"/>
    <mergeCell ref="F15:F17"/>
    <mergeCell ref="N15:N17"/>
    <mergeCell ref="O15:O17"/>
    <mergeCell ref="P15:P17"/>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D8:G8"/>
    <mergeCell ref="D9:G9"/>
    <mergeCell ref="H9:BD9"/>
    <mergeCell ref="H8:BD8"/>
    <mergeCell ref="D13:D14"/>
    <mergeCell ref="AZ11:BB12"/>
    <mergeCell ref="BC11:BD12"/>
    <mergeCell ref="U13:U14"/>
    <mergeCell ref="AX13:AX14"/>
    <mergeCell ref="AR13:AR14"/>
    <mergeCell ref="AQ13:AQ14"/>
    <mergeCell ref="AP13:AP14"/>
    <mergeCell ref="AJ13:AJ14"/>
    <mergeCell ref="D11:AR11"/>
    <mergeCell ref="AS13:AS14"/>
    <mergeCell ref="BA13:BA14"/>
    <mergeCell ref="AW13:AW14"/>
    <mergeCell ref="AY13:AY14"/>
    <mergeCell ref="BC13:BC14"/>
    <mergeCell ref="E13:E14"/>
    <mergeCell ref="Y13:Y14"/>
    <mergeCell ref="H13:H14"/>
    <mergeCell ref="BB13:BB14"/>
    <mergeCell ref="BD13:BD14"/>
    <mergeCell ref="AZ13:AZ14"/>
    <mergeCell ref="AU13:AU14"/>
    <mergeCell ref="AV13:AV14"/>
    <mergeCell ref="AT13:AT14"/>
    <mergeCell ref="W13:W14"/>
    <mergeCell ref="AS11:AY12"/>
    <mergeCell ref="V24:Y24"/>
    <mergeCell ref="Z24:AC24"/>
    <mergeCell ref="I19:AY19"/>
    <mergeCell ref="AM15:AM17"/>
    <mergeCell ref="V13:V14"/>
    <mergeCell ref="D25:AC25"/>
    <mergeCell ref="M13:N13"/>
    <mergeCell ref="AF12:AF14"/>
    <mergeCell ref="A11:C11"/>
    <mergeCell ref="F13:F14"/>
    <mergeCell ref="G13:G14"/>
    <mergeCell ref="AH13:AH14"/>
    <mergeCell ref="AI13:AI14"/>
    <mergeCell ref="O13:O14"/>
    <mergeCell ref="P13:P14"/>
    <mergeCell ref="Q13:Q14"/>
    <mergeCell ref="S13:S14"/>
    <mergeCell ref="T13:T14"/>
    <mergeCell ref="L15:L17"/>
    <mergeCell ref="M15:M17"/>
    <mergeCell ref="D15:D17"/>
    <mergeCell ref="E15:E17"/>
    <mergeCell ref="U15:U17"/>
  </mergeCells>
  <conditionalFormatting sqref="P15 AH15:AH18 P18">
    <cfRule type="cellIs" dxfId="18" priority="51" operator="equal">
      <formula>"Muy Alta"</formula>
    </cfRule>
    <cfRule type="cellIs" dxfId="17" priority="52" operator="equal">
      <formula>"Alta"</formula>
    </cfRule>
    <cfRule type="cellIs" dxfId="16" priority="53" operator="equal">
      <formula>"Media"</formula>
    </cfRule>
    <cfRule type="cellIs" dxfId="15" priority="54" operator="equal">
      <formula>"Baja"</formula>
    </cfRule>
    <cfRule type="cellIs" dxfId="14" priority="55" operator="equal">
      <formula>"Muy Baja"</formula>
    </cfRule>
  </conditionalFormatting>
  <conditionalFormatting sqref="S15 AJ15:AJ18 S18">
    <cfRule type="cellIs" dxfId="13" priority="46" operator="equal">
      <formula>"Catastrófico"</formula>
    </cfRule>
    <cfRule type="cellIs" dxfId="12" priority="47" operator="equal">
      <formula>"Mayor"</formula>
    </cfRule>
    <cfRule type="cellIs" dxfId="11" priority="48" operator="equal">
      <formula>"Moderado"</formula>
    </cfRule>
    <cfRule type="cellIs" dxfId="10" priority="49" operator="equal">
      <formula>"Menor"</formula>
    </cfRule>
    <cfRule type="cellIs" dxfId="9" priority="50" operator="equal">
      <formula>"Leve"</formula>
    </cfRule>
  </conditionalFormatting>
  <conditionalFormatting sqref="U15 AL15:AL18 U18">
    <cfRule type="cellIs" dxfId="8" priority="42" operator="equal">
      <formula>"Extremo"</formula>
    </cfRule>
    <cfRule type="cellIs" dxfId="7" priority="43" operator="equal">
      <formula>"Alto"</formula>
    </cfRule>
    <cfRule type="cellIs" dxfId="6" priority="44" operator="equal">
      <formula>"Moderado"</formula>
    </cfRule>
    <cfRule type="cellIs" dxfId="5" priority="45" operator="equal">
      <formula>"Bajo"</formula>
    </cfRule>
  </conditionalFormatting>
  <conditionalFormatting sqref="AI21:AI23">
    <cfRule type="cellIs" dxfId="4" priority="16" operator="equal">
      <formula>#REF!</formula>
    </cfRule>
    <cfRule type="cellIs" dxfId="3" priority="17" operator="equal">
      <formula>#REF!</formula>
    </cfRule>
  </conditionalFormatting>
  <conditionalFormatting sqref="AI21:AJ23">
    <cfRule type="cellIs" dxfId="2" priority="15" stopIfTrue="1" operator="equal">
      <formula>#REF!</formula>
    </cfRule>
  </conditionalFormatting>
  <conditionalFormatting sqref="AJ21:AJ23">
    <cfRule type="cellIs" dxfId="1" priority="19" stopIfTrue="1" operator="equal">
      <formula>#REF!</formula>
    </cfRule>
    <cfRule type="cellIs" dxfId="0" priority="20" stopIfTrue="1" operator="equal">
      <formula>#REF!</formula>
    </cfRule>
  </conditionalFormatting>
  <dataValidations count="9">
    <dataValidation type="list" allowBlank="1" showInputMessage="1" showErrorMessage="1" sqref="K21" xr:uid="{A3C0C644-1834-9749-B15A-8AF9B2EF6033}">
      <formula1>$K$178:$K$187</formula1>
    </dataValidation>
    <dataValidation type="list" allowBlank="1" showInputMessage="1" showErrorMessage="1" sqref="K23 AI23:AJ23" xr:uid="{76729DB2-7F03-C244-919A-405C0502B893}">
      <formula1>#REF!</formula1>
    </dataValidation>
    <dataValidation type="list" allowBlank="1" showInputMessage="1" showErrorMessage="1" sqref="Y23" xr:uid="{2F6950AF-3D15-B04A-AC7A-5A4477E80F29}">
      <formula1>$R$178:$R$179</formula1>
    </dataValidation>
    <dataValidation type="list" allowBlank="1" showInputMessage="1" showErrorMessage="1" sqref="O23" xr:uid="{74F16196-F24B-0C4B-B9D3-579AAA1C1324}">
      <formula1>$O$178:$O$182</formula1>
    </dataValidation>
    <dataValidation type="list" allowBlank="1" showInputMessage="1" showErrorMessage="1" sqref="L23:N23" xr:uid="{8CCAA2D5-8BDA-7A4E-BE1B-50DE701F2FAB}">
      <formula1>$L$178:$L$182</formula1>
    </dataValidation>
    <dataValidation type="list" allowBlank="1" showInputMessage="1" showErrorMessage="1" sqref="AB23:AH23 AY23:AZ23 AQ23 Z23" xr:uid="{DAEA5B98-DC79-A946-8D46-B1D0C023E205}">
      <formula1>$AQ$178:$AQ$185</formula1>
    </dataValidation>
    <dataValidation type="list" allowBlank="1" showInputMessage="1" showErrorMessage="1" error="Recuerde que las acciones se generan bajo la medida de mitigar el riesgo" sqref="AY15:AY18" xr:uid="{4B20CA37-D2F8-5A4E-A76F-91E46DE8E5A6}">
      <formula1>$BH$22:$BH$25</formula1>
    </dataValidation>
    <dataValidation type="custom" allowBlank="1" showInputMessage="1" showErrorMessage="1" error="Recuerde que las acciones se generan bajo la medida de mitigar el riesgo" sqref="AP15:AP16" xr:uid="{AF81667A-938C-7249-9757-3C3E9E397C27}"/>
    <dataValidation type="list" allowBlank="1" showInputMessage="1" showErrorMessage="1" sqref="R15:R18" xr:uid="{9D69DF80-B3B0-8645-98B0-E7A309860CFA}">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2">
        <x14:dataValidation type="list" allowBlank="1" showInputMessage="1" showErrorMessage="1" xr:uid="{3CC95E86-224D-9C44-8E09-FE9F80D2BAB8}">
          <x14:formula1>
            <xm:f>'Opciones Tratamiento'!$B$13:$B$19</xm:f>
          </x14:formula1>
          <xm:sqref>L18 L15</xm:sqref>
        </x14:dataValidation>
        <x14:dataValidation type="list" allowBlank="1" showInputMessage="1" showErrorMessage="1" xr:uid="{95811C82-9F79-7445-AE44-A243F1F1BA3B}">
          <x14:formula1>
            <xm:f>'Opciones Tratamiento'!$B$2:$B$5</xm:f>
          </x14:formula1>
          <xm:sqref>AM18 AM15</xm:sqref>
        </x14:dataValidation>
        <x14:dataValidation type="list" allowBlank="1" showInputMessage="1" showErrorMessage="1" xr:uid="{750F32DE-3F06-BF40-B524-4BAFA2960F7B}">
          <x14:formula1>
            <xm:f>Listas!$B$2:$B$7</xm:f>
          </x14:formula1>
          <xm:sqref>H18 H15</xm:sqref>
        </x14:dataValidation>
        <x14:dataValidation type="list" allowBlank="1" showInputMessage="1" showErrorMessage="1" xr:uid="{100B916B-BC53-F041-B656-87CA053AAA50}">
          <x14:formula1>
            <xm:f>Listas!$C$2:$C$6</xm:f>
          </x14:formula1>
          <xm:sqref>M18 M15</xm:sqref>
        </x14:dataValidation>
        <x14:dataValidation type="list" allowBlank="1" showInputMessage="1" showErrorMessage="1" xr:uid="{7BAB6C83-8C50-B74F-AB8E-A4C9057EFD8E}">
          <x14:formula1>
            <xm:f>Listas!$D$2:$D$5</xm:f>
          </x14:formula1>
          <xm:sqref>N18 N15</xm:sqref>
        </x14:dataValidation>
        <x14:dataValidation type="list" allowBlank="1" showInputMessage="1" showErrorMessage="1" xr:uid="{34296083-1742-A64E-9F8C-B8918A64C9A1}">
          <x14:formula1>
            <xm:f>Formulas!$B$3:$B$18</xm:f>
          </x14:formula1>
          <xm:sqref>E18</xm:sqref>
        </x14:dataValidation>
        <x14:dataValidation type="list" allowBlank="1" showInputMessage="1" showErrorMessage="1" xr:uid="{7225B104-874F-314E-AB76-6C021432F0B4}">
          <x14:formula1>
            <xm:f>Formulas!$E$3:$E$23</xm:f>
          </x14:formula1>
          <xm:sqref>G18</xm:sqref>
        </x14:dataValidation>
        <x14:dataValidation type="custom" allowBlank="1" showInputMessage="1" showErrorMessage="1" error="Recuerde que las acciones se generan bajo la medida de mitigar el riesgo" xr:uid="{384383CB-891E-AC43-BB06-2DC4C53B6E90}">
          <x14:formula1>
            <xm:f>IF(OR(AP17='Opciones Tratamiento'!$B$2,AP17='Opciones Tratamiento'!$B$3,AP17='Opciones Tratamiento'!$B$4),ISBLANK(AP17),ISTEXT(AP17))</xm:f>
          </x14:formula1>
          <xm:sqref>AU16:AU17</xm:sqref>
        </x14:dataValidation>
        <x14:dataValidation type="list" allowBlank="1" showInputMessage="1" showErrorMessage="1" xr:uid="{5694DCAB-38C5-224F-B9E3-0B91CE338215}">
          <x14:formula1>
            <xm:f>'Tabla Valoración controles'!$D$4:$D$6</xm:f>
          </x14:formula1>
          <xm:sqref>Z15:Z18</xm:sqref>
        </x14:dataValidation>
        <x14:dataValidation type="list" allowBlank="1" showInputMessage="1" showErrorMessage="1" xr:uid="{22155004-EE3A-3646-BCEE-EBDCBD6803E3}">
          <x14:formula1>
            <xm:f>'Tabla Valoración controles'!$D$7:$D$8</xm:f>
          </x14:formula1>
          <xm:sqref>AA15:AA18</xm:sqref>
        </x14:dataValidation>
        <x14:dataValidation type="list" allowBlank="1" showInputMessage="1" showErrorMessage="1" xr:uid="{34D7EA6F-26EB-304A-8C0C-5F6F36D70A96}">
          <x14:formula1>
            <xm:f>'Tabla Valoración controles'!$D$9:$D$10</xm:f>
          </x14:formula1>
          <xm:sqref>AC15:AC18</xm:sqref>
        </x14:dataValidation>
        <x14:dataValidation type="list" allowBlank="1" showInputMessage="1" showErrorMessage="1" xr:uid="{A2919863-5D56-6345-9C22-8614761F4973}">
          <x14:formula1>
            <xm:f>'Tabla Valoración controles'!$D$11:$D$12</xm:f>
          </x14:formula1>
          <xm:sqref>AD15:AD18</xm:sqref>
        </x14:dataValidation>
        <x14:dataValidation type="list" allowBlank="1" showInputMessage="1" showErrorMessage="1" xr:uid="{DD56AC73-9C10-934F-A750-82EDD22D39C9}">
          <x14:formula1>
            <xm:f>'Tabla Valoración controles'!$D$13:$D$14</xm:f>
          </x14:formula1>
          <xm:sqref>AE15:AE18</xm:sqref>
        </x14:dataValidation>
        <x14:dataValidation type="custom" allowBlank="1" showInputMessage="1" showErrorMessage="1" error="Recuerde que las acciones se generan bajo la medida de mitigar el riesgo" xr:uid="{028FF1D1-94A5-644A-9FB5-F49161085BCE}">
          <x14:formula1>
            <xm:f>IF(OR(#REF!='Opciones Tratamiento'!$B$2,#REF!='Opciones Tratamiento'!$B$3,#REF!='Opciones Tratamiento'!$B$4),ISBLANK(#REF!),ISTEXT(#REF!))</xm:f>
          </x14:formula1>
          <xm:sqref>BC15 BD15:BD18</xm:sqref>
        </x14:dataValidation>
        <x14:dataValidation type="list" allowBlank="1" showInputMessage="1" showErrorMessage="1" xr:uid="{0F169743-9B22-E842-A13F-B2F0BA2811D3}">
          <x14:formula1>
            <xm:f>Formulas!$B$3:$B$6</xm:f>
          </x14:formula1>
          <xm:sqref>E15:E17</xm:sqref>
        </x14:dataValidation>
        <x14:dataValidation type="list" allowBlank="1" showInputMessage="1" showErrorMessage="1" xr:uid="{5B81C3F3-BD87-EF46-A789-A261B2F46E2D}">
          <x14:formula1>
            <xm:f>Formulas!$D$3:$D$6</xm:f>
          </x14:formula1>
          <xm:sqref>F15:F18</xm:sqref>
        </x14:dataValidation>
        <x14:dataValidation type="list" allowBlank="1" showInputMessage="1" showErrorMessage="1" xr:uid="{CA365790-56E3-DD47-9B93-553CCEC4C369}">
          <x14:formula1>
            <xm:f>Formulas!$E$3:$E$5</xm:f>
          </x14:formula1>
          <xm:sqref>G15:G17</xm:sqref>
        </x14:dataValidation>
        <x14:dataValidation type="list" allowBlank="1" showInputMessage="1" showErrorMessage="1" error="Recuerde que las acciones se generan bajo la medida de mitigar el riesgo" xr:uid="{3AB952EB-21F1-3344-BB85-8AF08126A71C}">
          <x14:formula1>
            <xm:f>Formulas!$H$3:$H$4</xm:f>
          </x14:formula1>
          <xm:sqref>AT15 AT18</xm:sqref>
        </x14:dataValidation>
        <x14:dataValidation type="custom" allowBlank="1" showInputMessage="1" showErrorMessage="1" error="Recuerde que las acciones se generan bajo la medida de mitigar el riesgo" xr:uid="{1277B623-04EC-C94F-B462-D46775E4B593}">
          <x14:formula1>
            <xm:f>IF(OR(AM17='Opciones Tratamiento'!$B$2,AM17='Opciones Tratamiento'!$B$3,AM17='Opciones Tratamiento'!$B$4),ISBLANK(AM17),ISTEXT(AM17))</xm:f>
          </x14:formula1>
          <xm:sqref>AR15:AS15 AU15:AX15 AR16</xm:sqref>
        </x14:dataValidation>
        <x14:dataValidation type="custom" allowBlank="1" showInputMessage="1" showErrorMessage="1" error="Recuerde que las acciones se generan bajo la medida de mitigar el riesgo" xr:uid="{302B0CEB-9550-F340-8011-51669BB9F71D}">
          <x14:formula1>
            <xm:f>IF(OR(AM17='Opciones Tratamiento'!$B$2,AM17='Opciones Tratamiento'!$B$3,AM17='Opciones Tratamiento'!$B$4),ISBLANK(AM17),ISTEXT(AM17))</xm:f>
          </x14:formula1>
          <xm:sqref>AQ15</xm:sqref>
        </x14:dataValidation>
        <x14:dataValidation type="custom" allowBlank="1" showInputMessage="1" showErrorMessage="1" error="Recuerde que las acciones se generan bajo la medida de mitigar el riesgo" xr:uid="{2CF90C8D-7A3A-2D45-A2B4-6DD9CF0BE1F3}">
          <x14:formula1>
            <xm:f>IF(OR(#REF!='Opciones Tratamiento'!$B$2,#REF!='Opciones Tratamiento'!$B$3,#REF!='Opciones Tratamiento'!$B$4),ISBLANK(#REF!),ISTEXT(#REF!))</xm:f>
          </x14:formula1>
          <xm:sqref>AU18</xm:sqref>
        </x14:dataValidation>
        <x14:dataValidation type="custom" allowBlank="1" showInputMessage="1" showErrorMessage="1" error="Recuerde que las acciones se generan bajo la medida de mitigar el riesgo" xr:uid="{F94B2009-0270-A447-B444-CE17D5015B83}">
          <x14:formula1>
            <xm:f>IF(OR(AQ18='Opciones Tratamiento'!$B$2,AQ18='Opciones Tratamiento'!$B$3,AQ18='Opciones Tratamiento'!$B$4),ISBLANK(AQ18),ISTEXT(AQ18))</xm:f>
          </x14:formula1>
          <xm:sqref>AV18:AX18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5" defaultRowHeight="15"/>
  <cols>
    <col min="1" max="1" width="129.6640625" bestFit="1" customWidth="1"/>
  </cols>
  <sheetData>
    <row r="1" spans="1:2">
      <c r="A1" t="s">
        <v>116</v>
      </c>
      <c r="B1" t="s">
        <v>98</v>
      </c>
    </row>
    <row r="2" spans="1:2">
      <c r="A2" t="s">
        <v>117</v>
      </c>
      <c r="B2" t="s">
        <v>118</v>
      </c>
    </row>
    <row r="3" spans="1:2">
      <c r="A3" t="s">
        <v>119</v>
      </c>
      <c r="B3" t="s">
        <v>120</v>
      </c>
    </row>
    <row r="4" spans="1:2">
      <c r="A4" t="s">
        <v>121</v>
      </c>
      <c r="B4" t="s">
        <v>122</v>
      </c>
    </row>
    <row r="5" spans="1:2">
      <c r="A5" t="s">
        <v>123</v>
      </c>
      <c r="B5" t="s">
        <v>124</v>
      </c>
    </row>
    <row r="6" spans="1:2">
      <c r="A6" t="s">
        <v>125</v>
      </c>
      <c r="B6" t="s">
        <v>126</v>
      </c>
    </row>
    <row r="7" spans="1:2">
      <c r="A7" t="s">
        <v>127</v>
      </c>
      <c r="B7" t="s">
        <v>118</v>
      </c>
    </row>
    <row r="8" spans="1:2">
      <c r="A8" t="s">
        <v>128</v>
      </c>
      <c r="B8" t="s">
        <v>120</v>
      </c>
    </row>
    <row r="9" spans="1:2">
      <c r="A9" t="s">
        <v>129</v>
      </c>
      <c r="B9" t="s">
        <v>122</v>
      </c>
    </row>
    <row r="10" spans="1:2">
      <c r="A10" t="s">
        <v>130</v>
      </c>
      <c r="B10" t="s">
        <v>124</v>
      </c>
    </row>
    <row r="11" spans="1:2">
      <c r="A11" t="s">
        <v>131</v>
      </c>
      <c r="B11" t="s">
        <v>126</v>
      </c>
    </row>
    <row r="12" spans="1:2">
      <c r="A12" t="s">
        <v>132</v>
      </c>
      <c r="B12" t="s">
        <v>122</v>
      </c>
    </row>
    <row r="13" spans="1:2">
      <c r="A13" t="s">
        <v>133</v>
      </c>
      <c r="B13" t="s">
        <v>124</v>
      </c>
    </row>
    <row r="14" spans="1:2">
      <c r="A14" t="s">
        <v>134</v>
      </c>
      <c r="B14" t="s">
        <v>126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5" defaultRowHeight="15"/>
  <cols>
    <col min="1" max="1" width="4" customWidth="1"/>
    <col min="2" max="3" width="31.33203125" customWidth="1"/>
    <col min="4" max="4" width="30.5" customWidth="1"/>
    <col min="5" max="5" width="24.5" customWidth="1"/>
    <col min="6" max="6" width="22.6640625" customWidth="1"/>
    <col min="7" max="7" width="37" customWidth="1"/>
    <col min="8" max="8" width="21.33203125" customWidth="1"/>
    <col min="9" max="9" width="13.6640625" customWidth="1"/>
    <col min="10" max="10" width="17.33203125" customWidth="1"/>
    <col min="13" max="13" width="15.6640625" customWidth="1"/>
    <col min="14" max="14" width="14.6640625" customWidth="1"/>
    <col min="17" max="17" width="24.6640625" customWidth="1"/>
    <col min="18" max="18" width="29.5" customWidth="1"/>
  </cols>
  <sheetData>
    <row r="1" spans="2:18">
      <c r="B1" s="382" t="s">
        <v>48</v>
      </c>
      <c r="C1" s="382"/>
      <c r="D1" s="382"/>
      <c r="E1" s="382"/>
      <c r="F1" s="382"/>
      <c r="G1" s="382"/>
      <c r="H1" s="382"/>
      <c r="I1" s="382"/>
      <c r="J1" s="382"/>
      <c r="L1" s="382" t="s">
        <v>50</v>
      </c>
      <c r="M1" s="382"/>
      <c r="N1" s="382"/>
      <c r="O1" s="382"/>
      <c r="P1" s="382"/>
      <c r="Q1" s="382"/>
      <c r="R1" s="382"/>
    </row>
    <row r="2" spans="2:18" ht="50.25" customHeight="1">
      <c r="B2" s="167" t="s">
        <v>135</v>
      </c>
      <c r="C2" s="167" t="s">
        <v>136</v>
      </c>
      <c r="D2" s="166" t="s">
        <v>56</v>
      </c>
      <c r="E2" s="166" t="s">
        <v>137</v>
      </c>
      <c r="F2" s="166" t="s">
        <v>138</v>
      </c>
      <c r="G2" s="167" t="s">
        <v>139</v>
      </c>
      <c r="H2" s="167" t="s">
        <v>140</v>
      </c>
      <c r="I2" s="167" t="s">
        <v>141</v>
      </c>
      <c r="J2" s="166" t="s">
        <v>142</v>
      </c>
      <c r="L2" s="165" t="s">
        <v>96</v>
      </c>
      <c r="M2" s="165" t="s">
        <v>97</v>
      </c>
      <c r="N2" s="165" t="s">
        <v>51</v>
      </c>
      <c r="O2" s="165" t="s">
        <v>99</v>
      </c>
      <c r="P2" s="165" t="s">
        <v>100</v>
      </c>
      <c r="Q2" s="165" t="s">
        <v>79</v>
      </c>
      <c r="R2" s="168" t="s">
        <v>143</v>
      </c>
    </row>
    <row r="3" spans="2:18" ht="28">
      <c r="B3" s="18" t="s">
        <v>144</v>
      </c>
      <c r="C3" s="18" t="s">
        <v>145</v>
      </c>
      <c r="D3" s="111" t="s">
        <v>146</v>
      </c>
      <c r="E3" s="111" t="s">
        <v>147</v>
      </c>
      <c r="F3" t="s">
        <v>148</v>
      </c>
      <c r="G3" s="111" t="s">
        <v>149</v>
      </c>
      <c r="H3" t="s">
        <v>14</v>
      </c>
      <c r="I3" t="s">
        <v>150</v>
      </c>
      <c r="J3" t="s">
        <v>151</v>
      </c>
      <c r="L3" s="2" t="s">
        <v>152</v>
      </c>
      <c r="M3" s="2" t="s">
        <v>153</v>
      </c>
      <c r="N3" s="2" t="s">
        <v>154</v>
      </c>
      <c r="O3" s="2" t="s">
        <v>155</v>
      </c>
      <c r="P3" s="2" t="s">
        <v>156</v>
      </c>
      <c r="Q3" s="2" t="s">
        <v>157</v>
      </c>
      <c r="R3" t="s">
        <v>158</v>
      </c>
    </row>
    <row r="4" spans="2:18" ht="31.5" customHeight="1">
      <c r="B4" s="18" t="s">
        <v>101</v>
      </c>
      <c r="C4" s="18" t="s">
        <v>159</v>
      </c>
      <c r="D4" s="111" t="s">
        <v>160</v>
      </c>
      <c r="E4" s="111" t="s">
        <v>161</v>
      </c>
      <c r="F4" t="s">
        <v>162</v>
      </c>
      <c r="G4" s="111" t="s">
        <v>163</v>
      </c>
      <c r="H4" t="s">
        <v>15</v>
      </c>
      <c r="I4" t="s">
        <v>164</v>
      </c>
      <c r="J4" t="s">
        <v>165</v>
      </c>
      <c r="L4" s="2" t="s">
        <v>102</v>
      </c>
      <c r="M4" s="2" t="s">
        <v>166</v>
      </c>
      <c r="N4" s="2" t="s">
        <v>167</v>
      </c>
      <c r="O4" s="2" t="s">
        <v>168</v>
      </c>
      <c r="P4" s="2" t="s">
        <v>169</v>
      </c>
      <c r="Q4" s="2" t="s">
        <v>170</v>
      </c>
      <c r="R4" t="s">
        <v>171</v>
      </c>
    </row>
    <row r="5" spans="2:18" ht="26.25" customHeight="1">
      <c r="B5" s="18" t="s">
        <v>172</v>
      </c>
      <c r="C5" s="18" t="s">
        <v>173</v>
      </c>
      <c r="D5" s="111" t="s">
        <v>174</v>
      </c>
      <c r="E5" s="111" t="s">
        <v>175</v>
      </c>
      <c r="F5" t="s">
        <v>176</v>
      </c>
      <c r="G5" s="111" t="s">
        <v>177</v>
      </c>
      <c r="I5" t="s">
        <v>178</v>
      </c>
      <c r="J5" t="s">
        <v>179</v>
      </c>
      <c r="L5" s="2" t="s">
        <v>180</v>
      </c>
      <c r="P5" s="2" t="s">
        <v>181</v>
      </c>
      <c r="Q5" s="2" t="s">
        <v>182</v>
      </c>
    </row>
    <row r="6" spans="2:18" ht="24.75" customHeight="1">
      <c r="B6" s="18" t="s">
        <v>63</v>
      </c>
      <c r="C6" s="18" t="s">
        <v>183</v>
      </c>
      <c r="D6" s="111"/>
      <c r="F6" t="s">
        <v>184</v>
      </c>
      <c r="G6" s="111" t="s">
        <v>185</v>
      </c>
      <c r="I6" t="s">
        <v>186</v>
      </c>
      <c r="J6" t="s">
        <v>187</v>
      </c>
      <c r="Q6" s="2" t="s">
        <v>103</v>
      </c>
    </row>
    <row r="7" spans="2:18" ht="26.25" customHeight="1">
      <c r="B7" s="18"/>
      <c r="C7" s="18" t="s">
        <v>188</v>
      </c>
      <c r="D7" s="111"/>
      <c r="F7" t="s">
        <v>189</v>
      </c>
      <c r="G7" s="111" t="s">
        <v>190</v>
      </c>
      <c r="I7" t="s">
        <v>191</v>
      </c>
      <c r="Q7" s="2" t="s">
        <v>192</v>
      </c>
    </row>
    <row r="8" spans="2:18" ht="32">
      <c r="B8" s="18"/>
      <c r="C8" s="18"/>
      <c r="D8" s="111"/>
      <c r="F8" t="s">
        <v>193</v>
      </c>
      <c r="G8" s="111" t="s">
        <v>194</v>
      </c>
      <c r="I8" s="111" t="s">
        <v>195</v>
      </c>
    </row>
    <row r="9" spans="2:18" ht="31.5" customHeight="1">
      <c r="B9" s="18"/>
      <c r="C9" s="18"/>
      <c r="D9" s="111"/>
      <c r="G9" s="111" t="s">
        <v>196</v>
      </c>
      <c r="I9" t="s">
        <v>197</v>
      </c>
    </row>
    <row r="10" spans="2:18">
      <c r="B10" s="18"/>
      <c r="C10" s="18"/>
      <c r="D10" s="111"/>
      <c r="I10" t="s">
        <v>198</v>
      </c>
    </row>
    <row r="11" spans="2:18">
      <c r="B11" s="18"/>
      <c r="C11" s="18"/>
      <c r="D11" s="111"/>
    </row>
    <row r="12" spans="2:18">
      <c r="B12" s="18"/>
      <c r="C12" s="18"/>
      <c r="I12" t="s">
        <v>198</v>
      </c>
    </row>
    <row r="13" spans="2:18">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baseColWidth="10" defaultColWidth="11.5" defaultRowHeight="15"/>
  <sheetData>
    <row r="2" spans="2:2">
      <c r="B2" t="s">
        <v>199</v>
      </c>
    </row>
    <row r="30" spans="2:2">
      <c r="B30" t="s">
        <v>200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5" defaultRowHeight="15"/>
  <cols>
    <col min="3" max="3" width="119" customWidth="1"/>
    <col min="4" max="4" width="33.33203125" customWidth="1"/>
  </cols>
  <sheetData>
    <row r="1" spans="3:4" ht="16" thickBot="1"/>
    <row r="2" spans="3:4">
      <c r="C2" s="383" t="s">
        <v>201</v>
      </c>
      <c r="D2" s="384"/>
    </row>
    <row r="3" spans="3:4">
      <c r="C3" s="385"/>
      <c r="D3" s="386"/>
    </row>
    <row r="4" spans="3:4" ht="16" thickBot="1">
      <c r="C4" s="150" t="s">
        <v>202</v>
      </c>
      <c r="D4" s="151" t="s">
        <v>203</v>
      </c>
    </row>
    <row r="5" spans="3:4" ht="30" customHeight="1">
      <c r="C5" s="152" t="s">
        <v>204</v>
      </c>
      <c r="D5" s="153">
        <v>1</v>
      </c>
    </row>
    <row r="6" spans="3:4" ht="28.5" customHeight="1">
      <c r="C6" s="154" t="s">
        <v>205</v>
      </c>
      <c r="D6" s="155">
        <v>1</v>
      </c>
    </row>
    <row r="7" spans="3:4" ht="28.5" customHeight="1">
      <c r="C7" s="156" t="s">
        <v>206</v>
      </c>
      <c r="D7" s="155">
        <v>1</v>
      </c>
    </row>
    <row r="8" spans="3:4" ht="28.5" customHeight="1">
      <c r="C8" s="156" t="s">
        <v>207</v>
      </c>
      <c r="D8" s="155">
        <v>1</v>
      </c>
    </row>
    <row r="9" spans="3:4" ht="18.5" customHeight="1">
      <c r="C9" s="156" t="s">
        <v>208</v>
      </c>
      <c r="D9" s="155">
        <v>1</v>
      </c>
    </row>
    <row r="10" spans="3:4" ht="28.5" customHeight="1">
      <c r="C10" s="156" t="s">
        <v>209</v>
      </c>
      <c r="D10" s="155">
        <v>1</v>
      </c>
    </row>
    <row r="11" spans="3:4" ht="21" customHeight="1">
      <c r="C11" s="154" t="s">
        <v>210</v>
      </c>
      <c r="D11" s="155">
        <v>1</v>
      </c>
    </row>
    <row r="12" spans="3:4" ht="21" customHeight="1">
      <c r="C12" s="154" t="s">
        <v>211</v>
      </c>
      <c r="D12" s="155">
        <v>1</v>
      </c>
    </row>
    <row r="13" spans="3:4" ht="21.5" customHeight="1">
      <c r="C13" s="154" t="s">
        <v>212</v>
      </c>
      <c r="D13" s="155">
        <v>1</v>
      </c>
    </row>
    <row r="14" spans="3:4" ht="28.5" customHeight="1">
      <c r="C14" s="154" t="s">
        <v>213</v>
      </c>
      <c r="D14" s="155">
        <v>1</v>
      </c>
    </row>
    <row r="15" spans="3:4" ht="22.5" customHeight="1">
      <c r="C15" s="157"/>
      <c r="D15" s="155">
        <v>1</v>
      </c>
    </row>
    <row r="16" spans="3:4" ht="28.5" customHeight="1">
      <c r="C16" s="158" t="s">
        <v>214</v>
      </c>
      <c r="D16" s="159"/>
    </row>
    <row r="17" spans="3:4" ht="28.5" customHeight="1">
      <c r="C17" s="152" t="s">
        <v>215</v>
      </c>
      <c r="D17" s="155">
        <v>1</v>
      </c>
    </row>
    <row r="18" spans="3:4" ht="28.5" customHeight="1">
      <c r="C18" s="152" t="s">
        <v>216</v>
      </c>
      <c r="D18" s="155">
        <v>1</v>
      </c>
    </row>
    <row r="19" spans="3:4" ht="28.5" customHeight="1">
      <c r="C19" s="152" t="s">
        <v>217</v>
      </c>
      <c r="D19" s="155">
        <v>1</v>
      </c>
    </row>
    <row r="20" spans="3:4" ht="28.5" customHeight="1">
      <c r="C20" s="154" t="s">
        <v>218</v>
      </c>
      <c r="D20" s="155">
        <v>1</v>
      </c>
    </row>
    <row r="21" spans="3:4" ht="28.5" customHeight="1">
      <c r="C21" s="152" t="s">
        <v>219</v>
      </c>
      <c r="D21" s="155">
        <v>1</v>
      </c>
    </row>
    <row r="22" spans="3:4" ht="28.5" customHeight="1">
      <c r="C22" s="160" t="s">
        <v>220</v>
      </c>
      <c r="D22" s="155">
        <v>1</v>
      </c>
    </row>
    <row r="23" spans="3:4" ht="28.5" customHeight="1">
      <c r="C23" s="152" t="s">
        <v>221</v>
      </c>
      <c r="D23" s="155">
        <v>1</v>
      </c>
    </row>
    <row r="24" spans="3:4" ht="28.5" customHeight="1">
      <c r="C24" s="152" t="s">
        <v>222</v>
      </c>
      <c r="D24" s="155">
        <v>1</v>
      </c>
    </row>
    <row r="25" spans="3:4" ht="28.5" customHeight="1">
      <c r="C25" s="157"/>
      <c r="D25" s="155">
        <v>1</v>
      </c>
    </row>
    <row r="26" spans="3:4" ht="28.5" customHeight="1">
      <c r="C26" s="157"/>
      <c r="D26" s="155">
        <v>1</v>
      </c>
    </row>
    <row r="27" spans="3:4" ht="28.5" customHeight="1">
      <c r="C27" s="158" t="s">
        <v>223</v>
      </c>
      <c r="D27" s="161"/>
    </row>
    <row r="28" spans="3:4" ht="28.5" customHeight="1">
      <c r="C28" s="156" t="s">
        <v>224</v>
      </c>
      <c r="D28" s="155">
        <v>1</v>
      </c>
    </row>
    <row r="29" spans="3:4" ht="28.5" customHeight="1">
      <c r="C29" s="156" t="s">
        <v>225</v>
      </c>
      <c r="D29" s="155">
        <v>1</v>
      </c>
    </row>
    <row r="30" spans="3:4" ht="28.5" customHeight="1">
      <c r="C30" s="156" t="s">
        <v>226</v>
      </c>
      <c r="D30" s="155">
        <v>1</v>
      </c>
    </row>
    <row r="31" spans="3:4" ht="28.5" customHeight="1">
      <c r="C31" s="156" t="s">
        <v>227</v>
      </c>
      <c r="D31" s="155">
        <v>1</v>
      </c>
    </row>
    <row r="32" spans="3:4" ht="28.5" customHeight="1">
      <c r="C32" s="156" t="s">
        <v>228</v>
      </c>
      <c r="D32" s="155">
        <v>1</v>
      </c>
    </row>
    <row r="33" spans="3:4" ht="28.5" customHeight="1">
      <c r="C33" s="162" t="s">
        <v>229</v>
      </c>
      <c r="D33" s="155">
        <v>1</v>
      </c>
    </row>
    <row r="34" spans="3:4" ht="28.5" customHeight="1">
      <c r="C34" s="154" t="s">
        <v>230</v>
      </c>
      <c r="D34" s="155">
        <v>1</v>
      </c>
    </row>
    <row r="35" spans="3:4" ht="28.5" customHeight="1">
      <c r="C35" s="156" t="s">
        <v>231</v>
      </c>
      <c r="D35" s="155">
        <v>1</v>
      </c>
    </row>
    <row r="36" spans="3:4" ht="28.5" customHeight="1">
      <c r="C36" s="156" t="s">
        <v>232</v>
      </c>
      <c r="D36" s="155">
        <v>1</v>
      </c>
    </row>
    <row r="37" spans="3:4" ht="28.5" customHeight="1">
      <c r="C37" s="156" t="s">
        <v>233</v>
      </c>
      <c r="D37" s="155">
        <v>1</v>
      </c>
    </row>
    <row r="38" spans="3:4" ht="28.5" customHeight="1">
      <c r="C38" s="154" t="s">
        <v>234</v>
      </c>
      <c r="D38" s="155">
        <v>1</v>
      </c>
    </row>
    <row r="39" spans="3:4" ht="28.5" customHeight="1">
      <c r="C39" s="162" t="s">
        <v>235</v>
      </c>
      <c r="D39" s="155">
        <v>1</v>
      </c>
    </row>
    <row r="40" spans="3:4" ht="28.5" customHeight="1">
      <c r="C40" s="162" t="s">
        <v>236</v>
      </c>
      <c r="D40" s="155">
        <v>1</v>
      </c>
    </row>
    <row r="41" spans="3:4" ht="28.5" customHeight="1">
      <c r="C41" s="162" t="s">
        <v>237</v>
      </c>
      <c r="D41" s="155">
        <v>1</v>
      </c>
    </row>
    <row r="42" spans="3:4" ht="28.5" customHeight="1">
      <c r="C42" s="162" t="s">
        <v>238</v>
      </c>
      <c r="D42" s="155">
        <v>1</v>
      </c>
    </row>
    <row r="43" spans="3:4" ht="28.5" customHeight="1">
      <c r="C43" s="163"/>
      <c r="D43" s="155"/>
    </row>
    <row r="44" spans="3:4" ht="28.5" customHeight="1">
      <c r="C44" s="163"/>
      <c r="D44" s="155"/>
    </row>
    <row r="45" spans="3:4" ht="28.5" customHeight="1">
      <c r="C45" s="158" t="s">
        <v>239</v>
      </c>
      <c r="D45" s="161"/>
    </row>
    <row r="46" spans="3:4" ht="28.5" customHeight="1">
      <c r="C46" s="162" t="s">
        <v>240</v>
      </c>
      <c r="D46" s="155">
        <v>1</v>
      </c>
    </row>
    <row r="47" spans="3:4" ht="28.5" customHeight="1">
      <c r="C47" s="162" t="s">
        <v>241</v>
      </c>
      <c r="D47" s="155">
        <v>1</v>
      </c>
    </row>
    <row r="48" spans="3:4" ht="28.5" customHeight="1">
      <c r="C48" s="162" t="s">
        <v>242</v>
      </c>
      <c r="D48" s="155">
        <v>1</v>
      </c>
    </row>
    <row r="49" spans="3:4" ht="28.5" customHeight="1">
      <c r="C49" s="162" t="s">
        <v>243</v>
      </c>
      <c r="D49" s="155">
        <v>1</v>
      </c>
    </row>
    <row r="50" spans="3:4" ht="28.5" customHeight="1">
      <c r="C50" s="164" t="s">
        <v>244</v>
      </c>
      <c r="D50" s="155">
        <v>1</v>
      </c>
    </row>
    <row r="51" spans="3:4" ht="28.5" customHeight="1">
      <c r="C51" s="164" t="s">
        <v>245</v>
      </c>
      <c r="D51" s="155">
        <v>1</v>
      </c>
    </row>
    <row r="52" spans="3:4" ht="28.5" customHeight="1">
      <c r="C52" s="164" t="s">
        <v>246</v>
      </c>
      <c r="D52" s="155">
        <v>1</v>
      </c>
    </row>
    <row r="53" spans="3:4" ht="28.5" customHeight="1">
      <c r="C53" s="152" t="s">
        <v>247</v>
      </c>
      <c r="D53" s="155">
        <v>1</v>
      </c>
    </row>
    <row r="54" spans="3:4" ht="28.5" customHeight="1">
      <c r="C54" s="152" t="s">
        <v>248</v>
      </c>
      <c r="D54" s="155">
        <v>1</v>
      </c>
    </row>
    <row r="55" spans="3:4" ht="28.5" customHeight="1"/>
    <row r="56" spans="3:4" ht="11" customHeight="1"/>
    <row r="57" spans="3:4" ht="11" customHeight="1"/>
    <row r="58" spans="3:4" ht="11" customHeight="1"/>
    <row r="59" spans="3:4" ht="11" customHeight="1"/>
    <row r="60" spans="3:4" ht="11" customHeight="1"/>
    <row r="61" spans="3:4" ht="11" customHeight="1"/>
    <row r="62" spans="3:4" ht="11" customHeight="1"/>
    <row r="63" spans="3:4" ht="11" customHeight="1"/>
    <row r="64" spans="3:4" ht="11" customHeight="1"/>
    <row r="65" ht="11" customHeight="1"/>
    <row r="66" ht="11" customHeight="1"/>
    <row r="67" ht="11" customHeight="1"/>
    <row r="68" ht="11" customHeight="1"/>
    <row r="69" ht="11" customHeight="1"/>
    <row r="70" ht="11" customHeight="1"/>
    <row r="71" ht="11" customHeight="1"/>
    <row r="72" ht="11" customHeight="1"/>
    <row r="73" ht="11" customHeight="1"/>
    <row r="74" ht="11" customHeight="1"/>
    <row r="75" ht="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X51" sqref="X51:AC56"/>
    </sheetView>
  </sheetViews>
  <sheetFormatPr baseColWidth="10" defaultColWidth="11.5" defaultRowHeight="15"/>
  <cols>
    <col min="1" max="1" width="5.33203125" customWidth="1"/>
    <col min="2" max="2" width="8.6640625" customWidth="1"/>
    <col min="3" max="3" width="9" customWidth="1"/>
    <col min="4" max="41" width="5.6640625" customWidth="1"/>
    <col min="43" max="48" width="5.6640625" customWidth="1"/>
  </cols>
  <sheetData>
    <row r="1" spans="1:101" ht="16" thickBot="1"/>
    <row r="2" spans="1:101" ht="15" customHeight="1">
      <c r="D2" s="447" t="s">
        <v>249</v>
      </c>
      <c r="E2" s="448"/>
      <c r="F2" s="448"/>
      <c r="G2" s="448"/>
      <c r="H2" s="448"/>
      <c r="I2" s="448"/>
      <c r="J2" s="448"/>
      <c r="K2" s="449"/>
      <c r="L2" s="438" t="s">
        <v>38</v>
      </c>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40"/>
      <c r="AP2" s="284" t="s">
        <v>250</v>
      </c>
      <c r="AQ2" s="435"/>
      <c r="AR2" s="435"/>
      <c r="AS2" s="435"/>
      <c r="AT2" s="435"/>
      <c r="AU2" s="435"/>
      <c r="AV2" s="258"/>
    </row>
    <row r="3" spans="1:101">
      <c r="D3" s="450"/>
      <c r="E3" s="451"/>
      <c r="F3" s="451"/>
      <c r="G3" s="451"/>
      <c r="H3" s="451"/>
      <c r="I3" s="451"/>
      <c r="J3" s="451"/>
      <c r="K3" s="452"/>
      <c r="L3" s="441"/>
      <c r="M3" s="442"/>
      <c r="N3" s="442"/>
      <c r="O3" s="442"/>
      <c r="P3" s="442"/>
      <c r="Q3" s="442"/>
      <c r="R3" s="442"/>
      <c r="S3" s="442"/>
      <c r="T3" s="442"/>
      <c r="U3" s="442"/>
      <c r="V3" s="442"/>
      <c r="W3" s="442"/>
      <c r="X3" s="442"/>
      <c r="Y3" s="442"/>
      <c r="Z3" s="442"/>
      <c r="AA3" s="442"/>
      <c r="AB3" s="442"/>
      <c r="AC3" s="442"/>
      <c r="AD3" s="442"/>
      <c r="AE3" s="442"/>
      <c r="AF3" s="442"/>
      <c r="AG3" s="442"/>
      <c r="AH3" s="442"/>
      <c r="AI3" s="442"/>
      <c r="AJ3" s="442"/>
      <c r="AK3" s="442"/>
      <c r="AL3" s="442"/>
      <c r="AM3" s="442"/>
      <c r="AN3" s="442"/>
      <c r="AO3" s="443"/>
      <c r="AP3" s="285" t="s">
        <v>3</v>
      </c>
      <c r="AQ3" s="436"/>
      <c r="AR3" s="436"/>
      <c r="AS3" s="436"/>
      <c r="AT3" s="436"/>
      <c r="AU3" s="436"/>
      <c r="AV3" s="260"/>
    </row>
    <row r="4" spans="1:101">
      <c r="D4" s="450"/>
      <c r="E4" s="451"/>
      <c r="F4" s="451"/>
      <c r="G4" s="451"/>
      <c r="H4" s="451"/>
      <c r="I4" s="451"/>
      <c r="J4" s="451"/>
      <c r="K4" s="452"/>
      <c r="L4" s="441"/>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3"/>
      <c r="AP4" s="285" t="s">
        <v>4</v>
      </c>
      <c r="AQ4" s="436" t="s">
        <v>251</v>
      </c>
      <c r="AR4" s="436"/>
      <c r="AS4" s="436"/>
      <c r="AT4" s="436"/>
      <c r="AU4" s="436"/>
      <c r="AV4" s="260"/>
    </row>
    <row r="5" spans="1:101" ht="16" thickBot="1">
      <c r="D5" s="453"/>
      <c r="E5" s="454"/>
      <c r="F5" s="454"/>
      <c r="G5" s="454"/>
      <c r="H5" s="454"/>
      <c r="I5" s="454"/>
      <c r="J5" s="454"/>
      <c r="K5" s="455"/>
      <c r="L5" s="444"/>
      <c r="M5" s="445"/>
      <c r="N5" s="445"/>
      <c r="O5" s="445"/>
      <c r="P5" s="445"/>
      <c r="Q5" s="445"/>
      <c r="R5" s="445"/>
      <c r="S5" s="445"/>
      <c r="T5" s="445"/>
      <c r="U5" s="445"/>
      <c r="V5" s="445"/>
      <c r="W5" s="445"/>
      <c r="X5" s="445"/>
      <c r="Y5" s="445"/>
      <c r="Z5" s="445"/>
      <c r="AA5" s="445"/>
      <c r="AB5" s="445"/>
      <c r="AC5" s="445"/>
      <c r="AD5" s="445"/>
      <c r="AE5" s="445"/>
      <c r="AF5" s="445"/>
      <c r="AG5" s="445"/>
      <c r="AH5" s="445"/>
      <c r="AI5" s="445"/>
      <c r="AJ5" s="445"/>
      <c r="AK5" s="445"/>
      <c r="AL5" s="445"/>
      <c r="AM5" s="445"/>
      <c r="AN5" s="445"/>
      <c r="AO5" s="446"/>
      <c r="AP5" s="286" t="s">
        <v>5</v>
      </c>
      <c r="AQ5" s="437" t="s">
        <v>5</v>
      </c>
      <c r="AR5" s="437"/>
      <c r="AS5" s="437"/>
      <c r="AT5" s="437"/>
      <c r="AU5" s="437"/>
      <c r="AV5" s="262"/>
    </row>
    <row r="7" spans="1:101" ht="18" customHeight="1">
      <c r="C7" s="68"/>
      <c r="D7" s="387" t="s">
        <v>252</v>
      </c>
      <c r="E7" s="387"/>
      <c r="F7" s="387"/>
      <c r="G7" s="387"/>
      <c r="H7" s="387"/>
      <c r="I7" s="387"/>
      <c r="J7" s="387"/>
      <c r="K7" s="387"/>
      <c r="L7" s="494" t="s">
        <v>56</v>
      </c>
      <c r="M7" s="494"/>
      <c r="N7" s="494"/>
      <c r="O7" s="494"/>
      <c r="P7" s="494"/>
      <c r="Q7" s="494"/>
      <c r="R7" s="494"/>
      <c r="S7" s="494"/>
      <c r="T7" s="494"/>
      <c r="U7" s="494"/>
      <c r="V7" s="494"/>
      <c r="W7" s="494"/>
      <c r="X7" s="494"/>
      <c r="Y7" s="494"/>
      <c r="Z7" s="494"/>
      <c r="AA7" s="494"/>
      <c r="AB7" s="494"/>
      <c r="AC7" s="494"/>
      <c r="AD7" s="494"/>
      <c r="AE7" s="494"/>
      <c r="AF7" s="494"/>
      <c r="AG7" s="494"/>
      <c r="AH7" s="494"/>
      <c r="AI7" s="494"/>
      <c r="AJ7" s="494"/>
      <c r="AK7" s="494"/>
      <c r="AL7" s="494"/>
      <c r="AM7" s="494"/>
      <c r="AN7" s="494"/>
      <c r="AO7" s="494"/>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294" t="s">
        <v>9</v>
      </c>
      <c r="B8" s="294"/>
      <c r="C8" s="295"/>
      <c r="D8" s="387"/>
      <c r="E8" s="387"/>
      <c r="F8" s="387"/>
      <c r="G8" s="387"/>
      <c r="H8" s="387"/>
      <c r="I8" s="387"/>
      <c r="J8" s="387"/>
      <c r="K8" s="387"/>
      <c r="L8" s="494"/>
      <c r="M8" s="494"/>
      <c r="N8" s="494"/>
      <c r="O8" s="494"/>
      <c r="P8" s="494"/>
      <c r="Q8" s="494"/>
      <c r="R8" s="494"/>
      <c r="S8" s="494"/>
      <c r="T8" s="494"/>
      <c r="U8" s="494"/>
      <c r="V8" s="494"/>
      <c r="W8" s="494"/>
      <c r="X8" s="494"/>
      <c r="Y8" s="494"/>
      <c r="Z8" s="494"/>
      <c r="AA8" s="494"/>
      <c r="AB8" s="494"/>
      <c r="AC8" s="494"/>
      <c r="AD8" s="494"/>
      <c r="AE8" s="494"/>
      <c r="AF8" s="494"/>
      <c r="AG8" s="494"/>
      <c r="AH8" s="494"/>
      <c r="AI8" s="494"/>
      <c r="AJ8" s="494"/>
      <c r="AK8" s="494"/>
      <c r="AL8" s="494"/>
      <c r="AM8" s="494"/>
      <c r="AN8" s="494"/>
      <c r="AO8" s="494"/>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387"/>
      <c r="E9" s="387"/>
      <c r="F9" s="387"/>
      <c r="G9" s="387"/>
      <c r="H9" s="387"/>
      <c r="I9" s="387"/>
      <c r="J9" s="387"/>
      <c r="K9" s="387"/>
      <c r="L9" s="494"/>
      <c r="M9" s="494"/>
      <c r="N9" s="494"/>
      <c r="O9" s="494"/>
      <c r="P9" s="494"/>
      <c r="Q9" s="494"/>
      <c r="R9" s="494"/>
      <c r="S9" s="494"/>
      <c r="T9" s="494"/>
      <c r="U9" s="494"/>
      <c r="V9" s="494"/>
      <c r="W9" s="494"/>
      <c r="X9" s="494"/>
      <c r="Y9" s="494"/>
      <c r="Z9" s="494"/>
      <c r="AA9" s="494"/>
      <c r="AB9" s="494"/>
      <c r="AC9" s="494"/>
      <c r="AD9" s="494"/>
      <c r="AE9" s="494"/>
      <c r="AF9" s="494"/>
      <c r="AG9" s="494"/>
      <c r="AH9" s="494"/>
      <c r="AI9" s="494"/>
      <c r="AJ9" s="494"/>
      <c r="AK9" s="494"/>
      <c r="AL9" s="494"/>
      <c r="AM9" s="494"/>
      <c r="AN9" s="494"/>
      <c r="AO9" s="494"/>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6"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56" t="s">
        <v>253</v>
      </c>
      <c r="E11" s="456"/>
      <c r="F11" s="457"/>
      <c r="G11" s="424" t="s">
        <v>254</v>
      </c>
      <c r="H11" s="426"/>
      <c r="I11" s="426"/>
      <c r="J11" s="426"/>
      <c r="K11" s="426"/>
      <c r="L11" s="421"/>
      <c r="M11" s="422"/>
      <c r="N11" s="422" t="str">
        <f>IF(AND('Mapa final'!$K$15="Muy Alta",'Mapa final'!$O$15="Leve"),CONCATENATE("R",'Mapa final'!$A$17),"")</f>
        <v/>
      </c>
      <c r="O11" s="422"/>
      <c r="P11" s="422" t="str">
        <f>IF(AND('Mapa final'!$K$18="Muy Alta",'Mapa final'!$O$18="Leve"),CONCATENATE("R",'Mapa final'!$A$18),"")</f>
        <v/>
      </c>
      <c r="Q11" s="423"/>
      <c r="R11" s="421"/>
      <c r="S11" s="422"/>
      <c r="T11" s="422" t="str">
        <f>IF(AND('Mapa final'!$P$15="Muy Alta",'Mapa final'!$S$15="Menor"),CONCATENATE("R",'Mapa final'!$A$17),"")</f>
        <v/>
      </c>
      <c r="U11" s="422"/>
      <c r="V11" s="422" t="str">
        <f>IF(AND('Mapa final'!$P$18="Muy Alta",'Mapa final'!$S$18="Menor"),CONCATENATE("R",'Mapa final'!$A$18),"")</f>
        <v/>
      </c>
      <c r="W11" s="422"/>
      <c r="X11" s="421"/>
      <c r="Y11" s="422"/>
      <c r="Z11" s="422" t="str">
        <f>IF(AND('Mapa final'!P$15="Muy Alta",'Mapa final'!$S$15="Moderado"),CONCATENATE("R",'Mapa final'!$A$17),"")</f>
        <v/>
      </c>
      <c r="AA11" s="422"/>
      <c r="AB11" s="422" t="str">
        <f>IF(AND('Mapa final'!$P$18="Muy Alta",'Mapa final'!$S$18="Moderado"),CONCATENATE("R",'Mapa final'!$A$18),"")</f>
        <v/>
      </c>
      <c r="AC11" s="422"/>
      <c r="AD11" s="421"/>
      <c r="AE11" s="422"/>
      <c r="AF11" s="422" t="str">
        <f>IF(AND('Mapa final'!$P$15="Muy Alta",'Mapa final'!$S$15="Mayor"),CONCATENATE("R",'Mapa final'!$A$17),"")</f>
        <v/>
      </c>
      <c r="AG11" s="422"/>
      <c r="AH11" s="422" t="str">
        <f>IF(AND('Mapa final'!$P$18="Muy Alta",'Mapa final'!$S$18="Mayor"),CONCATENATE("R",'Mapa final'!$A$18),"")</f>
        <v/>
      </c>
      <c r="AI11" s="422"/>
      <c r="AJ11" s="412"/>
      <c r="AK11" s="413"/>
      <c r="AL11" s="413" t="str">
        <f>IF(AND('Mapa final'!$P$15="Muy Alta",'Mapa final'!$S$15="Catastrófico"),CONCATENATE("R",'Mapa final'!$A$17),"")</f>
        <v/>
      </c>
      <c r="AM11" s="413"/>
      <c r="AN11" s="413" t="str">
        <f>IF(AND('Mapa final'!$P$18="Muy Alta",'Mapa final'!$S$18="Catastrófico"),CONCATENATE("R",'Mapa final'!$A$18),"")</f>
        <v/>
      </c>
      <c r="AO11" s="414"/>
      <c r="AQ11" s="458" t="s">
        <v>255</v>
      </c>
      <c r="AR11" s="459"/>
      <c r="AS11" s="459"/>
      <c r="AT11" s="459"/>
      <c r="AU11" s="459"/>
      <c r="AV11" s="460"/>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56"/>
      <c r="E12" s="456"/>
      <c r="F12" s="457"/>
      <c r="G12" s="428"/>
      <c r="H12" s="429"/>
      <c r="I12" s="429"/>
      <c r="J12" s="429"/>
      <c r="K12" s="429"/>
      <c r="L12" s="415"/>
      <c r="M12" s="416"/>
      <c r="N12" s="416"/>
      <c r="O12" s="416"/>
      <c r="P12" s="416"/>
      <c r="Q12" s="417"/>
      <c r="R12" s="415"/>
      <c r="S12" s="416"/>
      <c r="T12" s="416"/>
      <c r="U12" s="416"/>
      <c r="V12" s="416"/>
      <c r="W12" s="416"/>
      <c r="X12" s="415"/>
      <c r="Y12" s="416"/>
      <c r="Z12" s="416"/>
      <c r="AA12" s="416"/>
      <c r="AB12" s="416"/>
      <c r="AC12" s="416"/>
      <c r="AD12" s="415"/>
      <c r="AE12" s="416"/>
      <c r="AF12" s="416"/>
      <c r="AG12" s="416"/>
      <c r="AH12" s="416"/>
      <c r="AI12" s="416"/>
      <c r="AJ12" s="406"/>
      <c r="AK12" s="407"/>
      <c r="AL12" s="407"/>
      <c r="AM12" s="407"/>
      <c r="AN12" s="407"/>
      <c r="AO12" s="408"/>
      <c r="AP12" s="68"/>
      <c r="AQ12" s="461"/>
      <c r="AR12" s="462"/>
      <c r="AS12" s="462"/>
      <c r="AT12" s="462"/>
      <c r="AU12" s="462"/>
      <c r="AV12" s="463"/>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56"/>
      <c r="E13" s="456"/>
      <c r="F13" s="457"/>
      <c r="G13" s="428"/>
      <c r="H13" s="429"/>
      <c r="I13" s="429"/>
      <c r="J13" s="429"/>
      <c r="K13" s="429"/>
      <c r="L13" s="415" t="e">
        <f>IF(AND('Mapa final'!#REF!="Muy Alta",'Mapa final'!#REF!="Leve"),CONCATENATE("R",'Mapa final'!#REF!),"")</f>
        <v>#REF!</v>
      </c>
      <c r="M13" s="416"/>
      <c r="N13" s="416" t="e">
        <f>IF(AND('Mapa final'!#REF!="Muy Alta",'Mapa final'!#REF!="Leve"),CONCATENATE("R",'Mapa final'!#REF!),"")</f>
        <v>#REF!</v>
      </c>
      <c r="O13" s="416"/>
      <c r="P13" s="416" t="e">
        <f>IF(AND('Mapa final'!#REF!="Muy Alta",'Mapa final'!#REF!="Leve"),CONCATENATE("R",'Mapa final'!#REF!),"")</f>
        <v>#REF!</v>
      </c>
      <c r="Q13" s="417"/>
      <c r="R13" s="415" t="e">
        <f>IF(AND('Mapa final'!#REF!="Muy Alta",'Mapa final'!#REF!="Menor"),CONCATENATE("R",'Mapa final'!#REF!),"")</f>
        <v>#REF!</v>
      </c>
      <c r="S13" s="416"/>
      <c r="T13" s="416" t="e">
        <f>IF(AND('Mapa final'!#REF!="Muy Alta",'Mapa final'!#REF!="Menor"),CONCATENATE("R",'Mapa final'!#REF!),"")</f>
        <v>#REF!</v>
      </c>
      <c r="U13" s="416"/>
      <c r="V13" s="416" t="e">
        <f>IF(AND('Mapa final'!#REF!="Muy Alta",'Mapa final'!#REF!="Menor"),CONCATENATE("R",'Mapa final'!#REF!),"")</f>
        <v>#REF!</v>
      </c>
      <c r="W13" s="416"/>
      <c r="X13" s="415" t="e">
        <f>IF(AND('Mapa final'!#REF!="Muy Alta",'Mapa final'!#REF!="Moderado"),CONCATENATE("R",'Mapa final'!#REF!),"")</f>
        <v>#REF!</v>
      </c>
      <c r="Y13" s="416"/>
      <c r="Z13" s="416" t="e">
        <f>IF(AND('Mapa final'!#REF!="Muy Alta",'Mapa final'!#REF!="Moderado"),CONCATENATE("R",'Mapa final'!#REF!),"")</f>
        <v>#REF!</v>
      </c>
      <c r="AA13" s="416"/>
      <c r="AB13" s="416" t="e">
        <f>IF(AND('Mapa final'!#REF!="Muy Alta",'Mapa final'!#REF!="Moderado"),CONCATENATE("R",'Mapa final'!#REF!),"")</f>
        <v>#REF!</v>
      </c>
      <c r="AC13" s="416"/>
      <c r="AD13" s="415" t="e">
        <f>IF(AND('Mapa final'!#REF!="Muy Alta",'Mapa final'!#REF!="Mayor"),CONCATENATE("R",'Mapa final'!#REF!),"")</f>
        <v>#REF!</v>
      </c>
      <c r="AE13" s="416"/>
      <c r="AF13" s="416" t="e">
        <f>IF(AND('Mapa final'!#REF!="Muy Alta",'Mapa final'!#REF!="Mayor"),CONCATENATE("R",'Mapa final'!#REF!),"")</f>
        <v>#REF!</v>
      </c>
      <c r="AG13" s="416"/>
      <c r="AH13" s="416" t="e">
        <f>IF(AND('Mapa final'!#REF!="Muy Alta",'Mapa final'!#REF!="Mayor"),CONCATENATE("R",'Mapa final'!#REF!),"")</f>
        <v>#REF!</v>
      </c>
      <c r="AI13" s="416"/>
      <c r="AJ13" s="406" t="e">
        <f>IF(AND('Mapa final'!#REF!="Muy Alta",'Mapa final'!#REF!="Catastrófico"),CONCATENATE("R",'Mapa final'!#REF!),"")</f>
        <v>#REF!</v>
      </c>
      <c r="AK13" s="407"/>
      <c r="AL13" s="407" t="e">
        <f>IF(AND('Mapa final'!#REF!="Muy Alta",'Mapa final'!#REF!="Catastrófico"),CONCATENATE("R",'Mapa final'!#REF!),"")</f>
        <v>#REF!</v>
      </c>
      <c r="AM13" s="407"/>
      <c r="AN13" s="407" t="e">
        <f>IF(AND('Mapa final'!#REF!="Muy Alta",'Mapa final'!#REF!="Catastrófico"),CONCATENATE("R",'Mapa final'!#REF!),"")</f>
        <v>#REF!</v>
      </c>
      <c r="AO13" s="408"/>
      <c r="AP13" s="68"/>
      <c r="AQ13" s="461"/>
      <c r="AR13" s="462"/>
      <c r="AS13" s="462"/>
      <c r="AT13" s="462"/>
      <c r="AU13" s="462"/>
      <c r="AV13" s="463"/>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56"/>
      <c r="E14" s="456"/>
      <c r="F14" s="457"/>
      <c r="G14" s="428"/>
      <c r="H14" s="429"/>
      <c r="I14" s="429"/>
      <c r="J14" s="429"/>
      <c r="K14" s="429"/>
      <c r="L14" s="415"/>
      <c r="M14" s="416"/>
      <c r="N14" s="416"/>
      <c r="O14" s="416"/>
      <c r="P14" s="416"/>
      <c r="Q14" s="417"/>
      <c r="R14" s="415"/>
      <c r="S14" s="416"/>
      <c r="T14" s="416"/>
      <c r="U14" s="416"/>
      <c r="V14" s="416"/>
      <c r="W14" s="416"/>
      <c r="X14" s="415"/>
      <c r="Y14" s="416"/>
      <c r="Z14" s="416"/>
      <c r="AA14" s="416"/>
      <c r="AB14" s="416"/>
      <c r="AC14" s="416"/>
      <c r="AD14" s="415"/>
      <c r="AE14" s="416"/>
      <c r="AF14" s="416"/>
      <c r="AG14" s="416"/>
      <c r="AH14" s="416"/>
      <c r="AI14" s="416"/>
      <c r="AJ14" s="406"/>
      <c r="AK14" s="407"/>
      <c r="AL14" s="407"/>
      <c r="AM14" s="407"/>
      <c r="AN14" s="407"/>
      <c r="AO14" s="408"/>
      <c r="AP14" s="68"/>
      <c r="AQ14" s="461"/>
      <c r="AR14" s="462"/>
      <c r="AS14" s="462"/>
      <c r="AT14" s="462"/>
      <c r="AU14" s="462"/>
      <c r="AV14" s="463"/>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56"/>
      <c r="E15" s="456"/>
      <c r="F15" s="457"/>
      <c r="G15" s="428"/>
      <c r="H15" s="429"/>
      <c r="I15" s="429"/>
      <c r="J15" s="429"/>
      <c r="K15" s="429"/>
      <c r="L15" s="415" t="e">
        <f>IF(AND('Mapa final'!#REF!="Muy Alta",'Mapa final'!#REF!="Leve"),CONCATENATE("R",'Mapa final'!#REF!),"")</f>
        <v>#REF!</v>
      </c>
      <c r="M15" s="416"/>
      <c r="N15" s="416" t="e">
        <f>IF(AND('Mapa final'!#REF!="Muy Alta",'Mapa final'!#REF!="Leve"),CONCATENATE("R",'Mapa final'!#REF!),"")</f>
        <v>#REF!</v>
      </c>
      <c r="O15" s="416"/>
      <c r="P15" s="416" t="str">
        <f>IF(AND('Mapa final'!$K$19="Muy Alta",'Mapa final'!$O$19="Leve"),CONCATENATE("R",'Mapa final'!$A$19),"")</f>
        <v/>
      </c>
      <c r="Q15" s="417"/>
      <c r="R15" s="415" t="e">
        <f>IF(AND('Mapa final'!#REF!="Muy Alta",'Mapa final'!#REF!="Menor"),CONCATENATE("R",'Mapa final'!#REF!),"")</f>
        <v>#REF!</v>
      </c>
      <c r="S15" s="416"/>
      <c r="T15" s="416" t="e">
        <f>IF(AND('Mapa final'!#REF!="Muy Alta",'Mapa final'!#REF!="Menor"),CONCATENATE("R",'Mapa final'!#REF!),"")</f>
        <v>#REF!</v>
      </c>
      <c r="U15" s="416"/>
      <c r="V15" s="416" t="str">
        <f>IF(AND('Mapa final'!$P$19="Muy Alta",'Mapa final'!$S$19="Menor"),CONCATENATE("R",'Mapa final'!$A$19),"")</f>
        <v/>
      </c>
      <c r="W15" s="416"/>
      <c r="X15" s="415" t="e">
        <f>IF(AND('Mapa final'!#REF!="Muy Alta",'Mapa final'!#REF!="Moderado"),CONCATENATE("R",'Mapa final'!#REF!),"")</f>
        <v>#REF!</v>
      </c>
      <c r="Y15" s="416"/>
      <c r="Z15" s="416" t="e">
        <f>IF(AND('Mapa final'!#REF!="Muy Alta",'Mapa final'!#REF!="Moderado"),CONCATENATE("R",'Mapa final'!#REF!),"")</f>
        <v>#REF!</v>
      </c>
      <c r="AA15" s="416"/>
      <c r="AB15" s="416" t="str">
        <f>IF(AND('Mapa final'!$P$19="Muy Alta",'Mapa final'!$S$19="Moderado"),CONCATENATE("R",'Mapa final'!$A$19),"")</f>
        <v/>
      </c>
      <c r="AC15" s="416"/>
      <c r="AD15" s="415" t="e">
        <f>IF(AND('Mapa final'!#REF!="Muy Alta",'Mapa final'!#REF!="Mayor"),CONCATENATE("R",'Mapa final'!#REF!),"")</f>
        <v>#REF!</v>
      </c>
      <c r="AE15" s="416"/>
      <c r="AF15" s="416" t="e">
        <f>IF(AND('Mapa final'!#REF!="Muy Alta",'Mapa final'!#REF!="Mayor"),CONCATENATE("R",'Mapa final'!#REF!),"")</f>
        <v>#REF!</v>
      </c>
      <c r="AG15" s="416"/>
      <c r="AH15" s="416" t="str">
        <f>IF(AND('Mapa final'!$P$19="Muy Alta",'Mapa final'!$S$19="Mayor"),CONCATENATE("R",'Mapa final'!$A$19),"")</f>
        <v/>
      </c>
      <c r="AI15" s="416"/>
      <c r="AJ15" s="406" t="e">
        <f>IF(AND('Mapa final'!#REF!="Muy Alta",'Mapa final'!#REF!="Catastrófico"),CONCATENATE("R",'Mapa final'!#REF!),"")</f>
        <v>#REF!</v>
      </c>
      <c r="AK15" s="407"/>
      <c r="AL15" s="407" t="e">
        <f>IF(AND('Mapa final'!#REF!="Muy Alta",'Mapa final'!#REF!="Catastrófico"),CONCATENATE("R",'Mapa final'!#REF!),"")</f>
        <v>#REF!</v>
      </c>
      <c r="AM15" s="407"/>
      <c r="AN15" s="407" t="str">
        <f>IF(AND('Mapa final'!$P$19="Muy Alta",'Mapa final'!$S$19="Catastrófico"),CONCATENATE("R",'Mapa final'!$A$19),"")</f>
        <v/>
      </c>
      <c r="AO15" s="408"/>
      <c r="AP15" s="68"/>
      <c r="AQ15" s="461"/>
      <c r="AR15" s="462"/>
      <c r="AS15" s="462"/>
      <c r="AT15" s="462"/>
      <c r="AU15" s="462"/>
      <c r="AV15" s="463"/>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56"/>
      <c r="E16" s="456"/>
      <c r="F16" s="457"/>
      <c r="G16" s="428"/>
      <c r="H16" s="429"/>
      <c r="I16" s="429"/>
      <c r="J16" s="429"/>
      <c r="K16" s="429"/>
      <c r="L16" s="415"/>
      <c r="M16" s="416"/>
      <c r="N16" s="416"/>
      <c r="O16" s="416"/>
      <c r="P16" s="416"/>
      <c r="Q16" s="417"/>
      <c r="R16" s="415"/>
      <c r="S16" s="416"/>
      <c r="T16" s="416"/>
      <c r="U16" s="416"/>
      <c r="V16" s="416"/>
      <c r="W16" s="416"/>
      <c r="X16" s="415"/>
      <c r="Y16" s="416"/>
      <c r="Z16" s="416"/>
      <c r="AA16" s="416"/>
      <c r="AB16" s="416"/>
      <c r="AC16" s="416"/>
      <c r="AD16" s="415"/>
      <c r="AE16" s="416"/>
      <c r="AF16" s="416"/>
      <c r="AG16" s="416"/>
      <c r="AH16" s="416"/>
      <c r="AI16" s="416"/>
      <c r="AJ16" s="406"/>
      <c r="AK16" s="407"/>
      <c r="AL16" s="407"/>
      <c r="AM16" s="407"/>
      <c r="AN16" s="407"/>
      <c r="AO16" s="408"/>
      <c r="AP16" s="68"/>
      <c r="AQ16" s="461"/>
      <c r="AR16" s="462"/>
      <c r="AS16" s="462"/>
      <c r="AT16" s="462"/>
      <c r="AU16" s="462"/>
      <c r="AV16" s="463"/>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56"/>
      <c r="E17" s="456"/>
      <c r="F17" s="457"/>
      <c r="G17" s="428"/>
      <c r="H17" s="429"/>
      <c r="I17" s="429"/>
      <c r="J17" s="429"/>
      <c r="K17" s="429"/>
      <c r="L17" s="415" t="str">
        <f>IF(AND('Mapa final'!$P$20="Muy Alta",'Mapa final'!$S$20="Leve"),CONCATENATE("R",'Mapa final'!$A$20),"")</f>
        <v/>
      </c>
      <c r="M17" s="416"/>
      <c r="N17" s="416" t="str">
        <f>IF(AND('Mapa final'!$K$21="Muy Alta",'Mapa final'!$O$21="Leve"),CONCATENATE("R",'Mapa final'!$A$21),"")</f>
        <v/>
      </c>
      <c r="O17" s="416"/>
      <c r="P17" s="416" t="str">
        <f>IF(AND('Mapa final'!$K$22="Muy Alta",'Mapa final'!$O$22="Leve"),CONCATENATE("R",'Mapa final'!$A$22),"")</f>
        <v/>
      </c>
      <c r="Q17" s="417"/>
      <c r="R17" s="415" t="str">
        <f>IF(AND('Mapa final'!$P$20="Muy Alta",'Mapa final'!$S$20="Menor"),CONCATENATE("R",'Mapa final'!$A$20),"")</f>
        <v/>
      </c>
      <c r="S17" s="416"/>
      <c r="T17" s="416" t="str">
        <f>IF(AND('Mapa final'!$P$21="Muy Alta",'Mapa final'!$S$21="Menor"),CONCATENATE("R",'Mapa final'!$A$21),"")</f>
        <v/>
      </c>
      <c r="U17" s="416"/>
      <c r="V17" s="416" t="str">
        <f>IF(AND('Mapa final'!$P$22="Muy Alta",'Mapa final'!$S$22="Menor"),CONCATENATE("R",'Mapa final'!$A$22),"")</f>
        <v/>
      </c>
      <c r="W17" s="416"/>
      <c r="X17" s="415" t="str">
        <f>IF(AND('Mapa final'!$P$20="Muy Alta",'Mapa final'!$S$20="Moderado"),CONCATENATE("R",'Mapa final'!$A$20),"")</f>
        <v/>
      </c>
      <c r="Y17" s="416"/>
      <c r="Z17" s="416" t="str">
        <f>IF(AND('Mapa final'!$P$21="Muy Alta",'Mapa final'!$S$21="Moderado"),CONCATENATE("R",'Mapa final'!$A$21),"")</f>
        <v/>
      </c>
      <c r="AA17" s="416"/>
      <c r="AB17" s="416" t="str">
        <f>IF(AND('Mapa final'!$P$22="Muy Alta",'Mapa final'!$S$22="Moderado"),CONCATENATE("R",'Mapa final'!$A$22),"")</f>
        <v/>
      </c>
      <c r="AC17" s="416"/>
      <c r="AD17" s="415" t="str">
        <f>IF(AND('Mapa final'!$P$20="Muy Alta",'Mapa final'!$S$20="Mayor"),CONCATENATE("R",'Mapa final'!$A$20),"")</f>
        <v/>
      </c>
      <c r="AE17" s="416"/>
      <c r="AF17" s="416" t="str">
        <f>IF(AND('Mapa final'!$P$21="Muy Alta",'Mapa final'!$S$21="Mayor"),CONCATENATE("R",'Mapa final'!$A$21),"")</f>
        <v/>
      </c>
      <c r="AG17" s="416"/>
      <c r="AH17" s="416" t="str">
        <f>IF(AND('Mapa final'!$P$22="Muy Alta",'Mapa final'!$S$22="Mayor"),CONCATENATE("R",'Mapa final'!$A$22),"")</f>
        <v/>
      </c>
      <c r="AI17" s="416"/>
      <c r="AJ17" s="406" t="str">
        <f>IF(AND('Mapa final'!$P$20="Muy Alta",'Mapa final'!$S$20="Catastrófico"),CONCATENATE("R",'Mapa final'!$A$20),"")</f>
        <v/>
      </c>
      <c r="AK17" s="407"/>
      <c r="AL17" s="407" t="str">
        <f>IF(AND('Mapa final'!$P$21="Muy Alta",'Mapa final'!$S$21="Catastrófico"),CONCATENATE("R",'Mapa final'!$A$21),"")</f>
        <v/>
      </c>
      <c r="AM17" s="407"/>
      <c r="AN17" s="407" t="str">
        <f>IF(AND('Mapa final'!$P$22="Muy Alta",'Mapa final'!$S$22="Catastrófico"),CONCATENATE("R",'Mapa final'!$A$22),"")</f>
        <v/>
      </c>
      <c r="AO17" s="408"/>
      <c r="AP17" s="68"/>
      <c r="AQ17" s="461"/>
      <c r="AR17" s="462"/>
      <c r="AS17" s="462"/>
      <c r="AT17" s="462"/>
      <c r="AU17" s="462"/>
      <c r="AV17" s="463"/>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56"/>
      <c r="E18" s="456"/>
      <c r="F18" s="457"/>
      <c r="G18" s="431"/>
      <c r="H18" s="432"/>
      <c r="I18" s="432"/>
      <c r="J18" s="432"/>
      <c r="K18" s="432"/>
      <c r="L18" s="418"/>
      <c r="M18" s="419"/>
      <c r="N18" s="419"/>
      <c r="O18" s="419"/>
      <c r="P18" s="419"/>
      <c r="Q18" s="420"/>
      <c r="R18" s="418"/>
      <c r="S18" s="419"/>
      <c r="T18" s="419"/>
      <c r="U18" s="419"/>
      <c r="V18" s="419"/>
      <c r="W18" s="419"/>
      <c r="X18" s="415"/>
      <c r="Y18" s="416"/>
      <c r="Z18" s="416"/>
      <c r="AA18" s="416"/>
      <c r="AB18" s="416"/>
      <c r="AC18" s="416"/>
      <c r="AD18" s="415"/>
      <c r="AE18" s="416"/>
      <c r="AF18" s="416"/>
      <c r="AG18" s="416"/>
      <c r="AH18" s="416"/>
      <c r="AI18" s="416"/>
      <c r="AJ18" s="406"/>
      <c r="AK18" s="407"/>
      <c r="AL18" s="407"/>
      <c r="AM18" s="407"/>
      <c r="AN18" s="407"/>
      <c r="AO18" s="408"/>
      <c r="AP18" s="68"/>
      <c r="AQ18" s="464"/>
      <c r="AR18" s="465"/>
      <c r="AS18" s="465"/>
      <c r="AT18" s="465"/>
      <c r="AU18" s="465"/>
      <c r="AV18" s="466"/>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56"/>
      <c r="E19" s="456"/>
      <c r="F19" s="457"/>
      <c r="G19" s="424" t="s">
        <v>256</v>
      </c>
      <c r="H19" s="426"/>
      <c r="I19" s="426"/>
      <c r="J19" s="426"/>
      <c r="K19" s="426"/>
      <c r="L19" s="403"/>
      <c r="M19" s="404"/>
      <c r="N19" s="404" t="str">
        <f>IF(AND('Mapa final'!$K$15="Alta",'Mapa final'!$O$15="Leve"),CONCATENATE("R",'Mapa final'!$A$17),"")</f>
        <v/>
      </c>
      <c r="O19" s="404"/>
      <c r="P19" s="404" t="str">
        <f>IF(AND('Mapa final'!$K$18="Alta",'Mapa final'!$O$18="Leve"),CONCATENATE("R",'Mapa final'!$A$18),"")</f>
        <v/>
      </c>
      <c r="Q19" s="405"/>
      <c r="R19" s="403"/>
      <c r="S19" s="404"/>
      <c r="T19" s="398" t="str">
        <f>IF(AND('Mapa final'!$P$15="Alta",'Mapa final'!$S$15="Menor"),CONCATENATE("R",'Mapa final'!$A$17),"")</f>
        <v/>
      </c>
      <c r="U19" s="398"/>
      <c r="V19" s="398" t="str">
        <f>IF(AND('Mapa final'!$P$18="Alta",'Mapa final'!$S$18="Menor"),CONCATENATE("R",'Mapa final'!$A$18),"")</f>
        <v/>
      </c>
      <c r="W19" s="398"/>
      <c r="X19" s="421"/>
      <c r="Y19" s="422"/>
      <c r="Z19" s="422" t="str">
        <f>IF(AND('Mapa final'!P$15="Alta",'Mapa final'!$S$15="Moderado"),CONCATENATE("R",'Mapa final'!$A$17),"")</f>
        <v/>
      </c>
      <c r="AA19" s="422"/>
      <c r="AB19" s="422" t="str">
        <f>IF(AND('Mapa final'!$P$18="Alta",'Mapa final'!$S$18="Moderado"),CONCATENATE("R",'Mapa final'!$A$18),"")</f>
        <v/>
      </c>
      <c r="AC19" s="422"/>
      <c r="AD19" s="421"/>
      <c r="AE19" s="422"/>
      <c r="AF19" s="422" t="str">
        <f>IF(AND('Mapa final'!$P$15="Alta",'Mapa final'!$S$15="Mayor"),CONCATENATE("R",'Mapa final'!$A$17),"")</f>
        <v/>
      </c>
      <c r="AG19" s="422"/>
      <c r="AH19" s="422" t="str">
        <f>IF(AND('Mapa final'!$P$18="Alta",'Mapa final'!$S$18="Mayor"),CONCATENATE("R",'Mapa final'!$A$18),"")</f>
        <v/>
      </c>
      <c r="AI19" s="422"/>
      <c r="AJ19" s="412"/>
      <c r="AK19" s="413"/>
      <c r="AL19" s="413" t="str">
        <f>IF(AND('Mapa final'!$P$15="Alta",'Mapa final'!$S$15="Catastrófico"),CONCATENATE("R",'Mapa final'!$A$17),"")</f>
        <v/>
      </c>
      <c r="AM19" s="413"/>
      <c r="AN19" s="413" t="str">
        <f>IF(AND('Mapa final'!$P$18="Alta",'Mapa final'!$S$18="Catastrófico"),CONCATENATE("R",'Mapa final'!$A$18),"")</f>
        <v/>
      </c>
      <c r="AO19" s="414"/>
      <c r="AP19" s="68"/>
      <c r="AQ19" s="467" t="s">
        <v>257</v>
      </c>
      <c r="AR19" s="468"/>
      <c r="AS19" s="468"/>
      <c r="AT19" s="468"/>
      <c r="AU19" s="468"/>
      <c r="AV19" s="469"/>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56"/>
      <c r="E20" s="456"/>
      <c r="F20" s="457"/>
      <c r="G20" s="428"/>
      <c r="H20" s="429"/>
      <c r="I20" s="429"/>
      <c r="J20" s="429"/>
      <c r="K20" s="429"/>
      <c r="L20" s="397"/>
      <c r="M20" s="398"/>
      <c r="N20" s="398"/>
      <c r="O20" s="398"/>
      <c r="P20" s="398"/>
      <c r="Q20" s="399"/>
      <c r="R20" s="397"/>
      <c r="S20" s="398"/>
      <c r="T20" s="398"/>
      <c r="U20" s="398"/>
      <c r="V20" s="398"/>
      <c r="W20" s="398"/>
      <c r="X20" s="415"/>
      <c r="Y20" s="416"/>
      <c r="Z20" s="416"/>
      <c r="AA20" s="416"/>
      <c r="AB20" s="416"/>
      <c r="AC20" s="416"/>
      <c r="AD20" s="415"/>
      <c r="AE20" s="416"/>
      <c r="AF20" s="416"/>
      <c r="AG20" s="416"/>
      <c r="AH20" s="416"/>
      <c r="AI20" s="416"/>
      <c r="AJ20" s="406"/>
      <c r="AK20" s="407"/>
      <c r="AL20" s="407"/>
      <c r="AM20" s="407"/>
      <c r="AN20" s="407"/>
      <c r="AO20" s="408"/>
      <c r="AP20" s="68"/>
      <c r="AQ20" s="470"/>
      <c r="AR20" s="471"/>
      <c r="AS20" s="471"/>
      <c r="AT20" s="471"/>
      <c r="AU20" s="471"/>
      <c r="AV20" s="472"/>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56"/>
      <c r="E21" s="456"/>
      <c r="F21" s="457"/>
      <c r="G21" s="428"/>
      <c r="H21" s="429"/>
      <c r="I21" s="429"/>
      <c r="J21" s="429"/>
      <c r="K21" s="429"/>
      <c r="L21" s="397" t="e">
        <f>IF(AND('Mapa final'!#REF!="Alta",'Mapa final'!#REF!="Leve"),CONCATENATE("R",'Mapa final'!#REF!),"")</f>
        <v>#REF!</v>
      </c>
      <c r="M21" s="398"/>
      <c r="N21" s="398" t="e">
        <f>IF(AND('Mapa final'!#REF!="Alta",'Mapa final'!#REF!="Leve"),CONCATENATE("R",'Mapa final'!#REF!),"")</f>
        <v>#REF!</v>
      </c>
      <c r="O21" s="398"/>
      <c r="P21" s="398" t="e">
        <f>IF(AND('Mapa final'!#REF!="Alta",'Mapa final'!#REF!="Leve"),CONCATENATE("R",'Mapa final'!#REF!),"")</f>
        <v>#REF!</v>
      </c>
      <c r="Q21" s="399"/>
      <c r="R21" s="397" t="e">
        <f>IF(AND('Mapa final'!#REF!="Alta",'Mapa final'!#REF!="Menor"),CONCATENATE("R",'Mapa final'!#REF!),"")</f>
        <v>#REF!</v>
      </c>
      <c r="S21" s="398"/>
      <c r="T21" s="398" t="e">
        <f>IF(AND('Mapa final'!#REF!="Alta",'Mapa final'!#REF!="Menor"),CONCATENATE("R",'Mapa final'!#REF!),"")</f>
        <v>#REF!</v>
      </c>
      <c r="U21" s="398"/>
      <c r="V21" s="398" t="e">
        <f>IF(AND('Mapa final'!#REF!="Alta",'Mapa final'!#REF!="Menor"),CONCATENATE("R",'Mapa final'!#REF!),"")</f>
        <v>#REF!</v>
      </c>
      <c r="W21" s="398"/>
      <c r="X21" s="415" t="e">
        <f>IF(AND('Mapa final'!#REF!="Alta",'Mapa final'!#REF!="Moderado"),CONCATENATE("R",'Mapa final'!#REF!),"")</f>
        <v>#REF!</v>
      </c>
      <c r="Y21" s="416"/>
      <c r="Z21" s="416" t="e">
        <f>IF(AND('Mapa final'!#REF!="Alta",'Mapa final'!#REF!="Moderado"),CONCATENATE("R",'Mapa final'!#REF!),"")</f>
        <v>#REF!</v>
      </c>
      <c r="AA21" s="416"/>
      <c r="AB21" s="416" t="e">
        <f>IF(AND('Mapa final'!#REF!="Alta",'Mapa final'!#REF!="Moderado"),CONCATENATE("R",'Mapa final'!#REF!),"")</f>
        <v>#REF!</v>
      </c>
      <c r="AC21" s="416"/>
      <c r="AD21" s="415" t="e">
        <f>IF(AND('Mapa final'!#REF!="Alta",'Mapa final'!#REF!="Mayor"),CONCATENATE("R",'Mapa final'!#REF!),"")</f>
        <v>#REF!</v>
      </c>
      <c r="AE21" s="416"/>
      <c r="AF21" s="416" t="e">
        <f>IF(AND('Mapa final'!#REF!="Alta",'Mapa final'!#REF!="Mayor"),CONCATENATE("R",'Mapa final'!#REF!),"")</f>
        <v>#REF!</v>
      </c>
      <c r="AG21" s="416"/>
      <c r="AH21" s="416" t="e">
        <f>IF(AND('Mapa final'!#REF!="Alta",'Mapa final'!#REF!="Mayor"),CONCATENATE("R",'Mapa final'!#REF!),"")</f>
        <v>#REF!</v>
      </c>
      <c r="AI21" s="416"/>
      <c r="AJ21" s="406" t="e">
        <f>IF(AND('Mapa final'!#REF!="Alta",'Mapa final'!#REF!="Catastrófico"),CONCATENATE("R",'Mapa final'!#REF!),"")</f>
        <v>#REF!</v>
      </c>
      <c r="AK21" s="407"/>
      <c r="AL21" s="407" t="e">
        <f>IF(AND('Mapa final'!#REF!="Alta",'Mapa final'!#REF!="Catastrófico"),CONCATENATE("R",'Mapa final'!#REF!),"")</f>
        <v>#REF!</v>
      </c>
      <c r="AM21" s="407"/>
      <c r="AN21" s="407" t="e">
        <f>IF(AND('Mapa final'!#REF!="Alta",'Mapa final'!#REF!="Catastrófico"),CONCATENATE("R",'Mapa final'!#REF!),"")</f>
        <v>#REF!</v>
      </c>
      <c r="AO21" s="408"/>
      <c r="AP21" s="68"/>
      <c r="AQ21" s="470"/>
      <c r="AR21" s="471"/>
      <c r="AS21" s="471"/>
      <c r="AT21" s="471"/>
      <c r="AU21" s="471"/>
      <c r="AV21" s="472"/>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56"/>
      <c r="E22" s="456"/>
      <c r="F22" s="457"/>
      <c r="G22" s="428"/>
      <c r="H22" s="429"/>
      <c r="I22" s="429"/>
      <c r="J22" s="429"/>
      <c r="K22" s="429"/>
      <c r="L22" s="397"/>
      <c r="M22" s="398"/>
      <c r="N22" s="398"/>
      <c r="O22" s="398"/>
      <c r="P22" s="398"/>
      <c r="Q22" s="399"/>
      <c r="R22" s="397"/>
      <c r="S22" s="398"/>
      <c r="T22" s="398"/>
      <c r="U22" s="398"/>
      <c r="V22" s="398"/>
      <c r="W22" s="398"/>
      <c r="X22" s="415"/>
      <c r="Y22" s="416"/>
      <c r="Z22" s="416"/>
      <c r="AA22" s="416"/>
      <c r="AB22" s="416"/>
      <c r="AC22" s="416"/>
      <c r="AD22" s="415"/>
      <c r="AE22" s="416"/>
      <c r="AF22" s="416"/>
      <c r="AG22" s="416"/>
      <c r="AH22" s="416"/>
      <c r="AI22" s="416"/>
      <c r="AJ22" s="406"/>
      <c r="AK22" s="407"/>
      <c r="AL22" s="407"/>
      <c r="AM22" s="407"/>
      <c r="AN22" s="407"/>
      <c r="AO22" s="408"/>
      <c r="AP22" s="68"/>
      <c r="AQ22" s="470"/>
      <c r="AR22" s="471"/>
      <c r="AS22" s="471"/>
      <c r="AT22" s="471"/>
      <c r="AU22" s="471"/>
      <c r="AV22" s="472"/>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56"/>
      <c r="E23" s="456"/>
      <c r="F23" s="457"/>
      <c r="G23" s="428"/>
      <c r="H23" s="429"/>
      <c r="I23" s="429"/>
      <c r="J23" s="429"/>
      <c r="K23" s="429"/>
      <c r="L23" s="397" t="e">
        <f>IF(AND('Mapa final'!#REF!="Alta",'Mapa final'!#REF!="Leve"),CONCATENATE("R",'Mapa final'!#REF!),"")</f>
        <v>#REF!</v>
      </c>
      <c r="M23" s="398"/>
      <c r="N23" s="398" t="e">
        <f>IF(AND('Mapa final'!#REF!="Alta",'Mapa final'!#REF!="Leve"),CONCATENATE("R",'Mapa final'!#REF!),"")</f>
        <v>#REF!</v>
      </c>
      <c r="O23" s="398"/>
      <c r="P23" s="398" t="str">
        <f>IF(AND('Mapa final'!$K$19="Alta",'Mapa final'!$O$19="Leve"),CONCATENATE("R",'Mapa final'!$A$19),"")</f>
        <v/>
      </c>
      <c r="Q23" s="399"/>
      <c r="R23" s="397" t="e">
        <f>IF(AND('Mapa final'!#REF!="Alta",'Mapa final'!#REF!="Menor"),CONCATENATE("R",'Mapa final'!#REF!),"")</f>
        <v>#REF!</v>
      </c>
      <c r="S23" s="398"/>
      <c r="T23" s="398" t="e">
        <f>IF(AND('Mapa final'!#REF!="Alta",'Mapa final'!#REF!="Menor"),CONCATENATE("R",'Mapa final'!#REF!),"")</f>
        <v>#REF!</v>
      </c>
      <c r="U23" s="398"/>
      <c r="V23" s="398" t="str">
        <f>IF(AND('Mapa final'!$P$19="Alta",'Mapa final'!$S$19="Menor"),CONCATENATE("R",'Mapa final'!$A$19),"")</f>
        <v/>
      </c>
      <c r="W23" s="398"/>
      <c r="X23" s="415" t="e">
        <f>IF(AND('Mapa final'!#REF!="Alta",'Mapa final'!#REF!="Moderado"),CONCATENATE("R",'Mapa final'!#REF!),"")</f>
        <v>#REF!</v>
      </c>
      <c r="Y23" s="416"/>
      <c r="Z23" s="416" t="e">
        <f>IF(AND('Mapa final'!#REF!="Alta",'Mapa final'!#REF!="Moderado"),CONCATENATE("R",'Mapa final'!#REF!),"")</f>
        <v>#REF!</v>
      </c>
      <c r="AA23" s="416"/>
      <c r="AB23" s="416" t="str">
        <f>IF(AND('Mapa final'!$P$19="Alta",'Mapa final'!$S$19="Moderado"),CONCATENATE("R",'Mapa final'!$A$19),"")</f>
        <v/>
      </c>
      <c r="AC23" s="416"/>
      <c r="AD23" s="415" t="e">
        <f>IF(AND('Mapa final'!#REF!="Alta",'Mapa final'!#REF!="Mayor"),CONCATENATE("R",'Mapa final'!#REF!),"")</f>
        <v>#REF!</v>
      </c>
      <c r="AE23" s="416"/>
      <c r="AF23" s="416" t="e">
        <f>IF(AND('Mapa final'!#REF!="Alta",'Mapa final'!#REF!="Mayor"),CONCATENATE("R",'Mapa final'!#REF!),"")</f>
        <v>#REF!</v>
      </c>
      <c r="AG23" s="416"/>
      <c r="AH23" s="416" t="str">
        <f>IF(AND('Mapa final'!$P$19="Alta",'Mapa final'!$S$19="Mayor"),CONCATENATE("R",'Mapa final'!$A$19),"")</f>
        <v/>
      </c>
      <c r="AI23" s="416"/>
      <c r="AJ23" s="406" t="e">
        <f>IF(AND('Mapa final'!#REF!="Alta",'Mapa final'!#REF!="Catastrófico"),CONCATENATE("R",'Mapa final'!#REF!),"")</f>
        <v>#REF!</v>
      </c>
      <c r="AK23" s="407"/>
      <c r="AL23" s="407" t="e">
        <f>IF(AND('Mapa final'!#REF!="Alta",'Mapa final'!#REF!="Catastrófico"),CONCATENATE("R",'Mapa final'!#REF!),"")</f>
        <v>#REF!</v>
      </c>
      <c r="AM23" s="407"/>
      <c r="AN23" s="407" t="str">
        <f>IF(AND('Mapa final'!$P$19="Alta",'Mapa final'!$S$19="Catastrófico"),CONCATENATE("R",'Mapa final'!$A$19),"")</f>
        <v/>
      </c>
      <c r="AO23" s="408"/>
      <c r="AP23" s="68"/>
      <c r="AQ23" s="470"/>
      <c r="AR23" s="471"/>
      <c r="AS23" s="471"/>
      <c r="AT23" s="471"/>
      <c r="AU23" s="471"/>
      <c r="AV23" s="472"/>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56"/>
      <c r="E24" s="456"/>
      <c r="F24" s="457"/>
      <c r="G24" s="428"/>
      <c r="H24" s="429"/>
      <c r="I24" s="429"/>
      <c r="J24" s="429"/>
      <c r="K24" s="429"/>
      <c r="L24" s="397"/>
      <c r="M24" s="398"/>
      <c r="N24" s="398"/>
      <c r="O24" s="398"/>
      <c r="P24" s="398"/>
      <c r="Q24" s="399"/>
      <c r="R24" s="397"/>
      <c r="S24" s="398"/>
      <c r="T24" s="398"/>
      <c r="U24" s="398"/>
      <c r="V24" s="398"/>
      <c r="W24" s="398"/>
      <c r="X24" s="415"/>
      <c r="Y24" s="416"/>
      <c r="Z24" s="416"/>
      <c r="AA24" s="416"/>
      <c r="AB24" s="416"/>
      <c r="AC24" s="416"/>
      <c r="AD24" s="415"/>
      <c r="AE24" s="416"/>
      <c r="AF24" s="416"/>
      <c r="AG24" s="416"/>
      <c r="AH24" s="416"/>
      <c r="AI24" s="416"/>
      <c r="AJ24" s="406"/>
      <c r="AK24" s="407"/>
      <c r="AL24" s="407"/>
      <c r="AM24" s="407"/>
      <c r="AN24" s="407"/>
      <c r="AO24" s="408"/>
      <c r="AP24" s="68"/>
      <c r="AQ24" s="470"/>
      <c r="AR24" s="471"/>
      <c r="AS24" s="471"/>
      <c r="AT24" s="471"/>
      <c r="AU24" s="471"/>
      <c r="AV24" s="472"/>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56"/>
      <c r="E25" s="456"/>
      <c r="F25" s="457"/>
      <c r="G25" s="428"/>
      <c r="H25" s="429"/>
      <c r="I25" s="429"/>
      <c r="J25" s="429"/>
      <c r="K25" s="429"/>
      <c r="L25" s="397" t="str">
        <f>IF(AND('Mapa final'!$P$20="Alta",'Mapa final'!$S$20="Leve"),CONCATENATE("R",'Mapa final'!$A$20),"")</f>
        <v/>
      </c>
      <c r="M25" s="398"/>
      <c r="N25" s="398" t="str">
        <f>IF(AND('Mapa final'!$K$21="Alta",'Mapa final'!$O$21="Leve"),CONCATENATE("R",'Mapa final'!$A$21),"")</f>
        <v/>
      </c>
      <c r="O25" s="398"/>
      <c r="P25" s="398" t="str">
        <f>IF(AND('Mapa final'!$K$22="Alta",'Mapa final'!$O$22="Leve"),CONCATENATE("R",'Mapa final'!$A$22),"")</f>
        <v/>
      </c>
      <c r="Q25" s="399"/>
      <c r="R25" s="397" t="str">
        <f>IF(AND('Mapa final'!$P$20="Alta",'Mapa final'!$S$20="Menor"),CONCATENATE("R",'Mapa final'!$A$20),"")</f>
        <v/>
      </c>
      <c r="S25" s="398"/>
      <c r="T25" s="398" t="str">
        <f>IF(AND('Mapa final'!$P$21="Alta",'Mapa final'!$S$21="Menor"),CONCATENATE("R",'Mapa final'!$A$21),"")</f>
        <v/>
      </c>
      <c r="U25" s="398"/>
      <c r="V25" s="398" t="str">
        <f>IF(AND('Mapa final'!$P$22="Alta",'Mapa final'!$S$22="Menor"),CONCATENATE("R",'Mapa final'!$A$22),"")</f>
        <v/>
      </c>
      <c r="W25" s="398"/>
      <c r="X25" s="415" t="str">
        <f>IF(AND('Mapa final'!$P$20="Alta",'Mapa final'!$S$20="Moderado"),CONCATENATE("R",'Mapa final'!$A$20),"")</f>
        <v/>
      </c>
      <c r="Y25" s="416"/>
      <c r="Z25" s="416" t="str">
        <f>IF(AND('Mapa final'!$P$21="Alta",'Mapa final'!$S$21="Moderado"),CONCATENATE("R",'Mapa final'!$A$21),"")</f>
        <v/>
      </c>
      <c r="AA25" s="416"/>
      <c r="AB25" s="416" t="str">
        <f>IF(AND('Mapa final'!$P$22="Alta",'Mapa final'!$S$22="Moderado"),CONCATENATE("R",'Mapa final'!$A$22),"")</f>
        <v/>
      </c>
      <c r="AC25" s="416"/>
      <c r="AD25" s="415" t="str">
        <f>IF(AND('Mapa final'!$P$20="Alta",'Mapa final'!$S$20="Mayor"),CONCATENATE("R",'Mapa final'!$A$20),"")</f>
        <v/>
      </c>
      <c r="AE25" s="416"/>
      <c r="AF25" s="416" t="str">
        <f>IF(AND('Mapa final'!$P$21="Alta",'Mapa final'!$S$21="Mayor"),CONCATENATE("R",'Mapa final'!$A$21),"")</f>
        <v/>
      </c>
      <c r="AG25" s="416"/>
      <c r="AH25" s="416" t="str">
        <f>IF(AND('Mapa final'!$P$22="Alta",'Mapa final'!$S$22="Mayor"),CONCATENATE("R",'Mapa final'!$A$22),"")</f>
        <v/>
      </c>
      <c r="AI25" s="416"/>
      <c r="AJ25" s="406" t="str">
        <f>IF(AND('Mapa final'!$P$20="Alta",'Mapa final'!$S$20="Catastrófico"),CONCATENATE("R",'Mapa final'!$A$20),"")</f>
        <v/>
      </c>
      <c r="AK25" s="407"/>
      <c r="AL25" s="407" t="str">
        <f>IF(AND('Mapa final'!$P$21="Alta",'Mapa final'!$S$21="Catastrófico"),CONCATENATE("R",'Mapa final'!$A$21),"")</f>
        <v/>
      </c>
      <c r="AM25" s="407"/>
      <c r="AN25" s="407" t="str">
        <f>IF(AND('Mapa final'!$P$22="Alta",'Mapa final'!$S$22="Catastrófico"),CONCATENATE("R",'Mapa final'!$A$22),"")</f>
        <v/>
      </c>
      <c r="AO25" s="408"/>
      <c r="AP25" s="68"/>
      <c r="AQ25" s="470"/>
      <c r="AR25" s="471"/>
      <c r="AS25" s="471"/>
      <c r="AT25" s="471"/>
      <c r="AU25" s="471"/>
      <c r="AV25" s="472"/>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56"/>
      <c r="E26" s="456"/>
      <c r="F26" s="457"/>
      <c r="G26" s="431"/>
      <c r="H26" s="432"/>
      <c r="I26" s="432"/>
      <c r="J26" s="432"/>
      <c r="K26" s="432"/>
      <c r="L26" s="400"/>
      <c r="M26" s="401"/>
      <c r="N26" s="401"/>
      <c r="O26" s="401"/>
      <c r="P26" s="401"/>
      <c r="Q26" s="402"/>
      <c r="R26" s="400"/>
      <c r="S26" s="401"/>
      <c r="T26" s="398"/>
      <c r="U26" s="398"/>
      <c r="V26" s="398"/>
      <c r="W26" s="398"/>
      <c r="X26" s="415"/>
      <c r="Y26" s="416"/>
      <c r="Z26" s="416"/>
      <c r="AA26" s="416"/>
      <c r="AB26" s="416"/>
      <c r="AC26" s="416"/>
      <c r="AD26" s="415"/>
      <c r="AE26" s="416"/>
      <c r="AF26" s="416"/>
      <c r="AG26" s="416"/>
      <c r="AH26" s="416"/>
      <c r="AI26" s="416"/>
      <c r="AJ26" s="406"/>
      <c r="AK26" s="407"/>
      <c r="AL26" s="407"/>
      <c r="AM26" s="407"/>
      <c r="AN26" s="407"/>
      <c r="AO26" s="408"/>
      <c r="AP26" s="68"/>
      <c r="AQ26" s="473"/>
      <c r="AR26" s="474"/>
      <c r="AS26" s="474"/>
      <c r="AT26" s="474"/>
      <c r="AU26" s="474"/>
      <c r="AV26" s="475"/>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56"/>
      <c r="E27" s="456"/>
      <c r="F27" s="457"/>
      <c r="G27" s="424" t="s">
        <v>258</v>
      </c>
      <c r="H27" s="426"/>
      <c r="I27" s="426"/>
      <c r="J27" s="426"/>
      <c r="K27" s="426"/>
      <c r="L27" s="403"/>
      <c r="M27" s="404"/>
      <c r="N27" s="404" t="str">
        <f>IF(AND('Mapa final'!$K$15="Media",'Mapa final'!$O$15="Leve"),CONCATENATE("R",'Mapa final'!$A$17),"")</f>
        <v/>
      </c>
      <c r="O27" s="404"/>
      <c r="P27" s="404" t="str">
        <f>IF(AND('Mapa final'!$K$18="Media",'Mapa final'!$O$18="Leve"),CONCATENATE("R",'Mapa final'!$A$18),"")</f>
        <v/>
      </c>
      <c r="Q27" s="405"/>
      <c r="R27" s="403"/>
      <c r="S27" s="404"/>
      <c r="T27" s="404" t="str">
        <f>IF(AND('Mapa final'!$P$15="Media",'Mapa final'!$S$15="Menor"),CONCATENATE("R",'Mapa final'!$A$17),"")</f>
        <v>R</v>
      </c>
      <c r="U27" s="404"/>
      <c r="V27" s="404" t="str">
        <f>IF(AND('Mapa final'!$P$18="Media",'Mapa final'!$S$18="Menor"),CONCATENATE("R",'Mapa final'!$A$18),"")</f>
        <v/>
      </c>
      <c r="W27" s="404"/>
      <c r="X27" s="403"/>
      <c r="Y27" s="404"/>
      <c r="Z27" s="404" t="str">
        <f>IF(AND('Mapa final'!P$15="Media",'Mapa final'!$S$15="Moderado"),CONCATENATE("R",'Mapa final'!$A$17),"")</f>
        <v/>
      </c>
      <c r="AA27" s="404"/>
      <c r="AB27" s="404" t="str">
        <f>IF(AND('Mapa final'!$P$18="Media",'Mapa final'!$S$18="Moderado"),CONCATENATE("R",'Mapa final'!$A$18),"")</f>
        <v/>
      </c>
      <c r="AC27" s="404"/>
      <c r="AD27" s="421"/>
      <c r="AE27" s="422"/>
      <c r="AF27" s="422" t="str">
        <f>IF(AND('Mapa final'!$P$15="Media",'Mapa final'!$S$15="Mayor"),CONCATENATE("R",'Mapa final'!$A$17),"")</f>
        <v/>
      </c>
      <c r="AG27" s="422"/>
      <c r="AH27" s="422" t="str">
        <f>IF(AND('Mapa final'!$P$18="Media",'Mapa final'!$S$18="Mayor"),CONCATENATE("R",'Mapa final'!$A$18),"")</f>
        <v/>
      </c>
      <c r="AI27" s="422"/>
      <c r="AJ27" s="412"/>
      <c r="AK27" s="413"/>
      <c r="AL27" s="413" t="str">
        <f>IF(AND('Mapa final'!$P$15="Media",'Mapa final'!$S$15="Catastrófico"),CONCATENATE("R",'Mapa final'!$A$17),"")</f>
        <v/>
      </c>
      <c r="AM27" s="413"/>
      <c r="AN27" s="413" t="str">
        <f>IF(AND('Mapa final'!$P$18="Media",'Mapa final'!$S$18="Catastrófico"),CONCATENATE("R",'Mapa final'!$A$18),"")</f>
        <v/>
      </c>
      <c r="AO27" s="414"/>
      <c r="AP27" s="68"/>
      <c r="AQ27" s="476" t="s">
        <v>122</v>
      </c>
      <c r="AR27" s="477"/>
      <c r="AS27" s="477"/>
      <c r="AT27" s="477"/>
      <c r="AU27" s="477"/>
      <c r="AV27" s="47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56"/>
      <c r="E28" s="456"/>
      <c r="F28" s="457"/>
      <c r="G28" s="428"/>
      <c r="H28" s="429"/>
      <c r="I28" s="429"/>
      <c r="J28" s="429"/>
      <c r="K28" s="429"/>
      <c r="L28" s="397"/>
      <c r="M28" s="398"/>
      <c r="N28" s="398"/>
      <c r="O28" s="398"/>
      <c r="P28" s="398"/>
      <c r="Q28" s="399"/>
      <c r="R28" s="397"/>
      <c r="S28" s="398"/>
      <c r="T28" s="398"/>
      <c r="U28" s="398"/>
      <c r="V28" s="398"/>
      <c r="W28" s="398"/>
      <c r="X28" s="397"/>
      <c r="Y28" s="398"/>
      <c r="Z28" s="398"/>
      <c r="AA28" s="398"/>
      <c r="AB28" s="398"/>
      <c r="AC28" s="398"/>
      <c r="AD28" s="415"/>
      <c r="AE28" s="416"/>
      <c r="AF28" s="416"/>
      <c r="AG28" s="416"/>
      <c r="AH28" s="416"/>
      <c r="AI28" s="416"/>
      <c r="AJ28" s="406"/>
      <c r="AK28" s="407"/>
      <c r="AL28" s="407"/>
      <c r="AM28" s="407"/>
      <c r="AN28" s="407"/>
      <c r="AO28" s="408"/>
      <c r="AP28" s="68"/>
      <c r="AQ28" s="479"/>
      <c r="AR28" s="480"/>
      <c r="AS28" s="480"/>
      <c r="AT28" s="480"/>
      <c r="AU28" s="480"/>
      <c r="AV28" s="481"/>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56"/>
      <c r="E29" s="456"/>
      <c r="F29" s="457"/>
      <c r="G29" s="428"/>
      <c r="H29" s="429"/>
      <c r="I29" s="429"/>
      <c r="J29" s="429"/>
      <c r="K29" s="429"/>
      <c r="L29" s="397" t="e">
        <f>IF(AND('Mapa final'!#REF!="Media",'Mapa final'!#REF!="Leve"),CONCATENATE("R",'Mapa final'!#REF!),"")</f>
        <v>#REF!</v>
      </c>
      <c r="M29" s="398"/>
      <c r="N29" s="398" t="e">
        <f>IF(AND('Mapa final'!#REF!="Media",'Mapa final'!#REF!="Leve"),CONCATENATE("R",'Mapa final'!#REF!),"")</f>
        <v>#REF!</v>
      </c>
      <c r="O29" s="398"/>
      <c r="P29" s="398" t="e">
        <f>IF(AND('Mapa final'!#REF!="Media",'Mapa final'!#REF!="Leve"),CONCATENATE("R",'Mapa final'!#REF!),"")</f>
        <v>#REF!</v>
      </c>
      <c r="Q29" s="399"/>
      <c r="R29" s="397" t="e">
        <f>IF(AND('Mapa final'!#REF!="Media",'Mapa final'!#REF!="Menor"),CONCATENATE("R",'Mapa final'!#REF!),"")</f>
        <v>#REF!</v>
      </c>
      <c r="S29" s="398"/>
      <c r="T29" s="398" t="e">
        <f>IF(AND('Mapa final'!#REF!="Media",'Mapa final'!#REF!="Menor"),CONCATENATE("R",'Mapa final'!#REF!),"")</f>
        <v>#REF!</v>
      </c>
      <c r="U29" s="398"/>
      <c r="V29" s="398" t="e">
        <f>IF(AND('Mapa final'!#REF!="Media",'Mapa final'!#REF!="Menor"),CONCATENATE("R",'Mapa final'!#REF!),"")</f>
        <v>#REF!</v>
      </c>
      <c r="W29" s="398"/>
      <c r="X29" s="397" t="e">
        <f>IF(AND('Mapa final'!#REF!="Media",'Mapa final'!#REF!="Moderado"),CONCATENATE("R",'Mapa final'!#REF!),"")</f>
        <v>#REF!</v>
      </c>
      <c r="Y29" s="398"/>
      <c r="Z29" s="398" t="e">
        <f>IF(AND('Mapa final'!#REF!="Media",'Mapa final'!#REF!="Moderado"),CONCATENATE("R",'Mapa final'!#REF!),"")</f>
        <v>#REF!</v>
      </c>
      <c r="AA29" s="398"/>
      <c r="AB29" s="398" t="e">
        <f>IF(AND('Mapa final'!#REF!="Media",'Mapa final'!#REF!="Moderado"),CONCATENATE("R",'Mapa final'!#REF!),"")</f>
        <v>#REF!</v>
      </c>
      <c r="AC29" s="398"/>
      <c r="AD29" s="415" t="e">
        <f>IF(AND('Mapa final'!#REF!="Media",'Mapa final'!#REF!="Mayor"),CONCATENATE("R",'Mapa final'!#REF!),"")</f>
        <v>#REF!</v>
      </c>
      <c r="AE29" s="416"/>
      <c r="AF29" s="416" t="e">
        <f>IF(AND('Mapa final'!#REF!="Media",'Mapa final'!#REF!="Mayor"),CONCATENATE("R",'Mapa final'!#REF!),"")</f>
        <v>#REF!</v>
      </c>
      <c r="AG29" s="416"/>
      <c r="AH29" s="416" t="e">
        <f>IF(AND('Mapa final'!#REF!="Media",'Mapa final'!#REF!="Mayor"),CONCATENATE("R",'Mapa final'!#REF!),"")</f>
        <v>#REF!</v>
      </c>
      <c r="AI29" s="416"/>
      <c r="AJ29" s="406" t="e">
        <f>IF(AND('Mapa final'!#REF!="Media",'Mapa final'!#REF!="Catastrófico"),CONCATENATE("R",'Mapa final'!#REF!),"")</f>
        <v>#REF!</v>
      </c>
      <c r="AK29" s="407"/>
      <c r="AL29" s="407" t="e">
        <f>IF(AND('Mapa final'!#REF!="Media",'Mapa final'!#REF!="Catastrófico"),CONCATENATE("R",'Mapa final'!#REF!),"")</f>
        <v>#REF!</v>
      </c>
      <c r="AM29" s="407"/>
      <c r="AN29" s="407" t="e">
        <f>IF(AND('Mapa final'!#REF!="Media",'Mapa final'!#REF!="Catastrófico"),CONCATENATE("R",'Mapa final'!#REF!),"")</f>
        <v>#REF!</v>
      </c>
      <c r="AO29" s="408"/>
      <c r="AP29" s="68"/>
      <c r="AQ29" s="479"/>
      <c r="AR29" s="480"/>
      <c r="AS29" s="480"/>
      <c r="AT29" s="480"/>
      <c r="AU29" s="480"/>
      <c r="AV29" s="481"/>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56"/>
      <c r="E30" s="456"/>
      <c r="F30" s="457"/>
      <c r="G30" s="428"/>
      <c r="H30" s="429"/>
      <c r="I30" s="429"/>
      <c r="J30" s="429"/>
      <c r="K30" s="429"/>
      <c r="L30" s="397"/>
      <c r="M30" s="398"/>
      <c r="N30" s="398"/>
      <c r="O30" s="398"/>
      <c r="P30" s="398"/>
      <c r="Q30" s="399"/>
      <c r="R30" s="397"/>
      <c r="S30" s="398"/>
      <c r="T30" s="398"/>
      <c r="U30" s="398"/>
      <c r="V30" s="398"/>
      <c r="W30" s="398"/>
      <c r="X30" s="397"/>
      <c r="Y30" s="398"/>
      <c r="Z30" s="398"/>
      <c r="AA30" s="398"/>
      <c r="AB30" s="398"/>
      <c r="AC30" s="398"/>
      <c r="AD30" s="415"/>
      <c r="AE30" s="416"/>
      <c r="AF30" s="416"/>
      <c r="AG30" s="416"/>
      <c r="AH30" s="416"/>
      <c r="AI30" s="416"/>
      <c r="AJ30" s="406"/>
      <c r="AK30" s="407"/>
      <c r="AL30" s="407"/>
      <c r="AM30" s="407"/>
      <c r="AN30" s="407"/>
      <c r="AO30" s="408"/>
      <c r="AP30" s="68"/>
      <c r="AQ30" s="479"/>
      <c r="AR30" s="480"/>
      <c r="AS30" s="480"/>
      <c r="AT30" s="480"/>
      <c r="AU30" s="480"/>
      <c r="AV30" s="481"/>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56"/>
      <c r="E31" s="456"/>
      <c r="F31" s="457"/>
      <c r="G31" s="428"/>
      <c r="H31" s="429"/>
      <c r="I31" s="429"/>
      <c r="J31" s="429"/>
      <c r="K31" s="429"/>
      <c r="L31" s="397" t="e">
        <f>IF(AND('Mapa final'!#REF!="Media",'Mapa final'!#REF!="Leve"),CONCATENATE("R",'Mapa final'!#REF!),"")</f>
        <v>#REF!</v>
      </c>
      <c r="M31" s="398"/>
      <c r="N31" s="398" t="e">
        <f>IF(AND('Mapa final'!#REF!="Media",'Mapa final'!#REF!="Leve"),CONCATENATE("R",'Mapa final'!#REF!),"")</f>
        <v>#REF!</v>
      </c>
      <c r="O31" s="398"/>
      <c r="P31" s="398" t="str">
        <f>IF(AND('Mapa final'!$K$19="Media",'Mapa final'!$O$19="Leve"),CONCATENATE("R",'Mapa final'!$A$19),"")</f>
        <v/>
      </c>
      <c r="Q31" s="399"/>
      <c r="R31" s="397" t="e">
        <f>IF(AND('Mapa final'!#REF!="Media",'Mapa final'!#REF!="Menor"),CONCATENATE("R",'Mapa final'!#REF!),"")</f>
        <v>#REF!</v>
      </c>
      <c r="S31" s="398"/>
      <c r="T31" s="398" t="e">
        <f>IF(AND('Mapa final'!#REF!="Media",'Mapa final'!#REF!="Menor"),CONCATENATE("R",'Mapa final'!#REF!),"")</f>
        <v>#REF!</v>
      </c>
      <c r="U31" s="398"/>
      <c r="V31" s="398" t="str">
        <f>IF(AND('Mapa final'!$P$19="Media",'Mapa final'!$S$19="Menor"),CONCATENATE("R",'Mapa final'!$A$19),"")</f>
        <v/>
      </c>
      <c r="W31" s="398"/>
      <c r="X31" s="397" t="e">
        <f>IF(AND('Mapa final'!#REF!="Media",'Mapa final'!#REF!="Moderado"),CONCATENATE("R",'Mapa final'!#REF!),"")</f>
        <v>#REF!</v>
      </c>
      <c r="Y31" s="398"/>
      <c r="Z31" s="398" t="e">
        <f>IF(AND('Mapa final'!#REF!="Media",'Mapa final'!#REF!="Moderado"),CONCATENATE("R",'Mapa final'!#REF!),"")</f>
        <v>#REF!</v>
      </c>
      <c r="AA31" s="398"/>
      <c r="AB31" s="398" t="str">
        <f>IF(AND('Mapa final'!$P$19="Media",'Mapa final'!$S$19="Moderado"),CONCATENATE("R",'Mapa final'!$A$19),"")</f>
        <v/>
      </c>
      <c r="AC31" s="398"/>
      <c r="AD31" s="415" t="e">
        <f>IF(AND('Mapa final'!#REF!="Media",'Mapa final'!#REF!="Mayor"),CONCATENATE("R",'Mapa final'!#REF!),"")</f>
        <v>#REF!</v>
      </c>
      <c r="AE31" s="416"/>
      <c r="AF31" s="416" t="e">
        <f>IF(AND('Mapa final'!#REF!="Media",'Mapa final'!#REF!="Mayor"),CONCATENATE("R",'Mapa final'!#REF!),"")</f>
        <v>#REF!</v>
      </c>
      <c r="AG31" s="416"/>
      <c r="AH31" s="416" t="str">
        <f>IF(AND('Mapa final'!$P$19="Media",'Mapa final'!$S$19="Mayor"),CONCATENATE("R",'Mapa final'!$A$19),"")</f>
        <v/>
      </c>
      <c r="AI31" s="416"/>
      <c r="AJ31" s="406" t="e">
        <f>IF(AND('Mapa final'!#REF!="Media",'Mapa final'!#REF!="Catastrófico"),CONCATENATE("R",'Mapa final'!#REF!),"")</f>
        <v>#REF!</v>
      </c>
      <c r="AK31" s="407"/>
      <c r="AL31" s="407" t="e">
        <f>IF(AND('Mapa final'!#REF!="Media",'Mapa final'!#REF!="Catastrófico"),CONCATENATE("R",'Mapa final'!#REF!),"")</f>
        <v>#REF!</v>
      </c>
      <c r="AM31" s="407"/>
      <c r="AN31" s="407" t="str">
        <f>IF(AND('Mapa final'!$P$19="Media",'Mapa final'!$S$19="Catastrófico"),CONCATENATE("R",'Mapa final'!$A$19),"")</f>
        <v/>
      </c>
      <c r="AO31" s="408"/>
      <c r="AP31" s="68"/>
      <c r="AQ31" s="479"/>
      <c r="AR31" s="480"/>
      <c r="AS31" s="480"/>
      <c r="AT31" s="480"/>
      <c r="AU31" s="480"/>
      <c r="AV31" s="481"/>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56"/>
      <c r="E32" s="456"/>
      <c r="F32" s="457"/>
      <c r="G32" s="428"/>
      <c r="H32" s="429"/>
      <c r="I32" s="429"/>
      <c r="J32" s="429"/>
      <c r="K32" s="429"/>
      <c r="L32" s="397"/>
      <c r="M32" s="398"/>
      <c r="N32" s="398"/>
      <c r="O32" s="398"/>
      <c r="P32" s="398"/>
      <c r="Q32" s="399"/>
      <c r="R32" s="397"/>
      <c r="S32" s="398"/>
      <c r="T32" s="398"/>
      <c r="U32" s="398"/>
      <c r="V32" s="398"/>
      <c r="W32" s="398"/>
      <c r="X32" s="397"/>
      <c r="Y32" s="398"/>
      <c r="Z32" s="398"/>
      <c r="AA32" s="398"/>
      <c r="AB32" s="398"/>
      <c r="AC32" s="398"/>
      <c r="AD32" s="415"/>
      <c r="AE32" s="416"/>
      <c r="AF32" s="416"/>
      <c r="AG32" s="416"/>
      <c r="AH32" s="416"/>
      <c r="AI32" s="416"/>
      <c r="AJ32" s="406"/>
      <c r="AK32" s="407"/>
      <c r="AL32" s="407"/>
      <c r="AM32" s="407"/>
      <c r="AN32" s="407"/>
      <c r="AO32" s="408"/>
      <c r="AP32" s="68"/>
      <c r="AQ32" s="479"/>
      <c r="AR32" s="480"/>
      <c r="AS32" s="480"/>
      <c r="AT32" s="480"/>
      <c r="AU32" s="480"/>
      <c r="AV32" s="481"/>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56"/>
      <c r="E33" s="456"/>
      <c r="F33" s="457"/>
      <c r="G33" s="428"/>
      <c r="H33" s="429"/>
      <c r="I33" s="429"/>
      <c r="J33" s="429"/>
      <c r="K33" s="429"/>
      <c r="L33" s="397" t="str">
        <f>IF(AND('Mapa final'!$P$20="Mediaa",'Mapa final'!$S$20="Leve"),CONCATENATE("R",'Mapa final'!$A$20),"")</f>
        <v/>
      </c>
      <c r="M33" s="398"/>
      <c r="N33" s="398" t="str">
        <f>IF(AND('Mapa final'!$K$21="Media",'Mapa final'!$O$21="Leve"),CONCATENATE("R",'Mapa final'!$A$21),"")</f>
        <v/>
      </c>
      <c r="O33" s="398"/>
      <c r="P33" s="398" t="str">
        <f>IF(AND('Mapa final'!$K$22="Media",'Mapa final'!$O$22="Leve"),CONCATENATE("R",'Mapa final'!$A$22),"")</f>
        <v/>
      </c>
      <c r="Q33" s="399"/>
      <c r="R33" s="397" t="str">
        <f>IF(AND('Mapa final'!$P$20="Media",'Mapa final'!$S$20="Menor"),CONCATENATE("R",'Mapa final'!$A$20),"")</f>
        <v/>
      </c>
      <c r="S33" s="398"/>
      <c r="T33" s="398" t="str">
        <f>IF(AND('Mapa final'!$P$21="Media",'Mapa final'!$S$21="Menor"),CONCATENATE("R",'Mapa final'!$A$21),"")</f>
        <v/>
      </c>
      <c r="U33" s="398"/>
      <c r="V33" s="398" t="str">
        <f>IF(AND('Mapa final'!$P$22="Media",'Mapa final'!$S$22="Menor"),CONCATENATE("R",'Mapa final'!$A$22),"")</f>
        <v/>
      </c>
      <c r="W33" s="398"/>
      <c r="X33" s="397" t="str">
        <f>IF(AND('Mapa final'!$P$20="Media",'Mapa final'!$S$20="Moderado"),CONCATENATE("R",'Mapa final'!$A$20),"")</f>
        <v/>
      </c>
      <c r="Y33" s="398"/>
      <c r="Z33" s="398" t="str">
        <f>IF(AND('Mapa final'!$P$21="Media",'Mapa final'!$S$21="Moderado"),CONCATENATE("R",'Mapa final'!$A$21),"")</f>
        <v/>
      </c>
      <c r="AA33" s="398"/>
      <c r="AB33" s="398" t="str">
        <f>IF(AND('Mapa final'!$P$22="Media",'Mapa final'!$S$22="Moderado"),CONCATENATE("R",'Mapa final'!$A$22),"")</f>
        <v/>
      </c>
      <c r="AC33" s="398"/>
      <c r="AD33" s="415" t="str">
        <f>IF(AND('Mapa final'!$P$20="Media",'Mapa final'!$S$20="Mayor"),CONCATENATE("R",'Mapa final'!$A$20),"")</f>
        <v/>
      </c>
      <c r="AE33" s="416"/>
      <c r="AF33" s="416" t="str">
        <f>IF(AND('Mapa final'!$P$21="Media",'Mapa final'!$S$21="Mayor"),CONCATENATE("R",'Mapa final'!$A$21),"")</f>
        <v/>
      </c>
      <c r="AG33" s="416"/>
      <c r="AH33" s="416" t="str">
        <f>IF(AND('Mapa final'!$P$22="Media",'Mapa final'!$S$22="Mayor"),CONCATENATE("R",'Mapa final'!$A$22),"")</f>
        <v/>
      </c>
      <c r="AI33" s="416"/>
      <c r="AJ33" s="406" t="str">
        <f>IF(AND('Mapa final'!$P$20="Media",'Mapa final'!$S$20="Catastrófico"),CONCATENATE("R",'Mapa final'!$A$20),"")</f>
        <v/>
      </c>
      <c r="AK33" s="407"/>
      <c r="AL33" s="407" t="str">
        <f>IF(AND('Mapa final'!$P$21="Media",'Mapa final'!$S$21="Catastrófico"),CONCATENATE("R",'Mapa final'!$A$21),"")</f>
        <v/>
      </c>
      <c r="AM33" s="407"/>
      <c r="AN33" s="407" t="str">
        <f>IF(AND('Mapa final'!$P$22="Media",'Mapa final'!$S$22="Catastrófico"),CONCATENATE("R",'Mapa final'!$A$22),"")</f>
        <v/>
      </c>
      <c r="AO33" s="408"/>
      <c r="AP33" s="68"/>
      <c r="AQ33" s="479"/>
      <c r="AR33" s="480"/>
      <c r="AS33" s="480"/>
      <c r="AT33" s="480"/>
      <c r="AU33" s="480"/>
      <c r="AV33" s="481"/>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56"/>
      <c r="E34" s="456"/>
      <c r="F34" s="457"/>
      <c r="G34" s="431"/>
      <c r="H34" s="432"/>
      <c r="I34" s="432"/>
      <c r="J34" s="432"/>
      <c r="K34" s="432"/>
      <c r="L34" s="400"/>
      <c r="M34" s="401"/>
      <c r="N34" s="401"/>
      <c r="O34" s="401"/>
      <c r="P34" s="401"/>
      <c r="Q34" s="402"/>
      <c r="R34" s="400"/>
      <c r="S34" s="401"/>
      <c r="T34" s="401"/>
      <c r="U34" s="401"/>
      <c r="V34" s="401"/>
      <c r="W34" s="401"/>
      <c r="X34" s="400"/>
      <c r="Y34" s="401"/>
      <c r="Z34" s="401"/>
      <c r="AA34" s="401"/>
      <c r="AB34" s="401"/>
      <c r="AC34" s="401"/>
      <c r="AD34" s="418"/>
      <c r="AE34" s="419"/>
      <c r="AF34" s="419"/>
      <c r="AG34" s="419"/>
      <c r="AH34" s="419"/>
      <c r="AI34" s="419"/>
      <c r="AJ34" s="406"/>
      <c r="AK34" s="407"/>
      <c r="AL34" s="407"/>
      <c r="AM34" s="407"/>
      <c r="AN34" s="407"/>
      <c r="AO34" s="408"/>
      <c r="AP34" s="68"/>
      <c r="AQ34" s="482"/>
      <c r="AR34" s="483"/>
      <c r="AS34" s="483"/>
      <c r="AT34" s="483"/>
      <c r="AU34" s="483"/>
      <c r="AV34" s="484"/>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56"/>
      <c r="E35" s="456"/>
      <c r="F35" s="457"/>
      <c r="G35" s="424" t="s">
        <v>259</v>
      </c>
      <c r="H35" s="426"/>
      <c r="I35" s="426"/>
      <c r="J35" s="426"/>
      <c r="K35" s="426"/>
      <c r="L35" s="393"/>
      <c r="M35" s="394"/>
      <c r="N35" s="394" t="str">
        <f>IF(AND('Mapa final'!$K$15="Baja",'Mapa final'!$O$15="Leve"),CONCATENATE("R",'Mapa final'!$A$17),"")</f>
        <v/>
      </c>
      <c r="O35" s="394"/>
      <c r="P35" s="394" t="str">
        <f>IF(AND('Mapa final'!$K$18="Baja",'Mapa final'!$O$18="Leve"),CONCATENATE("R",'Mapa final'!$A$18),"")</f>
        <v/>
      </c>
      <c r="Q35" s="395"/>
      <c r="R35" s="403"/>
      <c r="S35" s="404"/>
      <c r="T35" s="398" t="str">
        <f>IF(AND('Mapa final'!$P$15="Baja",'Mapa final'!$S$15="Menor"),CONCATENATE("R",'Mapa final'!$A$17),"")</f>
        <v/>
      </c>
      <c r="U35" s="398"/>
      <c r="V35" s="398" t="str">
        <f>IF(AND('Mapa final'!$P$18="Baja",'Mapa final'!$S$18="Menor"),CONCATENATE("R",'Mapa final'!$A$18),"")</f>
        <v/>
      </c>
      <c r="W35" s="399"/>
      <c r="X35" s="397"/>
      <c r="Y35" s="398"/>
      <c r="Z35" s="398" t="str">
        <f>IF(AND('Mapa final'!P$15="Baja",'Mapa final'!$S$15="Moderado"),CONCATENATE("R",'Mapa final'!$A$17),"")</f>
        <v/>
      </c>
      <c r="AA35" s="398"/>
      <c r="AB35" s="398" t="str">
        <f>IF(AND('Mapa final'!$P$18="Baja",'Mapa final'!$S$18="Moderado"),CONCATENATE("R",'Mapa final'!$A$18),"")</f>
        <v/>
      </c>
      <c r="AC35" s="399"/>
      <c r="AD35" s="415"/>
      <c r="AE35" s="416"/>
      <c r="AF35" s="416" t="str">
        <f>IF(AND('Mapa final'!$P$15="Baja",'Mapa final'!$S$15="Mayor"),CONCATENATE("R",'Mapa final'!$A$17),"")</f>
        <v/>
      </c>
      <c r="AG35" s="416"/>
      <c r="AH35" s="416" t="str">
        <f>IF(AND('Mapa final'!$P$18="Baja",'Mapa final'!$S$18="Mayor"),CONCATENATE("R",'Mapa final'!$A$18),"")</f>
        <v/>
      </c>
      <c r="AI35" s="416"/>
      <c r="AJ35" s="412"/>
      <c r="AK35" s="413"/>
      <c r="AL35" s="413" t="str">
        <f>IF(AND('Mapa final'!$P$15="Baja",'Mapa final'!$S$15="Catastrófico"),CONCATENATE("R",'Mapa final'!$A$17),"")</f>
        <v/>
      </c>
      <c r="AM35" s="413"/>
      <c r="AN35" s="413" t="str">
        <f>IF(AND('Mapa final'!$P$18="Baja",'Mapa final'!$S$18="Catastrófico"),CONCATENATE("R",'Mapa final'!$A$18),"")</f>
        <v/>
      </c>
      <c r="AO35" s="414"/>
      <c r="AP35" s="68"/>
      <c r="AQ35" s="485" t="s">
        <v>260</v>
      </c>
      <c r="AR35" s="486"/>
      <c r="AS35" s="486"/>
      <c r="AT35" s="486"/>
      <c r="AU35" s="486"/>
      <c r="AV35" s="487"/>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56"/>
      <c r="E36" s="456"/>
      <c r="F36" s="457"/>
      <c r="G36" s="428"/>
      <c r="H36" s="429"/>
      <c r="I36" s="429"/>
      <c r="J36" s="429"/>
      <c r="K36" s="429"/>
      <c r="L36" s="388"/>
      <c r="M36" s="389"/>
      <c r="N36" s="389"/>
      <c r="O36" s="389"/>
      <c r="P36" s="389"/>
      <c r="Q36" s="390"/>
      <c r="R36" s="397"/>
      <c r="S36" s="398"/>
      <c r="T36" s="398"/>
      <c r="U36" s="398"/>
      <c r="V36" s="398"/>
      <c r="W36" s="399"/>
      <c r="X36" s="397"/>
      <c r="Y36" s="398"/>
      <c r="Z36" s="398"/>
      <c r="AA36" s="398"/>
      <c r="AB36" s="398"/>
      <c r="AC36" s="399"/>
      <c r="AD36" s="415"/>
      <c r="AE36" s="416"/>
      <c r="AF36" s="416"/>
      <c r="AG36" s="416"/>
      <c r="AH36" s="416"/>
      <c r="AI36" s="416"/>
      <c r="AJ36" s="406"/>
      <c r="AK36" s="407"/>
      <c r="AL36" s="407"/>
      <c r="AM36" s="407"/>
      <c r="AN36" s="407"/>
      <c r="AO36" s="408"/>
      <c r="AP36" s="68"/>
      <c r="AQ36" s="488"/>
      <c r="AR36" s="489"/>
      <c r="AS36" s="489"/>
      <c r="AT36" s="489"/>
      <c r="AU36" s="489"/>
      <c r="AV36" s="490"/>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56"/>
      <c r="E37" s="456"/>
      <c r="F37" s="457"/>
      <c r="G37" s="428"/>
      <c r="H37" s="429"/>
      <c r="I37" s="429"/>
      <c r="J37" s="429"/>
      <c r="K37" s="429"/>
      <c r="L37" s="388" t="e">
        <f>IF(AND('Mapa final'!#REF!="Baja",'Mapa final'!#REF!="Leve"),CONCATENATE("R",'Mapa final'!#REF!),"")</f>
        <v>#REF!</v>
      </c>
      <c r="M37" s="389"/>
      <c r="N37" s="389" t="e">
        <f>IF(AND('Mapa final'!#REF!="Baja",'Mapa final'!#REF!="Leve"),CONCATENATE("R",'Mapa final'!#REF!),"")</f>
        <v>#REF!</v>
      </c>
      <c r="O37" s="389"/>
      <c r="P37" s="389" t="e">
        <f>IF(AND('Mapa final'!#REF!="Baja",'Mapa final'!#REF!="Leve"),CONCATENATE("R",'Mapa final'!#REF!),"")</f>
        <v>#REF!</v>
      </c>
      <c r="Q37" s="390"/>
      <c r="R37" s="397" t="e">
        <f>IF(AND('Mapa final'!#REF!="Baja",'Mapa final'!#REF!="Menor"),CONCATENATE("R",'Mapa final'!#REF!),"")</f>
        <v>#REF!</v>
      </c>
      <c r="S37" s="398"/>
      <c r="T37" s="398" t="e">
        <f>IF(AND('Mapa final'!#REF!="Baja",'Mapa final'!#REF!="Menor"),CONCATENATE("R",'Mapa final'!#REF!),"")</f>
        <v>#REF!</v>
      </c>
      <c r="U37" s="398"/>
      <c r="V37" s="398" t="e">
        <f>IF(AND('Mapa final'!#REF!="Baja",'Mapa final'!#REF!="Menor"),CONCATENATE("R",'Mapa final'!#REF!),"")</f>
        <v>#REF!</v>
      </c>
      <c r="W37" s="399"/>
      <c r="X37" s="397" t="e">
        <f>IF(AND('Mapa final'!#REF!="Baja",'Mapa final'!#REF!="Moderado"),CONCATENATE("R",'Mapa final'!#REF!),"")</f>
        <v>#REF!</v>
      </c>
      <c r="Y37" s="398"/>
      <c r="Z37" s="398" t="e">
        <f>IF(AND('Mapa final'!#REF!="Baja",'Mapa final'!#REF!="Moderado"),CONCATENATE("R",'Mapa final'!#REF!),"")</f>
        <v>#REF!</v>
      </c>
      <c r="AA37" s="398"/>
      <c r="AB37" s="398" t="e">
        <f>IF(AND('Mapa final'!#REF!="Baja",'Mapa final'!#REF!="Moderado"),CONCATENATE("R",'Mapa final'!#REF!),"")</f>
        <v>#REF!</v>
      </c>
      <c r="AC37" s="399"/>
      <c r="AD37" s="415" t="e">
        <f>IF(AND('Mapa final'!#REF!="Baja",'Mapa final'!#REF!="Mayor"),CONCATENATE("R",'Mapa final'!#REF!),"")</f>
        <v>#REF!</v>
      </c>
      <c r="AE37" s="416"/>
      <c r="AF37" s="416" t="e">
        <f>IF(AND('Mapa final'!#REF!="Baja",'Mapa final'!#REF!="Mayor"),CONCATENATE("R",'Mapa final'!#REF!),"")</f>
        <v>#REF!</v>
      </c>
      <c r="AG37" s="416"/>
      <c r="AH37" s="416" t="e">
        <f>IF(AND('Mapa final'!#REF!="Baja",'Mapa final'!#REF!="Mayor"),CONCATENATE("R",'Mapa final'!#REF!),"")</f>
        <v>#REF!</v>
      </c>
      <c r="AI37" s="416"/>
      <c r="AJ37" s="406" t="e">
        <f>IF(AND('Mapa final'!#REF!="Baja",'Mapa final'!#REF!="Catastrófico"),CONCATENATE("R",'Mapa final'!#REF!),"")</f>
        <v>#REF!</v>
      </c>
      <c r="AK37" s="407"/>
      <c r="AL37" s="407" t="e">
        <f>IF(AND('Mapa final'!#REF!="Baja",'Mapa final'!#REF!="Catastrófico"),CONCATENATE("R",'Mapa final'!#REF!),"")</f>
        <v>#REF!</v>
      </c>
      <c r="AM37" s="407"/>
      <c r="AN37" s="407" t="e">
        <f>IF(AND('Mapa final'!#REF!="Baja",'Mapa final'!#REF!="Catastrófico"),CONCATENATE("R",'Mapa final'!#REF!),"")</f>
        <v>#REF!</v>
      </c>
      <c r="AO37" s="408"/>
      <c r="AP37" s="68"/>
      <c r="AQ37" s="488"/>
      <c r="AR37" s="489"/>
      <c r="AS37" s="489"/>
      <c r="AT37" s="489"/>
      <c r="AU37" s="489"/>
      <c r="AV37" s="490"/>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56"/>
      <c r="E38" s="456"/>
      <c r="F38" s="457"/>
      <c r="G38" s="428"/>
      <c r="H38" s="429"/>
      <c r="I38" s="429"/>
      <c r="J38" s="429"/>
      <c r="K38" s="429"/>
      <c r="L38" s="388"/>
      <c r="M38" s="389"/>
      <c r="N38" s="389"/>
      <c r="O38" s="389"/>
      <c r="P38" s="389"/>
      <c r="Q38" s="390"/>
      <c r="R38" s="397"/>
      <c r="S38" s="398"/>
      <c r="T38" s="398"/>
      <c r="U38" s="398"/>
      <c r="V38" s="398"/>
      <c r="W38" s="399"/>
      <c r="X38" s="397"/>
      <c r="Y38" s="398"/>
      <c r="Z38" s="398"/>
      <c r="AA38" s="398"/>
      <c r="AB38" s="398"/>
      <c r="AC38" s="399"/>
      <c r="AD38" s="415"/>
      <c r="AE38" s="416"/>
      <c r="AF38" s="416"/>
      <c r="AG38" s="416"/>
      <c r="AH38" s="416"/>
      <c r="AI38" s="416"/>
      <c r="AJ38" s="406"/>
      <c r="AK38" s="407"/>
      <c r="AL38" s="407"/>
      <c r="AM38" s="407"/>
      <c r="AN38" s="407"/>
      <c r="AO38" s="408"/>
      <c r="AP38" s="68"/>
      <c r="AQ38" s="488"/>
      <c r="AR38" s="489"/>
      <c r="AS38" s="489"/>
      <c r="AT38" s="489"/>
      <c r="AU38" s="489"/>
      <c r="AV38" s="490"/>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56"/>
      <c r="E39" s="456"/>
      <c r="F39" s="457"/>
      <c r="G39" s="428"/>
      <c r="H39" s="429"/>
      <c r="I39" s="429"/>
      <c r="J39" s="429"/>
      <c r="K39" s="429"/>
      <c r="L39" s="388" t="e">
        <f>IF(AND('Mapa final'!#REF!="Baja",'Mapa final'!#REF!="Leve"),CONCATENATE("R",'Mapa final'!#REF!),"")</f>
        <v>#REF!</v>
      </c>
      <c r="M39" s="389"/>
      <c r="N39" s="389" t="e">
        <f>IF(AND('Mapa final'!#REF!="Baja",'Mapa final'!#REF!="Leve"),CONCATENATE("R",'Mapa final'!#REF!),"")</f>
        <v>#REF!</v>
      </c>
      <c r="O39" s="389"/>
      <c r="P39" s="389" t="str">
        <f>IF(AND('Mapa final'!$K$19="Baja",'Mapa final'!$O$19="Leve"),CONCATENATE("R",'Mapa final'!$A$19),"")</f>
        <v/>
      </c>
      <c r="Q39" s="390"/>
      <c r="R39" s="397" t="e">
        <f>IF(AND('Mapa final'!#REF!="Baja",'Mapa final'!#REF!="Menor"),CONCATENATE("R",'Mapa final'!#REF!),"")</f>
        <v>#REF!</v>
      </c>
      <c r="S39" s="398"/>
      <c r="T39" s="398" t="e">
        <f>IF(AND('Mapa final'!#REF!="Baja",'Mapa final'!#REF!="Menor"),CONCATENATE("R",'Mapa final'!#REF!),"")</f>
        <v>#REF!</v>
      </c>
      <c r="U39" s="398"/>
      <c r="V39" s="398" t="str">
        <f>IF(AND('Mapa final'!$P$19="Baja",'Mapa final'!$S$19="Menor"),CONCATENATE("R",'Mapa final'!$A$19),"")</f>
        <v/>
      </c>
      <c r="W39" s="399"/>
      <c r="X39" s="397" t="e">
        <f>IF(AND('Mapa final'!#REF!="Baja",'Mapa final'!#REF!="Moderado"),CONCATENATE("R",'Mapa final'!#REF!),"")</f>
        <v>#REF!</v>
      </c>
      <c r="Y39" s="398"/>
      <c r="Z39" s="398" t="e">
        <f>IF(AND('Mapa final'!#REF!="Baja",'Mapa final'!#REF!="Moderado"),CONCATENATE("R",'Mapa final'!#REF!),"")</f>
        <v>#REF!</v>
      </c>
      <c r="AA39" s="398"/>
      <c r="AB39" s="398" t="str">
        <f>IF(AND('Mapa final'!$P$19="Baja",'Mapa final'!$S$19="Moderado"),CONCATENATE("R",'Mapa final'!$A$19),"")</f>
        <v/>
      </c>
      <c r="AC39" s="399"/>
      <c r="AD39" s="415" t="e">
        <f>IF(AND('Mapa final'!#REF!="Baja",'Mapa final'!#REF!="Mayor"),CONCATENATE("R",'Mapa final'!#REF!),"")</f>
        <v>#REF!</v>
      </c>
      <c r="AE39" s="416"/>
      <c r="AF39" s="416" t="e">
        <f>IF(AND('Mapa final'!#REF!="Baja",'Mapa final'!#REF!="Mayor"),CONCATENATE("R",'Mapa final'!#REF!),"")</f>
        <v>#REF!</v>
      </c>
      <c r="AG39" s="416"/>
      <c r="AH39" s="416" t="str">
        <f>IF(AND('Mapa final'!$P$19="Baja",'Mapa final'!$S$19="Mayor"),CONCATENATE("R",'Mapa final'!$A$19),"")</f>
        <v/>
      </c>
      <c r="AI39" s="416"/>
      <c r="AJ39" s="406" t="e">
        <f>IF(AND('Mapa final'!#REF!="Baja",'Mapa final'!#REF!="Catastrófico"),CONCATENATE("R",'Mapa final'!#REF!),"")</f>
        <v>#REF!</v>
      </c>
      <c r="AK39" s="407"/>
      <c r="AL39" s="407" t="e">
        <f>IF(AND('Mapa final'!#REF!="Baja",'Mapa final'!#REF!="Catastrófico"),CONCATENATE("R",'Mapa final'!#REF!),"")</f>
        <v>#REF!</v>
      </c>
      <c r="AM39" s="407"/>
      <c r="AN39" s="407" t="str">
        <f>IF(AND('Mapa final'!$P$19="Baja",'Mapa final'!$S$19="Catastrófico"),CONCATENATE("R",'Mapa final'!$A$19),"")</f>
        <v/>
      </c>
      <c r="AO39" s="408"/>
      <c r="AP39" s="68"/>
      <c r="AQ39" s="488"/>
      <c r="AR39" s="489"/>
      <c r="AS39" s="489"/>
      <c r="AT39" s="489"/>
      <c r="AU39" s="489"/>
      <c r="AV39" s="490"/>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56"/>
      <c r="E40" s="456"/>
      <c r="F40" s="457"/>
      <c r="G40" s="428"/>
      <c r="H40" s="429"/>
      <c r="I40" s="429"/>
      <c r="J40" s="429"/>
      <c r="K40" s="429"/>
      <c r="L40" s="388"/>
      <c r="M40" s="389"/>
      <c r="N40" s="389"/>
      <c r="O40" s="389"/>
      <c r="P40" s="389"/>
      <c r="Q40" s="390"/>
      <c r="R40" s="397"/>
      <c r="S40" s="398"/>
      <c r="T40" s="398"/>
      <c r="U40" s="398"/>
      <c r="V40" s="398"/>
      <c r="W40" s="399"/>
      <c r="X40" s="397"/>
      <c r="Y40" s="398"/>
      <c r="Z40" s="398"/>
      <c r="AA40" s="398"/>
      <c r="AB40" s="398"/>
      <c r="AC40" s="399"/>
      <c r="AD40" s="415"/>
      <c r="AE40" s="416"/>
      <c r="AF40" s="416"/>
      <c r="AG40" s="416"/>
      <c r="AH40" s="416"/>
      <c r="AI40" s="416"/>
      <c r="AJ40" s="406"/>
      <c r="AK40" s="407"/>
      <c r="AL40" s="407"/>
      <c r="AM40" s="407"/>
      <c r="AN40" s="407"/>
      <c r="AO40" s="408"/>
      <c r="AP40" s="68"/>
      <c r="AQ40" s="488"/>
      <c r="AR40" s="489"/>
      <c r="AS40" s="489"/>
      <c r="AT40" s="489"/>
      <c r="AU40" s="489"/>
      <c r="AV40" s="490"/>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56"/>
      <c r="E41" s="456"/>
      <c r="F41" s="457"/>
      <c r="G41" s="428"/>
      <c r="H41" s="429"/>
      <c r="I41" s="429"/>
      <c r="J41" s="429"/>
      <c r="K41" s="429"/>
      <c r="L41" s="388" t="str">
        <f>IF(AND('Mapa final'!$P$20="Baja",'Mapa final'!$S$20="Leve"),CONCATENATE("R",'Mapa final'!$A$20),"")</f>
        <v/>
      </c>
      <c r="M41" s="389"/>
      <c r="N41" s="389" t="str">
        <f>IF(AND('Mapa final'!$K$21="Baja",'Mapa final'!$O$21="Leve"),CONCATENATE("R",'Mapa final'!$A$21),"")</f>
        <v/>
      </c>
      <c r="O41" s="389"/>
      <c r="P41" s="389" t="str">
        <f>IF(AND('Mapa final'!$K$22="Baja",'Mapa final'!$O$22="Leve"),CONCATENATE("R",'Mapa final'!$A$22),"")</f>
        <v/>
      </c>
      <c r="Q41" s="390"/>
      <c r="R41" s="397" t="str">
        <f>IF(AND('Mapa final'!$P$20="Baja",'Mapa final'!$S$20="Menor"),CONCATENATE("R",'Mapa final'!$A$20),"")</f>
        <v/>
      </c>
      <c r="S41" s="398"/>
      <c r="T41" s="398" t="str">
        <f>IF(AND('Mapa final'!$P$21="Baja",'Mapa final'!$S$21="Menor"),CONCATENATE("R",'Mapa final'!$A$21),"")</f>
        <v/>
      </c>
      <c r="U41" s="398"/>
      <c r="V41" s="398" t="str">
        <f>IF(AND('Mapa final'!$P$22="Baja",'Mapa final'!$S$22="Menor"),CONCATENATE("R",'Mapa final'!$A$22),"")</f>
        <v/>
      </c>
      <c r="W41" s="399"/>
      <c r="X41" s="397" t="str">
        <f>IF(AND('Mapa final'!$P$20="Baja",'Mapa final'!$S$20="Moderado"),CONCATENATE("R",'Mapa final'!$A$20),"")</f>
        <v/>
      </c>
      <c r="Y41" s="398"/>
      <c r="Z41" s="398" t="str">
        <f>IF(AND('Mapa final'!$P$21="Baja",'Mapa final'!$S$21="Moderado"),CONCATENATE("R",'Mapa final'!$A$21),"")</f>
        <v/>
      </c>
      <c r="AA41" s="398"/>
      <c r="AB41" s="398" t="str">
        <f>IF(AND('Mapa final'!$P$22="Baja",'Mapa final'!$S$22="Moderado"),CONCATENATE("R",'Mapa final'!$A$22),"")</f>
        <v/>
      </c>
      <c r="AC41" s="399"/>
      <c r="AD41" s="415" t="str">
        <f>IF(AND('Mapa final'!$P$20="Baja",'Mapa final'!$S$20="Mayor"),CONCATENATE("R",'Mapa final'!$A$20),"")</f>
        <v/>
      </c>
      <c r="AE41" s="416"/>
      <c r="AF41" s="416" t="str">
        <f>IF(AND('Mapa final'!$P$21="Baja",'Mapa final'!$S$21="Mayor"),CONCATENATE("R",'Mapa final'!$A$21),"")</f>
        <v/>
      </c>
      <c r="AG41" s="416"/>
      <c r="AH41" s="416" t="str">
        <f>IF(AND('Mapa final'!$P$22="Baja",'Mapa final'!$S$22="Mayor"),CONCATENATE("R",'Mapa final'!$A$22),"")</f>
        <v/>
      </c>
      <c r="AI41" s="416"/>
      <c r="AJ41" s="406" t="str">
        <f>IF(AND('Mapa final'!$P$20="Baja",'Mapa final'!$S$20="Catastrófico"),CONCATENATE("R",'Mapa final'!$A$20),"")</f>
        <v/>
      </c>
      <c r="AK41" s="407"/>
      <c r="AL41" s="407" t="str">
        <f>IF(AND('Mapa final'!$P$21="Baja",'Mapa final'!$S$21="Catastrófico"),CONCATENATE("R",'Mapa final'!$A$21),"")</f>
        <v/>
      </c>
      <c r="AM41" s="407"/>
      <c r="AN41" s="407" t="str">
        <f>IF(AND('Mapa final'!$P$22="Baja",'Mapa final'!$S$22="Catastrófico"),CONCATENATE("R",'Mapa final'!$A$22),"")</f>
        <v/>
      </c>
      <c r="AO41" s="408"/>
      <c r="AP41" s="68"/>
      <c r="AQ41" s="488"/>
      <c r="AR41" s="489"/>
      <c r="AS41" s="489"/>
      <c r="AT41" s="489"/>
      <c r="AU41" s="489"/>
      <c r="AV41" s="490"/>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56"/>
      <c r="E42" s="456"/>
      <c r="F42" s="457"/>
      <c r="G42" s="431"/>
      <c r="H42" s="432"/>
      <c r="I42" s="432"/>
      <c r="J42" s="432"/>
      <c r="K42" s="432"/>
      <c r="L42" s="396"/>
      <c r="M42" s="391"/>
      <c r="N42" s="391"/>
      <c r="O42" s="391"/>
      <c r="P42" s="391"/>
      <c r="Q42" s="392"/>
      <c r="R42" s="400"/>
      <c r="S42" s="401"/>
      <c r="T42" s="401"/>
      <c r="U42" s="401"/>
      <c r="V42" s="401"/>
      <c r="W42" s="402"/>
      <c r="X42" s="400"/>
      <c r="Y42" s="401"/>
      <c r="Z42" s="401"/>
      <c r="AA42" s="401"/>
      <c r="AB42" s="401"/>
      <c r="AC42" s="402"/>
      <c r="AD42" s="418"/>
      <c r="AE42" s="419"/>
      <c r="AF42" s="419"/>
      <c r="AG42" s="419"/>
      <c r="AH42" s="419"/>
      <c r="AI42" s="419"/>
      <c r="AJ42" s="409"/>
      <c r="AK42" s="410"/>
      <c r="AL42" s="410"/>
      <c r="AM42" s="410"/>
      <c r="AN42" s="410"/>
      <c r="AO42" s="411"/>
      <c r="AP42" s="68"/>
      <c r="AQ42" s="491"/>
      <c r="AR42" s="492"/>
      <c r="AS42" s="492"/>
      <c r="AT42" s="492"/>
      <c r="AU42" s="492"/>
      <c r="AV42" s="493"/>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56"/>
      <c r="E43" s="456"/>
      <c r="F43" s="457"/>
      <c r="G43" s="424" t="s">
        <v>261</v>
      </c>
      <c r="H43" s="426"/>
      <c r="I43" s="426"/>
      <c r="J43" s="426"/>
      <c r="K43" s="426"/>
      <c r="L43" s="393"/>
      <c r="M43" s="394"/>
      <c r="N43" s="394" t="str">
        <f>IF(AND('Mapa final'!$K$15="Muy Baja",'Mapa final'!$O$15="Leve"),CONCATENATE("R",'Mapa final'!$A$17),"")</f>
        <v/>
      </c>
      <c r="O43" s="394"/>
      <c r="P43" s="394" t="str">
        <f>IF(AND('Mapa final'!$K$18="Muy Baja",'Mapa final'!$O$18="Leve"),CONCATENATE("R",'Mapa final'!$A$18),"")</f>
        <v/>
      </c>
      <c r="Q43" s="395"/>
      <c r="R43" s="393"/>
      <c r="S43" s="394"/>
      <c r="T43" s="394" t="str">
        <f>IF(AND('Mapa final'!$P$15="Muy Baja",'Mapa final'!$S$15="Menor"),CONCATENATE("R",'Mapa final'!$A$17),"")</f>
        <v/>
      </c>
      <c r="U43" s="394"/>
      <c r="V43" s="394" t="str">
        <f>IF(AND('Mapa final'!$P$18="Muy Baja",'Mapa final'!$S$18="Menor"),CONCATENATE("R",'Mapa final'!$A$18),"")</f>
        <v/>
      </c>
      <c r="W43" s="395"/>
      <c r="X43" s="403"/>
      <c r="Y43" s="404"/>
      <c r="Z43" s="404" t="str">
        <f>IF(AND('Mapa final'!P$15="Muy Baja",'Mapa final'!$S$15="Moderado"),CONCATENATE("R",'Mapa final'!$D$15),"")</f>
        <v/>
      </c>
      <c r="AA43" s="404"/>
      <c r="AB43" s="404" t="str">
        <f>IF(AND('Mapa final'!$P$18="Muy Baja",'Mapa final'!$S$18="Moderado"),CONCATENATE("R",'Mapa final'!$A$18),"")</f>
        <v/>
      </c>
      <c r="AC43" s="405"/>
      <c r="AD43" s="421"/>
      <c r="AE43" s="422"/>
      <c r="AF43" s="422" t="str">
        <f>IF(AND('Mapa final'!$P$15="Muy Baja",'Mapa final'!$S$15="Mayor"),CONCATENATE("R",'Mapa final'!$A$17),"")</f>
        <v/>
      </c>
      <c r="AG43" s="422"/>
      <c r="AH43" s="422" t="str">
        <f>IF(AND('Mapa final'!$P$18="Muy Baja",'Mapa final'!$S$18="Mayor"),CONCATENATE("R",'Mapa final'!$D$18),"")</f>
        <v/>
      </c>
      <c r="AI43" s="423"/>
      <c r="AJ43" s="406"/>
      <c r="AK43" s="407"/>
      <c r="AL43" s="407" t="str">
        <f>IF(AND('Mapa final'!$P$15="Muy Baja",'Mapa final'!$S$15="Catastrófico"),CONCATENATE("R",'Mapa final'!$D$15),"")</f>
        <v/>
      </c>
      <c r="AM43" s="407"/>
      <c r="AN43" s="407" t="str">
        <f>IF(AND('Mapa final'!$P$18="Muy Baja",'Mapa final'!$S$18="Catastrófico"),CONCATENATE("R",'Mapa final'!$A$18),"")</f>
        <v/>
      </c>
      <c r="AO43" s="40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56"/>
      <c r="E44" s="456"/>
      <c r="F44" s="457"/>
      <c r="G44" s="428"/>
      <c r="H44" s="429"/>
      <c r="I44" s="429"/>
      <c r="J44" s="429"/>
      <c r="K44" s="429"/>
      <c r="L44" s="388"/>
      <c r="M44" s="389"/>
      <c r="N44" s="389"/>
      <c r="O44" s="389"/>
      <c r="P44" s="389"/>
      <c r="Q44" s="390"/>
      <c r="R44" s="388"/>
      <c r="S44" s="389"/>
      <c r="T44" s="389"/>
      <c r="U44" s="389"/>
      <c r="V44" s="389"/>
      <c r="W44" s="390"/>
      <c r="X44" s="397"/>
      <c r="Y44" s="398"/>
      <c r="Z44" s="398"/>
      <c r="AA44" s="398"/>
      <c r="AB44" s="398"/>
      <c r="AC44" s="399"/>
      <c r="AD44" s="415"/>
      <c r="AE44" s="416"/>
      <c r="AF44" s="416"/>
      <c r="AG44" s="416"/>
      <c r="AH44" s="416"/>
      <c r="AI44" s="417"/>
      <c r="AJ44" s="406"/>
      <c r="AK44" s="407"/>
      <c r="AL44" s="407"/>
      <c r="AM44" s="407"/>
      <c r="AN44" s="407"/>
      <c r="AO44" s="40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56"/>
      <c r="E45" s="456"/>
      <c r="F45" s="457"/>
      <c r="G45" s="428"/>
      <c r="H45" s="429"/>
      <c r="I45" s="429"/>
      <c r="J45" s="429"/>
      <c r="K45" s="429"/>
      <c r="L45" s="388" t="e">
        <f>IF(AND('Mapa final'!#REF!="Muy Baja",'Mapa final'!#REF!="Leve"),CONCATENATE("R",'Mapa final'!#REF!),"")</f>
        <v>#REF!</v>
      </c>
      <c r="M45" s="389"/>
      <c r="N45" s="389" t="e">
        <f>IF(AND('Mapa final'!#REF!="Muy Baja",'Mapa final'!#REF!="Leve"),CONCATENATE("R",'Mapa final'!#REF!),"")</f>
        <v>#REF!</v>
      </c>
      <c r="O45" s="389"/>
      <c r="P45" s="389" t="e">
        <f>IF(AND('Mapa final'!#REF!="Muy Baja",'Mapa final'!#REF!="Leve"),CONCATENATE("R",'Mapa final'!#REF!),"")</f>
        <v>#REF!</v>
      </c>
      <c r="Q45" s="390"/>
      <c r="R45" s="388" t="e">
        <f>IF(AND('Mapa final'!#REF!="Muy Baja",'Mapa final'!#REF!="Menor"),CONCATENATE("R",'Mapa final'!#REF!),"")</f>
        <v>#REF!</v>
      </c>
      <c r="S45" s="389"/>
      <c r="T45" s="389" t="e">
        <f>IF(AND('Mapa final'!#REF!="Muy Baja",'Mapa final'!#REF!="Menor"),CONCATENATE("R",'Mapa final'!#REF!),"")</f>
        <v>#REF!</v>
      </c>
      <c r="U45" s="389"/>
      <c r="V45" s="389" t="e">
        <f>IF(AND('Mapa final'!#REF!="Muy Baja",'Mapa final'!#REF!="Menor"),CONCATENATE("R",'Mapa final'!#REF!),"")</f>
        <v>#REF!</v>
      </c>
      <c r="W45" s="390"/>
      <c r="X45" s="397" t="e">
        <f>IF(AND('Mapa final'!#REF!="Muy Baja",'Mapa final'!#REF!="Moderado"),CONCATENATE("R",'Mapa final'!#REF!),"")</f>
        <v>#REF!</v>
      </c>
      <c r="Y45" s="398"/>
      <c r="Z45" s="398" t="e">
        <f>IF(AND('Mapa final'!#REF!="Muy Baja",'Mapa final'!#REF!="Moderado"),CONCATENATE("R",'Mapa final'!#REF!),"")</f>
        <v>#REF!</v>
      </c>
      <c r="AA45" s="398"/>
      <c r="AB45" s="398" t="e">
        <f>IF(AND('Mapa final'!#REF!="Muy Baja",'Mapa final'!#REF!="Moderado"),CONCATENATE("R",'Mapa final'!#REF!),"")</f>
        <v>#REF!</v>
      </c>
      <c r="AC45" s="399"/>
      <c r="AD45" s="415" t="e">
        <f>IF(AND('Mapa final'!#REF!="Muy Baja",'Mapa final'!#REF!="Mayor"),CONCATENATE("R",'Mapa final'!#REF!),"")</f>
        <v>#REF!</v>
      </c>
      <c r="AE45" s="416"/>
      <c r="AF45" s="416" t="e">
        <f>IF(AND('Mapa final'!#REF!="Muy Baja",'Mapa final'!#REF!="Mayor"),CONCATENATE("R",'Mapa final'!#REF!),"")</f>
        <v>#REF!</v>
      </c>
      <c r="AG45" s="416"/>
      <c r="AH45" s="416" t="e">
        <f>IF(AND('Mapa final'!#REF!="Muy Baja",'Mapa final'!#REF!="Mayor"),CONCATENATE("R",'Mapa final'!#REF!),"")</f>
        <v>#REF!</v>
      </c>
      <c r="AI45" s="417"/>
      <c r="AJ45" s="406" t="e">
        <f>IF(AND('Mapa final'!#REF!="Muy Baja",'Mapa final'!#REF!="Catastrófico"),CONCATENATE("R",'Mapa final'!#REF!),"")</f>
        <v>#REF!</v>
      </c>
      <c r="AK45" s="407"/>
      <c r="AL45" s="407" t="e">
        <f>IF(AND('Mapa final'!#REF!="Muy Baja",'Mapa final'!#REF!="Catastrófico"),CONCATENATE("R",'Mapa final'!#REF!),"")</f>
        <v>#REF!</v>
      </c>
      <c r="AM45" s="407"/>
      <c r="AN45" s="407" t="e">
        <f>IF(AND('Mapa final'!#REF!="Muy Baja",'Mapa final'!#REF!="Catastrófico"),CONCATENATE("R",'Mapa final'!#REF!),"")</f>
        <v>#REF!</v>
      </c>
      <c r="AO45" s="40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56"/>
      <c r="E46" s="456"/>
      <c r="F46" s="457"/>
      <c r="G46" s="428"/>
      <c r="H46" s="429"/>
      <c r="I46" s="429"/>
      <c r="J46" s="429"/>
      <c r="K46" s="429"/>
      <c r="L46" s="388"/>
      <c r="M46" s="389"/>
      <c r="N46" s="389"/>
      <c r="O46" s="389"/>
      <c r="P46" s="389"/>
      <c r="Q46" s="390"/>
      <c r="R46" s="388"/>
      <c r="S46" s="389"/>
      <c r="T46" s="389"/>
      <c r="U46" s="389"/>
      <c r="V46" s="389"/>
      <c r="W46" s="390"/>
      <c r="X46" s="397"/>
      <c r="Y46" s="398"/>
      <c r="Z46" s="398"/>
      <c r="AA46" s="398"/>
      <c r="AB46" s="398"/>
      <c r="AC46" s="399"/>
      <c r="AD46" s="415"/>
      <c r="AE46" s="416"/>
      <c r="AF46" s="416"/>
      <c r="AG46" s="416"/>
      <c r="AH46" s="416"/>
      <c r="AI46" s="417"/>
      <c r="AJ46" s="406"/>
      <c r="AK46" s="407"/>
      <c r="AL46" s="407"/>
      <c r="AM46" s="407"/>
      <c r="AN46" s="407"/>
      <c r="AO46" s="40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56"/>
      <c r="E47" s="456"/>
      <c r="F47" s="457"/>
      <c r="G47" s="428"/>
      <c r="H47" s="429"/>
      <c r="I47" s="429"/>
      <c r="J47" s="429"/>
      <c r="K47" s="429"/>
      <c r="L47" s="388" t="e">
        <f>IF(AND('Mapa final'!#REF!="Muy Baja",'Mapa final'!#REF!="Leve"),CONCATENATE("R",'Mapa final'!#REF!),"")</f>
        <v>#REF!</v>
      </c>
      <c r="M47" s="389"/>
      <c r="N47" s="389" t="e">
        <f>IF(AND('Mapa final'!#REF!="Muy Baja",'Mapa final'!#REF!="Leve"),CONCATENATE("R",'Mapa final'!#REF!),"")</f>
        <v>#REF!</v>
      </c>
      <c r="O47" s="389"/>
      <c r="P47" s="389" t="str">
        <f>IF(AND('Mapa final'!$K$19="Muy Baja",'Mapa final'!$O$19="Leve"),CONCATENATE("R",'Mapa final'!$A$19),"")</f>
        <v/>
      </c>
      <c r="Q47" s="390"/>
      <c r="R47" s="388" t="e">
        <f>IF(AND('Mapa final'!#REF!="Muy Baja",'Mapa final'!#REF!="Menor"),CONCATENATE("R",'Mapa final'!#REF!),"")</f>
        <v>#REF!</v>
      </c>
      <c r="S47" s="389"/>
      <c r="T47" s="389" t="e">
        <f>IF(AND('Mapa final'!#REF!="Muy Baja",'Mapa final'!#REF!="Menor"),CONCATENATE("R",'Mapa final'!#REF!),"")</f>
        <v>#REF!</v>
      </c>
      <c r="U47" s="389"/>
      <c r="V47" s="389" t="str">
        <f>IF(AND('Mapa final'!$P$19="Muy Baja",'Mapa final'!$S$19="Menor"),CONCATENATE("R",'Mapa final'!$A$19),"")</f>
        <v/>
      </c>
      <c r="W47" s="390"/>
      <c r="X47" s="397" t="e">
        <f>IF(AND('Mapa final'!#REF!="Muy Baja",'Mapa final'!#REF!="Moderado"),CONCATENATE("R",'Mapa final'!#REF!),"")</f>
        <v>#REF!</v>
      </c>
      <c r="Y47" s="398"/>
      <c r="Z47" s="398" t="e">
        <f>IF(AND('Mapa final'!#REF!="Muy Baja",'Mapa final'!#REF!="Moderado"),CONCATENATE("R",'Mapa final'!#REF!),"")</f>
        <v>#REF!</v>
      </c>
      <c r="AA47" s="398"/>
      <c r="AB47" s="398" t="str">
        <f>IF(AND('Mapa final'!$P$19="Muy Baja",'Mapa final'!$S$19="Moderado"),CONCATENATE("R",'Mapa final'!$A$19),"")</f>
        <v/>
      </c>
      <c r="AC47" s="399"/>
      <c r="AD47" s="415" t="e">
        <f>IF(AND('Mapa final'!#REF!="Muy Baja",'Mapa final'!#REF!="Mayor"),CONCATENATE("R",'Mapa final'!#REF!),"")</f>
        <v>#REF!</v>
      </c>
      <c r="AE47" s="416"/>
      <c r="AF47" s="416" t="e">
        <f>IF(AND('Mapa final'!#REF!="Muy Baja",'Mapa final'!#REF!="Mayor"),CONCATENATE("R",'Mapa final'!#REF!),"")</f>
        <v>#REF!</v>
      </c>
      <c r="AG47" s="416"/>
      <c r="AH47" s="416" t="str">
        <f>IF(AND('Mapa final'!$P$19="Muy Baja",'Mapa final'!$S$19="Mayor"),CONCATENATE("R",'Mapa final'!$A$19),"")</f>
        <v/>
      </c>
      <c r="AI47" s="417"/>
      <c r="AJ47" s="406" t="e">
        <f>IF(AND('Mapa final'!#REF!="Muy Baja",'Mapa final'!#REF!="Catastrófico"),CONCATENATE("R",'Mapa final'!#REF!),"")</f>
        <v>#REF!</v>
      </c>
      <c r="AK47" s="407"/>
      <c r="AL47" s="407" t="e">
        <f>IF(AND('Mapa final'!#REF!="Muy Baja",'Mapa final'!#REF!="Catastrófico"),CONCATENATE("R",'Mapa final'!#REF!),"")</f>
        <v>#REF!</v>
      </c>
      <c r="AM47" s="407"/>
      <c r="AN47" s="407" t="str">
        <f>IF(AND('Mapa final'!$P$19="Muy Baja",'Mapa final'!$S$19="Catastrófico"),CONCATENATE("R",'Mapa final'!$A$19),"")</f>
        <v/>
      </c>
      <c r="AO47" s="40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56"/>
      <c r="E48" s="456"/>
      <c r="F48" s="457"/>
      <c r="G48" s="428"/>
      <c r="H48" s="429"/>
      <c r="I48" s="429"/>
      <c r="J48" s="429"/>
      <c r="K48" s="429"/>
      <c r="L48" s="388"/>
      <c r="M48" s="389"/>
      <c r="N48" s="389"/>
      <c r="O48" s="389"/>
      <c r="P48" s="389"/>
      <c r="Q48" s="390"/>
      <c r="R48" s="388"/>
      <c r="S48" s="389"/>
      <c r="T48" s="389"/>
      <c r="U48" s="389"/>
      <c r="V48" s="389"/>
      <c r="W48" s="390"/>
      <c r="X48" s="397"/>
      <c r="Y48" s="398"/>
      <c r="Z48" s="398"/>
      <c r="AA48" s="398"/>
      <c r="AB48" s="398"/>
      <c r="AC48" s="399"/>
      <c r="AD48" s="415"/>
      <c r="AE48" s="416"/>
      <c r="AF48" s="416"/>
      <c r="AG48" s="416"/>
      <c r="AH48" s="416"/>
      <c r="AI48" s="417"/>
      <c r="AJ48" s="406"/>
      <c r="AK48" s="407"/>
      <c r="AL48" s="407"/>
      <c r="AM48" s="407"/>
      <c r="AN48" s="407"/>
      <c r="AO48" s="40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56"/>
      <c r="E49" s="456"/>
      <c r="F49" s="457"/>
      <c r="G49" s="428"/>
      <c r="H49" s="429"/>
      <c r="I49" s="429"/>
      <c r="J49" s="429"/>
      <c r="K49" s="429"/>
      <c r="L49" s="388" t="str">
        <f>IF(AND('Mapa final'!$P$20="Muy Baja",'Mapa final'!$S$20="Leve"),CONCATENATE("R",'Mapa final'!$A$20),"")</f>
        <v/>
      </c>
      <c r="M49" s="389"/>
      <c r="N49" s="389" t="str">
        <f>IF(AND('Mapa final'!$K$21="Muy Baja",'Mapa final'!$O$21="Leve"),CONCATENATE("R",'Mapa final'!$A$21),"")</f>
        <v/>
      </c>
      <c r="O49" s="389"/>
      <c r="P49" s="389" t="str">
        <f>IF(AND('Mapa final'!$K$22="Muy Baja",'Mapa final'!$O$22="Leve"),CONCATENATE("R",'Mapa final'!$A$22),"")</f>
        <v/>
      </c>
      <c r="Q49" s="390"/>
      <c r="R49" s="389" t="str">
        <f>IF(AND('Mapa final'!$P$20="Muy Baja",'Mapa final'!$S$20="Menor"),CONCATENATE("R",'Mapa final'!$A$20),"")</f>
        <v/>
      </c>
      <c r="S49" s="389"/>
      <c r="T49" s="389" t="str">
        <f>IF(AND('Mapa final'!$P$21="Muy Baja",'Mapa final'!$S$21="Menor"),CONCATENATE("R",'Mapa final'!$A$21),"")</f>
        <v/>
      </c>
      <c r="U49" s="389"/>
      <c r="V49" s="389" t="str">
        <f>IF(AND('Mapa final'!$P$22="Muy Baja",'Mapa final'!$S$22="Menor"),CONCATENATE("R",'Mapa final'!$A$22),"")</f>
        <v/>
      </c>
      <c r="W49" s="390"/>
      <c r="X49" s="397" t="str">
        <f>IF(AND('Mapa final'!$P$20="Muy Baja",'Mapa final'!$S$20="Moderado"),CONCATENATE("R",'Mapa final'!$A$20),"")</f>
        <v/>
      </c>
      <c r="Y49" s="398"/>
      <c r="Z49" s="398" t="str">
        <f>IF(AND('Mapa final'!$P$21="Muy Baja",'Mapa final'!$S$21="Moderado"),CONCATENATE("R",'Mapa final'!$A$21),"")</f>
        <v/>
      </c>
      <c r="AA49" s="398"/>
      <c r="AB49" s="398" t="str">
        <f>IF(AND('Mapa final'!$P$22="Muy Baja",'Mapa final'!$S$22="Moderado"),CONCATENATE("R",'Mapa final'!$A$22),"")</f>
        <v/>
      </c>
      <c r="AC49" s="399"/>
      <c r="AD49" s="415" t="str">
        <f>IF(AND('Mapa final'!$P$20="Muy Baja",'Mapa final'!$S$20="Mayor"),CONCATENATE("R",'Mapa final'!$A$20),"")</f>
        <v/>
      </c>
      <c r="AE49" s="416"/>
      <c r="AF49" s="416" t="str">
        <f>IF(AND('Mapa final'!$P$21="Muy Baja",'Mapa final'!$S$21="Mayor"),CONCATENATE("R",'Mapa final'!$A$21),"")</f>
        <v/>
      </c>
      <c r="AG49" s="416"/>
      <c r="AH49" s="416" t="str">
        <f>IF(AND('Mapa final'!$P$22="Muy Baja",'Mapa final'!$S$22="Mayor"),CONCATENATE("R",'Mapa final'!$A$22),"")</f>
        <v/>
      </c>
      <c r="AI49" s="417"/>
      <c r="AJ49" s="406" t="str">
        <f>IF(AND('Mapa final'!$P$20="Muy Baja",'Mapa final'!$S$20="Catastrófico"),CONCATENATE("R",'Mapa final'!$A$20),"")</f>
        <v/>
      </c>
      <c r="AK49" s="407"/>
      <c r="AL49" s="407" t="str">
        <f>IF(AND('Mapa final'!$P$21="Muy Baja",'Mapa final'!$S$21="Catastrófico"),CONCATENATE("R",'Mapa final'!$A$21),"")</f>
        <v/>
      </c>
      <c r="AM49" s="407"/>
      <c r="AN49" s="407" t="str">
        <f>IF(AND('Mapa final'!$P$22="Muy Baja",'Mapa final'!$S$22="Catastrófico"),CONCATENATE("R",'Mapa final'!$A$22),"")</f>
        <v/>
      </c>
      <c r="AO49" s="40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56"/>
      <c r="E50" s="456"/>
      <c r="F50" s="457"/>
      <c r="G50" s="431"/>
      <c r="H50" s="432"/>
      <c r="I50" s="432"/>
      <c r="J50" s="432"/>
      <c r="K50" s="432"/>
      <c r="L50" s="396"/>
      <c r="M50" s="391"/>
      <c r="N50" s="391"/>
      <c r="O50" s="391"/>
      <c r="P50" s="391"/>
      <c r="Q50" s="392"/>
      <c r="R50" s="391"/>
      <c r="S50" s="391"/>
      <c r="T50" s="391"/>
      <c r="U50" s="391"/>
      <c r="V50" s="391"/>
      <c r="W50" s="392"/>
      <c r="X50" s="400"/>
      <c r="Y50" s="401"/>
      <c r="Z50" s="401"/>
      <c r="AA50" s="401"/>
      <c r="AB50" s="401"/>
      <c r="AC50" s="402"/>
      <c r="AD50" s="418"/>
      <c r="AE50" s="419"/>
      <c r="AF50" s="419"/>
      <c r="AG50" s="419"/>
      <c r="AH50" s="419"/>
      <c r="AI50" s="420"/>
      <c r="AJ50" s="409"/>
      <c r="AK50" s="410"/>
      <c r="AL50" s="410"/>
      <c r="AM50" s="410"/>
      <c r="AN50" s="410"/>
      <c r="AO50" s="411"/>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434" t="s">
        <v>262</v>
      </c>
      <c r="M51" s="429"/>
      <c r="N51" s="429"/>
      <c r="O51" s="429"/>
      <c r="P51" s="429"/>
      <c r="Q51" s="430"/>
      <c r="R51" s="424" t="s">
        <v>263</v>
      </c>
      <c r="S51" s="426"/>
      <c r="T51" s="426"/>
      <c r="U51" s="426"/>
      <c r="V51" s="426"/>
      <c r="W51" s="427"/>
      <c r="X51" s="424" t="s">
        <v>264</v>
      </c>
      <c r="Y51" s="426"/>
      <c r="Z51" s="426"/>
      <c r="AA51" s="426"/>
      <c r="AB51" s="426"/>
      <c r="AC51" s="427"/>
      <c r="AD51" s="424" t="s">
        <v>265</v>
      </c>
      <c r="AE51" s="425"/>
      <c r="AF51" s="426"/>
      <c r="AG51" s="426"/>
      <c r="AH51" s="426"/>
      <c r="AI51" s="427"/>
      <c r="AJ51" s="424" t="s">
        <v>266</v>
      </c>
      <c r="AK51" s="426"/>
      <c r="AL51" s="426"/>
      <c r="AM51" s="426"/>
      <c r="AN51" s="426"/>
      <c r="AO51" s="427"/>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28"/>
      <c r="M52" s="429"/>
      <c r="N52" s="429"/>
      <c r="O52" s="429"/>
      <c r="P52" s="429"/>
      <c r="Q52" s="430"/>
      <c r="R52" s="428"/>
      <c r="S52" s="429"/>
      <c r="T52" s="429"/>
      <c r="U52" s="429"/>
      <c r="V52" s="429"/>
      <c r="W52" s="430"/>
      <c r="X52" s="428"/>
      <c r="Y52" s="429"/>
      <c r="Z52" s="429"/>
      <c r="AA52" s="429"/>
      <c r="AB52" s="429"/>
      <c r="AC52" s="430"/>
      <c r="AD52" s="428"/>
      <c r="AE52" s="429"/>
      <c r="AF52" s="429"/>
      <c r="AG52" s="429"/>
      <c r="AH52" s="429"/>
      <c r="AI52" s="430"/>
      <c r="AJ52" s="428"/>
      <c r="AK52" s="429"/>
      <c r="AL52" s="429"/>
      <c r="AM52" s="429"/>
      <c r="AN52" s="429"/>
      <c r="AO52" s="430"/>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28"/>
      <c r="M53" s="429"/>
      <c r="N53" s="429"/>
      <c r="O53" s="429"/>
      <c r="P53" s="429"/>
      <c r="Q53" s="430"/>
      <c r="R53" s="428"/>
      <c r="S53" s="429"/>
      <c r="T53" s="429"/>
      <c r="U53" s="429"/>
      <c r="V53" s="429"/>
      <c r="W53" s="430"/>
      <c r="X53" s="428"/>
      <c r="Y53" s="429"/>
      <c r="Z53" s="429"/>
      <c r="AA53" s="429"/>
      <c r="AB53" s="429"/>
      <c r="AC53" s="430"/>
      <c r="AD53" s="428"/>
      <c r="AE53" s="429"/>
      <c r="AF53" s="429"/>
      <c r="AG53" s="429"/>
      <c r="AH53" s="429"/>
      <c r="AI53" s="430"/>
      <c r="AJ53" s="428"/>
      <c r="AK53" s="429"/>
      <c r="AL53" s="429"/>
      <c r="AM53" s="429"/>
      <c r="AN53" s="429"/>
      <c r="AO53" s="430"/>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28"/>
      <c r="M54" s="429"/>
      <c r="N54" s="429"/>
      <c r="O54" s="429"/>
      <c r="P54" s="429"/>
      <c r="Q54" s="430"/>
      <c r="R54" s="428"/>
      <c r="S54" s="429"/>
      <c r="T54" s="429"/>
      <c r="U54" s="429"/>
      <c r="V54" s="429"/>
      <c r="W54" s="430"/>
      <c r="X54" s="428"/>
      <c r="Y54" s="429"/>
      <c r="Z54" s="429"/>
      <c r="AA54" s="429"/>
      <c r="AB54" s="429"/>
      <c r="AC54" s="430"/>
      <c r="AD54" s="428"/>
      <c r="AE54" s="429"/>
      <c r="AF54" s="429"/>
      <c r="AG54" s="429"/>
      <c r="AH54" s="429"/>
      <c r="AI54" s="430"/>
      <c r="AJ54" s="428"/>
      <c r="AK54" s="429"/>
      <c r="AL54" s="429"/>
      <c r="AM54" s="429"/>
      <c r="AN54" s="429"/>
      <c r="AO54" s="430"/>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28"/>
      <c r="M55" s="429"/>
      <c r="N55" s="429"/>
      <c r="O55" s="429"/>
      <c r="P55" s="429"/>
      <c r="Q55" s="430"/>
      <c r="R55" s="428"/>
      <c r="S55" s="429"/>
      <c r="T55" s="429"/>
      <c r="U55" s="429"/>
      <c r="V55" s="429"/>
      <c r="W55" s="430"/>
      <c r="X55" s="428"/>
      <c r="Y55" s="429"/>
      <c r="Z55" s="429"/>
      <c r="AA55" s="429"/>
      <c r="AB55" s="429"/>
      <c r="AC55" s="430"/>
      <c r="AD55" s="428"/>
      <c r="AE55" s="429"/>
      <c r="AF55" s="429"/>
      <c r="AG55" s="429"/>
      <c r="AH55" s="429"/>
      <c r="AI55" s="430"/>
      <c r="AJ55" s="428"/>
      <c r="AK55" s="429"/>
      <c r="AL55" s="429"/>
      <c r="AM55" s="429"/>
      <c r="AN55" s="429"/>
      <c r="AO55" s="430"/>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6" thickBot="1">
      <c r="C56" s="68"/>
      <c r="D56" s="68"/>
      <c r="E56" s="68"/>
      <c r="F56" s="68"/>
      <c r="G56" s="68"/>
      <c r="H56" s="68"/>
      <c r="I56" s="68"/>
      <c r="J56" s="68"/>
      <c r="K56" s="68"/>
      <c r="L56" s="431"/>
      <c r="M56" s="432"/>
      <c r="N56" s="432"/>
      <c r="O56" s="432"/>
      <c r="P56" s="432"/>
      <c r="Q56" s="433"/>
      <c r="R56" s="431"/>
      <c r="S56" s="432"/>
      <c r="T56" s="432"/>
      <c r="U56" s="432"/>
      <c r="V56" s="432"/>
      <c r="W56" s="433"/>
      <c r="X56" s="431"/>
      <c r="Y56" s="432"/>
      <c r="Z56" s="432"/>
      <c r="AA56" s="432"/>
      <c r="AB56" s="432"/>
      <c r="AC56" s="433"/>
      <c r="AD56" s="431"/>
      <c r="AE56" s="432"/>
      <c r="AF56" s="432"/>
      <c r="AG56" s="432"/>
      <c r="AH56" s="432"/>
      <c r="AI56" s="433"/>
      <c r="AJ56" s="431"/>
      <c r="AK56" s="432"/>
      <c r="AL56" s="432"/>
      <c r="AM56" s="432"/>
      <c r="AN56" s="432"/>
      <c r="AO56" s="433"/>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267</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47:AE48"/>
    <mergeCell ref="AF47:AG48"/>
    <mergeCell ref="AH47:AI48"/>
    <mergeCell ref="AD49:AE50"/>
    <mergeCell ref="AF49:AG50"/>
    <mergeCell ref="AH49:AI50"/>
    <mergeCell ref="AD43:AE44"/>
    <mergeCell ref="AF43:AG44"/>
    <mergeCell ref="AH43:AI44"/>
    <mergeCell ref="AD45:AE46"/>
    <mergeCell ref="AF45:AG46"/>
    <mergeCell ref="AH45:AI46"/>
    <mergeCell ref="AJ15:AK16"/>
    <mergeCell ref="AL15:AM16"/>
    <mergeCell ref="AN15:AO16"/>
    <mergeCell ref="AJ17:AK18"/>
    <mergeCell ref="AL17:AM18"/>
    <mergeCell ref="AN17:AO18"/>
    <mergeCell ref="AJ11:AK12"/>
    <mergeCell ref="AL11:AM12"/>
    <mergeCell ref="AN11:AO12"/>
    <mergeCell ref="AJ13:AK14"/>
    <mergeCell ref="AL13:AM14"/>
    <mergeCell ref="AN13:AO14"/>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47:AK48"/>
    <mergeCell ref="AL47:AM48"/>
    <mergeCell ref="AN47:AO48"/>
    <mergeCell ref="AJ49:AK50"/>
    <mergeCell ref="AL49:AM50"/>
    <mergeCell ref="AN49:AO50"/>
    <mergeCell ref="AJ43:AK44"/>
    <mergeCell ref="AL43:AM44"/>
    <mergeCell ref="AN43:AO44"/>
    <mergeCell ref="AJ45:AK46"/>
    <mergeCell ref="AL45:AM46"/>
    <mergeCell ref="AN45:AO46"/>
    <mergeCell ref="P23:Q24"/>
    <mergeCell ref="L25:M26"/>
    <mergeCell ref="N25:O26"/>
    <mergeCell ref="P25:Q26"/>
    <mergeCell ref="L19:M20"/>
    <mergeCell ref="N19:O20"/>
    <mergeCell ref="P19:Q20"/>
    <mergeCell ref="L21:M22"/>
    <mergeCell ref="N21:O22"/>
    <mergeCell ref="P21:Q22"/>
    <mergeCell ref="R23:S24"/>
    <mergeCell ref="T23:U24"/>
    <mergeCell ref="V23:W24"/>
    <mergeCell ref="R25:S26"/>
    <mergeCell ref="T25:U26"/>
    <mergeCell ref="V25:W26"/>
    <mergeCell ref="R19:S20"/>
    <mergeCell ref="T19:U20"/>
    <mergeCell ref="V19:W20"/>
    <mergeCell ref="R21:S22"/>
    <mergeCell ref="T21:U22"/>
    <mergeCell ref="V21:W22"/>
    <mergeCell ref="L31:M32"/>
    <mergeCell ref="N31:O32"/>
    <mergeCell ref="P31:Q32"/>
    <mergeCell ref="L33:M34"/>
    <mergeCell ref="N33:O34"/>
    <mergeCell ref="P33:Q34"/>
    <mergeCell ref="L27:M28"/>
    <mergeCell ref="N27:O28"/>
    <mergeCell ref="P27:Q28"/>
    <mergeCell ref="L29:M30"/>
    <mergeCell ref="N29:O30"/>
    <mergeCell ref="P29:Q30"/>
    <mergeCell ref="R31:S32"/>
    <mergeCell ref="T31:U32"/>
    <mergeCell ref="V31:W32"/>
    <mergeCell ref="R33:S34"/>
    <mergeCell ref="T33:U34"/>
    <mergeCell ref="V33:W34"/>
    <mergeCell ref="R27:S28"/>
    <mergeCell ref="T27:U28"/>
    <mergeCell ref="V27:W28"/>
    <mergeCell ref="R29:S30"/>
    <mergeCell ref="T29:U30"/>
    <mergeCell ref="V29:W30"/>
    <mergeCell ref="X31:Y32"/>
    <mergeCell ref="Z31:AA32"/>
    <mergeCell ref="AB31:AC32"/>
    <mergeCell ref="X33:Y34"/>
    <mergeCell ref="Z33:AA34"/>
    <mergeCell ref="AB33:AC34"/>
    <mergeCell ref="X27:Y28"/>
    <mergeCell ref="Z27:AA28"/>
    <mergeCell ref="AB27:AC28"/>
    <mergeCell ref="X29:Y30"/>
    <mergeCell ref="Z29:AA30"/>
    <mergeCell ref="AB29:AC30"/>
    <mergeCell ref="X39:Y40"/>
    <mergeCell ref="Z39:AA40"/>
    <mergeCell ref="AB39:AC40"/>
    <mergeCell ref="X41:Y42"/>
    <mergeCell ref="Z41:AA42"/>
    <mergeCell ref="AB41:AC42"/>
    <mergeCell ref="X35:Y36"/>
    <mergeCell ref="Z35:AA36"/>
    <mergeCell ref="AB35:AC36"/>
    <mergeCell ref="X37:Y38"/>
    <mergeCell ref="Z37:AA38"/>
    <mergeCell ref="AB37:AC38"/>
    <mergeCell ref="R39:S40"/>
    <mergeCell ref="T39:U40"/>
    <mergeCell ref="V39:W40"/>
    <mergeCell ref="R41:S42"/>
    <mergeCell ref="T41:U42"/>
    <mergeCell ref="V41:W42"/>
    <mergeCell ref="R35:S36"/>
    <mergeCell ref="T35:U36"/>
    <mergeCell ref="V35:W36"/>
    <mergeCell ref="R37:S38"/>
    <mergeCell ref="T37:U38"/>
    <mergeCell ref="V37:W38"/>
    <mergeCell ref="X47:Y48"/>
    <mergeCell ref="Z47:AA48"/>
    <mergeCell ref="AB47:AC48"/>
    <mergeCell ref="X49:Y50"/>
    <mergeCell ref="Z49:AA50"/>
    <mergeCell ref="AB49:AC50"/>
    <mergeCell ref="X43:Y44"/>
    <mergeCell ref="Z43:AA44"/>
    <mergeCell ref="AB43:AC44"/>
    <mergeCell ref="X45:Y46"/>
    <mergeCell ref="Z45:AA46"/>
    <mergeCell ref="AB45:AC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pane="bottomLeft" activeCell="AX15" sqref="AX14:AX15"/>
    </sheetView>
  </sheetViews>
  <sheetFormatPr baseColWidth="10" defaultColWidth="11.5" defaultRowHeight="15"/>
  <cols>
    <col min="3" max="19" width="5.6640625" customWidth="1"/>
    <col min="20" max="20" width="6.6640625" customWidth="1"/>
    <col min="21" max="23" width="5.6640625" customWidth="1"/>
    <col min="24" max="24" width="7.5" customWidth="1"/>
    <col min="25" max="25" width="8.5" customWidth="1"/>
    <col min="26" max="26" width="12" customWidth="1"/>
    <col min="27" max="27" width="5.6640625" customWidth="1"/>
    <col min="28" max="28" width="10.6640625" customWidth="1"/>
    <col min="29" max="29" width="5.6640625" customWidth="1"/>
    <col min="30" max="30" width="7.5" customWidth="1"/>
    <col min="31" max="31" width="8.5" customWidth="1"/>
    <col min="32" max="34" width="5.6640625" customWidth="1"/>
    <col min="35" max="35" width="8.5" customWidth="1"/>
    <col min="36" max="36" width="9.6640625" customWidth="1"/>
    <col min="37" max="40" width="5.6640625" customWidth="1"/>
    <col min="42" max="47" width="5.6640625" customWidth="1"/>
  </cols>
  <sheetData>
    <row r="1" spans="1:92" ht="16" thickBot="1"/>
    <row r="2" spans="1:92">
      <c r="C2" s="447" t="s">
        <v>249</v>
      </c>
      <c r="D2" s="448"/>
      <c r="E2" s="448"/>
      <c r="F2" s="448"/>
      <c r="G2" s="448"/>
      <c r="H2" s="448"/>
      <c r="I2" s="448"/>
      <c r="J2" s="449"/>
      <c r="K2" s="438" t="s">
        <v>1</v>
      </c>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40"/>
      <c r="AO2" s="284" t="s">
        <v>8</v>
      </c>
      <c r="AP2" s="435"/>
      <c r="AQ2" s="435"/>
      <c r="AR2" s="435"/>
      <c r="AS2" s="435"/>
      <c r="AT2" s="435"/>
      <c r="AU2" s="258"/>
    </row>
    <row r="3" spans="1:92">
      <c r="C3" s="450"/>
      <c r="D3" s="451"/>
      <c r="E3" s="451"/>
      <c r="F3" s="451"/>
      <c r="G3" s="451"/>
      <c r="H3" s="451"/>
      <c r="I3" s="451"/>
      <c r="J3" s="452"/>
      <c r="K3" s="441"/>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442"/>
      <c r="AK3" s="442"/>
      <c r="AL3" s="442"/>
      <c r="AM3" s="442"/>
      <c r="AN3" s="443"/>
      <c r="AO3" s="285" t="s">
        <v>3</v>
      </c>
      <c r="AP3" s="436"/>
      <c r="AQ3" s="436"/>
      <c r="AR3" s="436"/>
      <c r="AS3" s="436"/>
      <c r="AT3" s="436"/>
      <c r="AU3" s="260"/>
    </row>
    <row r="4" spans="1:92">
      <c r="C4" s="450"/>
      <c r="D4" s="451"/>
      <c r="E4" s="451"/>
      <c r="F4" s="451"/>
      <c r="G4" s="451"/>
      <c r="H4" s="451"/>
      <c r="I4" s="451"/>
      <c r="J4" s="452"/>
      <c r="K4" s="441"/>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3"/>
      <c r="AO4" s="285" t="s">
        <v>4</v>
      </c>
      <c r="AP4" s="436" t="s">
        <v>251</v>
      </c>
      <c r="AQ4" s="436"/>
      <c r="AR4" s="436"/>
      <c r="AS4" s="436"/>
      <c r="AT4" s="436"/>
      <c r="AU4" s="260"/>
    </row>
    <row r="5" spans="1:92" ht="16" thickBot="1">
      <c r="C5" s="453"/>
      <c r="D5" s="454"/>
      <c r="E5" s="454"/>
      <c r="F5" s="454"/>
      <c r="G5" s="454"/>
      <c r="H5" s="454"/>
      <c r="I5" s="454"/>
      <c r="J5" s="455"/>
      <c r="K5" s="444"/>
      <c r="L5" s="445"/>
      <c r="M5" s="445"/>
      <c r="N5" s="445"/>
      <c r="O5" s="445"/>
      <c r="P5" s="445"/>
      <c r="Q5" s="445"/>
      <c r="R5" s="445"/>
      <c r="S5" s="445"/>
      <c r="T5" s="445"/>
      <c r="U5" s="445"/>
      <c r="V5" s="445"/>
      <c r="W5" s="445"/>
      <c r="X5" s="445"/>
      <c r="Y5" s="445"/>
      <c r="Z5" s="445"/>
      <c r="AA5" s="445"/>
      <c r="AB5" s="445"/>
      <c r="AC5" s="445"/>
      <c r="AD5" s="445"/>
      <c r="AE5" s="445"/>
      <c r="AF5" s="445"/>
      <c r="AG5" s="445"/>
      <c r="AH5" s="445"/>
      <c r="AI5" s="445"/>
      <c r="AJ5" s="445"/>
      <c r="AK5" s="445"/>
      <c r="AL5" s="445"/>
      <c r="AM5" s="445"/>
      <c r="AN5" s="446"/>
      <c r="AO5" s="286" t="s">
        <v>5</v>
      </c>
      <c r="AP5" s="437" t="s">
        <v>5</v>
      </c>
      <c r="AQ5" s="437"/>
      <c r="AR5" s="437"/>
      <c r="AS5" s="437"/>
      <c r="AT5" s="437"/>
      <c r="AU5" s="262"/>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495" t="s">
        <v>9</v>
      </c>
      <c r="B8" s="495"/>
      <c r="C8" s="525" t="s">
        <v>268</v>
      </c>
      <c r="D8" s="526"/>
      <c r="E8" s="526"/>
      <c r="F8" s="526"/>
      <c r="G8" s="526"/>
      <c r="H8" s="526"/>
      <c r="I8" s="526"/>
      <c r="J8" s="526"/>
      <c r="K8" s="527" t="s">
        <v>56</v>
      </c>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526"/>
      <c r="D9" s="526"/>
      <c r="E9" s="526"/>
      <c r="F9" s="526"/>
      <c r="G9" s="526"/>
      <c r="H9" s="526"/>
      <c r="I9" s="526"/>
      <c r="J9" s="526"/>
      <c r="K9" s="527"/>
      <c r="L9" s="527"/>
      <c r="M9" s="527"/>
      <c r="N9" s="527"/>
      <c r="O9" s="527"/>
      <c r="P9" s="527"/>
      <c r="Q9" s="527"/>
      <c r="R9" s="527"/>
      <c r="S9" s="527"/>
      <c r="T9" s="527"/>
      <c r="U9" s="527"/>
      <c r="V9" s="527"/>
      <c r="W9" s="527"/>
      <c r="X9" s="527"/>
      <c r="Y9" s="527"/>
      <c r="Z9" s="527"/>
      <c r="AA9" s="527"/>
      <c r="AB9" s="527"/>
      <c r="AC9" s="527"/>
      <c r="AD9" s="527"/>
      <c r="AE9" s="527"/>
      <c r="AF9" s="527"/>
      <c r="AG9" s="527"/>
      <c r="AH9" s="527"/>
      <c r="AI9" s="527"/>
      <c r="AJ9" s="527"/>
      <c r="AK9" s="527"/>
      <c r="AL9" s="527"/>
      <c r="AM9" s="527"/>
      <c r="AN9" s="527"/>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526"/>
      <c r="D10" s="526"/>
      <c r="E10" s="526"/>
      <c r="F10" s="526"/>
      <c r="G10" s="526"/>
      <c r="H10" s="526"/>
      <c r="I10" s="526"/>
      <c r="J10" s="526"/>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7"/>
      <c r="AI10" s="527"/>
      <c r="AJ10" s="527"/>
      <c r="AK10" s="527"/>
      <c r="AL10" s="527"/>
      <c r="AM10" s="527"/>
      <c r="AN10" s="527"/>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6"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56" t="s">
        <v>253</v>
      </c>
      <c r="D12" s="456"/>
      <c r="E12" s="457"/>
      <c r="F12" s="496" t="s">
        <v>254</v>
      </c>
      <c r="G12" s="497"/>
      <c r="H12" s="497"/>
      <c r="I12" s="497"/>
      <c r="J12" s="497"/>
      <c r="K12" s="32"/>
      <c r="L12" s="33" t="str">
        <f>IF(AND('Mapa final'!$AH$17="Muy Alta",'Mapa final'!$AJ$17="Leve"),CONCATENATE("R2C",'Mapa final'!$R$15),"")</f>
        <v/>
      </c>
      <c r="M12" s="33" t="str">
        <f>IF(AND('Mapa final'!$AH$18="Muy Alta",'Mapa final'!$AJ$18="Leve"),CONCATENATE("R2C",'Mapa final'!$R$18),"")</f>
        <v/>
      </c>
      <c r="N12" s="33" t="e">
        <f>IF(AND('Mapa final'!#REF!="Muy Alta",'Mapa final'!#REF!="Leve"),CONCATENATE("R2C",'Mapa final'!#REF!),"")</f>
        <v>#REF!</v>
      </c>
      <c r="O12" s="33" t="e">
        <f>IF(AND('Mapa final'!#REF!="Muy Alta",'Mapa final'!#REF!="Leve"),CONCATENATE("R2C",'Mapa final'!#REF!),"")</f>
        <v>#REF!</v>
      </c>
      <c r="P12" s="34" t="e">
        <f>IF(AND('Mapa final'!#REF!="Muy Alta",'Mapa final'!#REF!="Leve"),CONCATENATE("R2C",'Mapa final'!#REF!),"")</f>
        <v>#REF!</v>
      </c>
      <c r="Q12" s="33"/>
      <c r="R12" s="33" t="str">
        <f>IF(AND('Mapa final'!$AH$17="Muy Alta",'Mapa final'!$AJ$17="Menore"),CONCATENATE("R2C",'Mapa final'!$R$15),"")</f>
        <v/>
      </c>
      <c r="S12" s="33" t="str">
        <f>IF(AND('Mapa final'!$AH$18="Muy Alta",'Mapa final'!$AJ$18="Menor"),CONCATENATE("R2C",'Mapa final'!$R$18),"")</f>
        <v/>
      </c>
      <c r="T12" s="33" t="e">
        <f>IF(AND('Mapa final'!#REF!="Muy Alta",'Mapa final'!#REF!="Menor"),CONCATENATE("R2C",'Mapa final'!#REF!),"")</f>
        <v>#REF!</v>
      </c>
      <c r="U12" s="33" t="e">
        <f>IF(AND('Mapa final'!#REF!="Muy Alta",'Mapa final'!#REF!="Menor"),CONCATENATE("R2C",'Mapa final'!#REF!),"")</f>
        <v>#REF!</v>
      </c>
      <c r="V12" s="34" t="e">
        <f>IF(AND('Mapa final'!#REF!="Muy Alta",'Mapa final'!#REF!="Menor"),CONCATENATE("R2C",'Mapa final'!#REF!),"")</f>
        <v>#REF!</v>
      </c>
      <c r="W12" s="32"/>
      <c r="X12" s="33" t="str">
        <f>IF(AND('Mapa final'!$AH$17="Muy Alta",'Mapa final'!$AJ$17="Moderado"),CONCATENATE("R2C",'Mapa final'!$R$15),"")</f>
        <v/>
      </c>
      <c r="Y12" s="33"/>
      <c r="Z12" s="33" t="e">
        <f>IF(AND('Mapa final'!#REF!="Muy Alta",'Mapa final'!#REF!="Moderado"),CONCATENATE("R2C",'Mapa final'!#REF!),"")</f>
        <v>#REF!</v>
      </c>
      <c r="AA12" s="33" t="e">
        <f>IF(AND('Mapa final'!#REF!="Muy Alta",'Mapa final'!#REF!="Moderado"),CONCATENATE("R2C",'Mapa final'!#REF!),"")</f>
        <v>#REF!</v>
      </c>
      <c r="AB12" s="34" t="e">
        <f>IF(AND('Mapa final'!#REF!="Muy Alta",'Mapa final'!#REF!="Moderado"),CONCATENATE("R2C",'Mapa final'!#REF!),"")</f>
        <v>#REF!</v>
      </c>
      <c r="AC12" s="32"/>
      <c r="AD12" s="33" t="str">
        <f>IF(AND('Mapa final'!$AH$17="Muy Alta",'Mapa final'!$AJ$17="Mayor"),CONCATENATE("R2C",'Mapa final'!$R$15),"")</f>
        <v/>
      </c>
      <c r="AE12" s="33" t="str">
        <f>IF(AND('Mapa final'!$AH$18="Muy Alta",'Mapa final'!$AJ$18="Mayor"),CONCATENATE("R2C",'Mapa final'!$R$18),"")</f>
        <v/>
      </c>
      <c r="AF12" s="33" t="e">
        <f>IF(AND('Mapa final'!#REF!="Muy Alta",'Mapa final'!#REF!="Mayor"),CONCATENATE("R2C",'Mapa final'!#REF!),"")</f>
        <v>#REF!</v>
      </c>
      <c r="AG12" s="33" t="e">
        <f>IF(AND('Mapa final'!#REF!="Muy Alta",'Mapa final'!#REF!="Mayor"),CONCATENATE("R2C",'Mapa final'!#REF!),"")</f>
        <v>#REF!</v>
      </c>
      <c r="AH12" s="34" t="e">
        <f>IF(AND('Mapa final'!#REF!="Muy Alta",'Mapa final'!#REF!="Mayor"),CONCATENATE("R2C",'Mapa final'!#REF!),"")</f>
        <v>#REF!</v>
      </c>
      <c r="AI12" s="35"/>
      <c r="AJ12" s="36" t="str">
        <f>IF(AND('Mapa final'!$AH$17="Muy Alta",'Mapa final'!$AJ$17="Catastrófico"),CONCATENATE("R2C",'Mapa final'!$R$15),"")</f>
        <v/>
      </c>
      <c r="AK12" s="36" t="str">
        <f>IF(AND('Mapa final'!$AH$18="Muy Alta",'Mapa final'!$AJ$18="Catastrófico"),CONCATENATE("R2C",'Mapa final'!$R$18),"")</f>
        <v/>
      </c>
      <c r="AL12" s="36" t="e">
        <f>IF(AND('Mapa final'!#REF!="Muy Alta",'Mapa final'!#REF!="Catastrófico"),CONCATENATE("R2C",'Mapa final'!#REF!),"")</f>
        <v>#REF!</v>
      </c>
      <c r="AM12" s="36" t="e">
        <f>IF(AND('Mapa final'!#REF!="Muy Alta",'Mapa final'!#REF!="Catastrófico"),CONCATENATE("R2C",'Mapa final'!#REF!),"")</f>
        <v>#REF!</v>
      </c>
      <c r="AN12" s="37" t="e">
        <f>IF(AND('Mapa final'!#REF!="Muy Alta",'Mapa final'!#REF!="Catastrófico"),CONCATENATE("R2C",'Mapa final'!#REF!),"")</f>
        <v>#REF!</v>
      </c>
      <c r="AO12" s="68"/>
      <c r="AP12" s="516" t="s">
        <v>255</v>
      </c>
      <c r="AQ12" s="517"/>
      <c r="AR12" s="517"/>
      <c r="AS12" s="517"/>
      <c r="AT12" s="517"/>
      <c r="AU12" s="51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56"/>
      <c r="D13" s="456"/>
      <c r="E13" s="457"/>
      <c r="F13" s="499"/>
      <c r="G13" s="500"/>
      <c r="H13" s="500"/>
      <c r="I13" s="500"/>
      <c r="J13" s="500"/>
      <c r="K13" s="38" t="e">
        <f>IF(AND('Mapa final'!#REF!="Muy Alta",'Mapa final'!#REF!="Leve"),CONCATENATE("R2C",'Mapa final'!#REF!),"")</f>
        <v>#REF!</v>
      </c>
      <c r="L13" s="39" t="e">
        <f>IF(AND('Mapa final'!#REF!="Muy Alta",'Mapa final'!#REF!="Leve"),CONCATENATE("R2C",'Mapa final'!#REF!),"")</f>
        <v>#REF!</v>
      </c>
      <c r="M13" s="39" t="str">
        <f>IF(AND('Mapa final'!$AH$19="Muy Alta",'Mapa final'!$AJ$19="Leve"),CONCATENATE("R2C",'Mapa final'!$R$19),"")</f>
        <v/>
      </c>
      <c r="N13" s="39" t="str">
        <f>IF(AND('Mapa final'!$AH$20="Muy Alta",'Mapa final'!$AJ$20="Leve"),CONCATENATE("R2C",'Mapa final'!$R$20),"")</f>
        <v/>
      </c>
      <c r="O13" s="39" t="str">
        <f>IF(AND('Mapa final'!$AH$21="Muy Alta",'Mapa final'!$AJ$21="Leve"),CONCATENATE("R2C",'Mapa final'!$R$21),"")</f>
        <v/>
      </c>
      <c r="P13" s="40" t="str">
        <f>IF(AND('Mapa final'!$AH$22="Muy Alta",'Mapa final'!$AJ$22="Leve"),CONCATENATE("R2C",'Mapa final'!$R$22),"")</f>
        <v/>
      </c>
      <c r="Q13" s="39" t="e">
        <f>IF(AND('Mapa final'!#REF!="Muy Alta",'Mapa final'!#REF!="Menor"),CONCATENATE("R2C",'Mapa final'!#REF!),"")</f>
        <v>#REF!</v>
      </c>
      <c r="R13" s="39" t="e">
        <f>IF(AND('Mapa final'!#REF!="Muy Alta",'Mapa final'!#REF!="Menor"),CONCATENATE("R2C",'Mapa final'!#REF!),"")</f>
        <v>#REF!</v>
      </c>
      <c r="S13" s="39" t="str">
        <f>IF(AND('Mapa final'!$AH$19="Muy Alta",'Mapa final'!$AJ$19="Menor"),CONCATENATE("R2C",'Mapa final'!$R$19),"")</f>
        <v/>
      </c>
      <c r="T13" s="39" t="str">
        <f>IF(AND('Mapa final'!$AH$20="Muy Alta",'Mapa final'!$AJ$20="Menor"),CONCATENATE("R2C",'Mapa final'!$R$20),"")</f>
        <v/>
      </c>
      <c r="U13" s="39" t="str">
        <f>IF(AND('Mapa final'!$AH$21="Muy Alta",'Mapa final'!$AJ$21="Menor"),CONCATENATE("R2C",'Mapa final'!$R$21),"")</f>
        <v/>
      </c>
      <c r="V13" s="40" t="str">
        <f>IF(AND('Mapa final'!$AH$22="Muy Alta",'Mapa final'!$AJ$22="Menor"),CONCATENATE("R2C",'Mapa final'!$R$22),"")</f>
        <v/>
      </c>
      <c r="W13" s="38" t="e">
        <f>IF(AND('Mapa final'!#REF!="Muy Alta",'Mapa final'!#REF!="Moderado"),CONCATENATE("R2C",'Mapa final'!#REF!),"")</f>
        <v>#REF!</v>
      </c>
      <c r="X13" s="39" t="e">
        <f>IF(AND('Mapa final'!#REF!="Muy Alta",'Mapa final'!#REF!="Moderado"),CONCATENATE("R2C",'Mapa final'!#REF!),"")</f>
        <v>#REF!</v>
      </c>
      <c r="Y13" s="39" t="str">
        <f>IF(AND('Mapa final'!$AH$19="Muy Alta",'Mapa final'!$AJ$19="Moderado"),CONCATENATE("R2C",'Mapa final'!$R$19),"")</f>
        <v/>
      </c>
      <c r="Z13" s="39" t="str">
        <f>IF(AND('Mapa final'!$AH$20="Muy Alta",'Mapa final'!$AJ$20="Moderado"),CONCATENATE("R2C",'Mapa final'!$R$20),"")</f>
        <v/>
      </c>
      <c r="AA13" s="39" t="str">
        <f>IF(AND('Mapa final'!$AH$21="Muy Alta",'Mapa final'!$AJ$21="Moderado"),CONCATENATE("R2C",'Mapa final'!$R$21),"")</f>
        <v/>
      </c>
      <c r="AB13" s="40" t="str">
        <f>IF(AND('Mapa final'!$AH$22="Muy Alta",'Mapa final'!$AJ$22="Moderado"),CONCATENATE("R2C",'Mapa final'!$R$22),"")</f>
        <v/>
      </c>
      <c r="AC13" s="38" t="e">
        <f>IF(AND('Mapa final'!#REF!="Muy Alta",'Mapa final'!#REF!="Mayor"),CONCATENATE("R2C",'Mapa final'!#REF!),"")</f>
        <v>#REF!</v>
      </c>
      <c r="AD13" s="39" t="e">
        <f>IF(AND('Mapa final'!#REF!="Muy Alta",'Mapa final'!#REF!="Mayor"),CONCATENATE("R2C",'Mapa final'!#REF!),"")</f>
        <v>#REF!</v>
      </c>
      <c r="AE13" s="39" t="str">
        <f>IF(AND('Mapa final'!$AH$19="Muy Alta",'Mapa final'!$AJ$19="Mayor"),CONCATENATE("R2C",'Mapa final'!$R$19),"")</f>
        <v/>
      </c>
      <c r="AF13" s="39" t="str">
        <f>IF(AND('Mapa final'!$AH$20="Muy Alta",'Mapa final'!$AJ$20="Mayor"),CONCATENATE("R2C",'Mapa final'!$R$20),"")</f>
        <v/>
      </c>
      <c r="AG13" s="39" t="str">
        <f>IF(AND('Mapa final'!$AH$21="Muy Alta",'Mapa final'!$AJ$21="Mayor"),CONCATENATE("R2C",'Mapa final'!$R$21),"")</f>
        <v/>
      </c>
      <c r="AH13" s="40" t="str">
        <f>IF(AND('Mapa final'!$AH$22="Muy Alta",'Mapa final'!$AJ$22="Mayor"),CONCATENATE("R2C",'Mapa final'!$R$22),"")</f>
        <v/>
      </c>
      <c r="AI13" s="41" t="e">
        <f>IF(AND('Mapa final'!#REF!="Muy Alta",'Mapa final'!#REF!="Catastrófico"),CONCATENATE("R2C",'Mapa final'!#REF!),"")</f>
        <v>#REF!</v>
      </c>
      <c r="AJ13" s="42" t="e">
        <f>IF(AND('Mapa final'!#REF!="Muy Alta",'Mapa final'!#REF!="Catastrófico"),CONCATENATE("R2C",'Mapa final'!#REF!),"")</f>
        <v>#REF!</v>
      </c>
      <c r="AK13" s="42" t="str">
        <f>IF(AND('Mapa final'!$AH$19="Muy Alta",'Mapa final'!$AJ$19="Catastrófico"),CONCATENATE("R2C",'Mapa final'!$R$19),"")</f>
        <v/>
      </c>
      <c r="AL13" s="42" t="str">
        <f>IF(AND('Mapa final'!$AH$20="Muy Alta",'Mapa final'!$AJ$20="Catastrófico"),CONCATENATE("R2C",'Mapa final'!$R$20),"")</f>
        <v/>
      </c>
      <c r="AM13" s="42" t="str">
        <f>IF(AND('Mapa final'!$AH$21="Muy Alta",'Mapa final'!$AJ$21="Catastrófico"),CONCATENATE("R2C",'Mapa final'!$R$21),"")</f>
        <v/>
      </c>
      <c r="AN13" s="43" t="str">
        <f>IF(AND('Mapa final'!$AH$22="Muy Alta",'Mapa final'!$AJ$22="Catastrófico"),CONCATENATE("R2C",'Mapa final'!$R$22),"")</f>
        <v/>
      </c>
      <c r="AO13" s="68"/>
      <c r="AP13" s="519"/>
      <c r="AQ13" s="520"/>
      <c r="AR13" s="520"/>
      <c r="AS13" s="520"/>
      <c r="AT13" s="520"/>
      <c r="AU13" s="521"/>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56"/>
      <c r="D14" s="456"/>
      <c r="E14" s="457"/>
      <c r="F14" s="499"/>
      <c r="G14" s="500"/>
      <c r="H14" s="500"/>
      <c r="I14" s="500"/>
      <c r="J14" s="500"/>
      <c r="K14" s="38" t="str">
        <f>IF(AND('Mapa final'!$AH$23="Muy Alta",'Mapa final'!$AJ$23="Leve"),CONCATENATE("R2C",'Mapa final'!$R$23),"")</f>
        <v/>
      </c>
      <c r="L14" s="39" t="str">
        <f>IF(AND('Mapa final'!$AH$24="Muy Alta",'Mapa final'!$AJ$24="Leve"),CONCATENATE("R2C",'Mapa final'!$R$24),"")</f>
        <v/>
      </c>
      <c r="M14" s="39" t="str">
        <f>IF(AND('Mapa final'!$AH$25="Muy Alta",'Mapa final'!$AJ$25="Leve"),CONCATENATE("R2C",'Mapa final'!$R$25),"")</f>
        <v/>
      </c>
      <c r="N14" s="39" t="str">
        <f>IF(AND('Mapa final'!$AH$26="Muy Alta",'Mapa final'!$AJ$26="Leve"),CONCATENATE("R2C",'Mapa final'!$R$26),"")</f>
        <v/>
      </c>
      <c r="O14" s="39" t="str">
        <f>IF(AND('Mapa final'!$AH$27="Muy Alta",'Mapa final'!$AJ$27="Leve"),CONCATENATE("R2C",'Mapa final'!$R$27),"")</f>
        <v/>
      </c>
      <c r="P14" s="40" t="str">
        <f>IF(AND('Mapa final'!$AH$28="Muy Alta",'Mapa final'!$AJ$28="Leve"),CONCATENATE("R2C",'Mapa final'!$R$28),"")</f>
        <v/>
      </c>
      <c r="Q14" s="39" t="str">
        <f>IF(AND('Mapa final'!$AH$23="Muy Alta",'Mapa final'!$AJ$23="Menor"),CONCATENATE("R2C",'Mapa final'!$R$23),"")</f>
        <v/>
      </c>
      <c r="R14" s="39" t="str">
        <f>IF(AND('Mapa final'!$AH$24="Muy Alta",'Mapa final'!$AJ$24="Menor"),CONCATENATE("R2C",'Mapa final'!$R$24),"")</f>
        <v/>
      </c>
      <c r="S14" s="39" t="str">
        <f>IF(AND('Mapa final'!$AH$25="Muy Alta",'Mapa final'!$AJ$25="Menor"),CONCATENATE("R2C",'Mapa final'!$R$25),"")</f>
        <v/>
      </c>
      <c r="T14" s="39" t="str">
        <f>IF(AND('Mapa final'!$AH$26="Muy Alta",'Mapa final'!$AJ$26="Menor"),CONCATENATE("R2C",'Mapa final'!$R$26),"")</f>
        <v/>
      </c>
      <c r="U14" s="39" t="str">
        <f>IF(AND('Mapa final'!$AH$27="Muy Alta",'Mapa final'!$AJ$27="Menor"),CONCATENATE("R2C",'Mapa final'!$R$27),"")</f>
        <v/>
      </c>
      <c r="V14" s="40" t="str">
        <f>IF(AND('Mapa final'!$AH$28="Muy Alta",'Mapa final'!$AJ$28="Menor"),CONCATENATE("R2C",'Mapa final'!$R$28),"")</f>
        <v/>
      </c>
      <c r="W14" s="38" t="str">
        <f>IF(AND('Mapa final'!$AH$23="Muy Alta",'Mapa final'!$AJ$23="Moderado"),CONCATENATE("R2C",'Mapa final'!$R$23),"")</f>
        <v/>
      </c>
      <c r="X14" s="39" t="str">
        <f>IF(AND('Mapa final'!$AH$24="Muy Alta",'Mapa final'!$AJ$24="Moderado"),CONCATENATE("R2C",'Mapa final'!$R$24),"")</f>
        <v/>
      </c>
      <c r="Y14" s="39" t="str">
        <f>IF(AND('Mapa final'!$AH$25="Muy Alta",'Mapa final'!$AJ$25="Moderado"),CONCATENATE("R2C",'Mapa final'!$R$25),"")</f>
        <v/>
      </c>
      <c r="Z14" s="39" t="str">
        <f>IF(AND('Mapa final'!$AH$26="Muy Alta",'Mapa final'!$AJ$26="Moderado"),CONCATENATE("R2C",'Mapa final'!$R$26),"")</f>
        <v/>
      </c>
      <c r="AA14" s="39" t="str">
        <f>IF(AND('Mapa final'!$AH$27="Muy Alta",'Mapa final'!$AJ$27="Moderado"),CONCATENATE("R2C",'Mapa final'!$R$27),"")</f>
        <v/>
      </c>
      <c r="AB14" s="40" t="str">
        <f>IF(AND('Mapa final'!$AH$28="Muy Alta",'Mapa final'!$AJ$28="Moderado"),CONCATENATE("R2C",'Mapa final'!$R$28),"")</f>
        <v/>
      </c>
      <c r="AC14" s="38" t="str">
        <f>IF(AND('Mapa final'!$AH$23="Muy Alta",'Mapa final'!$AJ$23="Mayor"),CONCATENATE("R2C",'Mapa final'!$R$23),"")</f>
        <v/>
      </c>
      <c r="AD14" s="39" t="str">
        <f>IF(AND('Mapa final'!$AH$24="Muy Alta",'Mapa final'!$AJ$24="Mayor"),CONCATENATE("R2C",'Mapa final'!$R$24),"")</f>
        <v/>
      </c>
      <c r="AE14" s="39" t="str">
        <f>IF(AND('Mapa final'!$AH$25="Muy Alta",'Mapa final'!$AJ$25="Mayor"),CONCATENATE("R2C",'Mapa final'!$R$25),"")</f>
        <v/>
      </c>
      <c r="AF14" s="39" t="str">
        <f>IF(AND('Mapa final'!$AH$26="Muy Alta",'Mapa final'!$AJ$26="Mayor"),CONCATENATE("R2C",'Mapa final'!$R$26),"")</f>
        <v/>
      </c>
      <c r="AG14" s="39" t="str">
        <f>IF(AND('Mapa final'!$AH$27="Muy Alta",'Mapa final'!$AJ$27="Mayor"),CONCATENATE("R2C",'Mapa final'!$R$27),"")</f>
        <v/>
      </c>
      <c r="AH14" s="40" t="str">
        <f>IF(AND('Mapa final'!$AH$28="Muy Alta",'Mapa final'!$AJ$28="Mayor"),CONCATENATE("R2C",'Mapa final'!$R$28),"")</f>
        <v/>
      </c>
      <c r="AI14" s="41" t="str">
        <f>IF(AND('Mapa final'!$AH$23="Muy Alta",'Mapa final'!$AJ$23="Catastrófico"),CONCATENATE("R2C",'Mapa final'!$R$23),"")</f>
        <v/>
      </c>
      <c r="AJ14" s="42" t="str">
        <f>IF(AND('Mapa final'!$AH$24="Muy Alta",'Mapa final'!$AJ$24="Catastrófico"),CONCATENATE("R2C",'Mapa final'!$R$24),"")</f>
        <v/>
      </c>
      <c r="AK14" s="42" t="str">
        <f>IF(AND('Mapa final'!$AH$25="Muy Alta",'Mapa final'!$AJ$25="Catastrófico"),CONCATENATE("R2C",'Mapa final'!$R$25),"")</f>
        <v/>
      </c>
      <c r="AL14" s="42" t="str">
        <f>IF(AND('Mapa final'!$AH$26="Muy Alta",'Mapa final'!$AJ$26="Catastrófico"),CONCATENATE("R2C",'Mapa final'!$R$26),"")</f>
        <v/>
      </c>
      <c r="AM14" s="42" t="str">
        <f>IF(AND('Mapa final'!$AH$27="Muy Alta",'Mapa final'!$AJ$27="Catastrófico"),CONCATENATE("R2C",'Mapa final'!$R$27),"")</f>
        <v/>
      </c>
      <c r="AN14" s="43" t="str">
        <f>IF(AND('Mapa final'!$AH$28="Muy Alta",'Mapa final'!$AJ$28="Catastrófico"),CONCATENATE("R2C",'Mapa final'!$R$28),"")</f>
        <v/>
      </c>
      <c r="AO14" s="68"/>
      <c r="AP14" s="519"/>
      <c r="AQ14" s="520"/>
      <c r="AR14" s="520"/>
      <c r="AS14" s="520"/>
      <c r="AT14" s="520"/>
      <c r="AU14" s="521"/>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56"/>
      <c r="D15" s="456"/>
      <c r="E15" s="457"/>
      <c r="F15" s="499"/>
      <c r="G15" s="500"/>
      <c r="H15" s="500"/>
      <c r="I15" s="500"/>
      <c r="J15" s="500"/>
      <c r="K15" s="38" t="str">
        <f>IF(AND('Mapa final'!$AH$29="Muy Alta",'Mapa final'!$AJ$29="Leve"),CONCATENATE("R2C",'Mapa final'!$R$29),"")</f>
        <v/>
      </c>
      <c r="L15" s="39" t="str">
        <f>IF(AND('Mapa final'!$AH$30="Muy Alta",'Mapa final'!$AJ$30="Leve"),CONCATENATE("R2C",'Mapa final'!$R$30),"")</f>
        <v/>
      </c>
      <c r="M15" s="39" t="str">
        <f>IF(AND('Mapa final'!$AH$31="Muy Alta",'Mapa final'!$AJ$31="Leve"),CONCATENATE("R2C",'Mapa final'!$R$31),"")</f>
        <v/>
      </c>
      <c r="N15" s="39" t="str">
        <f>IF(AND('Mapa final'!$AH$32="Muy Alta",'Mapa final'!$AJ$32="Leve"),CONCATENATE("R2C",'Mapa final'!$R$32),"")</f>
        <v/>
      </c>
      <c r="O15" s="39" t="str">
        <f>IF(AND('Mapa final'!$AH$33="Muy Alta",'Mapa final'!$AJ$33="Leve"),CONCATENATE("R2C",'Mapa final'!$R$33),"")</f>
        <v/>
      </c>
      <c r="P15" s="40" t="str">
        <f>IF(AND('Mapa final'!$AH$34="Muy Alta",'Mapa final'!$AJ$34="Leve"),CONCATENATE("R2C",'Mapa final'!$R$34),"")</f>
        <v/>
      </c>
      <c r="Q15" s="39" t="str">
        <f>IF(AND('Mapa final'!$AH$29="Muy Alta",'Mapa final'!$AJ$29="Menor"),CONCATENATE("R2C",'Mapa final'!$R$29),"")</f>
        <v/>
      </c>
      <c r="R15" s="39" t="str">
        <f>IF(AND('Mapa final'!$AH$30="Muy Alta",'Mapa final'!$AJ$30="Menor"),CONCATENATE("R2C",'Mapa final'!$R$30),"")</f>
        <v/>
      </c>
      <c r="S15" s="39" t="str">
        <f>IF(AND('Mapa final'!$AH$31="Muy Alta",'Mapa final'!$AJ$31="Menor"),CONCATENATE("R2C",'Mapa final'!$R$31),"")</f>
        <v/>
      </c>
      <c r="T15" s="39" t="str">
        <f>IF(AND('Mapa final'!$AH$32="Muy Alta",'Mapa final'!$AJ$32="Menor"),CONCATENATE("R2C",'Mapa final'!$R$32),"")</f>
        <v/>
      </c>
      <c r="U15" s="39" t="str">
        <f>IF(AND('Mapa final'!$AH$33="Muy Alta",'Mapa final'!$AJ$33="LMenor"),CONCATENATE("R2C",'Mapa final'!$R$33),"")</f>
        <v/>
      </c>
      <c r="V15" s="40" t="str">
        <f>IF(AND('Mapa final'!$AH$34="Muy Alta",'Mapa final'!$AJ$34="Menor"),CONCATENATE("R2C",'Mapa final'!$R$34),"")</f>
        <v/>
      </c>
      <c r="W15" s="38" t="str">
        <f>IF(AND('Mapa final'!$AH$29="Muy Alta",'Mapa final'!$AJ$29="Moderado"),CONCATENATE("R2C",'Mapa final'!$R$29),"")</f>
        <v/>
      </c>
      <c r="X15" s="39" t="str">
        <f>IF(AND('Mapa final'!$AH$30="Muy Alta",'Mapa final'!$AJ$30="Moderado"),CONCATENATE("R2C",'Mapa final'!$R$30),"")</f>
        <v/>
      </c>
      <c r="Y15" s="39" t="str">
        <f>IF(AND('Mapa final'!$AH$31="Muy Alta",'Mapa final'!$AJ$31="Moderado"),CONCATENATE("R2C",'Mapa final'!$R$31),"")</f>
        <v/>
      </c>
      <c r="Z15" s="39" t="str">
        <f>IF(AND('Mapa final'!$AH$32="Muy Alta",'Mapa final'!$AJ$32="Moderado"),CONCATENATE("R2C",'Mapa final'!$R$32),"")</f>
        <v/>
      </c>
      <c r="AA15" s="39" t="str">
        <f>IF(AND('Mapa final'!$AH$33="Muy Alta",'Mapa final'!$AJ$33="Moderado"),CONCATENATE("R2C",'Mapa final'!$R$33),"")</f>
        <v/>
      </c>
      <c r="AB15" s="40" t="str">
        <f>IF(AND('Mapa final'!$AH$34="Muy Alta",'Mapa final'!$AJ$34="Moderado"),CONCATENATE("R2C",'Mapa final'!$R$34),"")</f>
        <v/>
      </c>
      <c r="AC15" s="38" t="str">
        <f>IF(AND('Mapa final'!$AH$29="Muy Alta",'Mapa final'!$AJ$29="Mayor"),CONCATENATE("R2C",'Mapa final'!$R$29),"")</f>
        <v/>
      </c>
      <c r="AD15" s="39" t="str">
        <f>IF(AND('Mapa final'!$AH$30="Muy Alta",'Mapa final'!$AJ$30="Mayor"),CONCATENATE("R2C",'Mapa final'!$R$30),"")</f>
        <v/>
      </c>
      <c r="AE15" s="39" t="str">
        <f>IF(AND('Mapa final'!$AH$31="Muy Alta",'Mapa final'!$AJ$31="Mayor"),CONCATENATE("R2C",'Mapa final'!$R$31),"")</f>
        <v/>
      </c>
      <c r="AF15" s="39" t="str">
        <f>IF(AND('Mapa final'!$AH$32="Muy Alta",'Mapa final'!$AJ$32="Mayor"),CONCATENATE("R2C",'Mapa final'!$R$32),"")</f>
        <v/>
      </c>
      <c r="AG15" s="39" t="str">
        <f>IF(AND('Mapa final'!$AH$33="Muy Alta",'Mapa final'!$AJ$33="Mayor"),CONCATENATE("R2C",'Mapa final'!$R$33),"")</f>
        <v/>
      </c>
      <c r="AH15" s="40" t="str">
        <f>IF(AND('Mapa final'!$AH$34="Muy Alta",'Mapa final'!$AJ$34="Mayor"),CONCATENATE("R2C",'Mapa final'!$R$34),"")</f>
        <v/>
      </c>
      <c r="AI15" s="41" t="str">
        <f>IF(AND('Mapa final'!$AH$29="Muy Alta",'Mapa final'!$AJ$29="Catastrófico"),CONCATENATE("R2C",'Mapa final'!$R$29),"")</f>
        <v/>
      </c>
      <c r="AJ15" s="42" t="str">
        <f>IF(AND('Mapa final'!$AH$30="Muy Alta",'Mapa final'!$AJ$30="Catastrófico"),CONCATENATE("R2C",'Mapa final'!$R$30),"")</f>
        <v/>
      </c>
      <c r="AK15" s="42" t="str">
        <f>IF(AND('Mapa final'!$AH$31="Muy Alta",'Mapa final'!$AJ$31="Catastrófico"),CONCATENATE("R2C",'Mapa final'!$R$31),"")</f>
        <v/>
      </c>
      <c r="AL15" s="42" t="str">
        <f>IF(AND('Mapa final'!$AH$32="Muy Alta",'Mapa final'!$AJ$32="Catastrófico"),CONCATENATE("R2C",'Mapa final'!$R$32),"")</f>
        <v/>
      </c>
      <c r="AM15" s="42" t="str">
        <f>IF(AND('Mapa final'!$AH$33="Muy Alta",'Mapa final'!$AJ$33="LCatastrófico"),CONCATENATE("R2C",'Mapa final'!$R$33),"")</f>
        <v/>
      </c>
      <c r="AN15" s="43" t="str">
        <f>IF(AND('Mapa final'!$AH$34="Muy Alta",'Mapa final'!$AJ$34="Catastrófico"),CONCATENATE("R2C",'Mapa final'!$R$34),"")</f>
        <v/>
      </c>
      <c r="AO15" s="68"/>
      <c r="AP15" s="519"/>
      <c r="AQ15" s="520"/>
      <c r="AR15" s="520"/>
      <c r="AS15" s="520"/>
      <c r="AT15" s="520"/>
      <c r="AU15" s="521"/>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56"/>
      <c r="D16" s="456"/>
      <c r="E16" s="457"/>
      <c r="F16" s="499"/>
      <c r="G16" s="500"/>
      <c r="H16" s="500"/>
      <c r="I16" s="500"/>
      <c r="J16" s="500"/>
      <c r="K16" s="38" t="str">
        <f>IF(AND('Mapa final'!$AH$35="Muy Alta",'Mapa final'!$AJ$35="Leve"),CONCATENATE("R2C",'Mapa final'!$R$35),"")</f>
        <v/>
      </c>
      <c r="L16" s="39" t="str">
        <f>IF(AND('Mapa final'!$AH$36="Muy Alta",'Mapa final'!$AJ$36="Leve"),CONCATENATE("R2C",'Mapa final'!$R$36),"")</f>
        <v/>
      </c>
      <c r="M16" s="39" t="str">
        <f>IF(AND('Mapa final'!$AH$37="Muy Alta",'Mapa final'!$AJ$37="Leve"),CONCATENATE("R2C",'Mapa final'!$R$37),"")</f>
        <v/>
      </c>
      <c r="N16" s="39" t="str">
        <f>IF(AND('Mapa final'!$AH$38="Muy Alta",'Mapa final'!$AJ$38="Leve"),CONCATENATE("R2C",'Mapa final'!$R$38),"")</f>
        <v/>
      </c>
      <c r="O16" s="39" t="str">
        <f>IF(AND('Mapa final'!$AH$39="Muy Alta",'Mapa final'!$AJ$39="Leve"),CONCATENATE("R2C",'Mapa final'!$R$39),"")</f>
        <v/>
      </c>
      <c r="P16" s="40" t="str">
        <f>IF(AND('Mapa final'!$AH$40="Muy Alta",'Mapa final'!$AJ$40="Leve"),CONCATENATE("R2C",'Mapa final'!$R$40),"")</f>
        <v/>
      </c>
      <c r="Q16" s="39" t="str">
        <f>IF(AND('Mapa final'!$AH$35="Muy Alta",'Mapa final'!$AJ$35="Menor"),CONCATENATE("R2C",'Mapa final'!$R$35),"")</f>
        <v/>
      </c>
      <c r="R16" s="39" t="str">
        <f>IF(AND('Mapa final'!$AH$36="Muy Alta",'Mapa final'!$AJ$36="Menor"),CONCATENATE("R2C",'Mapa final'!$R$36),"")</f>
        <v/>
      </c>
      <c r="S16" s="39" t="str">
        <f>IF(AND('Mapa final'!$AH$37="Muy Alta",'Mapa final'!$AJ$37="Menor"),CONCATENATE("R2C",'Mapa final'!$R$37),"")</f>
        <v/>
      </c>
      <c r="T16" s="39" t="str">
        <f>IF(AND('Mapa final'!$AH$38="Muy Alta",'Mapa final'!$AJ$38="Menor"),CONCATENATE("R2C",'Mapa final'!$R$38),"")</f>
        <v/>
      </c>
      <c r="U16" s="39" t="str">
        <f>IF(AND('Mapa final'!$AH$39="Muy Alta",'Mapa final'!$AJ$39="Menor"),CONCATENATE("R2C",'Mapa final'!$R$39),"")</f>
        <v/>
      </c>
      <c r="V16" s="40" t="str">
        <f>IF(AND('Mapa final'!$AH$40="Muy Alta",'Mapa final'!$AJ$40="Menor"),CONCATENATE("R2C",'Mapa final'!$R$40),"")</f>
        <v/>
      </c>
      <c r="W16" s="38" t="str">
        <f>IF(AND('Mapa final'!$AH$35="Muy Alta",'Mapa final'!$AJ$35="Moderado"),CONCATENATE("R2C",'Mapa final'!$R$35),"")</f>
        <v/>
      </c>
      <c r="X16" s="39" t="str">
        <f>IF(AND('Mapa final'!$AH$36="Muy Alta",'Mapa final'!$AJ$36="Moderado"),CONCATENATE("R2C",'Mapa final'!$R$36),"")</f>
        <v/>
      </c>
      <c r="Y16" s="39" t="str">
        <f>IF(AND('Mapa final'!$AH$37="Muy Alta",'Mapa final'!$AJ$37="Moderado"),CONCATENATE("R2C",'Mapa final'!$R$37),"")</f>
        <v/>
      </c>
      <c r="Z16" s="39" t="str">
        <f>IF(AND('Mapa final'!$AH$38="Muy Alta",'Mapa final'!$AJ$38="Moderado"),CONCATENATE("R2C",'Mapa final'!$R$38),"")</f>
        <v/>
      </c>
      <c r="AA16" s="39" t="str">
        <f>IF(AND('Mapa final'!$AH$39="Muy Alta",'Mapa final'!$AJ$39="Moderado"),CONCATENATE("R2C",'Mapa final'!$R$39),"")</f>
        <v/>
      </c>
      <c r="AB16" s="40" t="str">
        <f>IF(AND('Mapa final'!$AH$40="Muy Alta",'Mapa final'!$AJ$40="Moderado"),CONCATENATE("R2C",'Mapa final'!$R$40),"")</f>
        <v/>
      </c>
      <c r="AC16" s="38" t="str">
        <f>IF(AND('Mapa final'!$AH$35="Muy Alta",'Mapa final'!$AJ$35="Mayor"),CONCATENATE("R2C",'Mapa final'!$R$35),"")</f>
        <v/>
      </c>
      <c r="AD16" s="39" t="str">
        <f>IF(AND('Mapa final'!$AH$36="Muy Alta",'Mapa final'!$AJ$36="Mayor"),CONCATENATE("R2C",'Mapa final'!$R$36),"")</f>
        <v/>
      </c>
      <c r="AE16" s="39" t="str">
        <f>IF(AND('Mapa final'!$AH$37="Muy Alta",'Mapa final'!$AJ$37="Mayor"),CONCATENATE("R2C",'Mapa final'!$R$37),"")</f>
        <v/>
      </c>
      <c r="AF16" s="39" t="str">
        <f>IF(AND('Mapa final'!$AH$38="Muy Alta",'Mapa final'!$AJ$38="Mayor"),CONCATENATE("R2C",'Mapa final'!$R$38),"")</f>
        <v/>
      </c>
      <c r="AG16" s="39" t="str">
        <f>IF(AND('Mapa final'!$AH$39="Muy Alta",'Mapa final'!$AJ$39="Mayor"),CONCATENATE("R2C",'Mapa final'!$R$39),"")</f>
        <v/>
      </c>
      <c r="AH16" s="40" t="str">
        <f>IF(AND('Mapa final'!$AH$40="Muy Alta",'Mapa final'!$AJ$40="Mayor"),CONCATENATE("R2C",'Mapa final'!$R$40),"")</f>
        <v/>
      </c>
      <c r="AI16" s="41" t="str">
        <f>IF(AND('Mapa final'!$AH$35="Muy Alta",'Mapa final'!$AJ$35="Catastrófico"),CONCATENATE("R2C",'Mapa final'!$R$35),"")</f>
        <v/>
      </c>
      <c r="AJ16" s="42" t="str">
        <f>IF(AND('Mapa final'!$AH$36="Muy Alta",'Mapa final'!$AJ$36="Catastrófico"),CONCATENATE("R2C",'Mapa final'!$R$36),"")</f>
        <v/>
      </c>
      <c r="AK16" s="42" t="str">
        <f>IF(AND('Mapa final'!$AH$37="Muy Alta",'Mapa final'!$AJ$37="Catastrófico"),CONCATENATE("R2C",'Mapa final'!$R$37),"")</f>
        <v/>
      </c>
      <c r="AL16" s="42" t="str">
        <f>IF(AND('Mapa final'!$AH$38="Muy Alta",'Mapa final'!$AJ$38="Catastrófico"),CONCATENATE("R2C",'Mapa final'!$R$38),"")</f>
        <v/>
      </c>
      <c r="AM16" s="42" t="str">
        <f>IF(AND('Mapa final'!$AH$39="Muy Alta",'Mapa final'!$AJ$39="Catastrófico"),CONCATENATE("R2C",'Mapa final'!$R$39),"")</f>
        <v/>
      </c>
      <c r="AN16" s="43" t="str">
        <f>IF(AND('Mapa final'!$AH$40="Muy Alta",'Mapa final'!$AJ$40="Catastrófico"),CONCATENATE("R2C",'Mapa final'!$R$40),"")</f>
        <v/>
      </c>
      <c r="AO16" s="68"/>
      <c r="AP16" s="519"/>
      <c r="AQ16" s="520"/>
      <c r="AR16" s="520"/>
      <c r="AS16" s="520"/>
      <c r="AT16" s="520"/>
      <c r="AU16" s="521"/>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56"/>
      <c r="D17" s="456"/>
      <c r="E17" s="457"/>
      <c r="F17" s="499"/>
      <c r="G17" s="500"/>
      <c r="H17" s="500"/>
      <c r="I17" s="500"/>
      <c r="J17" s="500"/>
      <c r="K17" s="38" t="str">
        <f>IF(AND('Mapa final'!$AH$41="Muy Alta",'Mapa final'!$AJ$41="Leve"),CONCATENATE("R2C",'Mapa final'!$R$41),"")</f>
        <v/>
      </c>
      <c r="L17" s="39" t="str">
        <f>IF(AND('Mapa final'!$AH$42="Muy Alta",'Mapa final'!$AJ$42="Leve"),CONCATENATE("R2C",'Mapa final'!$R$42),"")</f>
        <v/>
      </c>
      <c r="M17" s="39" t="str">
        <f>IF(AND('Mapa final'!$AH$43="Muy Alta",'Mapa final'!$AJ$43="Leve"),CONCATENATE("R2C",'Mapa final'!$R$43),"")</f>
        <v/>
      </c>
      <c r="N17" s="39" t="str">
        <f>IF(AND('Mapa final'!$AH$44="Muy Alta",'Mapa final'!$AJ$44="Leve"),CONCATENATE("R2C",'Mapa final'!$R$44),"")</f>
        <v/>
      </c>
      <c r="O17" s="39" t="str">
        <f>IF(AND('Mapa final'!$AH$45="Muy Alta",'Mapa final'!$AJ$45="Leve"),CONCATENATE("R2C",'Mapa final'!$R$45),"")</f>
        <v/>
      </c>
      <c r="P17" s="40" t="str">
        <f>IF(AND('Mapa final'!$AH$56="Muy Alta",'Mapa final'!$AJ$46="Leve"),CONCATENATE("R2C",'Mapa final'!$R$46),"")</f>
        <v/>
      </c>
      <c r="Q17" s="39" t="str">
        <f>IF(AND('Mapa final'!$AH$41="Muy Alta",'Mapa final'!$AJ$41="Menor"),CONCATENATE("R2C",'Mapa final'!$R$41),"")</f>
        <v/>
      </c>
      <c r="R17" s="39" t="str">
        <f>IF(AND('Mapa final'!$AH$42="Muy Alta",'Mapa final'!$AJ$42="Menor"),CONCATENATE("R2C",'Mapa final'!$R$42),"")</f>
        <v/>
      </c>
      <c r="S17" s="39" t="str">
        <f>IF(AND('Mapa final'!$AH$43="Muy Alta",'Mapa final'!$AJ$43="Menor"),CONCATENATE("R2C",'Mapa final'!$R$43),"")</f>
        <v/>
      </c>
      <c r="T17" s="39" t="str">
        <f>IF(AND('Mapa final'!$AH$44="Muy Alta",'Mapa final'!$AJ$44="Menor"),CONCATENATE("R2C",'Mapa final'!$R$44),"")</f>
        <v/>
      </c>
      <c r="U17" s="39" t="str">
        <f>IF(AND('Mapa final'!$AH$45="Muy Alta",'Mapa final'!$AJ$45="Menor"),CONCATENATE("R2C",'Mapa final'!$R$45),"")</f>
        <v/>
      </c>
      <c r="V17" s="40" t="str">
        <f>IF(AND('Mapa final'!$AH$56="Muy Alta",'Mapa final'!$AJ$46="Menor"),CONCATENATE("R2C",'Mapa final'!$R$46),"")</f>
        <v/>
      </c>
      <c r="W17" s="38" t="str">
        <f>IF(AND('Mapa final'!$AH$41="Muy Alta",'Mapa final'!$AJ$41="Moderado"),CONCATENATE("R2C",'Mapa final'!$R$41),"")</f>
        <v/>
      </c>
      <c r="X17" s="39" t="str">
        <f>IF(AND('Mapa final'!$AH$42="Muy Alta",'Mapa final'!$AJ$42="Moderado"),CONCATENATE("R2C",'Mapa final'!$R$42),"")</f>
        <v/>
      </c>
      <c r="Y17" s="39" t="str">
        <f>IF(AND('Mapa final'!$AH$43="Muy Alta",'Mapa final'!$AJ$43="Moderado"),CONCATENATE("R2C",'Mapa final'!$R$43),"")</f>
        <v/>
      </c>
      <c r="Z17" s="39" t="str">
        <f>IF(AND('Mapa final'!$AH$44="Muy Alta",'Mapa final'!$AJ$44="Moderado"),CONCATENATE("R2C",'Mapa final'!$R$44),"")</f>
        <v/>
      </c>
      <c r="AA17" s="39" t="str">
        <f>IF(AND('Mapa final'!$AH$45="Muy Alta",'Mapa final'!$AJ$45="Moderado"),CONCATENATE("R2C",'Mapa final'!$R$45),"")</f>
        <v/>
      </c>
      <c r="AB17" s="40" t="str">
        <f>IF(AND('Mapa final'!$AH$56="Muy Alta",'Mapa final'!$AJ$46="Moderado"),CONCATENATE("R2C",'Mapa final'!$R$46),"")</f>
        <v/>
      </c>
      <c r="AC17" s="38" t="str">
        <f>IF(AND('Mapa final'!$AH$41="Muy Alta",'Mapa final'!$AJ$41="Mayor"),CONCATENATE("R2C",'Mapa final'!$R$41),"")</f>
        <v/>
      </c>
      <c r="AD17" s="39" t="str">
        <f>IF(AND('Mapa final'!$AH$42="Muy Alta",'Mapa final'!$AJ$42="Mayor"),CONCATENATE("R2C",'Mapa final'!$R$42),"")</f>
        <v/>
      </c>
      <c r="AE17" s="39" t="str">
        <f>IF(AND('Mapa final'!$AH$43="Muy Alta",'Mapa final'!$AJ$43="Mayor"),CONCATENATE("R2C",'Mapa final'!$R$43),"")</f>
        <v/>
      </c>
      <c r="AF17" s="39" t="str">
        <f>IF(AND('Mapa final'!$AH$44="Muy Alta",'Mapa final'!$AJ$44="Mayor"),CONCATENATE("R2C",'Mapa final'!$R$44),"")</f>
        <v/>
      </c>
      <c r="AG17" s="39" t="str">
        <f>IF(AND('Mapa final'!$AH$45="Muy Alta",'Mapa final'!$AJ$45="Mayor"),CONCATENATE("R2C",'Mapa final'!$R$45),"")</f>
        <v/>
      </c>
      <c r="AH17" s="40" t="str">
        <f>IF(AND('Mapa final'!$AH$56="Muy Alta",'Mapa final'!$AJ$46="Mayor"),CONCATENATE("R2C",'Mapa final'!$R$46),"")</f>
        <v/>
      </c>
      <c r="AI17" s="41" t="str">
        <f>IF(AND('Mapa final'!$AH$41="Muy Alta",'Mapa final'!$AJ$41="Catastrófico"),CONCATENATE("R2C",'Mapa final'!$R$41),"")</f>
        <v/>
      </c>
      <c r="AJ17" s="42" t="str">
        <f>IF(AND('Mapa final'!$AH$42="Muy Alta",'Mapa final'!$AJ$42="Catastrófico"),CONCATENATE("R2C",'Mapa final'!$R$42),"")</f>
        <v/>
      </c>
      <c r="AK17" s="42" t="str">
        <f>IF(AND('Mapa final'!$AH$43="Muy Alta",'Mapa final'!$AJ$43="Catastrófico"),CONCATENATE("R2C",'Mapa final'!$R$43),"")</f>
        <v/>
      </c>
      <c r="AL17" s="42" t="str">
        <f>IF(AND('Mapa final'!$AH$44="Muy Alta",'Mapa final'!$AJ$44="Catastrófico"),CONCATENATE("R2C",'Mapa final'!$R$44),"")</f>
        <v/>
      </c>
      <c r="AM17" s="42" t="str">
        <f>IF(AND('Mapa final'!$AH$45="Muy Alta",'Mapa final'!$AJ$45="Catastrófico"),CONCATENATE("R2C",'Mapa final'!$R$45),"")</f>
        <v/>
      </c>
      <c r="AN17" s="43" t="str">
        <f>IF(AND('Mapa final'!$AH$56="Muy Alta",'Mapa final'!$AJ$46="Catastrófico"),CONCATENATE("R2C",'Mapa final'!$R$46),"")</f>
        <v/>
      </c>
      <c r="AO17" s="68"/>
      <c r="AP17" s="519"/>
      <c r="AQ17" s="520"/>
      <c r="AR17" s="520"/>
      <c r="AS17" s="520"/>
      <c r="AT17" s="520"/>
      <c r="AU17" s="521"/>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56"/>
      <c r="D18" s="456"/>
      <c r="E18" s="457"/>
      <c r="F18" s="499"/>
      <c r="G18" s="500"/>
      <c r="H18" s="500"/>
      <c r="I18" s="500"/>
      <c r="J18" s="500"/>
      <c r="K18" s="38" t="str">
        <f>IF(AND('Mapa final'!$AH$47="Muy Alta",'Mapa final'!$AJ$47="Leve"),CONCATENATE("R2C",'Mapa final'!$R$47),"")</f>
        <v/>
      </c>
      <c r="L18" s="39" t="str">
        <f>IF(AND('Mapa final'!$AH$48="Muy Alta",'Mapa final'!$AJ$48="Leve"),CONCATENATE("R2C",'Mapa final'!$R$48),"")</f>
        <v/>
      </c>
      <c r="M18" s="39" t="str">
        <f>IF(AND('Mapa final'!$AH$49="Muy Alta",'Mapa final'!$AJ$49="Leve"),CONCATENATE("R2C",'Mapa final'!$R$49),"")</f>
        <v/>
      </c>
      <c r="N18" s="39" t="str">
        <f>IF(AND('Mapa final'!$AH$50="Muy Alta",'Mapa final'!$AJ$50="Leve"),CONCATENATE("R2C",'Mapa final'!$R$50),"")</f>
        <v/>
      </c>
      <c r="O18" s="39" t="str">
        <f>IF(AND('Mapa final'!$AH$51="Muy Alta",'Mapa final'!$AJ$51="Leve"),CONCATENATE("R2C",'Mapa final'!$R$51),"")</f>
        <v/>
      </c>
      <c r="P18" s="40" t="str">
        <f>IF(AND('Mapa final'!$AH$52="Muy Alta",'Mapa final'!$AJ$52="Leve"),CONCATENATE("R2C",'Mapa final'!$R$52),"")</f>
        <v/>
      </c>
      <c r="Q18" s="39" t="str">
        <f>IF(AND('Mapa final'!$AH$47="Muy Alta",'Mapa final'!$AJ$47="Menor"),CONCATENATE("R2C",'Mapa final'!$R$47),"")</f>
        <v/>
      </c>
      <c r="R18" s="39" t="str">
        <f>IF(AND('Mapa final'!$AH$48="Muy Alta",'Mapa final'!$AJ$48="Menor"),CONCATENATE("R2C",'Mapa final'!$R$48),"")</f>
        <v/>
      </c>
      <c r="S18" s="39" t="str">
        <f>IF(AND('Mapa final'!$AH$49="Muy Alta",'Mapa final'!$AJ$49="Menor"),CONCATENATE("R2C",'Mapa final'!$R$49),"")</f>
        <v/>
      </c>
      <c r="T18" s="39" t="str">
        <f>IF(AND('Mapa final'!$AH$50="Muy Alta",'Mapa final'!$AJ$50="Menor"),CONCATENATE("R2C",'Mapa final'!$R$50),"")</f>
        <v/>
      </c>
      <c r="U18" s="39" t="str">
        <f>IF(AND('Mapa final'!$AH$51="Muy Alta",'Mapa final'!$AJ$51="Menor"),CONCATENATE("R2C",'Mapa final'!$R$51),"")</f>
        <v/>
      </c>
      <c r="V18" s="40" t="str">
        <f>IF(AND('Mapa final'!$AH$52="Muy Alta",'Mapa final'!$AJ$52="Menor"),CONCATENATE("R2C",'Mapa final'!$R$52),"")</f>
        <v/>
      </c>
      <c r="W18" s="38" t="str">
        <f>IF(AND('Mapa final'!$AH$47="Muy Alta",'Mapa final'!$AJ$47="Moderado"),CONCATENATE("R2C",'Mapa final'!$R$47),"")</f>
        <v/>
      </c>
      <c r="X18" s="39" t="str">
        <f>IF(AND('Mapa final'!$AH$48="Muy Alta",'Mapa final'!$AJ$48="Moderado"),CONCATENATE("R2C",'Mapa final'!$R$48),"")</f>
        <v/>
      </c>
      <c r="Y18" s="39" t="str">
        <f>IF(AND('Mapa final'!$AH$49="Muy Alta",'Mapa final'!$AJ$49="Moderado"),CONCATENATE("R2C",'Mapa final'!$R$49),"")</f>
        <v/>
      </c>
      <c r="Z18" s="39" t="str">
        <f>IF(AND('Mapa final'!$AH$50="Muy Alta",'Mapa final'!$AJ$50="Moderado"),CONCATENATE("R2C",'Mapa final'!$R$50),"")</f>
        <v/>
      </c>
      <c r="AA18" s="39" t="str">
        <f>IF(AND('Mapa final'!$AH$51="Muy Alta",'Mapa final'!$AJ$51="Moderado"),CONCATENATE("R2C",'Mapa final'!$R$51),"")</f>
        <v/>
      </c>
      <c r="AB18" s="40" t="str">
        <f>IF(AND('Mapa final'!$AH$52="Muy Alta",'Mapa final'!$AJ$52="Moderado"),CONCATENATE("R2C",'Mapa final'!$R$52),"")</f>
        <v/>
      </c>
      <c r="AC18" s="38" t="str">
        <f>IF(AND('Mapa final'!$AH$47="Muy Alta",'Mapa final'!$AJ$47="Mayor"),CONCATENATE("R2C",'Mapa final'!$R$47),"")</f>
        <v/>
      </c>
      <c r="AD18" s="39" t="str">
        <f>IF(AND('Mapa final'!$AH$48="Muy Alta",'Mapa final'!$AJ$48="Mayor"),CONCATENATE("R2C",'Mapa final'!$R$48),"")</f>
        <v/>
      </c>
      <c r="AE18" s="39" t="str">
        <f>IF(AND('Mapa final'!$AH$49="Muy Alta",'Mapa final'!$AJ$49="Mayor"),CONCATENATE("R2C",'Mapa final'!$R$49),"")</f>
        <v/>
      </c>
      <c r="AF18" s="39" t="str">
        <f>IF(AND('Mapa final'!$AH$50="Muy Alta",'Mapa final'!$AJ$50="Mayor"),CONCATENATE("R2C",'Mapa final'!$R$50),"")</f>
        <v/>
      </c>
      <c r="AG18" s="39" t="str">
        <f>IF(AND('Mapa final'!$AH$51="Muy Alta",'Mapa final'!$AJ$51="Mayor"),CONCATENATE("R2C",'Mapa final'!$R$51),"")</f>
        <v/>
      </c>
      <c r="AH18" s="40" t="str">
        <f>IF(AND('Mapa final'!$AH$52="Muy Alta",'Mapa final'!$AJ$52="Mayor"),CONCATENATE("R2C",'Mapa final'!$R$52),"")</f>
        <v/>
      </c>
      <c r="AI18" s="41" t="str">
        <f>IF(AND('Mapa final'!$AH$47="Muy Alta",'Mapa final'!$AJ$47="Catastrófico"),CONCATENATE("R2C",'Mapa final'!$R$47),"")</f>
        <v/>
      </c>
      <c r="AJ18" s="42" t="str">
        <f>IF(AND('Mapa final'!$AH$48="Muy Alta",'Mapa final'!$AJ$48="Catastrófico"),CONCATENATE("R2C",'Mapa final'!$R$48),"")</f>
        <v/>
      </c>
      <c r="AK18" s="42" t="str">
        <f>IF(AND('Mapa final'!$AH$49="Muy Alta",'Mapa final'!$AJ$49="Catastrófico"),CONCATENATE("R2C",'Mapa final'!$R$49),"")</f>
        <v/>
      </c>
      <c r="AL18" s="42" t="str">
        <f>IF(AND('Mapa final'!$AH$50="Muy Alta",'Mapa final'!$AJ$50="Catastrófico"),CONCATENATE("R2C",'Mapa final'!$R$50),"")</f>
        <v/>
      </c>
      <c r="AM18" s="42" t="str">
        <f>IF(AND('Mapa final'!$AH$51="Muy Alta",'Mapa final'!$AJ$51="Catastrófico"),CONCATENATE("R2C",'Mapa final'!$R$51),"")</f>
        <v/>
      </c>
      <c r="AN18" s="43" t="str">
        <f>IF(AND('Mapa final'!$AH$52="Muy Alta",'Mapa final'!$AJ$52="Catastrófico"),CONCATENATE("R2C",'Mapa final'!$R$52),"")</f>
        <v/>
      </c>
      <c r="AO18" s="68"/>
      <c r="AP18" s="519"/>
      <c r="AQ18" s="520"/>
      <c r="AR18" s="520"/>
      <c r="AS18" s="520"/>
      <c r="AT18" s="520"/>
      <c r="AU18" s="521"/>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56"/>
      <c r="D19" s="456"/>
      <c r="E19" s="457"/>
      <c r="F19" s="499"/>
      <c r="G19" s="500"/>
      <c r="H19" s="500"/>
      <c r="I19" s="500"/>
      <c r="J19" s="500"/>
      <c r="K19" s="38" t="str">
        <f>IF(AND('Mapa final'!$AH$53="Muy Alta",'Mapa final'!$AJ$53="Leve"),CONCATENATE("R2C",'Mapa final'!$R$53),"")</f>
        <v/>
      </c>
      <c r="L19" s="39" t="str">
        <f>IF(AND('Mapa final'!$AH$54="Muy Alta",'Mapa final'!$AJ$54="Leve"),CONCATENATE("R2C",'Mapa final'!$R$54),"")</f>
        <v/>
      </c>
      <c r="M19" s="39" t="str">
        <f>IF(AND('Mapa final'!$AH$55="Muy Alta",'Mapa final'!$AJ$55="Leve"),CONCATENATE("R2C",'Mapa final'!$R$55),"")</f>
        <v/>
      </c>
      <c r="N19" s="39" t="str">
        <f>IF(AND('Mapa final'!$AH$56="Muy Alta",'Mapa final'!$AJ$56="Leve"),CONCATENATE("R2C",'Mapa final'!$R$56),"")</f>
        <v/>
      </c>
      <c r="O19" s="39" t="str">
        <f>IF(AND('Mapa final'!$AH$57="Muy Alta",'Mapa final'!$AJ$57="Leve"),CONCATENATE("R2C",'Mapa final'!$R$57),"")</f>
        <v/>
      </c>
      <c r="P19" s="40" t="str">
        <f>IF(AND('Mapa final'!$AH$58="Muy Alta",'Mapa final'!$AJ$58="Leve"),CONCATENATE("R2C",'Mapa final'!$R$58),"")</f>
        <v/>
      </c>
      <c r="Q19" s="39" t="str">
        <f>IF(AND('Mapa final'!$AH$53="Muy Alta",'Mapa final'!$AJ$53="Menor"),CONCATENATE("R2C",'Mapa final'!$R$53),"")</f>
        <v/>
      </c>
      <c r="R19" s="39" t="str">
        <f>IF(AND('Mapa final'!$AH$54="Muy Alta",'Mapa final'!$AJ$54="Menor"),CONCATENATE("R2C",'Mapa final'!$R$54),"")</f>
        <v/>
      </c>
      <c r="S19" s="39" t="str">
        <f>IF(AND('Mapa final'!$AH$55="Muy Alta",'Mapa final'!$AJ$55="Menor"),CONCATENATE("R2C",'Mapa final'!$R$55),"")</f>
        <v/>
      </c>
      <c r="T19" s="39" t="str">
        <f>IF(AND('Mapa final'!$AH$56="Muy Alta",'Mapa final'!$AJ$56="Menor"),CONCATENATE("R2C",'Mapa final'!$R$56),"")</f>
        <v/>
      </c>
      <c r="U19" s="39" t="str">
        <f>IF(AND('Mapa final'!$AH$57="Muy Alta",'Mapa final'!$AJ$57="Menor"),CONCATENATE("R2C",'Mapa final'!$R$57),"")</f>
        <v/>
      </c>
      <c r="V19" s="40" t="str">
        <f>IF(AND('Mapa final'!$AH$58="Muy Alta",'Mapa final'!$AJ$58="Menor"),CONCATENATE("R2C",'Mapa final'!$R$58),"")</f>
        <v/>
      </c>
      <c r="W19" s="38" t="str">
        <f>IF(AND('Mapa final'!$AH$53="Muy Alta",'Mapa final'!$AJ$53="Moderado"),CONCATENATE("R2C",'Mapa final'!$R$53),"")</f>
        <v/>
      </c>
      <c r="X19" s="39" t="str">
        <f>IF(AND('Mapa final'!$AH$54="Muy Alta",'Mapa final'!$AJ$54="Moderado"),CONCATENATE("R2C",'Mapa final'!$R$54),"")</f>
        <v/>
      </c>
      <c r="Y19" s="39" t="str">
        <f>IF(AND('Mapa final'!$AH$55="Muy Alta",'Mapa final'!$AJ$55="Moderado"),CONCATENATE("R2C",'Mapa final'!$R$55),"")</f>
        <v/>
      </c>
      <c r="Z19" s="39" t="str">
        <f>IF(AND('Mapa final'!$AH$56="Muy Alta",'Mapa final'!$AJ$56="Moderado"),CONCATENATE("R2C",'Mapa final'!$R$56),"")</f>
        <v/>
      </c>
      <c r="AA19" s="39" t="str">
        <f>IF(AND('Mapa final'!$AH$57="Muy Alta",'Mapa final'!$AJ$57="Moderado"),CONCATENATE("R2C",'Mapa final'!$R$57),"")</f>
        <v/>
      </c>
      <c r="AB19" s="40" t="str">
        <f>IF(AND('Mapa final'!$AH$58="Muy Alta",'Mapa final'!$AJ$58="Moderado"),CONCATENATE("R2C",'Mapa final'!$R$58),"")</f>
        <v/>
      </c>
      <c r="AC19" s="38" t="str">
        <f>IF(AND('Mapa final'!$AH$53="Muy Alta",'Mapa final'!$AJ$53="Mayor"),CONCATENATE("R2C",'Mapa final'!$R$53),"")</f>
        <v/>
      </c>
      <c r="AD19" s="39" t="str">
        <f>IF(AND('Mapa final'!$AH$54="Muy Alta",'Mapa final'!$AJ$54="Mayor"),CONCATENATE("R2C",'Mapa final'!$R$54),"")</f>
        <v/>
      </c>
      <c r="AE19" s="39" t="str">
        <f>IF(AND('Mapa final'!$AH$55="Muy Alta",'Mapa final'!$AJ$55="Mayor"),CONCATENATE("R2C",'Mapa final'!$R$55),"")</f>
        <v/>
      </c>
      <c r="AF19" s="39" t="str">
        <f>IF(AND('Mapa final'!$AH$56="Muy Alta",'Mapa final'!$AJ$56="Mayor"),CONCATENATE("R2C",'Mapa final'!$R$56),"")</f>
        <v/>
      </c>
      <c r="AG19" s="39" t="str">
        <f>IF(AND('Mapa final'!$AH$57="Muy Alta",'Mapa final'!$AJ$57="Mayor"),CONCATENATE("R2C",'Mapa final'!$R$57),"")</f>
        <v/>
      </c>
      <c r="AH19" s="40" t="str">
        <f>IF(AND('Mapa final'!$AH$58="Muy Alta",'Mapa final'!$AJ$58="Mayor"),CONCATENATE("R2C",'Mapa final'!$R$58),"")</f>
        <v/>
      </c>
      <c r="AI19" s="41" t="str">
        <f>IF(AND('Mapa final'!$AH$53="Muy Alta",'Mapa final'!$AJ$53="Catastrófico"),CONCATENATE("R2C",'Mapa final'!$R$53),"")</f>
        <v/>
      </c>
      <c r="AJ19" s="42" t="str">
        <f>IF(AND('Mapa final'!$AH$54="Muy Alta",'Mapa final'!$AJ$54="Catastrófico"),CONCATENATE("R2C",'Mapa final'!$R$54),"")</f>
        <v/>
      </c>
      <c r="AK19" s="42" t="str">
        <f>IF(AND('Mapa final'!$AH$55="Muy Alta",'Mapa final'!$AJ$55="Catastrófico"),CONCATENATE("R2C",'Mapa final'!$R$55),"")</f>
        <v/>
      </c>
      <c r="AL19" s="42" t="str">
        <f>IF(AND('Mapa final'!$AH$56="Muy Alta",'Mapa final'!$AJ$56="Catastrófico"),CONCATENATE("R2C",'Mapa final'!$R$56),"")</f>
        <v/>
      </c>
      <c r="AM19" s="42" t="str">
        <f>IF(AND('Mapa final'!$AH$57="Muy Alta",'Mapa final'!$AJ$57="Catastrófico"),CONCATENATE("R2C",'Mapa final'!$R$57),"")</f>
        <v/>
      </c>
      <c r="AN19" s="43" t="str">
        <f>IF(AND('Mapa final'!$AH$58="Muy Alta",'Mapa final'!$AJ$58="Catastrófico"),CONCATENATE("R2C",'Mapa final'!$R$58),"")</f>
        <v/>
      </c>
      <c r="AO19" s="68"/>
      <c r="AP19" s="519"/>
      <c r="AQ19" s="520"/>
      <c r="AR19" s="520"/>
      <c r="AS19" s="520"/>
      <c r="AT19" s="520"/>
      <c r="AU19" s="521"/>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56"/>
      <c r="D20" s="456"/>
      <c r="E20" s="457"/>
      <c r="F20" s="499"/>
      <c r="G20" s="500"/>
      <c r="H20" s="500"/>
      <c r="I20" s="500"/>
      <c r="J20" s="500"/>
      <c r="K20" s="38" t="str">
        <f>IF(AND('Mapa final'!$AH$59="Muy Alta",'Mapa final'!$AJ$59="Leve"),CONCATENATE("R2C",'Mapa final'!$R$59),"")</f>
        <v/>
      </c>
      <c r="L20" s="39" t="str">
        <f>IF(AND('Mapa final'!$AH$60="Muy Alta",'Mapa final'!$AJ$60="Leve"),CONCATENATE("R2C",'Mapa final'!$R$60),"")</f>
        <v/>
      </c>
      <c r="M20" s="39" t="str">
        <f>IF(AND('Mapa final'!$AH$61="Muy Alta",'Mapa final'!$AJ$61="Leve"),CONCATENATE("R2C",'Mapa final'!$R$61),"")</f>
        <v/>
      </c>
      <c r="N20" s="39" t="str">
        <f>IF(AND('Mapa final'!$AH$62="Muy Alta",'Mapa final'!$AJ$62="Leve"),CONCATENATE("R2C",'Mapa final'!$R$62),"")</f>
        <v/>
      </c>
      <c r="O20" s="39" t="str">
        <f>IF(AND('Mapa final'!$AH$63="Muy Alta",'Mapa final'!$AJ$63="Leve"),CONCATENATE("R2C",'Mapa final'!$R$63),"")</f>
        <v/>
      </c>
      <c r="P20" s="40" t="str">
        <f>IF(AND('Mapa final'!$AH$64="Muy Alta",'Mapa final'!$AJ$64="Leve"),CONCATENATE("R2C",'Mapa final'!$R$64),"")</f>
        <v/>
      </c>
      <c r="Q20" s="39" t="str">
        <f>IF(AND('Mapa final'!$AH$59="Muy Alta",'Mapa final'!$AJ$59="Menor"),CONCATENATE("R2C",'Mapa final'!$R$59),"")</f>
        <v/>
      </c>
      <c r="R20" s="39" t="str">
        <f>IF(AND('Mapa final'!$AH$60="Muy Alta",'Mapa final'!$AJ$60="Menor"),CONCATENATE("R2C",'Mapa final'!$R$60),"")</f>
        <v/>
      </c>
      <c r="S20" s="39" t="str">
        <f>IF(AND('Mapa final'!$AH$61="Muy Alta",'Mapa final'!$AJ$61="Menor"),CONCATENATE("R2C",'Mapa final'!$R$61),"")</f>
        <v/>
      </c>
      <c r="T20" s="39" t="str">
        <f>IF(AND('Mapa final'!$AH$62="Muy Alta",'Mapa final'!$AJ$62="Menor"),CONCATENATE("R2C",'Mapa final'!$R$62),"")</f>
        <v/>
      </c>
      <c r="U20" s="39" t="str">
        <f>IF(AND('Mapa final'!$AH$63="Muy Alta",'Mapa final'!$AJ$63="Menor"),CONCATENATE("R2C",'Mapa final'!$R$63),"")</f>
        <v/>
      </c>
      <c r="V20" s="40" t="str">
        <f>IF(AND('Mapa final'!$AH$64="Muy Alta",'Mapa final'!$AJ$64="Menor"),CONCATENATE("R2C",'Mapa final'!$R$64),"")</f>
        <v/>
      </c>
      <c r="W20" s="38" t="str">
        <f>IF(AND('Mapa final'!$AH$59="Muy Alta",'Mapa final'!$AJ$59="Moderado"),CONCATENATE("R2C",'Mapa final'!$R$59),"")</f>
        <v/>
      </c>
      <c r="X20" s="39" t="str">
        <f>IF(AND('Mapa final'!$AH$60="Muy Alta",'Mapa final'!$AJ$60="Moderado"),CONCATENATE("R2C",'Mapa final'!$R$60),"")</f>
        <v/>
      </c>
      <c r="Y20" s="39" t="str">
        <f>IF(AND('Mapa final'!$AH$61="Muy Alta",'Mapa final'!$AJ$61="Moderado"),CONCATENATE("R2C",'Mapa final'!$R$61),"")</f>
        <v/>
      </c>
      <c r="Z20" s="39" t="str">
        <f>IF(AND('Mapa final'!$AH$62="Muy Alta",'Mapa final'!$AJ$62="Moderado"),CONCATENATE("R2C",'Mapa final'!$R$62),"")</f>
        <v/>
      </c>
      <c r="AA20" s="39" t="str">
        <f>IF(AND('Mapa final'!$AH$63="Muy Alta",'Mapa final'!$AJ$63="Moderado"),CONCATENATE("R2C",'Mapa final'!$R$63),"")</f>
        <v/>
      </c>
      <c r="AB20" s="40" t="str">
        <f>IF(AND('Mapa final'!$AH$64="Muy Alta",'Mapa final'!$AJ$64="Moderado"),CONCATENATE("R2C",'Mapa final'!$R$64),"")</f>
        <v/>
      </c>
      <c r="AC20" s="38" t="str">
        <f>IF(AND('Mapa final'!$AH$59="Muy Alta",'Mapa final'!$AJ$59="Mayor"),CONCATENATE("R2C",'Mapa final'!$R$59),"")</f>
        <v/>
      </c>
      <c r="AD20" s="39" t="str">
        <f>IF(AND('Mapa final'!$AH$60="Muy Alta",'Mapa final'!$AJ$60="Mayor"),CONCATENATE("R2C",'Mapa final'!$R$60),"")</f>
        <v/>
      </c>
      <c r="AE20" s="39" t="str">
        <f>IF(AND('Mapa final'!$AH$61="Muy Alta",'Mapa final'!$AJ$61="Mayor"),CONCATENATE("R2C",'Mapa final'!$R$61),"")</f>
        <v/>
      </c>
      <c r="AF20" s="39" t="str">
        <f>IF(AND('Mapa final'!$AH$62="Muy Alta",'Mapa final'!$AJ$62="Mayor"),CONCATENATE("R2C",'Mapa final'!$R$62),"")</f>
        <v/>
      </c>
      <c r="AG20" s="39" t="str">
        <f>IF(AND('Mapa final'!$AH$63="Muy Alta",'Mapa final'!$AJ$63="Mayor"),CONCATENATE("R2C",'Mapa final'!$R$63),"")</f>
        <v/>
      </c>
      <c r="AH20" s="40" t="str">
        <f>IF(AND('Mapa final'!$AH$64="Muy Alta",'Mapa final'!$AJ$64="Mayor"),CONCATENATE("R2C",'Mapa final'!$R$64),"")</f>
        <v/>
      </c>
      <c r="AI20" s="41" t="str">
        <f>IF(AND('Mapa final'!$AH$59="Muy Alta",'Mapa final'!$AJ$59="Catastrófico"),CONCATENATE("R2C",'Mapa final'!$R$59),"")</f>
        <v/>
      </c>
      <c r="AJ20" s="42" t="str">
        <f>IF(AND('Mapa final'!$AH$60="Muy Alta",'Mapa final'!$AJ$60="Catastrófico"),CONCATENATE("R2C",'Mapa final'!$R$60),"")</f>
        <v/>
      </c>
      <c r="AK20" s="42" t="str">
        <f>IF(AND('Mapa final'!$AH$61="Muy Alta",'Mapa final'!$AJ$61="Catastrófico"),CONCATENATE("R2C",'Mapa final'!$R$61),"")</f>
        <v/>
      </c>
      <c r="AL20" s="42" t="str">
        <f>IF(AND('Mapa final'!$AH$62="Muy Alta",'Mapa final'!$AJ$62="Catastrófico"),CONCATENATE("R2C",'Mapa final'!$R$62),"")</f>
        <v/>
      </c>
      <c r="AM20" s="42" t="str">
        <f>IF(AND('Mapa final'!$AH$63="Muy Alta",'Mapa final'!$AJ$63="Catastrófico"),CONCATENATE("R2C",'Mapa final'!$R$63),"")</f>
        <v/>
      </c>
      <c r="AN20" s="43" t="str">
        <f>IF(AND('Mapa final'!$AH$64="Muy Alta",'Mapa final'!$AJ$64="Catastrófico"),CONCATENATE("R2C",'Mapa final'!$R$64),"")</f>
        <v/>
      </c>
      <c r="AO20" s="68"/>
      <c r="AP20" s="519"/>
      <c r="AQ20" s="520"/>
      <c r="AR20" s="520"/>
      <c r="AS20" s="520"/>
      <c r="AT20" s="520"/>
      <c r="AU20" s="521"/>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56"/>
      <c r="D21" s="456"/>
      <c r="E21" s="457"/>
      <c r="F21" s="502"/>
      <c r="G21" s="503"/>
      <c r="H21" s="503"/>
      <c r="I21" s="503"/>
      <c r="J21" s="503"/>
      <c r="K21" s="44" t="str">
        <f>IF(AND('Mapa final'!$AH$65="Muy Alta",'Mapa final'!$AJ$65="Leve"),CONCATENATE("R2C",'Mapa final'!$R$65),"")</f>
        <v/>
      </c>
      <c r="L21" s="45" t="str">
        <f>IF(AND('Mapa final'!$AH$66="Muy Alta",'Mapa final'!$AJ$66="Leve"),CONCATENATE("R2C",'Mapa final'!$R$66),"")</f>
        <v/>
      </c>
      <c r="M21" s="45" t="str">
        <f>IF(AND('Mapa final'!$AH$67="Muy Alta",'Mapa final'!$AJ$67="Leve"),CONCATENATE("R2C",'Mapa final'!$R$67),"")</f>
        <v/>
      </c>
      <c r="N21" s="45" t="str">
        <f>IF(AND('Mapa final'!$AH$68="Muy Alta",'Mapa final'!$AJ$68="Leve"),CONCATENATE("R2C",'Mapa final'!$R$68),"")</f>
        <v/>
      </c>
      <c r="O21" s="45" t="str">
        <f>IF(AND('Mapa final'!$AH$70="Muy Alta",'Mapa final'!$AJ$70="Leve"),CONCATENATE("R2C",'Mapa final'!$R$70),"")</f>
        <v/>
      </c>
      <c r="P21" s="46" t="str">
        <f>IF(AND('Mapa final'!$AH$71="Muy Alta",'Mapa final'!$AJ$71="Leve"),CONCATENATE("R2C",'Mapa final'!$R$71),"")</f>
        <v/>
      </c>
      <c r="Q21" s="39" t="str">
        <f>IF(AND('Mapa final'!$AH$65="Muy Alta",'Mapa final'!$AJ$65="Menor"),CONCATENATE("R2C",'Mapa final'!$R$65),"")</f>
        <v/>
      </c>
      <c r="R21" s="39" t="str">
        <f>IF(AND('Mapa final'!$AH$66="Muy Alta",'Mapa final'!$AJ$66="Menor"),CONCATENATE("R2C",'Mapa final'!$R$66),"")</f>
        <v/>
      </c>
      <c r="S21" s="39" t="str">
        <f>IF(AND('Mapa final'!$AH$67="Muy Alta",'Mapa final'!$AJ$67="Menor"),CONCATENATE("R2C",'Mapa final'!$R$67),"")</f>
        <v/>
      </c>
      <c r="T21" s="39" t="str">
        <f>IF(AND('Mapa final'!$AH$68="Muy Alta",'Mapa final'!$AJ$68="Menor"),CONCATENATE("R2C",'Mapa final'!$R$68),"")</f>
        <v/>
      </c>
      <c r="U21" s="39" t="str">
        <f>IF(AND('Mapa final'!$AH$70="Muy Alta",'Mapa final'!$AJ$70="Menor"),CONCATENATE("R2C",'Mapa final'!$R$70),"")</f>
        <v/>
      </c>
      <c r="V21" s="40" t="str">
        <f>IF(AND('Mapa final'!$AH$71="Muy Alta",'Mapa final'!$AJ$71="Menor"),CONCATENATE("R2C",'Mapa final'!$R$71),"")</f>
        <v/>
      </c>
      <c r="W21" s="44" t="str">
        <f>IF(AND('Mapa final'!$AH$65="Muy Alta",'Mapa final'!$AJ$65="Moderado"),CONCATENATE("R2C",'Mapa final'!$R$65),"")</f>
        <v/>
      </c>
      <c r="X21" s="45" t="str">
        <f>IF(AND('Mapa final'!$AH$66="Muy Alta",'Mapa final'!$AJ$66="Moderado"),CONCATENATE("R2C",'Mapa final'!$R$66),"")</f>
        <v/>
      </c>
      <c r="Y21" s="45" t="str">
        <f>IF(AND('Mapa final'!$AH$67="Muy Alta",'Mapa final'!$AJ$67="Moderado"),CONCATENATE("R2C",'Mapa final'!$R$67),"")</f>
        <v/>
      </c>
      <c r="Z21" s="45" t="str">
        <f>IF(AND('Mapa final'!$AH$68="Muy Alta",'Mapa final'!$AJ$68="Moderado"),CONCATENATE("R2C",'Mapa final'!$R$68),"")</f>
        <v/>
      </c>
      <c r="AA21" s="45" t="str">
        <f>IF(AND('Mapa final'!$AH$70="Muy Alta",'Mapa final'!$AJ$70="Moderado"),CONCATENATE("R2C",'Mapa final'!$R$70),"")</f>
        <v/>
      </c>
      <c r="AB21" s="46" t="str">
        <f>IF(AND('Mapa final'!$AH$71="Muy Alta",'Mapa final'!$AJ$71="Moderado"),CONCATENATE("R2C",'Mapa final'!$R$71),"")</f>
        <v/>
      </c>
      <c r="AC21" s="38" t="str">
        <f>IF(AND('Mapa final'!$AH$65="Muy Alta",'Mapa final'!$AJ$65="Mayor"),CONCATENATE("R2C",'Mapa final'!$R$65),"")</f>
        <v/>
      </c>
      <c r="AD21" s="39" t="str">
        <f>IF(AND('Mapa final'!$AH$66="Muy Alta",'Mapa final'!$AJ$66="Mayor"),CONCATENATE("R2C",'Mapa final'!$R$66),"")</f>
        <v/>
      </c>
      <c r="AE21" s="39" t="str">
        <f>IF(AND('Mapa final'!$AH$67="Muy Alta",'Mapa final'!$AJ$67="Mayor"),CONCATENATE("R2C",'Mapa final'!$R$67),"")</f>
        <v/>
      </c>
      <c r="AF21" s="39" t="str">
        <f>IF(AND('Mapa final'!$AH$68="Muy Alta",'Mapa final'!$AJ$68="Mayor"),CONCATENATE("R2C",'Mapa final'!$R$68),"")</f>
        <v/>
      </c>
      <c r="AG21" s="39" t="str">
        <f>IF(AND('Mapa final'!$AH$70="Muy Alta",'Mapa final'!$AJ$70="Mayor"),CONCATENATE("R2C",'Mapa final'!$R$70),"")</f>
        <v/>
      </c>
      <c r="AH21" s="40" t="str">
        <f>IF(AND('Mapa final'!$AH$71="Muy Alta",'Mapa final'!$AJ$71="Mayor"),CONCATENATE("R2C",'Mapa final'!$R$71),"")</f>
        <v/>
      </c>
      <c r="AI21" s="47" t="str">
        <f>IF(AND('Mapa final'!$AH$65="Muy Alta",'Mapa final'!$AJ$65="Catastrófico"),CONCATENATE("R2C",'Mapa final'!$R$65),"")</f>
        <v/>
      </c>
      <c r="AJ21" s="48" t="str">
        <f>IF(AND('Mapa final'!$AH$66="Muy Alta",'Mapa final'!$AJ$66="Catastrófico"),CONCATENATE("R2C",'Mapa final'!$R$66),"")</f>
        <v/>
      </c>
      <c r="AK21" s="48" t="str">
        <f>IF(AND('Mapa final'!$AH$67="Muy Alta",'Mapa final'!$AJ$67="Catastrófico"),CONCATENATE("R2C",'Mapa final'!$R$67),"")</f>
        <v/>
      </c>
      <c r="AL21" s="48" t="str">
        <f>IF(AND('Mapa final'!$AH$68="Muy Alta",'Mapa final'!$AJ$68="Catastrófico"),CONCATENATE("R2C",'Mapa final'!$R$68),"")</f>
        <v/>
      </c>
      <c r="AM21" s="48" t="str">
        <f>IF(AND('Mapa final'!$AH$70="Muy Alta",'Mapa final'!$AJ$70="Catastrófico"),CONCATENATE("R2C",'Mapa final'!$R$70),"")</f>
        <v/>
      </c>
      <c r="AN21" s="49" t="str">
        <f>IF(AND('Mapa final'!$AH$71="Muy Alta",'Mapa final'!$AJ$71="Catastrófico"),CONCATENATE("R2C",'Mapa final'!$R$71),"")</f>
        <v/>
      </c>
      <c r="AO21" s="68"/>
      <c r="AP21" s="522"/>
      <c r="AQ21" s="523"/>
      <c r="AR21" s="523"/>
      <c r="AS21" s="523"/>
      <c r="AT21" s="523"/>
      <c r="AU21" s="524"/>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56"/>
      <c r="D22" s="456"/>
      <c r="E22" s="457"/>
      <c r="F22" s="496" t="s">
        <v>256</v>
      </c>
      <c r="G22" s="497"/>
      <c r="H22" s="497"/>
      <c r="I22" s="497"/>
      <c r="J22" s="497"/>
      <c r="K22" s="53"/>
      <c r="L22" s="54" t="str">
        <f>IF(AND('Mapa final'!$AH$17="Alta",'Mapa final'!$AJ$17="Leve"),CONCATENATE("R2C",'Mapa final'!$R$15),"")</f>
        <v/>
      </c>
      <c r="M22" s="54" t="str">
        <f>IF(AND('Mapa final'!$AH$18="Alta",'Mapa final'!$AJ$18="Leve"),CONCATENATE("R2C",'Mapa final'!$R$18),"")</f>
        <v/>
      </c>
      <c r="N22" s="54" t="e">
        <f>IF(AND('Mapa final'!#REF!="Alta",'Mapa final'!#REF!="Leve"),CONCATENATE("R2C",'Mapa final'!#REF!),"")</f>
        <v>#REF!</v>
      </c>
      <c r="O22" s="54" t="e">
        <f>IF(AND('Mapa final'!#REF!="Alta",'Mapa final'!#REF!="Leve"),CONCATENATE("R2C",'Mapa final'!#REF!),"")</f>
        <v>#REF!</v>
      </c>
      <c r="P22" s="55" t="e">
        <f>IF(AND('Mapa final'!#REF!="Alta",'Mapa final'!#REF!="Leve"),CONCATENATE("R2C",'Mapa final'!#REF!),"")</f>
        <v>#REF!</v>
      </c>
      <c r="Q22" s="50"/>
      <c r="R22" s="51" t="str">
        <f>IF(AND('Mapa final'!$AH$17="Alta",'Mapa final'!$AJ$17="Menore"),CONCATENATE("R2C",'Mapa final'!$R$15),"")</f>
        <v/>
      </c>
      <c r="S22" s="51" t="str">
        <f>IF(AND('Mapa final'!$AH$18="Alta",'Mapa final'!$AJ$18="Menor"),CONCATENATE("R2C",'Mapa final'!$R$18),"")</f>
        <v/>
      </c>
      <c r="T22" s="51" t="e">
        <f>IF(AND('Mapa final'!#REF!="Alta",'Mapa final'!#REF!="Menor"),CONCATENATE("R2C",'Mapa final'!#REF!),"")</f>
        <v>#REF!</v>
      </c>
      <c r="U22" s="51" t="e">
        <f>IF(AND('Mapa final'!#REF!="Alta",'Mapa final'!#REF!="Menor"),CONCATENATE("R2C",'Mapa final'!#REF!),"")</f>
        <v>#REF!</v>
      </c>
      <c r="V22" s="52" t="e">
        <f>IF(AND('Mapa final'!#REF!="Alta",'Mapa final'!#REF!="Menor"),CONCATENATE("R2C",'Mapa final'!#REF!),"")</f>
        <v>#REF!</v>
      </c>
      <c r="W22" s="32"/>
      <c r="X22" s="33" t="str">
        <f>IF(AND('Mapa final'!$AH$17="Alta",'Mapa final'!$AJ$17="Moderado"),CONCATENATE("R2C",'Mapa final'!$R$15),"")</f>
        <v/>
      </c>
      <c r="Y22" s="33"/>
      <c r="Z22" s="33" t="e">
        <f>IF(AND('Mapa final'!#REF!="Alta",'Mapa final'!#REF!="Moderado"),CONCATENATE("R2C",'Mapa final'!#REF!),"")</f>
        <v>#REF!</v>
      </c>
      <c r="AA22" s="33" t="e">
        <f>IF(AND('Mapa final'!#REF!="Alta",'Mapa final'!#REF!="Moderado"),CONCATENATE("R2C",'Mapa final'!#REF!),"")</f>
        <v>#REF!</v>
      </c>
      <c r="AB22" s="34" t="e">
        <f>IF(AND('Mapa final'!#REF!="Alta",'Mapa final'!#REF!="Moderado"),CONCATENATE("R2C",'Mapa final'!#REF!),"")</f>
        <v>#REF!</v>
      </c>
      <c r="AC22" s="32"/>
      <c r="AD22" s="33" t="str">
        <f>IF(AND('Mapa final'!$AH$17="Alta",'Mapa final'!$AJ$17="Mayor"),CONCATENATE("R2C",'Mapa final'!$R$15),"")</f>
        <v/>
      </c>
      <c r="AE22" s="33" t="str">
        <f>IF(AND('Mapa final'!$AH$18="Alta",'Mapa final'!$AJ$18="Mayor"),CONCATENATE("R2C",'Mapa final'!$R$18),"")</f>
        <v/>
      </c>
      <c r="AF22" s="33" t="e">
        <f>IF(AND('Mapa final'!#REF!="Alta",'Mapa final'!#REF!="Mayor"),CONCATENATE("R2C",'Mapa final'!#REF!),"")</f>
        <v>#REF!</v>
      </c>
      <c r="AG22" s="33" t="e">
        <f>IF(AND('Mapa final'!#REF!="Alta",'Mapa final'!#REF!="Mayor"),CONCATENATE("R2C",'Mapa final'!#REF!),"")</f>
        <v>#REF!</v>
      </c>
      <c r="AH22" s="34" t="e">
        <f>IF(AND('Mapa final'!#REF!="Alta",'Mapa final'!#REF!="Mayor"),CONCATENATE("R2C",'Mapa final'!#REF!),"")</f>
        <v>#REF!</v>
      </c>
      <c r="AI22" s="35"/>
      <c r="AJ22" s="36" t="str">
        <f>IF(AND('Mapa final'!$AH$17="Alta",'Mapa final'!$AJ$17="Catastrófico"),CONCATENATE("R2C",'Mapa final'!$R$15),"")</f>
        <v/>
      </c>
      <c r="AK22" s="36" t="str">
        <f>IF(AND('Mapa final'!$AH$18="Alta",'Mapa final'!$AJ$18="Catastrófico"),CONCATENATE("R2C",'Mapa final'!$R$18),"")</f>
        <v/>
      </c>
      <c r="AL22" s="36" t="e">
        <f>IF(AND('Mapa final'!#REF!="Alta",'Mapa final'!#REF!="Catastrófico"),CONCATENATE("R2C",'Mapa final'!#REF!),"")</f>
        <v>#REF!</v>
      </c>
      <c r="AM22" s="36" t="e">
        <f>IF(AND('Mapa final'!#REF!="Alta",'Mapa final'!#REF!="Catastrófico"),CONCATENATE("R2C",'Mapa final'!#REF!),"")</f>
        <v>#REF!</v>
      </c>
      <c r="AN22" s="37" t="e">
        <f>IF(AND('Mapa final'!#REF!="Alta",'Mapa final'!#REF!="Catastrófico"),CONCATENATE("R2C",'Mapa final'!#REF!),"")</f>
        <v>#REF!</v>
      </c>
      <c r="AO22" s="68"/>
      <c r="AP22" s="506" t="s">
        <v>257</v>
      </c>
      <c r="AQ22" s="507"/>
      <c r="AR22" s="507"/>
      <c r="AS22" s="507"/>
      <c r="AT22" s="507"/>
      <c r="AU22" s="50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56"/>
      <c r="D23" s="456"/>
      <c r="E23" s="457"/>
      <c r="F23" s="515"/>
      <c r="G23" s="500"/>
      <c r="H23" s="500"/>
      <c r="I23" s="500"/>
      <c r="J23" s="500"/>
      <c r="K23" s="53" t="e">
        <f>IF(AND('Mapa final'!#REF!="Alta",'Mapa final'!#REF!="Leve"),CONCATENATE("R2C",'Mapa final'!#REF!),"")</f>
        <v>#REF!</v>
      </c>
      <c r="L23" s="54" t="e">
        <f>IF(AND('Mapa final'!#REF!="Alta",'Mapa final'!#REF!="Leve"),CONCATENATE("R2C",'Mapa final'!#REF!),"")</f>
        <v>#REF!</v>
      </c>
      <c r="M23" s="54" t="str">
        <f>IF(AND('Mapa final'!$AH$19="Alta",'Mapa final'!$AJ$19="Leve"),CONCATENATE("R2C",'Mapa final'!$R$19),"")</f>
        <v/>
      </c>
      <c r="N23" s="54" t="str">
        <f>IF(AND('Mapa final'!$AH$20="Alta",'Mapa final'!$AJ$20="Leve"),CONCATENATE("R2C",'Mapa final'!$R$20),"")</f>
        <v/>
      </c>
      <c r="O23" s="54" t="str">
        <f>IF(AND('Mapa final'!$AH$21="Alta",'Mapa final'!$AJ$21="Leve"),CONCATENATE("R2C",'Mapa final'!$R$21),"")</f>
        <v/>
      </c>
      <c r="P23" s="55" t="str">
        <f>IF(AND('Mapa final'!$AH$22="Alta",'Mapa final'!$AJ$22="Leve"),CONCATENATE("R2C",'Mapa final'!$R$22),"")</f>
        <v/>
      </c>
      <c r="Q23" s="53" t="e">
        <f>IF(AND('Mapa final'!#REF!="Alta",'Mapa final'!#REF!="Menor"),CONCATENATE("R2C",'Mapa final'!#REF!),"")</f>
        <v>#REF!</v>
      </c>
      <c r="R23" s="54" t="e">
        <f>IF(AND('Mapa final'!#REF!="Alta",'Mapa final'!#REF!="Menor"),CONCATENATE("R2C",'Mapa final'!#REF!),"")</f>
        <v>#REF!</v>
      </c>
      <c r="S23" s="54" t="str">
        <f>IF(AND('Mapa final'!$AH$19="Alta",'Mapa final'!$AJ$19="Menor"),CONCATENATE("R2C",'Mapa final'!$R$19),"")</f>
        <v/>
      </c>
      <c r="T23" s="54" t="str">
        <f>IF(AND('Mapa final'!$AH$20="Alta",'Mapa final'!$AJ$20="Menor"),CONCATENATE("R2C",'Mapa final'!$R$20),"")</f>
        <v/>
      </c>
      <c r="U23" s="54" t="str">
        <f>IF(AND('Mapa final'!$AH$21="Alta",'Mapa final'!$AJ$21="Menor"),CONCATENATE("R2C",'Mapa final'!$R$21),"")</f>
        <v/>
      </c>
      <c r="V23" s="55" t="str">
        <f>IF(AND('Mapa final'!$AH$22="Alta",'Mapa final'!$AJ$22="Menor"),CONCATENATE("R2C",'Mapa final'!$R$22),"")</f>
        <v/>
      </c>
      <c r="W23" s="38" t="e">
        <f>IF(AND('Mapa final'!#REF!="Alta",'Mapa final'!#REF!="Moderado"),CONCATENATE("R2C",'Mapa final'!#REF!),"")</f>
        <v>#REF!</v>
      </c>
      <c r="X23" s="39" t="e">
        <f>IF(AND('Mapa final'!#REF!="Alta",'Mapa final'!#REF!="Moderado"),CONCATENATE("R2C",'Mapa final'!#REF!),"")</f>
        <v>#REF!</v>
      </c>
      <c r="Y23" s="39" t="str">
        <f>IF(AND('Mapa final'!$AH$19="Alta",'Mapa final'!$AJ$19="Moderado"),CONCATENATE("R2C",'Mapa final'!$R$19),"")</f>
        <v/>
      </c>
      <c r="Z23" s="39" t="str">
        <f>IF(AND('Mapa final'!$AH$20="Alta",'Mapa final'!$AJ$20="Moderado"),CONCATENATE("R2C",'Mapa final'!$R$20),"")</f>
        <v/>
      </c>
      <c r="AA23" s="39" t="str">
        <f>IF(AND('Mapa final'!$AH$21="Alta",'Mapa final'!$AJ$21="Moderado"),CONCATENATE("R2C",'Mapa final'!$R$21),"")</f>
        <v/>
      </c>
      <c r="AB23" s="40" t="str">
        <f>IF(AND('Mapa final'!$AH$22="Alta",'Mapa final'!$AJ$22="Moderado"),CONCATENATE("R2C",'Mapa final'!$R$22),"")</f>
        <v/>
      </c>
      <c r="AC23" s="38" t="e">
        <f>IF(AND('Mapa final'!#REF!="Alta",'Mapa final'!#REF!="Mayor"),CONCATENATE("R2C",'Mapa final'!#REF!),"")</f>
        <v>#REF!</v>
      </c>
      <c r="AD23" s="39" t="e">
        <f>IF(AND('Mapa final'!#REF!="Alta",'Mapa final'!#REF!="Mayor"),CONCATENATE("R2C",'Mapa final'!#REF!),"")</f>
        <v>#REF!</v>
      </c>
      <c r="AE23" s="39" t="str">
        <f>IF(AND('Mapa final'!$AH$19="Alta",'Mapa final'!$AJ$19="Mayor"),CONCATENATE("R2C",'Mapa final'!$R$19),"")</f>
        <v/>
      </c>
      <c r="AF23" s="39" t="str">
        <f>IF(AND('Mapa final'!$AH$20="Alta",'Mapa final'!$AJ$20="Mayor"),CONCATENATE("R2C",'Mapa final'!$R$20),"")</f>
        <v/>
      </c>
      <c r="AG23" s="39" t="str">
        <f>IF(AND('Mapa final'!$AH$21="Alta",'Mapa final'!$AJ$21="Mayor"),CONCATENATE("R2C",'Mapa final'!$R$21),"")</f>
        <v/>
      </c>
      <c r="AH23" s="40" t="str">
        <f>IF(AND('Mapa final'!$AH$22="Alta",'Mapa final'!$AJ$22="Mayor"),CONCATENATE("R2C",'Mapa final'!$R$22),"")</f>
        <v/>
      </c>
      <c r="AI23" s="41" t="e">
        <f>IF(AND('Mapa final'!#REF!="Alta",'Mapa final'!#REF!="Catastrófico"),CONCATENATE("R2C",'Mapa final'!#REF!),"")</f>
        <v>#REF!</v>
      </c>
      <c r="AJ23" s="42" t="e">
        <f>IF(AND('Mapa final'!#REF!="Alta",'Mapa final'!#REF!="Catastrófico"),CONCATENATE("R2C",'Mapa final'!#REF!),"")</f>
        <v>#REF!</v>
      </c>
      <c r="AK23" s="42" t="str">
        <f>IF(AND('Mapa final'!$AH$19="Alta",'Mapa final'!$AJ$19="Catastrófico"),CONCATENATE("R2C",'Mapa final'!$R$19),"")</f>
        <v/>
      </c>
      <c r="AL23" s="42" t="str">
        <f>IF(AND('Mapa final'!$AH$20="Alta",'Mapa final'!$AJ$20="Catastrófico"),CONCATENATE("R2C",'Mapa final'!$R$20),"")</f>
        <v/>
      </c>
      <c r="AM23" s="42" t="str">
        <f>IF(AND('Mapa final'!$AH$21="Alta",'Mapa final'!$AJ$21="Catastrófico"),CONCATENATE("R2C",'Mapa final'!$R$21),"")</f>
        <v/>
      </c>
      <c r="AN23" s="43" t="str">
        <f>IF(AND('Mapa final'!$AH$22="Alta",'Mapa final'!$AJ$22="Catastrófico"),CONCATENATE("R2C",'Mapa final'!$R$22),"")</f>
        <v/>
      </c>
      <c r="AO23" s="68"/>
      <c r="AP23" s="509"/>
      <c r="AQ23" s="510"/>
      <c r="AR23" s="510"/>
      <c r="AS23" s="510"/>
      <c r="AT23" s="510"/>
      <c r="AU23" s="511"/>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56"/>
      <c r="D24" s="456"/>
      <c r="E24" s="457"/>
      <c r="F24" s="499"/>
      <c r="G24" s="500"/>
      <c r="H24" s="500"/>
      <c r="I24" s="500"/>
      <c r="J24" s="500"/>
      <c r="K24" s="53" t="str">
        <f>IF(AND('Mapa final'!$AH$23="Alta",'Mapa final'!$AJ$23="Leve"),CONCATENATE("R2C",'Mapa final'!$R$23),"")</f>
        <v/>
      </c>
      <c r="L24" s="54" t="str">
        <f>IF(AND('Mapa final'!$AH$24="Alta",'Mapa final'!$AJ$24="Leve"),CONCATENATE("R2C",'Mapa final'!$R$24),"")</f>
        <v/>
      </c>
      <c r="M24" s="54" t="str">
        <f>IF(AND('Mapa final'!$AH$25="Alta",'Mapa final'!$AJ$25="Leve"),CONCATENATE("R2C",'Mapa final'!$R$25),"")</f>
        <v/>
      </c>
      <c r="N24" s="54" t="str">
        <f>IF(AND('Mapa final'!$AH$26="Alta",'Mapa final'!$AJ$26="Leve"),CONCATENATE("R2C",'Mapa final'!$R$26),"")</f>
        <v/>
      </c>
      <c r="O24" s="54" t="str">
        <f>IF(AND('Mapa final'!$AH$27="Alta",'Mapa final'!$AJ$27="Leve"),CONCATENATE("R2C",'Mapa final'!$R$27),"")</f>
        <v/>
      </c>
      <c r="P24" s="55" t="str">
        <f>IF(AND('Mapa final'!$AH$28="Alta",'Mapa final'!$AJ$28="Leve"),CONCATENATE("R2C",'Mapa final'!$R$28),"")</f>
        <v/>
      </c>
      <c r="Q24" s="53" t="str">
        <f>IF(AND('Mapa final'!$AH$23="Alta",'Mapa final'!$AJ$23="Menor"),CONCATENATE("R2C",'Mapa final'!$R$23),"")</f>
        <v/>
      </c>
      <c r="R24" s="54" t="str">
        <f>IF(AND('Mapa final'!$AH$24="Alta",'Mapa final'!$AJ$24="Menor"),CONCATENATE("R2C",'Mapa final'!$R$24),"")</f>
        <v/>
      </c>
      <c r="S24" s="54" t="str">
        <f>IF(AND('Mapa final'!$AH$25="Alta",'Mapa final'!$AJ$25="Menor"),CONCATENATE("R2C",'Mapa final'!$R$25),"")</f>
        <v/>
      </c>
      <c r="T24" s="54" t="str">
        <f>IF(AND('Mapa final'!$AH$26="Alta",'Mapa final'!$AJ$26="Menor"),CONCATENATE("R2C",'Mapa final'!$R$26),"")</f>
        <v/>
      </c>
      <c r="U24" s="54" t="str">
        <f>IF(AND('Mapa final'!$AH$27="Alta",'Mapa final'!$AJ$27="Menor"),CONCATENATE("R2C",'Mapa final'!$R$27),"")</f>
        <v/>
      </c>
      <c r="V24" s="55" t="str">
        <f>IF(AND('Mapa final'!$AH$28="Alta",'Mapa final'!$AJ$28="Menor"),CONCATENATE("R2C",'Mapa final'!$R$28),"")</f>
        <v/>
      </c>
      <c r="W24" s="38" t="str">
        <f>IF(AND('Mapa final'!$AH$23="Alta",'Mapa final'!$AJ$23="Moderado"),CONCATENATE("R2C",'Mapa final'!$R$23),"")</f>
        <v/>
      </c>
      <c r="X24" s="39" t="str">
        <f>IF(AND('Mapa final'!$AH$24="Alta",'Mapa final'!$AJ$24="Moderado"),CONCATENATE("R2C",'Mapa final'!$R$24),"")</f>
        <v/>
      </c>
      <c r="Y24" s="39" t="str">
        <f>IF(AND('Mapa final'!$AH$25="Alta",'Mapa final'!$AJ$25="Moderado"),CONCATENATE("R2C",'Mapa final'!$R$25),"")</f>
        <v/>
      </c>
      <c r="Z24" s="39" t="str">
        <f>IF(AND('Mapa final'!$AH$26="Alta",'Mapa final'!$AJ$26="Moderado"),CONCATENATE("R2C",'Mapa final'!$R$26),"")</f>
        <v/>
      </c>
      <c r="AA24" s="39" t="str">
        <f>IF(AND('Mapa final'!$AH$27="Alta",'Mapa final'!$AJ$27="Moderado"),CONCATENATE("R2C",'Mapa final'!$R$27),"")</f>
        <v/>
      </c>
      <c r="AB24" s="40" t="str">
        <f>IF(AND('Mapa final'!$AH$28="Alta",'Mapa final'!$AJ$28="Moderado"),CONCATENATE("R2C",'Mapa final'!$R$28),"")</f>
        <v/>
      </c>
      <c r="AC24" s="38" t="str">
        <f>IF(AND('Mapa final'!$AH$23="Alta",'Mapa final'!$AJ$23="Mayor"),CONCATENATE("R2C",'Mapa final'!$R$23),"")</f>
        <v/>
      </c>
      <c r="AD24" s="39" t="str">
        <f>IF(AND('Mapa final'!$AH$24="Alta",'Mapa final'!$AJ$24="Mayor"),CONCATENATE("R2C",'Mapa final'!$R$24),"")</f>
        <v/>
      </c>
      <c r="AE24" s="39" t="str">
        <f>IF(AND('Mapa final'!$AH$25="Alta",'Mapa final'!$AJ$25="Mayor"),CONCATENATE("R2C",'Mapa final'!$R$25),"")</f>
        <v/>
      </c>
      <c r="AF24" s="39" t="str">
        <f>IF(AND('Mapa final'!$AH$26="Alta",'Mapa final'!$AJ$26="Mayor"),CONCATENATE("R2C",'Mapa final'!$R$26),"")</f>
        <v/>
      </c>
      <c r="AG24" s="39" t="str">
        <f>IF(AND('Mapa final'!$AH$27="Alta",'Mapa final'!$AJ$27="Mayor"),CONCATENATE("R2C",'Mapa final'!$R$27),"")</f>
        <v/>
      </c>
      <c r="AH24" s="40" t="str">
        <f>IF(AND('Mapa final'!$AH$28="Alta",'Mapa final'!$AJ$28="Mayor"),CONCATENATE("R2C",'Mapa final'!$R$28),"")</f>
        <v/>
      </c>
      <c r="AI24" s="41" t="str">
        <f>IF(AND('Mapa final'!$AH$23="Alta",'Mapa final'!$AJ$23="Catastrófico"),CONCATENATE("R2C",'Mapa final'!$R$23),"")</f>
        <v/>
      </c>
      <c r="AJ24" s="42" t="str">
        <f>IF(AND('Mapa final'!$AH$24="Alta",'Mapa final'!$AJ$24="Catastrófico"),CONCATENATE("R2C",'Mapa final'!$R$24),"")</f>
        <v/>
      </c>
      <c r="AK24" s="42" t="str">
        <f>IF(AND('Mapa final'!$AH$25="Alta",'Mapa final'!$AJ$25="Catastrófico"),CONCATENATE("R2C",'Mapa final'!$R$25),"")</f>
        <v/>
      </c>
      <c r="AL24" s="42" t="str">
        <f>IF(AND('Mapa final'!$AH$26="Alta",'Mapa final'!$AJ$26="Catastrófico"),CONCATENATE("R2C",'Mapa final'!$R$26),"")</f>
        <v/>
      </c>
      <c r="AM24" s="42" t="str">
        <f>IF(AND('Mapa final'!$AH$27="Alta",'Mapa final'!$AJ$27="Catastrófico"),CONCATENATE("R2C",'Mapa final'!$R$27),"")</f>
        <v/>
      </c>
      <c r="AN24" s="43" t="str">
        <f>IF(AND('Mapa final'!$AH$28="Alta",'Mapa final'!$AJ$28="Catastrófico"),CONCATENATE("R2C",'Mapa final'!$R$28),"")</f>
        <v/>
      </c>
      <c r="AO24" s="68"/>
      <c r="AP24" s="509"/>
      <c r="AQ24" s="510"/>
      <c r="AR24" s="510"/>
      <c r="AS24" s="510"/>
      <c r="AT24" s="510"/>
      <c r="AU24" s="511"/>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56"/>
      <c r="D25" s="456"/>
      <c r="E25" s="457"/>
      <c r="F25" s="499"/>
      <c r="G25" s="500"/>
      <c r="H25" s="500"/>
      <c r="I25" s="500"/>
      <c r="J25" s="500"/>
      <c r="K25" s="53" t="str">
        <f>IF(AND('Mapa final'!$AH$29="Alta",'Mapa final'!$AJ$29="Leve"),CONCATENATE("R2C",'Mapa final'!$R$29),"")</f>
        <v/>
      </c>
      <c r="L25" s="54" t="str">
        <f>IF(AND('Mapa final'!$AH$30="Alta",'Mapa final'!$AJ$30="Leve"),CONCATENATE("R2C",'Mapa final'!$R$30),"")</f>
        <v/>
      </c>
      <c r="M25" s="54" t="str">
        <f>IF(AND('Mapa final'!$AH$31="Alta",'Mapa final'!$AJ$31="Leve"),CONCATENATE("R2C",'Mapa final'!$R$31),"")</f>
        <v/>
      </c>
      <c r="N25" s="54" t="str">
        <f>IF(AND('Mapa final'!$AH$32="Alta",'Mapa final'!$AJ$32="Leve"),CONCATENATE("R2C",'Mapa final'!$R$32),"")</f>
        <v/>
      </c>
      <c r="O25" s="54" t="str">
        <f>IF(AND('Mapa final'!$AH$33="Alta",'Mapa final'!$AJ$33="Leve"),CONCATENATE("R2C",'Mapa final'!$R$33),"")</f>
        <v/>
      </c>
      <c r="P25" s="55" t="str">
        <f>IF(AND('Mapa final'!$AH$34="Alta",'Mapa final'!$AJ$34="Leve"),CONCATENATE("R2C",'Mapa final'!$R$34),"")</f>
        <v/>
      </c>
      <c r="Q25" s="53" t="str">
        <f>IF(AND('Mapa final'!$AH$29="Alta",'Mapa final'!$AJ$29="Menor"),CONCATENATE("R2C",'Mapa final'!$R$29),"")</f>
        <v/>
      </c>
      <c r="R25" s="54" t="str">
        <f>IF(AND('Mapa final'!$AH$30="Alta",'Mapa final'!$AJ$30="Menor"),CONCATENATE("R2C",'Mapa final'!$R$30),"")</f>
        <v/>
      </c>
      <c r="S25" s="54" t="str">
        <f>IF(AND('Mapa final'!$AH$31="Alta",'Mapa final'!$AJ$31="Menor"),CONCATENATE("R2C",'Mapa final'!$R$31),"")</f>
        <v/>
      </c>
      <c r="T25" s="54" t="str">
        <f>IF(AND('Mapa final'!$AH$32="Alta",'Mapa final'!$AJ$32="Menor"),CONCATENATE("R2C",'Mapa final'!$R$32),"")</f>
        <v/>
      </c>
      <c r="U25" s="54" t="str">
        <f>IF(AND('Mapa final'!$AH$33="Alta",'Mapa final'!$AJ$33="LMenor"),CONCATENATE("R2C",'Mapa final'!$R$33),"")</f>
        <v/>
      </c>
      <c r="V25" s="55" t="str">
        <f>IF(AND('Mapa final'!$AH$34="Alta",'Mapa final'!$AJ$34="Menor"),CONCATENATE("R2C",'Mapa final'!$R$34),"")</f>
        <v/>
      </c>
      <c r="W25" s="38" t="str">
        <f>IF(AND('Mapa final'!$AH$29="Alta",'Mapa final'!$AJ$29="Moderado"),CONCATENATE("R2C",'Mapa final'!$R$29),"")</f>
        <v/>
      </c>
      <c r="X25" s="39" t="str">
        <f>IF(AND('Mapa final'!$AH$30="Alta",'Mapa final'!$AJ$30="Moderado"),CONCATENATE("R2C",'Mapa final'!$R$30),"")</f>
        <v/>
      </c>
      <c r="Y25" s="39" t="str">
        <f>IF(AND('Mapa final'!$AH$31="Alta",'Mapa final'!$AJ$31="Moderado"),CONCATENATE("R2C",'Mapa final'!$R$31),"")</f>
        <v/>
      </c>
      <c r="Z25" s="39" t="str">
        <f>IF(AND('Mapa final'!$AH$32="Alta",'Mapa final'!$AJ$32="Moderado"),CONCATENATE("R2C",'Mapa final'!$R$32),"")</f>
        <v/>
      </c>
      <c r="AA25" s="39" t="str">
        <f>IF(AND('Mapa final'!$AH$33="Alta",'Mapa final'!$AJ$33="Moderado"),CONCATENATE("R2C",'Mapa final'!$R$33),"")</f>
        <v/>
      </c>
      <c r="AB25" s="40" t="str">
        <f>IF(AND('Mapa final'!$AH$34="Alta",'Mapa final'!$AJ$34="Moderado"),CONCATENATE("R2C",'Mapa final'!$R$34),"")</f>
        <v/>
      </c>
      <c r="AC25" s="38" t="str">
        <f>IF(AND('Mapa final'!$AH$29="Alta",'Mapa final'!$AJ$29="Mayor"),CONCATENATE("R2C",'Mapa final'!$R$29),"")</f>
        <v/>
      </c>
      <c r="AD25" s="39" t="str">
        <f>IF(AND('Mapa final'!$AH$30="Alta",'Mapa final'!$AJ$30="Mayor"),CONCATENATE("R2C",'Mapa final'!$R$30),"")</f>
        <v/>
      </c>
      <c r="AE25" s="39" t="str">
        <f>IF(AND('Mapa final'!$AH$31="Alta",'Mapa final'!$AJ$31="Mayor"),CONCATENATE("R2C",'Mapa final'!$R$31),"")</f>
        <v/>
      </c>
      <c r="AF25" s="39" t="str">
        <f>IF(AND('Mapa final'!$AH$32="Alta",'Mapa final'!$AJ$32="Mayor"),CONCATENATE("R2C",'Mapa final'!$R$32),"")</f>
        <v/>
      </c>
      <c r="AG25" s="39" t="str">
        <f>IF(AND('Mapa final'!$AH$33="Alta",'Mapa final'!$AJ$33="Mayor"),CONCATENATE("R2C",'Mapa final'!$R$33),"")</f>
        <v/>
      </c>
      <c r="AH25" s="40" t="str">
        <f>IF(AND('Mapa final'!$AH$34="Alta",'Mapa final'!$AJ$34="Mayor"),CONCATENATE("R2C",'Mapa final'!$R$34),"")</f>
        <v/>
      </c>
      <c r="AI25" s="41" t="str">
        <f>IF(AND('Mapa final'!$AH$29="Alta",'Mapa final'!$AJ$29="Catastrófico"),CONCATENATE("R2C",'Mapa final'!$R$29),"")</f>
        <v/>
      </c>
      <c r="AJ25" s="42" t="str">
        <f>IF(AND('Mapa final'!$AH$30="Alta",'Mapa final'!$AJ$30="Catastrófico"),CONCATENATE("R2C",'Mapa final'!$R$30),"")</f>
        <v/>
      </c>
      <c r="AK25" s="42" t="str">
        <f>IF(AND('Mapa final'!$AH$31="Alta",'Mapa final'!$AJ$31="Catastrófico"),CONCATENATE("R2C",'Mapa final'!$R$31),"")</f>
        <v/>
      </c>
      <c r="AL25" s="42" t="str">
        <f>IF(AND('Mapa final'!$AH$32="Alta",'Mapa final'!$AJ$32="Catastrófico"),CONCATENATE("R2C",'Mapa final'!$R$32),"")</f>
        <v/>
      </c>
      <c r="AM25" s="42" t="str">
        <f>IF(AND('Mapa final'!$AH$33="Alta",'Mapa final'!$AJ$33="LCatastrófico"),CONCATENATE("R2C",'Mapa final'!$R$33),"")</f>
        <v/>
      </c>
      <c r="AN25" s="43" t="str">
        <f>IF(AND('Mapa final'!$AH$34="Alta",'Mapa final'!$AJ$34="Catastrófico"),CONCATENATE("R2C",'Mapa final'!$R$34),"")</f>
        <v/>
      </c>
      <c r="AO25" s="68"/>
      <c r="AP25" s="509"/>
      <c r="AQ25" s="510"/>
      <c r="AR25" s="510"/>
      <c r="AS25" s="510"/>
      <c r="AT25" s="510"/>
      <c r="AU25" s="511"/>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56"/>
      <c r="D26" s="456"/>
      <c r="E26" s="457"/>
      <c r="F26" s="499"/>
      <c r="G26" s="500"/>
      <c r="H26" s="500"/>
      <c r="I26" s="500"/>
      <c r="J26" s="500"/>
      <c r="K26" s="53" t="str">
        <f>IF(AND('Mapa final'!$AH$35="Alta",'Mapa final'!$AJ$35="Leve"),CONCATENATE("R2C",'Mapa final'!$R$35),"")</f>
        <v/>
      </c>
      <c r="L26" s="54" t="str">
        <f>IF(AND('Mapa final'!$AH$36="Alta",'Mapa final'!$AJ$36="Leve"),CONCATENATE("R2C",'Mapa final'!$R$36),"")</f>
        <v/>
      </c>
      <c r="M26" s="54" t="str">
        <f>IF(AND('Mapa final'!$AH$37="Alta",'Mapa final'!$AJ$37="Leve"),CONCATENATE("R2C",'Mapa final'!$R$37),"")</f>
        <v/>
      </c>
      <c r="N26" s="54" t="str">
        <f>IF(AND('Mapa final'!$AH$38="Alta",'Mapa final'!$AJ$38="Leve"),CONCATENATE("R2C",'Mapa final'!$R$38),"")</f>
        <v/>
      </c>
      <c r="O26" s="54" t="str">
        <f>IF(AND('Mapa final'!$AH$39="Alta",'Mapa final'!$AJ$39="Leve"),CONCATENATE("R2C",'Mapa final'!$R$39),"")</f>
        <v/>
      </c>
      <c r="P26" s="55" t="str">
        <f>IF(AND('Mapa final'!$AH$40="Alta",'Mapa final'!$AJ$40="Leve"),CONCATENATE("R2C",'Mapa final'!$R$40),"")</f>
        <v/>
      </c>
      <c r="Q26" s="53" t="str">
        <f>IF(AND('Mapa final'!$AH$35="Alta",'Mapa final'!$AJ$35="Menor"),CONCATENATE("R2C",'Mapa final'!$R$35),"")</f>
        <v/>
      </c>
      <c r="R26" s="54" t="str">
        <f>IF(AND('Mapa final'!$AH$36="Alta",'Mapa final'!$AJ$36="Menor"),CONCATENATE("R2C",'Mapa final'!$R$36),"")</f>
        <v/>
      </c>
      <c r="S26" s="54" t="str">
        <f>IF(AND('Mapa final'!$AH$37="Alta",'Mapa final'!$AJ$37="Menor"),CONCATENATE("R2C",'Mapa final'!$R$37),"")</f>
        <v/>
      </c>
      <c r="T26" s="54" t="str">
        <f>IF(AND('Mapa final'!$AH$38="Alta",'Mapa final'!$AJ$38="Menor"),CONCATENATE("R2C",'Mapa final'!$R$38),"")</f>
        <v/>
      </c>
      <c r="U26" s="54" t="str">
        <f>IF(AND('Mapa final'!$AH$39="Alta",'Mapa final'!$AJ$39="Menor"),CONCATENATE("R2C",'Mapa final'!$R$39),"")</f>
        <v/>
      </c>
      <c r="V26" s="55" t="str">
        <f>IF(AND('Mapa final'!$AH$40="Alta",'Mapa final'!$AJ$40="Menor"),CONCATENATE("R2C",'Mapa final'!$R$40),"")</f>
        <v/>
      </c>
      <c r="W26" s="38" t="str">
        <f>IF(AND('Mapa final'!$AH$35="Alta",'Mapa final'!$AJ$35="Moderado"),CONCATENATE("R2C",'Mapa final'!$R$35),"")</f>
        <v/>
      </c>
      <c r="X26" s="39" t="str">
        <f>IF(AND('Mapa final'!$AH$36="Alta",'Mapa final'!$AJ$36="Moderado"),CONCATENATE("R2C",'Mapa final'!$R$36),"")</f>
        <v/>
      </c>
      <c r="Y26" s="39" t="str">
        <f>IF(AND('Mapa final'!$AH$37="Alta",'Mapa final'!$AJ$37="Moderado"),CONCATENATE("R2C",'Mapa final'!$R$37),"")</f>
        <v/>
      </c>
      <c r="Z26" s="39" t="str">
        <f>IF(AND('Mapa final'!$AH$38="Alta",'Mapa final'!$AJ$38="Moderado"),CONCATENATE("R2C",'Mapa final'!$R$38),"")</f>
        <v/>
      </c>
      <c r="AA26" s="39" t="str">
        <f>IF(AND('Mapa final'!$AH$39="Alta",'Mapa final'!$AJ$39="Moderado"),CONCATENATE("R2C",'Mapa final'!$R$39),"")</f>
        <v/>
      </c>
      <c r="AB26" s="40" t="str">
        <f>IF(AND('Mapa final'!$AH$40="Alta",'Mapa final'!$AJ$40="Moderado"),CONCATENATE("R2C",'Mapa final'!$R$40),"")</f>
        <v/>
      </c>
      <c r="AC26" s="38" t="str">
        <f>IF(AND('Mapa final'!$AH$35="Alta",'Mapa final'!$AJ$35="Mayor"),CONCATENATE("R2C",'Mapa final'!$R$35),"")</f>
        <v/>
      </c>
      <c r="AD26" s="39" t="str">
        <f>IF(AND('Mapa final'!$AH$36="Alta",'Mapa final'!$AJ$36="Mayor"),CONCATENATE("R2C",'Mapa final'!$R$36),"")</f>
        <v/>
      </c>
      <c r="AE26" s="39" t="str">
        <f>IF(AND('Mapa final'!$AH$37="Alta",'Mapa final'!$AJ$37="Mayor"),CONCATENATE("R2C",'Mapa final'!$R$37),"")</f>
        <v/>
      </c>
      <c r="AF26" s="39" t="str">
        <f>IF(AND('Mapa final'!$AH$38="Alta",'Mapa final'!$AJ$38="Mayor"),CONCATENATE("R2C",'Mapa final'!$R$38),"")</f>
        <v/>
      </c>
      <c r="AG26" s="39" t="str">
        <f>IF(AND('Mapa final'!$AH$39="Alta",'Mapa final'!$AJ$39="Mayor"),CONCATENATE("R2C",'Mapa final'!$R$39),"")</f>
        <v/>
      </c>
      <c r="AH26" s="40" t="str">
        <f>IF(AND('Mapa final'!$AH$40="Alta",'Mapa final'!$AJ$40="Mayor"),CONCATENATE("R2C",'Mapa final'!$R$40),"")</f>
        <v/>
      </c>
      <c r="AI26" s="41" t="str">
        <f>IF(AND('Mapa final'!$AH$35="Alta",'Mapa final'!$AJ$35="Catastrófico"),CONCATENATE("R2C",'Mapa final'!$R$35),"")</f>
        <v/>
      </c>
      <c r="AJ26" s="42" t="str">
        <f>IF(AND('Mapa final'!$AH$36="Alta",'Mapa final'!$AJ$36="Catastrófico"),CONCATENATE("R2C",'Mapa final'!$R$36),"")</f>
        <v/>
      </c>
      <c r="AK26" s="42" t="str">
        <f>IF(AND('Mapa final'!$AH$37="Alta",'Mapa final'!$AJ$37="Catastrófico"),CONCATENATE("R2C",'Mapa final'!$R$37),"")</f>
        <v/>
      </c>
      <c r="AL26" s="42" t="str">
        <f>IF(AND('Mapa final'!$AH$38="Alta",'Mapa final'!$AJ$38="Catastrófico"),CONCATENATE("R2C",'Mapa final'!$R$38),"")</f>
        <v/>
      </c>
      <c r="AM26" s="42" t="str">
        <f>IF(AND('Mapa final'!$AH$39="Alta",'Mapa final'!$AJ$39="Catastrófico"),CONCATENATE("R2C",'Mapa final'!$R$39),"")</f>
        <v/>
      </c>
      <c r="AN26" s="43" t="str">
        <f>IF(AND('Mapa final'!$AH$40="Alta",'Mapa final'!$AJ$40="Catastrófico"),CONCATENATE("R2C",'Mapa final'!$R$40),"")</f>
        <v/>
      </c>
      <c r="AO26" s="68"/>
      <c r="AP26" s="509"/>
      <c r="AQ26" s="510"/>
      <c r="AR26" s="510"/>
      <c r="AS26" s="510"/>
      <c r="AT26" s="510"/>
      <c r="AU26" s="511"/>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56"/>
      <c r="D27" s="456"/>
      <c r="E27" s="457"/>
      <c r="F27" s="499"/>
      <c r="G27" s="500"/>
      <c r="H27" s="500"/>
      <c r="I27" s="500"/>
      <c r="J27" s="500"/>
      <c r="K27" s="53" t="str">
        <f>IF(AND('Mapa final'!$AH$41="Alta",'Mapa final'!$AJ$41="Leve"),CONCATENATE("R2C",'Mapa final'!$R$41),"")</f>
        <v/>
      </c>
      <c r="L27" s="54" t="str">
        <f>IF(AND('Mapa final'!$AH$42="Alta",'Mapa final'!$AJ$42="Leve"),CONCATENATE("R2C",'Mapa final'!$R$42),"")</f>
        <v/>
      </c>
      <c r="M27" s="54" t="str">
        <f>IF(AND('Mapa final'!$AH$43="Alta",'Mapa final'!$AJ$43="Leve"),CONCATENATE("R2C",'Mapa final'!$R$43),"")</f>
        <v/>
      </c>
      <c r="N27" s="54" t="str">
        <f>IF(AND('Mapa final'!$AH$44="Alta",'Mapa final'!$AJ$44="Leve"),CONCATENATE("R2C",'Mapa final'!$R$44),"")</f>
        <v/>
      </c>
      <c r="O27" s="54" t="str">
        <f>IF(AND('Mapa final'!$AH$45="Alta",'Mapa final'!$AJ$45="Leve"),CONCATENATE("R2C",'Mapa final'!$R$45),"")</f>
        <v/>
      </c>
      <c r="P27" s="55" t="str">
        <f>IF(AND('Mapa final'!$AH$56="Alta",'Mapa final'!$AJ$46="Leve"),CONCATENATE("R2C",'Mapa final'!$R$46),"")</f>
        <v/>
      </c>
      <c r="Q27" s="53" t="str">
        <f>IF(AND('Mapa final'!$AH$41="Alta",'Mapa final'!$AJ$41="Menor"),CONCATENATE("R2C",'Mapa final'!$R$41),"")</f>
        <v/>
      </c>
      <c r="R27" s="54" t="str">
        <f>IF(AND('Mapa final'!$AH$42="Alta",'Mapa final'!$AJ$42="Menor"),CONCATENATE("R2C",'Mapa final'!$R$42),"")</f>
        <v/>
      </c>
      <c r="S27" s="54" t="str">
        <f>IF(AND('Mapa final'!$AH$43="Alta",'Mapa final'!$AJ$43="Menor"),CONCATENATE("R2C",'Mapa final'!$R$43),"")</f>
        <v/>
      </c>
      <c r="T27" s="54" t="str">
        <f>IF(AND('Mapa final'!$AH$44="Alta",'Mapa final'!$AJ$44="Menor"),CONCATENATE("R2C",'Mapa final'!$R$44),"")</f>
        <v/>
      </c>
      <c r="U27" s="54" t="str">
        <f>IF(AND('Mapa final'!$AH$45="Alta",'Mapa final'!$AJ$45="Menor"),CONCATENATE("R2C",'Mapa final'!$R$45),"")</f>
        <v/>
      </c>
      <c r="V27" s="55" t="str">
        <f>IF(AND('Mapa final'!$AH$56="Alta",'Mapa final'!$AJ$46="Menor"),CONCATENATE("R2C",'Mapa final'!$R$46),"")</f>
        <v/>
      </c>
      <c r="W27" s="38" t="str">
        <f>IF(AND('Mapa final'!$AH$41="Alta",'Mapa final'!$AJ$41="Moderado"),CONCATENATE("R2C",'Mapa final'!$R$41),"")</f>
        <v/>
      </c>
      <c r="X27" s="39" t="str">
        <f>IF(AND('Mapa final'!$AH$42="Alta",'Mapa final'!$AJ$42="Moderado"),CONCATENATE("R2C",'Mapa final'!$R$42),"")</f>
        <v/>
      </c>
      <c r="Y27" s="39" t="str">
        <f>IF(AND('Mapa final'!$AH$43="Alta",'Mapa final'!$AJ$43="Moderado"),CONCATENATE("R2C",'Mapa final'!$R$43),"")</f>
        <v/>
      </c>
      <c r="Z27" s="39" t="str">
        <f>IF(AND('Mapa final'!$AH$44="Alta",'Mapa final'!$AJ$44="Moderado"),CONCATENATE("R2C",'Mapa final'!$R$44),"")</f>
        <v/>
      </c>
      <c r="AA27" s="39" t="str">
        <f>IF(AND('Mapa final'!$AH$45="Alta",'Mapa final'!$AJ$45="Moderado"),CONCATENATE("R2C",'Mapa final'!$R$45),"")</f>
        <v/>
      </c>
      <c r="AB27" s="40" t="str">
        <f>IF(AND('Mapa final'!$AH$56="Alta",'Mapa final'!$AJ$46="Moderado"),CONCATENATE("R2C",'Mapa final'!$R$46),"")</f>
        <v/>
      </c>
      <c r="AC27" s="38" t="str">
        <f>IF(AND('Mapa final'!$AH$41="Alta",'Mapa final'!$AJ$41="Mayor"),CONCATENATE("R2C",'Mapa final'!$R$41),"")</f>
        <v/>
      </c>
      <c r="AD27" s="39" t="str">
        <f>IF(AND('Mapa final'!$AH$42="Alta",'Mapa final'!$AJ$42="Mayor"),CONCATENATE("R2C",'Mapa final'!$R$42),"")</f>
        <v/>
      </c>
      <c r="AE27" s="39" t="str">
        <f>IF(AND('Mapa final'!$AH$43="Alta",'Mapa final'!$AJ$43="Mayor"),CONCATENATE("R2C",'Mapa final'!$R$43),"")</f>
        <v/>
      </c>
      <c r="AF27" s="39" t="str">
        <f>IF(AND('Mapa final'!$AH$44="Alta",'Mapa final'!$AJ$44="Mayor"),CONCATENATE("R2C",'Mapa final'!$R$44),"")</f>
        <v/>
      </c>
      <c r="AG27" s="39" t="str">
        <f>IF(AND('Mapa final'!$AH$45="Alta",'Mapa final'!$AJ$45="Mayor"),CONCATENATE("R2C",'Mapa final'!$R$45),"")</f>
        <v/>
      </c>
      <c r="AH27" s="40" t="str">
        <f>IF(AND('Mapa final'!$AH$56="Alta",'Mapa final'!$AJ$46="Mayor"),CONCATENATE("R2C",'Mapa final'!$R$46),"")</f>
        <v/>
      </c>
      <c r="AI27" s="41" t="str">
        <f>IF(AND('Mapa final'!$AH$41="Alta",'Mapa final'!$AJ$41="Catastrófico"),CONCATENATE("R2C",'Mapa final'!$R$41),"")</f>
        <v/>
      </c>
      <c r="AJ27" s="42" t="str">
        <f>IF(AND('Mapa final'!$AH$42="Alta",'Mapa final'!$AJ$42="Catastrófico"),CONCATENATE("R2C",'Mapa final'!$R$42),"")</f>
        <v/>
      </c>
      <c r="AK27" s="42" t="str">
        <f>IF(AND('Mapa final'!$AH$43="Alta",'Mapa final'!$AJ$43="Catastrófico"),CONCATENATE("R2C",'Mapa final'!$R$43),"")</f>
        <v/>
      </c>
      <c r="AL27" s="42" t="str">
        <f>IF(AND('Mapa final'!$AH$44="Alta",'Mapa final'!$AJ$44="Catastrófico"),CONCATENATE("R2C",'Mapa final'!$R$44),"")</f>
        <v/>
      </c>
      <c r="AM27" s="42" t="str">
        <f>IF(AND('Mapa final'!$AH$45="Alta",'Mapa final'!$AJ$45="Catastrófico"),CONCATENATE("R2C",'Mapa final'!$R$45),"")</f>
        <v/>
      </c>
      <c r="AN27" s="43" t="str">
        <f>IF(AND('Mapa final'!$AH$56="Alta",'Mapa final'!$AJ$46="Catastrófico"),CONCATENATE("R2C",'Mapa final'!$R$46),"")</f>
        <v/>
      </c>
      <c r="AO27" s="68"/>
      <c r="AP27" s="509"/>
      <c r="AQ27" s="510"/>
      <c r="AR27" s="510"/>
      <c r="AS27" s="510"/>
      <c r="AT27" s="510"/>
      <c r="AU27" s="511"/>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56"/>
      <c r="D28" s="456"/>
      <c r="E28" s="457"/>
      <c r="F28" s="499"/>
      <c r="G28" s="500"/>
      <c r="H28" s="500"/>
      <c r="I28" s="500"/>
      <c r="J28" s="500"/>
      <c r="K28" s="53" t="str">
        <f>IF(AND('Mapa final'!$AH$47="Alta",'Mapa final'!$AJ$47="Leve"),CONCATENATE("R2C",'Mapa final'!$R$47),"")</f>
        <v/>
      </c>
      <c r="L28" s="54" t="str">
        <f>IF(AND('Mapa final'!$AH$48="Alta",'Mapa final'!$AJ$48="Leve"),CONCATENATE("R2C",'Mapa final'!$R$48),"")</f>
        <v/>
      </c>
      <c r="M28" s="54" t="str">
        <f>IF(AND('Mapa final'!$AH$49="Alta",'Mapa final'!$AJ$49="Leve"),CONCATENATE("R2C",'Mapa final'!$R$49),"")</f>
        <v/>
      </c>
      <c r="N28" s="54" t="str">
        <f>IF(AND('Mapa final'!$AH$50="Alta",'Mapa final'!$AJ$50="Leve"),CONCATENATE("R2C",'Mapa final'!$R$50),"")</f>
        <v/>
      </c>
      <c r="O28" s="54" t="str">
        <f>IF(AND('Mapa final'!$AH$51="Alta",'Mapa final'!$AJ$51="Leve"),CONCATENATE("R2C",'Mapa final'!$R$51),"")</f>
        <v/>
      </c>
      <c r="P28" s="55" t="str">
        <f>IF(AND('Mapa final'!$AH$52="Alta",'Mapa final'!$AJ$52="Leve"),CONCATENATE("R2C",'Mapa final'!$R$52),"")</f>
        <v/>
      </c>
      <c r="Q28" s="53" t="str">
        <f>IF(AND('Mapa final'!$AH$47="Alta",'Mapa final'!$AJ$47="Menor"),CONCATENATE("R2C",'Mapa final'!$R$47),"")</f>
        <v/>
      </c>
      <c r="R28" s="54" t="str">
        <f>IF(AND('Mapa final'!$AH$48="Alta",'Mapa final'!$AJ$48="Menor"),CONCATENATE("R2C",'Mapa final'!$R$48),"")</f>
        <v/>
      </c>
      <c r="S28" s="54" t="str">
        <f>IF(AND('Mapa final'!$AH$49="Alta",'Mapa final'!$AJ$49="Menor"),CONCATENATE("R2C",'Mapa final'!$R$49),"")</f>
        <v/>
      </c>
      <c r="T28" s="54" t="str">
        <f>IF(AND('Mapa final'!$AH$50="Alta",'Mapa final'!$AJ$50="Menor"),CONCATENATE("R2C",'Mapa final'!$R$50),"")</f>
        <v/>
      </c>
      <c r="U28" s="54" t="str">
        <f>IF(AND('Mapa final'!$AH$51="Alta",'Mapa final'!$AJ$51="Menor"),CONCATENATE("R2C",'Mapa final'!$R$51),"")</f>
        <v/>
      </c>
      <c r="V28" s="55" t="str">
        <f>IF(AND('Mapa final'!$AH$52="Alta",'Mapa final'!$AJ$52="Menor"),CONCATENATE("R2C",'Mapa final'!$R$52),"")</f>
        <v/>
      </c>
      <c r="W28" s="38" t="str">
        <f>IF(AND('Mapa final'!$AH$47="Alta",'Mapa final'!$AJ$47="Moderado"),CONCATENATE("R2C",'Mapa final'!$R$47),"")</f>
        <v/>
      </c>
      <c r="X28" s="39" t="str">
        <f>IF(AND('Mapa final'!$AH$48="Alta",'Mapa final'!$AJ$48="Moderado"),CONCATENATE("R2C",'Mapa final'!$R$48),"")</f>
        <v/>
      </c>
      <c r="Y28" s="39" t="str">
        <f>IF(AND('Mapa final'!$AH$49="Alta",'Mapa final'!$AJ$49="Moderado"),CONCATENATE("R2C",'Mapa final'!$R$49),"")</f>
        <v/>
      </c>
      <c r="Z28" s="39" t="str">
        <f>IF(AND('Mapa final'!$AH$50="Alta",'Mapa final'!$AJ$50="Moderado"),CONCATENATE("R2C",'Mapa final'!$R$50),"")</f>
        <v/>
      </c>
      <c r="AA28" s="39" t="str">
        <f>IF(AND('Mapa final'!$AH$51="Alta",'Mapa final'!$AJ$51="Moderado"),CONCATENATE("R2C",'Mapa final'!$R$51),"")</f>
        <v/>
      </c>
      <c r="AB28" s="40" t="str">
        <f>IF(AND('Mapa final'!$AH$52="Alta",'Mapa final'!$AJ$52="Moderado"),CONCATENATE("R2C",'Mapa final'!$R$52),"")</f>
        <v/>
      </c>
      <c r="AC28" s="38" t="str">
        <f>IF(AND('Mapa final'!$AH$47="Alta",'Mapa final'!$AJ$47="Mayor"),CONCATENATE("R2C",'Mapa final'!$R$47),"")</f>
        <v/>
      </c>
      <c r="AD28" s="39" t="str">
        <f>IF(AND('Mapa final'!$AH$48="Alta",'Mapa final'!$AJ$48="Mayor"),CONCATENATE("R2C",'Mapa final'!$R$48),"")</f>
        <v/>
      </c>
      <c r="AE28" s="39" t="str">
        <f>IF(AND('Mapa final'!$AH$49="Alta",'Mapa final'!$AJ$49="Mayor"),CONCATENATE("R2C",'Mapa final'!$R$49),"")</f>
        <v/>
      </c>
      <c r="AF28" s="39" t="str">
        <f>IF(AND('Mapa final'!$AH$50="Alta",'Mapa final'!$AJ$50="Mayor"),CONCATENATE("R2C",'Mapa final'!$R$50),"")</f>
        <v/>
      </c>
      <c r="AG28" s="39" t="str">
        <f>IF(AND('Mapa final'!$AH$51="Alta",'Mapa final'!$AJ$51="Mayor"),CONCATENATE("R2C",'Mapa final'!$R$51),"")</f>
        <v/>
      </c>
      <c r="AH28" s="40" t="str">
        <f>IF(AND('Mapa final'!$AH$52="Alta",'Mapa final'!$AJ$52="Mayor"),CONCATENATE("R2C",'Mapa final'!$R$52),"")</f>
        <v/>
      </c>
      <c r="AI28" s="41" t="str">
        <f>IF(AND('Mapa final'!$AH$47="Alta",'Mapa final'!$AJ$47="Catastrófico"),CONCATENATE("R2C",'Mapa final'!$R$47),"")</f>
        <v/>
      </c>
      <c r="AJ28" s="42" t="str">
        <f>IF(AND('Mapa final'!$AH$48="Alta",'Mapa final'!$AJ$48="Catastrófico"),CONCATENATE("R2C",'Mapa final'!$R$48),"")</f>
        <v/>
      </c>
      <c r="AK28" s="42" t="str">
        <f>IF(AND('Mapa final'!$AH$49="Alta",'Mapa final'!$AJ$49="Catastrófico"),CONCATENATE("R2C",'Mapa final'!$R$49),"")</f>
        <v/>
      </c>
      <c r="AL28" s="42" t="str">
        <f>IF(AND('Mapa final'!$AH$50="Alta",'Mapa final'!$AJ$50="Catastrófico"),CONCATENATE("R2C",'Mapa final'!$R$50),"")</f>
        <v/>
      </c>
      <c r="AM28" s="42" t="str">
        <f>IF(AND('Mapa final'!$AH$51="Alta",'Mapa final'!$AJ$51="Catastrófico"),CONCATENATE("R2C",'Mapa final'!$R$51),"")</f>
        <v/>
      </c>
      <c r="AN28" s="43" t="str">
        <f>IF(AND('Mapa final'!$AH$52="Alta",'Mapa final'!$AJ$52="Catastrófico"),CONCATENATE("R2C",'Mapa final'!$R$52),"")</f>
        <v/>
      </c>
      <c r="AO28" s="68"/>
      <c r="AP28" s="509"/>
      <c r="AQ28" s="510"/>
      <c r="AR28" s="510"/>
      <c r="AS28" s="510"/>
      <c r="AT28" s="510"/>
      <c r="AU28" s="511"/>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56"/>
      <c r="D29" s="456"/>
      <c r="E29" s="457"/>
      <c r="F29" s="499"/>
      <c r="G29" s="500"/>
      <c r="H29" s="500"/>
      <c r="I29" s="500"/>
      <c r="J29" s="500"/>
      <c r="K29" s="53" t="str">
        <f>IF(AND('Mapa final'!$AH$53="Alta",'Mapa final'!$AJ$53="Leve"),CONCATENATE("R2C",'Mapa final'!$R$53),"")</f>
        <v/>
      </c>
      <c r="L29" s="54" t="str">
        <f>IF(AND('Mapa final'!$AH$54="Alta",'Mapa final'!$AJ$54="Leve"),CONCATENATE("R2C",'Mapa final'!$R$54),"")</f>
        <v/>
      </c>
      <c r="M29" s="54" t="str">
        <f>IF(AND('Mapa final'!$AH$55="Alta",'Mapa final'!$AJ$55="Leve"),CONCATENATE("R2C",'Mapa final'!$R$55),"")</f>
        <v/>
      </c>
      <c r="N29" s="54" t="str">
        <f>IF(AND('Mapa final'!$AH$56="Alta",'Mapa final'!$AJ$56="Leve"),CONCATENATE("R2C",'Mapa final'!$R$56),"")</f>
        <v/>
      </c>
      <c r="O29" s="54" t="str">
        <f>IF(AND('Mapa final'!$AH$57="Alta",'Mapa final'!$AJ$57="Leve"),CONCATENATE("R2C",'Mapa final'!$R$57),"")</f>
        <v/>
      </c>
      <c r="P29" s="55" t="str">
        <f>IF(AND('Mapa final'!$AH$58="Alta",'Mapa final'!$AJ$58="Leve"),CONCATENATE("R2C",'Mapa final'!$R$58),"")</f>
        <v/>
      </c>
      <c r="Q29" s="53" t="str">
        <f>IF(AND('Mapa final'!$AH$53="Alta",'Mapa final'!$AJ$53="Menor"),CONCATENATE("R2C",'Mapa final'!$R$53),"")</f>
        <v/>
      </c>
      <c r="R29" s="54" t="str">
        <f>IF(AND('Mapa final'!$AH$54="Alta",'Mapa final'!$AJ$54="Menor"),CONCATENATE("R2C",'Mapa final'!$R$54),"")</f>
        <v/>
      </c>
      <c r="S29" s="54" t="str">
        <f>IF(AND('Mapa final'!$AH$55="Alta",'Mapa final'!$AJ$55="Menor"),CONCATENATE("R2C",'Mapa final'!$R$55),"")</f>
        <v/>
      </c>
      <c r="T29" s="54" t="str">
        <f>IF(AND('Mapa final'!$AH$56="Alta",'Mapa final'!$AJ$56="Menor"),CONCATENATE("R2C",'Mapa final'!$R$56),"")</f>
        <v/>
      </c>
      <c r="U29" s="54" t="str">
        <f>IF(AND('Mapa final'!$AH$57="Alta",'Mapa final'!$AJ$57="Menor"),CONCATENATE("R2C",'Mapa final'!$R$57),"")</f>
        <v/>
      </c>
      <c r="V29" s="55" t="str">
        <f>IF(AND('Mapa final'!$AH$58="Alta",'Mapa final'!$AJ$58="Menor"),CONCATENATE("R2C",'Mapa final'!$R$58),"")</f>
        <v/>
      </c>
      <c r="W29" s="38" t="str">
        <f>IF(AND('Mapa final'!$AH$53="Alta",'Mapa final'!$AJ$53="Moderado"),CONCATENATE("R2C",'Mapa final'!$R$53),"")</f>
        <v/>
      </c>
      <c r="X29" s="39" t="str">
        <f>IF(AND('Mapa final'!$AH$54="Alta",'Mapa final'!$AJ$54="Moderado"),CONCATENATE("R2C",'Mapa final'!$R$54),"")</f>
        <v/>
      </c>
      <c r="Y29" s="39" t="str">
        <f>IF(AND('Mapa final'!$AH$55="Alta",'Mapa final'!$AJ$55="Moderado"),CONCATENATE("R2C",'Mapa final'!$R$55),"")</f>
        <v/>
      </c>
      <c r="Z29" s="39" t="str">
        <f>IF(AND('Mapa final'!$AH$56="Alta",'Mapa final'!$AJ$56="Moderado"),CONCATENATE("R2C",'Mapa final'!$R$56),"")</f>
        <v/>
      </c>
      <c r="AA29" s="39" t="str">
        <f>IF(AND('Mapa final'!$AH$57="Alta",'Mapa final'!$AJ$57="Moderado"),CONCATENATE("R2C",'Mapa final'!$R$57),"")</f>
        <v/>
      </c>
      <c r="AB29" s="40" t="str">
        <f>IF(AND('Mapa final'!$AH$58="Alta",'Mapa final'!$AJ$58="Moderado"),CONCATENATE("R2C",'Mapa final'!$R$58),"")</f>
        <v/>
      </c>
      <c r="AC29" s="38" t="str">
        <f>IF(AND('Mapa final'!$AH$53="Alta",'Mapa final'!$AJ$53="Mayor"),CONCATENATE("R2C",'Mapa final'!$R$53),"")</f>
        <v/>
      </c>
      <c r="AD29" s="39" t="str">
        <f>IF(AND('Mapa final'!$AH$54="Alta",'Mapa final'!$AJ$54="Mayor"),CONCATENATE("R2C",'Mapa final'!$R$54),"")</f>
        <v/>
      </c>
      <c r="AE29" s="39" t="str">
        <f>IF(AND('Mapa final'!$AH$55="Alta",'Mapa final'!$AJ$55="Mayor"),CONCATENATE("R2C",'Mapa final'!$R$55),"")</f>
        <v/>
      </c>
      <c r="AF29" s="39" t="str">
        <f>IF(AND('Mapa final'!$AH$56="Alta",'Mapa final'!$AJ$56="Mayor"),CONCATENATE("R2C",'Mapa final'!$R$56),"")</f>
        <v/>
      </c>
      <c r="AG29" s="39" t="str">
        <f>IF(AND('Mapa final'!$AH$57="Alta",'Mapa final'!$AJ$57="Mayor"),CONCATENATE("R2C",'Mapa final'!$R$57),"")</f>
        <v/>
      </c>
      <c r="AH29" s="40" t="str">
        <f>IF(AND('Mapa final'!$AH$58="Alta",'Mapa final'!$AJ$58="Mayor"),CONCATENATE("R2C",'Mapa final'!$R$58),"")</f>
        <v/>
      </c>
      <c r="AI29" s="41" t="str">
        <f>IF(AND('Mapa final'!$AH$53="Alta",'Mapa final'!$AJ$53="Catastrófico"),CONCATENATE("R2C",'Mapa final'!$R$53),"")</f>
        <v/>
      </c>
      <c r="AJ29" s="42" t="str">
        <f>IF(AND('Mapa final'!$AH$54="Alta",'Mapa final'!$AJ$54="Catastrófico"),CONCATENATE("R2C",'Mapa final'!$R$54),"")</f>
        <v/>
      </c>
      <c r="AK29" s="42" t="str">
        <f>IF(AND('Mapa final'!$AH$55="Alta",'Mapa final'!$AJ$55="Catastrófico"),CONCATENATE("R2C",'Mapa final'!$R$55),"")</f>
        <v/>
      </c>
      <c r="AL29" s="42" t="str">
        <f>IF(AND('Mapa final'!$AH$56="Alta",'Mapa final'!$AJ$56="Catastrófico"),CONCATENATE("R2C",'Mapa final'!$R$56),"")</f>
        <v/>
      </c>
      <c r="AM29" s="42" t="str">
        <f>IF(AND('Mapa final'!$AH$57="Alta",'Mapa final'!$AJ$57="Catastrófico"),CONCATENATE("R2C",'Mapa final'!$R$57),"")</f>
        <v/>
      </c>
      <c r="AN29" s="43" t="str">
        <f>IF(AND('Mapa final'!$AH$58="Alta",'Mapa final'!$AJ$58="Catastrófico"),CONCATENATE("R2C",'Mapa final'!$R$58),"")</f>
        <v/>
      </c>
      <c r="AO29" s="68"/>
      <c r="AP29" s="509"/>
      <c r="AQ29" s="510"/>
      <c r="AR29" s="510"/>
      <c r="AS29" s="510"/>
      <c r="AT29" s="510"/>
      <c r="AU29" s="511"/>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56"/>
      <c r="D30" s="456"/>
      <c r="E30" s="457"/>
      <c r="F30" s="499"/>
      <c r="G30" s="500"/>
      <c r="H30" s="500"/>
      <c r="I30" s="500"/>
      <c r="J30" s="500"/>
      <c r="K30" s="53" t="str">
        <f>IF(AND('Mapa final'!$AH$59="Alta",'Mapa final'!$AJ$59="Leve"),CONCATENATE("R2C",'Mapa final'!$R$59),"")</f>
        <v/>
      </c>
      <c r="L30" s="54" t="str">
        <f>IF(AND('Mapa final'!$AH$60="Alta",'Mapa final'!$AJ$60="Leve"),CONCATENATE("R2C",'Mapa final'!$R$60),"")</f>
        <v/>
      </c>
      <c r="M30" s="54" t="str">
        <f>IF(AND('Mapa final'!$AH$61="Alta",'Mapa final'!$AJ$61="Leve"),CONCATENATE("R2C",'Mapa final'!$R$61),"")</f>
        <v/>
      </c>
      <c r="N30" s="54" t="str">
        <f>IF(AND('Mapa final'!$AH$62="Alta",'Mapa final'!$AJ$62="Leve"),CONCATENATE("R2C",'Mapa final'!$R$62),"")</f>
        <v/>
      </c>
      <c r="O30" s="54" t="str">
        <f>IF(AND('Mapa final'!$AH$63="Alta",'Mapa final'!$AJ$63="Leve"),CONCATENATE("R2C",'Mapa final'!$R$63),"")</f>
        <v/>
      </c>
      <c r="P30" s="55" t="str">
        <f>IF(AND('Mapa final'!$AH$64="Alta",'Mapa final'!$AJ$64="Leve"),CONCATENATE("R2C",'Mapa final'!$R$64),"")</f>
        <v/>
      </c>
      <c r="Q30" s="53" t="str">
        <f>IF(AND('Mapa final'!$AH$59="Alta",'Mapa final'!$AJ$59="Menor"),CONCATENATE("R2C",'Mapa final'!$R$59),"")</f>
        <v/>
      </c>
      <c r="R30" s="54" t="str">
        <f>IF(AND('Mapa final'!$AH$60="Alta",'Mapa final'!$AJ$60="Menor"),CONCATENATE("R2C",'Mapa final'!$R$60),"")</f>
        <v/>
      </c>
      <c r="S30" s="54" t="str">
        <f>IF(AND('Mapa final'!$AH$61="Alta",'Mapa final'!$AJ$61="Menor"),CONCATENATE("R2C",'Mapa final'!$R$61),"")</f>
        <v/>
      </c>
      <c r="T30" s="54" t="str">
        <f>IF(AND('Mapa final'!$AH$62="Alta",'Mapa final'!$AJ$62="Menor"),CONCATENATE("R2C",'Mapa final'!$R$62),"")</f>
        <v/>
      </c>
      <c r="U30" s="54" t="str">
        <f>IF(AND('Mapa final'!$AH$63="Alta",'Mapa final'!$AJ$63="Menor"),CONCATENATE("R2C",'Mapa final'!$R$63),"")</f>
        <v/>
      </c>
      <c r="V30" s="55" t="str">
        <f>IF(AND('Mapa final'!$AH$64="Alta",'Mapa final'!$AJ$64="Menor"),CONCATENATE("R2C",'Mapa final'!$R$64),"")</f>
        <v/>
      </c>
      <c r="W30" s="38" t="str">
        <f>IF(AND('Mapa final'!$AH$59="Alta",'Mapa final'!$AJ$59="Moderado"),CONCATENATE("R2C",'Mapa final'!$R$59),"")</f>
        <v/>
      </c>
      <c r="X30" s="39" t="str">
        <f>IF(AND('Mapa final'!$AH$60="Alta",'Mapa final'!$AJ$60="Moderado"),CONCATENATE("R2C",'Mapa final'!$R$60),"")</f>
        <v/>
      </c>
      <c r="Y30" s="39" t="str">
        <f>IF(AND('Mapa final'!$AH$61="Alta",'Mapa final'!$AJ$61="Moderado"),CONCATENATE("R2C",'Mapa final'!$R$61),"")</f>
        <v/>
      </c>
      <c r="Z30" s="39" t="str">
        <f>IF(AND('Mapa final'!$AH$62="Alta",'Mapa final'!$AJ$62="Moderado"),CONCATENATE("R2C",'Mapa final'!$R$62),"")</f>
        <v/>
      </c>
      <c r="AA30" s="39" t="str">
        <f>IF(AND('Mapa final'!$AH$63="Alta",'Mapa final'!$AJ$63="Moderado"),CONCATENATE("R2C",'Mapa final'!$R$63),"")</f>
        <v/>
      </c>
      <c r="AB30" s="40" t="str">
        <f>IF(AND('Mapa final'!$AH$64="Alta",'Mapa final'!$AJ$64="Moderado"),CONCATENATE("R2C",'Mapa final'!$R$64),"")</f>
        <v/>
      </c>
      <c r="AC30" s="38" t="str">
        <f>IF(AND('Mapa final'!$AH$59="Alta",'Mapa final'!$AJ$59="Mayor"),CONCATENATE("R2C",'Mapa final'!$R$59),"")</f>
        <v/>
      </c>
      <c r="AD30" s="39" t="str">
        <f>IF(AND('Mapa final'!$AH$60="Alta",'Mapa final'!$AJ$60="Mayor"),CONCATENATE("R2C",'Mapa final'!$R$60),"")</f>
        <v/>
      </c>
      <c r="AE30" s="39" t="str">
        <f>IF(AND('Mapa final'!$AH$61="Alta",'Mapa final'!$AJ$61="Mayor"),CONCATENATE("R2C",'Mapa final'!$R$61),"")</f>
        <v/>
      </c>
      <c r="AF30" s="39" t="str">
        <f>IF(AND('Mapa final'!$AH$62="Alta",'Mapa final'!$AJ$62="Mayor"),CONCATENATE("R2C",'Mapa final'!$R$62),"")</f>
        <v/>
      </c>
      <c r="AG30" s="39" t="str">
        <f>IF(AND('Mapa final'!$AH$63="Alta",'Mapa final'!$AJ$63="Mayor"),CONCATENATE("R2C",'Mapa final'!$R$63),"")</f>
        <v/>
      </c>
      <c r="AH30" s="40" t="str">
        <f>IF(AND('Mapa final'!$AH$64="Alta",'Mapa final'!$AJ$64="Mayor"),CONCATENATE("R2C",'Mapa final'!$R$64),"")</f>
        <v/>
      </c>
      <c r="AI30" s="41" t="str">
        <f>IF(AND('Mapa final'!$AH$59="Alta",'Mapa final'!$AJ$59="Catastrófico"),CONCATENATE("R2C",'Mapa final'!$R$59),"")</f>
        <v/>
      </c>
      <c r="AJ30" s="42" t="str">
        <f>IF(AND('Mapa final'!$AH$60="Alta",'Mapa final'!$AJ$60="Catastrófico"),CONCATENATE("R2C",'Mapa final'!$R$60),"")</f>
        <v/>
      </c>
      <c r="AK30" s="42" t="str">
        <f>IF(AND('Mapa final'!$AH$61="Alta",'Mapa final'!$AJ$61="Catastrófico"),CONCATENATE("R2C",'Mapa final'!$R$61),"")</f>
        <v/>
      </c>
      <c r="AL30" s="42" t="str">
        <f>IF(AND('Mapa final'!$AH$62="Alta",'Mapa final'!$AJ$62="Catastrófico"),CONCATENATE("R2C",'Mapa final'!$R$62),"")</f>
        <v/>
      </c>
      <c r="AM30" s="42" t="str">
        <f>IF(AND('Mapa final'!$AH$63="Alta",'Mapa final'!$AJ$63="Catastrófico"),CONCATENATE("R2C",'Mapa final'!$R$63),"")</f>
        <v/>
      </c>
      <c r="AN30" s="43" t="str">
        <f>IF(AND('Mapa final'!$AH$64="Alta",'Mapa final'!$AJ$64="Catastrófico"),CONCATENATE("R2C",'Mapa final'!$R$64),"")</f>
        <v/>
      </c>
      <c r="AO30" s="68"/>
      <c r="AP30" s="509"/>
      <c r="AQ30" s="510"/>
      <c r="AR30" s="510"/>
      <c r="AS30" s="510"/>
      <c r="AT30" s="510"/>
      <c r="AU30" s="511"/>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56"/>
      <c r="D31" s="456"/>
      <c r="E31" s="457"/>
      <c r="F31" s="502"/>
      <c r="G31" s="503"/>
      <c r="H31" s="503"/>
      <c r="I31" s="503"/>
      <c r="J31" s="503"/>
      <c r="K31" s="56" t="str">
        <f>IF(AND('Mapa final'!$AH$65="Alta",'Mapa final'!$AJ$65="Leve"),CONCATENATE("R2C",'Mapa final'!$R$65),"")</f>
        <v/>
      </c>
      <c r="L31" s="57" t="str">
        <f>IF(AND('Mapa final'!$AH$66="Alta",'Mapa final'!$AJ$66="Leve"),CONCATENATE("R2C",'Mapa final'!$R$66),"")</f>
        <v/>
      </c>
      <c r="M31" s="57" t="str">
        <f>IF(AND('Mapa final'!$AH$67="Alta",'Mapa final'!$AJ$67="Leve"),CONCATENATE("R2C",'Mapa final'!$R$67),"")</f>
        <v/>
      </c>
      <c r="N31" s="57" t="str">
        <f>IF(AND('Mapa final'!$AH$68="Alta",'Mapa final'!$AJ$68="Leve"),CONCATENATE("R2C",'Mapa final'!$R$68),"")</f>
        <v/>
      </c>
      <c r="O31" s="57" t="str">
        <f>IF(AND('Mapa final'!$AH$70="Alta",'Mapa final'!$AJ$70="Leve"),CONCATENATE("R2C",'Mapa final'!$R$70),"")</f>
        <v/>
      </c>
      <c r="P31" s="58" t="str">
        <f>IF(AND('Mapa final'!$AH$71="Alta",'Mapa final'!$AJ$71="Leve"),CONCATENATE("R2C",'Mapa final'!$R$71),"")</f>
        <v/>
      </c>
      <c r="Q31" s="56" t="str">
        <f>IF(AND('Mapa final'!$AH$65="Alta",'Mapa final'!$AJ$65="Menor"),CONCATENATE("R2C",'Mapa final'!$R$65),"")</f>
        <v/>
      </c>
      <c r="R31" s="57" t="str">
        <f>IF(AND('Mapa final'!$AH$66="Alta",'Mapa final'!$AJ$66="Menor"),CONCATENATE("R2C",'Mapa final'!$R$66),"")</f>
        <v/>
      </c>
      <c r="S31" s="57" t="str">
        <f>IF(AND('Mapa final'!$AH$67="Alta",'Mapa final'!$AJ$67="Menor"),CONCATENATE("R2C",'Mapa final'!$R$67),"")</f>
        <v/>
      </c>
      <c r="T31" s="57" t="str">
        <f>IF(AND('Mapa final'!$AH$68="Alta",'Mapa final'!$AJ$68="Menor"),CONCATENATE("R2C",'Mapa final'!$R$68),"")</f>
        <v/>
      </c>
      <c r="U31" s="57" t="str">
        <f>IF(AND('Mapa final'!$AH$70="Alta",'Mapa final'!$AJ$70="Menor"),CONCATENATE("R2C",'Mapa final'!$R$70),"")</f>
        <v/>
      </c>
      <c r="V31" s="58" t="str">
        <f>IF(AND('Mapa final'!$AH$71="Alta",'Mapa final'!$AJ$71="Menor"),CONCATENATE("R2C",'Mapa final'!$R$71),"")</f>
        <v/>
      </c>
      <c r="W31" s="44" t="str">
        <f>IF(AND('Mapa final'!$AH$65="Alta",'Mapa final'!$AJ$65="Moderado"),CONCATENATE("R2C",'Mapa final'!$R$65),"")</f>
        <v/>
      </c>
      <c r="X31" s="45" t="str">
        <f>IF(AND('Mapa final'!$AH$66="Alta",'Mapa final'!$AJ$66="Moderado"),CONCATENATE("R2C",'Mapa final'!$R$66),"")</f>
        <v/>
      </c>
      <c r="Y31" s="45" t="str">
        <f>IF(AND('Mapa final'!$AH$67="Alta",'Mapa final'!$AJ$67="Moderado"),CONCATENATE("R2C",'Mapa final'!$R$67),"")</f>
        <v/>
      </c>
      <c r="Z31" s="45" t="str">
        <f>IF(AND('Mapa final'!$AH$68="Alta",'Mapa final'!$AJ$68="Moderado"),CONCATENATE("R2C",'Mapa final'!$R$68),"")</f>
        <v/>
      </c>
      <c r="AA31" s="45" t="str">
        <f>IF(AND('Mapa final'!$AH$70="Alta",'Mapa final'!$AJ$70="Moderado"),CONCATENATE("R2C",'Mapa final'!$R$70),"")</f>
        <v/>
      </c>
      <c r="AB31" s="46" t="str">
        <f>IF(AND('Mapa final'!$AH$71="Alta",'Mapa final'!$AJ$71="Moderado"),CONCATENATE("R2C",'Mapa final'!$R$71),"")</f>
        <v/>
      </c>
      <c r="AC31" s="44" t="str">
        <f>IF(AND('Mapa final'!$AH$65="Alta",'Mapa final'!$AJ$65="Mayor"),CONCATENATE("R2C",'Mapa final'!$R$65),"")</f>
        <v/>
      </c>
      <c r="AD31" s="45" t="str">
        <f>IF(AND('Mapa final'!$AH$66="Alta",'Mapa final'!$AJ$66="Mayor"),CONCATENATE("R2C",'Mapa final'!$R$66),"")</f>
        <v/>
      </c>
      <c r="AE31" s="45" t="str">
        <f>IF(AND('Mapa final'!$AH$67="Alta",'Mapa final'!$AJ$67="Mayor"),CONCATENATE("R2C",'Mapa final'!$R$67),"")</f>
        <v/>
      </c>
      <c r="AF31" s="45" t="str">
        <f>IF(AND('Mapa final'!$AH$68="Alta",'Mapa final'!$AJ$68="Mayor"),CONCATENATE("R2C",'Mapa final'!$R$68),"")</f>
        <v/>
      </c>
      <c r="AG31" s="45" t="str">
        <f>IF(AND('Mapa final'!$AH$70="Alta",'Mapa final'!$AJ$70="Mayor"),CONCATENATE("R2C",'Mapa final'!$R$70),"")</f>
        <v/>
      </c>
      <c r="AH31" s="46" t="str">
        <f>IF(AND('Mapa final'!$AH$71="Alta",'Mapa final'!$AJ$71="Mayor"),CONCATENATE("R2C",'Mapa final'!$R$71),"")</f>
        <v/>
      </c>
      <c r="AI31" s="47" t="str">
        <f>IF(AND('Mapa final'!$AH$65="Alta",'Mapa final'!$AJ$65="Catastrófico"),CONCATENATE("R2C",'Mapa final'!$R$65),"")</f>
        <v/>
      </c>
      <c r="AJ31" s="48" t="str">
        <f>IF(AND('Mapa final'!$AH$66="Alta",'Mapa final'!$AJ$66="Catastrófico"),CONCATENATE("R2C",'Mapa final'!$R$66),"")</f>
        <v/>
      </c>
      <c r="AK31" s="48" t="str">
        <f>IF(AND('Mapa final'!$AH$67="Alta",'Mapa final'!$AJ$67="Catastrófico"),CONCATENATE("R2C",'Mapa final'!$R$67),"")</f>
        <v/>
      </c>
      <c r="AL31" s="48" t="str">
        <f>IF(AND('Mapa final'!$AH$68="Alta",'Mapa final'!$AJ$68="Catastrófico"),CONCATENATE("R2C",'Mapa final'!$R$68),"")</f>
        <v/>
      </c>
      <c r="AM31" s="48" t="str">
        <f>IF(AND('Mapa final'!$AH$70="Alta",'Mapa final'!$AJ$70="Catastrófico"),CONCATENATE("R2C",'Mapa final'!$R$70),"")</f>
        <v/>
      </c>
      <c r="AN31" s="49" t="str">
        <f>IF(AND('Mapa final'!$AH$71="Muy Alta",'Mapa final'!$AJ$71="Catastrófico"),CONCATENATE("R2C",'Mapa final'!$R$71),"")</f>
        <v/>
      </c>
      <c r="AO31" s="68"/>
      <c r="AP31" s="512"/>
      <c r="AQ31" s="513"/>
      <c r="AR31" s="513"/>
      <c r="AS31" s="513"/>
      <c r="AT31" s="513"/>
      <c r="AU31" s="514"/>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56"/>
      <c r="D32" s="456"/>
      <c r="E32" s="457"/>
      <c r="F32" s="496" t="s">
        <v>258</v>
      </c>
      <c r="G32" s="497"/>
      <c r="H32" s="497"/>
      <c r="I32" s="497"/>
      <c r="J32" s="498"/>
      <c r="K32" s="50"/>
      <c r="L32" s="51" t="str">
        <f>IF(AND('Mapa final'!$AH$17="Media",'Mapa final'!$AJ$17="Leve"),CONCATENATE("R2C",'Mapa final'!$R$15),"")</f>
        <v/>
      </c>
      <c r="M32" s="51" t="str">
        <f>IF(AND('Mapa final'!$AH$18="Media",'Mapa final'!$AJ$18="Leve"),CONCATENATE("R2C",'Mapa final'!$R$18),"")</f>
        <v/>
      </c>
      <c r="N32" s="51" t="e">
        <f>IF(AND('Mapa final'!#REF!="Media",'Mapa final'!#REF!="Leve"),CONCATENATE("R2C",'Mapa final'!#REF!),"")</f>
        <v>#REF!</v>
      </c>
      <c r="O32" s="51" t="e">
        <f>IF(AND('Mapa final'!#REF!="Media",'Mapa final'!#REF!="Leve"),CONCATENATE("R2C",'Mapa final'!#REF!),"")</f>
        <v>#REF!</v>
      </c>
      <c r="P32" s="52" t="e">
        <f>IF(AND('Mapa final'!#REF!="Media",'Mapa final'!#REF!="Leve"),CONCATENATE("R2C",'Mapa final'!#REF!),"")</f>
        <v>#REF!</v>
      </c>
      <c r="Q32" s="50"/>
      <c r="R32" s="51" t="str">
        <f>IF(AND('Mapa final'!$AH$17="Media",'Mapa final'!$AJ$17="Menore"),CONCATENATE("R2C",'Mapa final'!$R$15),"")</f>
        <v/>
      </c>
      <c r="S32" s="51" t="str">
        <f>IF(AND('Mapa final'!$AH$18="Media",'Mapa final'!$AJ$18="Menor"),CONCATENATE("R2C",'Mapa final'!$R$18),"")</f>
        <v/>
      </c>
      <c r="T32" s="51" t="e">
        <f>IF(AND('Mapa final'!#REF!="Media",'Mapa final'!#REF!="Menor"),CONCATENATE("R2C",'Mapa final'!#REF!),"")</f>
        <v>#REF!</v>
      </c>
      <c r="U32" s="51" t="e">
        <f>IF(AND('Mapa final'!#REF!="Media",'Mapa final'!#REF!="Menor"),CONCATENATE("R2C",'Mapa final'!#REF!),"")</f>
        <v>#REF!</v>
      </c>
      <c r="V32" s="52" t="e">
        <f>IF(AND('Mapa final'!#REF!="Media",'Mapa final'!#REF!="Menor"),CONCATENATE("R2C",'Mapa final'!#REF!),"")</f>
        <v>#REF!</v>
      </c>
      <c r="W32" s="50"/>
      <c r="X32" s="51" t="str">
        <f>IF(AND('Mapa final'!$AH$17="Media",'Mapa final'!$AJ$17="Moderado"),CONCATENATE("R2C",'Mapa final'!$R$15),"")</f>
        <v/>
      </c>
      <c r="Y32" s="51"/>
      <c r="Z32" s="51" t="e">
        <f>IF(AND('Mapa final'!#REF!="Media",'Mapa final'!#REF!="Moderado"),CONCATENATE("R2C",'Mapa final'!#REF!),"")</f>
        <v>#REF!</v>
      </c>
      <c r="AA32" s="51" t="e">
        <f>IF(AND('Mapa final'!#REF!="Media",'Mapa final'!#REF!="Moderado"),CONCATENATE("R2C",'Mapa final'!#REF!),"")</f>
        <v>#REF!</v>
      </c>
      <c r="AB32" s="52" t="e">
        <f>IF(AND('Mapa final'!#REF!="Media",'Mapa final'!#REF!="Moderado"),CONCATENATE("R2C",'Mapa final'!#REF!),"")</f>
        <v>#REF!</v>
      </c>
      <c r="AC32" s="32"/>
      <c r="AD32" s="33" t="str">
        <f>IF(AND('Mapa final'!$AH$17="Media",'Mapa final'!$AJ$17="Mayor"),CONCATENATE("R2C",'Mapa final'!$R$15),"")</f>
        <v/>
      </c>
      <c r="AE32" s="33" t="str">
        <f>IF(AND('Mapa final'!$AH$18="Media",'Mapa final'!$AJ$18="Mayor"),CONCATENATE("R2C",'Mapa final'!$R$18),"")</f>
        <v/>
      </c>
      <c r="AF32" s="33" t="e">
        <f>IF(AND('Mapa final'!#REF!="Media",'Mapa final'!#REF!="Mayor"),CONCATENATE("R2C",'Mapa final'!#REF!),"")</f>
        <v>#REF!</v>
      </c>
      <c r="AG32" s="33" t="e">
        <f>IF(AND('Mapa final'!#REF!="Media",'Mapa final'!#REF!="Mayor"),CONCATENATE("R2C",'Mapa final'!#REF!),"")</f>
        <v>#REF!</v>
      </c>
      <c r="AH32" s="34" t="e">
        <f>IF(AND('Mapa final'!#REF!="Media",'Mapa final'!#REF!="Mayor"),CONCATENATE("R2C",'Mapa final'!#REF!),"")</f>
        <v>#REF!</v>
      </c>
      <c r="AI32" s="35"/>
      <c r="AJ32" s="36" t="str">
        <f>IF(AND('Mapa final'!$AH$17="Media",'Mapa final'!$AJ$17="Catastrófico"),CONCATENATE("R2C",'Mapa final'!$R$15),"")</f>
        <v/>
      </c>
      <c r="AK32" s="36" t="str">
        <f>IF(AND('Mapa final'!$AH$18="Media",'Mapa final'!$AJ$18="Catastrófico"),CONCATENATE("R2C",'Mapa final'!$R$18),"")</f>
        <v/>
      </c>
      <c r="AL32" s="36" t="e">
        <f>IF(AND('Mapa final'!#REF!="Media",'Mapa final'!#REF!="Catastrófico"),CONCATENATE("R2C",'Mapa final'!#REF!),"")</f>
        <v>#REF!</v>
      </c>
      <c r="AM32" s="36" t="e">
        <f>IF(AND('Mapa final'!#REF!="Media",'Mapa final'!#REF!="Catastrófico"),CONCATENATE("R2C",'Mapa final'!#REF!),"")</f>
        <v>#REF!</v>
      </c>
      <c r="AN32" s="37" t="e">
        <f>IF(AND('Mapa final'!#REF!="Media",'Mapa final'!#REF!="Catastrófico"),CONCATENATE("R2C",'Mapa final'!#REF!),"")</f>
        <v>#REF!</v>
      </c>
      <c r="AO32" s="68"/>
      <c r="AP32" s="537" t="s">
        <v>122</v>
      </c>
      <c r="AQ32" s="538"/>
      <c r="AR32" s="538"/>
      <c r="AS32" s="538"/>
      <c r="AT32" s="538"/>
      <c r="AU32" s="539"/>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56"/>
      <c r="D33" s="456"/>
      <c r="E33" s="457"/>
      <c r="F33" s="515"/>
      <c r="G33" s="500"/>
      <c r="H33" s="500"/>
      <c r="I33" s="500"/>
      <c r="J33" s="501"/>
      <c r="K33" s="53" t="e">
        <f>IF(AND('Mapa final'!#REF!="Media",'Mapa final'!#REF!="Leve"),CONCATENATE("R2C",'Mapa final'!#REF!),"")</f>
        <v>#REF!</v>
      </c>
      <c r="L33" s="54" t="e">
        <f>IF(AND('Mapa final'!#REF!="Media",'Mapa final'!#REF!="Leve"),CONCATENATE("R2C",'Mapa final'!#REF!),"")</f>
        <v>#REF!</v>
      </c>
      <c r="M33" s="54" t="str">
        <f>IF(AND('Mapa final'!$AH$19="Media",'Mapa final'!$AJ$19="Leve"),CONCATENATE("R2C",'Mapa final'!$R$19),"")</f>
        <v/>
      </c>
      <c r="N33" s="54" t="str">
        <f>IF(AND('Mapa final'!$AH$20="Media",'Mapa final'!$AJ$20="Leve"),CONCATENATE("R2C",'Mapa final'!$R$20),"")</f>
        <v/>
      </c>
      <c r="O33" s="54" t="str">
        <f>IF(AND('Mapa final'!$AH$21="Media",'Mapa final'!$AJ$21="Leve"),CONCATENATE("R2C",'Mapa final'!$R$21),"")</f>
        <v/>
      </c>
      <c r="P33" s="55" t="str">
        <f>IF(AND('Mapa final'!$AH$22="Media",'Mapa final'!$AJ$22="Leve"),CONCATENATE("R2C",'Mapa final'!$R$22),"")</f>
        <v/>
      </c>
      <c r="Q33" s="53" t="e">
        <f>IF(AND('Mapa final'!#REF!="Media",'Mapa final'!#REF!="Menor"),CONCATENATE("R2C",'Mapa final'!#REF!),"")</f>
        <v>#REF!</v>
      </c>
      <c r="R33" s="54" t="e">
        <f>IF(AND('Mapa final'!#REF!="Media",'Mapa final'!#REF!="Menor"),CONCATENATE("R2C",'Mapa final'!#REF!),"")</f>
        <v>#REF!</v>
      </c>
      <c r="S33" s="54" t="str">
        <f>IF(AND('Mapa final'!$AH$19="Media",'Mapa final'!$AJ$19="Menor"),CONCATENATE("R2C",'Mapa final'!$R$19),"")</f>
        <v/>
      </c>
      <c r="T33" s="54" t="str">
        <f>IF(AND('Mapa final'!$AH$20="Media",'Mapa final'!$AJ$20="Menor"),CONCATENATE("R2C",'Mapa final'!$R$20),"")</f>
        <v/>
      </c>
      <c r="U33" s="54" t="str">
        <f>IF(AND('Mapa final'!$AH$21="Media",'Mapa final'!$AJ$21="Menor"),CONCATENATE("R2C",'Mapa final'!$R$21),"")</f>
        <v/>
      </c>
      <c r="V33" s="55" t="str">
        <f>IF(AND('Mapa final'!$AH$22="Media",'Mapa final'!$AJ$22="Menor"),CONCATENATE("R2C",'Mapa final'!$R$22),"")</f>
        <v/>
      </c>
      <c r="W33" s="53" t="e">
        <f>IF(AND('Mapa final'!#REF!="Media",'Mapa final'!#REF!="Moderado"),CONCATENATE("R2C",'Mapa final'!#REF!),"")</f>
        <v>#REF!</v>
      </c>
      <c r="X33" s="54" t="e">
        <f>IF(AND('Mapa final'!#REF!="Media",'Mapa final'!#REF!="Moderado"),CONCATENATE("R2C",'Mapa final'!#REF!),"")</f>
        <v>#REF!</v>
      </c>
      <c r="Y33" s="54" t="str">
        <f>IF(AND('Mapa final'!$AH$19="Media",'Mapa final'!$AJ$19="Moderado"),CONCATENATE("R2C",'Mapa final'!$R$19),"")</f>
        <v/>
      </c>
      <c r="Z33" s="54" t="str">
        <f>IF(AND('Mapa final'!$AH$20="Media",'Mapa final'!$AJ$20="Moderado"),CONCATENATE("R2C",'Mapa final'!$R$20),"")</f>
        <v/>
      </c>
      <c r="AA33" s="54" t="str">
        <f>IF(AND('Mapa final'!$AH$21="Media",'Mapa final'!$AJ$21="Moderado"),CONCATENATE("R2C",'Mapa final'!$R$21),"")</f>
        <v/>
      </c>
      <c r="AB33" s="55" t="str">
        <f>IF(AND('Mapa final'!$AH$22="Media",'Mapa final'!$AJ$22="Moderado"),CONCATENATE("R2C",'Mapa final'!$R$22),"")</f>
        <v/>
      </c>
      <c r="AC33" s="38" t="e">
        <f>IF(AND('Mapa final'!#REF!="Media",'Mapa final'!#REF!="Mayor"),CONCATENATE("R2C",'Mapa final'!#REF!),"")</f>
        <v>#REF!</v>
      </c>
      <c r="AD33" s="39" t="e">
        <f>IF(AND('Mapa final'!#REF!="Muy Alta",'Mapa final'!#REF!="Mayor"),CONCATENATE("R2C",'Mapa final'!#REF!),"")</f>
        <v>#REF!</v>
      </c>
      <c r="AE33" s="39" t="str">
        <f>IF(AND('Mapa final'!$AH$19="Media",'Mapa final'!$AJ$19="Mayor"),CONCATENATE("R2C",'Mapa final'!$R$19),"")</f>
        <v/>
      </c>
      <c r="AF33" s="39" t="str">
        <f>IF(AND('Mapa final'!$AH$20="Media",'Mapa final'!$AJ$20="Mayor"),CONCATENATE("R2C",'Mapa final'!$R$20),"")</f>
        <v/>
      </c>
      <c r="AG33" s="39" t="str">
        <f>IF(AND('Mapa final'!$AH$21="Media",'Mapa final'!$AJ$21="Mayor"),CONCATENATE("R2C",'Mapa final'!$R$21),"")</f>
        <v/>
      </c>
      <c r="AH33" s="40" t="str">
        <f>IF(AND('Mapa final'!$AH$22="Media",'Mapa final'!$AJ$22="Mayor"),CONCATENATE("R2C",'Mapa final'!$R$22),"")</f>
        <v/>
      </c>
      <c r="AI33" s="41" t="e">
        <f>IF(AND('Mapa final'!#REF!="Media",'Mapa final'!#REF!="Catastrófico"),CONCATENATE("R2C",'Mapa final'!#REF!),"")</f>
        <v>#REF!</v>
      </c>
      <c r="AJ33" s="42" t="e">
        <f>IF(AND('Mapa final'!#REF!="Media",'Mapa final'!#REF!="Catastrófico"),CONCATENATE("R2C",'Mapa final'!#REF!),"")</f>
        <v>#REF!</v>
      </c>
      <c r="AK33" s="42" t="str">
        <f>IF(AND('Mapa final'!$AH$19="Media",'Mapa final'!$AJ$19="Catastrófico"),CONCATENATE("R2C",'Mapa final'!$R$19),"")</f>
        <v/>
      </c>
      <c r="AL33" s="42" t="str">
        <f>IF(AND('Mapa final'!$AH$20="Media",'Mapa final'!$AJ$20="Catastrófico"),CONCATENATE("R2C",'Mapa final'!$R$20),"")</f>
        <v/>
      </c>
      <c r="AM33" s="42" t="str">
        <f>IF(AND('Mapa final'!$AH$21="Media",'Mapa final'!$AJ$21="Catastrófico"),CONCATENATE("R2C",'Mapa final'!$R$21),"")</f>
        <v/>
      </c>
      <c r="AN33" s="43" t="str">
        <f>IF(AND('Mapa final'!$AH$22="Media",'Mapa final'!$AJ$22="Catastrófico"),CONCATENATE("R2C",'Mapa final'!$R$22),"")</f>
        <v/>
      </c>
      <c r="AO33" s="68"/>
      <c r="AP33" s="540"/>
      <c r="AQ33" s="541"/>
      <c r="AR33" s="541"/>
      <c r="AS33" s="541"/>
      <c r="AT33" s="541"/>
      <c r="AU33" s="542"/>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56"/>
      <c r="D34" s="456"/>
      <c r="E34" s="457"/>
      <c r="F34" s="499"/>
      <c r="G34" s="500"/>
      <c r="H34" s="500"/>
      <c r="I34" s="500"/>
      <c r="J34" s="501"/>
      <c r="K34" s="53" t="str">
        <f>IF(AND('Mapa final'!$AH$23="Media",'Mapa final'!$AJ$23="Leve"),CONCATENATE("R2C",'Mapa final'!$R$23),"")</f>
        <v/>
      </c>
      <c r="L34" s="54" t="str">
        <f>IF(AND('Mapa final'!$AH$24="Media",'Mapa final'!$AJ$24="Leve"),CONCATENATE("R2C",'Mapa final'!$R$24),"")</f>
        <v/>
      </c>
      <c r="M34" s="54" t="str">
        <f>IF(AND('Mapa final'!$AH$25="Media",'Mapa final'!$AJ$25="Leve"),CONCATENATE("R2C",'Mapa final'!$R$25),"")</f>
        <v/>
      </c>
      <c r="N34" s="54" t="str">
        <f>IF(AND('Mapa final'!$AH$26="Media",'Mapa final'!$AJ$26="Leve"),CONCATENATE("R2C",'Mapa final'!$R$26),"")</f>
        <v/>
      </c>
      <c r="O34" s="54" t="str">
        <f>IF(AND('Mapa final'!$AH$27="Media",'Mapa final'!$AJ$27="Leve"),CONCATENATE("R2C",'Mapa final'!$R$27),"")</f>
        <v/>
      </c>
      <c r="P34" s="55" t="str">
        <f>IF(AND('Mapa final'!$AH$28="Media",'Mapa final'!$AJ$28="Leve"),CONCATENATE("R2C",'Mapa final'!$R$28),"")</f>
        <v/>
      </c>
      <c r="Q34" s="53" t="str">
        <f>IF(AND('Mapa final'!$AH$23="Media",'Mapa final'!$AJ$23="Menor"),CONCATENATE("R2C",'Mapa final'!$R$23),"")</f>
        <v/>
      </c>
      <c r="R34" s="54" t="str">
        <f>IF(AND('Mapa final'!$AH$24="Media",'Mapa final'!$AJ$24="Menor"),CONCATENATE("R2C",'Mapa final'!$R$24),"")</f>
        <v/>
      </c>
      <c r="S34" s="54" t="str">
        <f>IF(AND('Mapa final'!$AH$25="Media",'Mapa final'!$AJ$25="Menor"),CONCATENATE("R2C",'Mapa final'!$R$25),"")</f>
        <v/>
      </c>
      <c r="T34" s="54" t="str">
        <f>IF(AND('Mapa final'!$AH$26="Media",'Mapa final'!$AJ$26="Menor"),CONCATENATE("R2C",'Mapa final'!$R$26),"")</f>
        <v/>
      </c>
      <c r="U34" s="54" t="str">
        <f>IF(AND('Mapa final'!$AH$27="Media",'Mapa final'!$AJ$27="Menor"),CONCATENATE("R2C",'Mapa final'!$R$27),"")</f>
        <v/>
      </c>
      <c r="V34" s="55" t="str">
        <f>IF(AND('Mapa final'!$AH$28="Media",'Mapa final'!$AJ$28="Menor"),CONCATENATE("R2C",'Mapa final'!$R$28),"")</f>
        <v/>
      </c>
      <c r="W34" s="53" t="str">
        <f>IF(AND('Mapa final'!$AH$23="Media",'Mapa final'!$AJ$23="Moderado"),CONCATENATE("R2C",'Mapa final'!$R$23),"")</f>
        <v/>
      </c>
      <c r="X34" s="54" t="str">
        <f>IF(AND('Mapa final'!$AH$24="Media",'Mapa final'!$AJ$24="Moderado"),CONCATENATE("R2C",'Mapa final'!$R$24),"")</f>
        <v/>
      </c>
      <c r="Y34" s="54" t="str">
        <f>IF(AND('Mapa final'!$AH$25="Media",'Mapa final'!$AJ$25="Moderado"),CONCATENATE("R2C",'Mapa final'!$R$25),"")</f>
        <v/>
      </c>
      <c r="Z34" s="54" t="str">
        <f>IF(AND('Mapa final'!$AH$26="Media",'Mapa final'!$AJ$26="Moderado"),CONCATENATE("R2C",'Mapa final'!$R$26),"")</f>
        <v/>
      </c>
      <c r="AA34" s="54" t="str">
        <f>IF(AND('Mapa final'!$AH$27="Media",'Mapa final'!$AJ$27="Moderado"),CONCATENATE("R2C",'Mapa final'!$R$27),"")</f>
        <v/>
      </c>
      <c r="AB34" s="55" t="str">
        <f>IF(AND('Mapa final'!$AH$28="Media",'Mapa final'!$AJ$28="Moderado"),CONCATENATE("R2C",'Mapa final'!$R$28),"")</f>
        <v/>
      </c>
      <c r="AC34" s="38" t="str">
        <f>IF(AND('Mapa final'!$AH$23="Media",'Mapa final'!$AJ$23="Mayor"),CONCATENATE("R2C",'Mapa final'!$R$23),"")</f>
        <v/>
      </c>
      <c r="AD34" s="39" t="str">
        <f>IF(AND('Mapa final'!$AH$24="Media",'Mapa final'!$AJ$24="Mayor"),CONCATENATE("R2C",'Mapa final'!$R$24),"")</f>
        <v/>
      </c>
      <c r="AE34" s="39" t="str">
        <f>IF(AND('Mapa final'!$AH$25="Media",'Mapa final'!$AJ$25="Mayor"),CONCATENATE("R2C",'Mapa final'!$R$25),"")</f>
        <v/>
      </c>
      <c r="AF34" s="39" t="str">
        <f>IF(AND('Mapa final'!$AH$26="Media",'Mapa final'!$AJ$26="Mayor"),CONCATENATE("R2C",'Mapa final'!$R$26),"")</f>
        <v/>
      </c>
      <c r="AG34" s="39" t="str">
        <f>IF(AND('Mapa final'!$AH$27="Media",'Mapa final'!$AJ$27="Mayor"),CONCATENATE("R2C",'Mapa final'!$R$27),"")</f>
        <v/>
      </c>
      <c r="AH34" s="40" t="str">
        <f>IF(AND('Mapa final'!$AH$28="Media",'Mapa final'!$AJ$28="Mayor"),CONCATENATE("R2C",'Mapa final'!$R$28),"")</f>
        <v/>
      </c>
      <c r="AI34" s="41" t="str">
        <f>IF(AND('Mapa final'!$AH$23="Media",'Mapa final'!$AJ$23="Catastrófico"),CONCATENATE("R2C",'Mapa final'!$R$23),"")</f>
        <v/>
      </c>
      <c r="AJ34" s="42" t="str">
        <f>IF(AND('Mapa final'!$AH$24="Media",'Mapa final'!$AJ$24="Catastrófico"),CONCATENATE("R2C",'Mapa final'!$R$24),"")</f>
        <v/>
      </c>
      <c r="AK34" s="42" t="str">
        <f>IF(AND('Mapa final'!$AH$25="Media",'Mapa final'!$AJ$25="Catastrófico"),CONCATENATE("R2C",'Mapa final'!$R$25),"")</f>
        <v/>
      </c>
      <c r="AL34" s="42" t="str">
        <f>IF(AND('Mapa final'!$AH$26="Media",'Mapa final'!$AJ$26="Catastrófico"),CONCATENATE("R2C",'Mapa final'!$R$26),"")</f>
        <v/>
      </c>
      <c r="AM34" s="42" t="str">
        <f>IF(AND('Mapa final'!$AH$27="Media",'Mapa final'!$AJ$27="Catastrófico"),CONCATENATE("R2C",'Mapa final'!$R$27),"")</f>
        <v/>
      </c>
      <c r="AN34" s="43" t="str">
        <f>IF(AND('Mapa final'!$AH$28="Media",'Mapa final'!$AJ$28="Catastrófico"),CONCATENATE("R2C",'Mapa final'!$R$28),"")</f>
        <v/>
      </c>
      <c r="AO34" s="68"/>
      <c r="AP34" s="540"/>
      <c r="AQ34" s="541"/>
      <c r="AR34" s="541"/>
      <c r="AS34" s="541"/>
      <c r="AT34" s="541"/>
      <c r="AU34" s="542"/>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56"/>
      <c r="D35" s="456"/>
      <c r="E35" s="457"/>
      <c r="F35" s="499"/>
      <c r="G35" s="500"/>
      <c r="H35" s="500"/>
      <c r="I35" s="500"/>
      <c r="J35" s="501"/>
      <c r="K35" s="53" t="str">
        <f>IF(AND('Mapa final'!$AH$29="Media",'Mapa final'!$AJ$29="Leve"),CONCATENATE("R2C",'Mapa final'!$R$29),"")</f>
        <v/>
      </c>
      <c r="L35" s="54" t="str">
        <f>IF(AND('Mapa final'!$AH$30="Media",'Mapa final'!$AJ$30="Leve"),CONCATENATE("R2C",'Mapa final'!$R$30),"")</f>
        <v/>
      </c>
      <c r="M35" s="54" t="str">
        <f>IF(AND('Mapa final'!$AH$31="Media",'Mapa final'!$AJ$31="Leve"),CONCATENATE("R2C",'Mapa final'!$R$31),"")</f>
        <v/>
      </c>
      <c r="N35" s="54" t="str">
        <f>IF(AND('Mapa final'!$AH$32="Media",'Mapa final'!$AJ$32="Leve"),CONCATENATE("R2C",'Mapa final'!$R$32),"")</f>
        <v/>
      </c>
      <c r="O35" s="54" t="str">
        <f>IF(AND('Mapa final'!$AH$33="Media",'Mapa final'!$AJ$33="Leve"),CONCATENATE("R2C",'Mapa final'!$R$33),"")</f>
        <v/>
      </c>
      <c r="P35" s="55" t="str">
        <f>IF(AND('Mapa final'!$AH$34="Media",'Mapa final'!$AJ$34="Leve"),CONCATENATE("R2C",'Mapa final'!$R$34),"")</f>
        <v/>
      </c>
      <c r="Q35" s="53" t="str">
        <f>IF(AND('Mapa final'!$AH$29="Media",'Mapa final'!$AJ$29="Menor"),CONCATENATE("R2C",'Mapa final'!$R$29),"")</f>
        <v/>
      </c>
      <c r="R35" s="54" t="str">
        <f>IF(AND('Mapa final'!$AH$30="Media",'Mapa final'!$AJ$30="Menor"),CONCATENATE("R2C",'Mapa final'!$R$30),"")</f>
        <v/>
      </c>
      <c r="S35" s="54" t="str">
        <f>IF(AND('Mapa final'!$AH$31="Media",'Mapa final'!$AJ$31="Menor"),CONCATENATE("R2C",'Mapa final'!$R$31),"")</f>
        <v/>
      </c>
      <c r="T35" s="54" t="str">
        <f>IF(AND('Mapa final'!$AH$32="Media",'Mapa final'!$AJ$32="Menor"),CONCATENATE("R2C",'Mapa final'!$R$32),"")</f>
        <v/>
      </c>
      <c r="U35" s="54" t="str">
        <f>IF(AND('Mapa final'!$AH$33="Media",'Mapa final'!$AJ$33="LMenor"),CONCATENATE("R2C",'Mapa final'!$R$33),"")</f>
        <v/>
      </c>
      <c r="V35" s="55" t="str">
        <f>IF(AND('Mapa final'!$AH$34="Media",'Mapa final'!$AJ$34="Menor"),CONCATENATE("R2C",'Mapa final'!$R$34),"")</f>
        <v/>
      </c>
      <c r="W35" s="53" t="str">
        <f>IF(AND('Mapa final'!$AH$29="Media",'Mapa final'!$AJ$29="Moderado"),CONCATENATE("R2C",'Mapa final'!$R$29),"")</f>
        <v/>
      </c>
      <c r="X35" s="54" t="str">
        <f>IF(AND('Mapa final'!$AH$30="Media",'Mapa final'!$AJ$30="Moderado"),CONCATENATE("R2C",'Mapa final'!$R$30),"")</f>
        <v/>
      </c>
      <c r="Y35" s="54" t="str">
        <f>IF(AND('Mapa final'!$AH$31="Media",'Mapa final'!$AJ$31="Moderado"),CONCATENATE("R2C",'Mapa final'!$R$31),"")</f>
        <v/>
      </c>
      <c r="Z35" s="54" t="str">
        <f>IF(AND('Mapa final'!$AH$32="Media",'Mapa final'!$AJ$32="Moderado"),CONCATENATE("R2C",'Mapa final'!$R$32),"")</f>
        <v/>
      </c>
      <c r="AA35" s="54" t="str">
        <f>IF(AND('Mapa final'!$AH$33="Media",'Mapa final'!$AJ$33="Moderado"),CONCATENATE("R2C",'Mapa final'!$R$33),"")</f>
        <v/>
      </c>
      <c r="AB35" s="55" t="str">
        <f>IF(AND('Mapa final'!$AH$34="Media",'Mapa final'!$AJ$34="Moderado"),CONCATENATE("R2C",'Mapa final'!$R$34),"")</f>
        <v/>
      </c>
      <c r="AC35" s="38" t="str">
        <f>IF(AND('Mapa final'!$AH$29="Media",'Mapa final'!$AJ$29="Mayor"),CONCATENATE("R2C",'Mapa final'!$R$29),"")</f>
        <v/>
      </c>
      <c r="AD35" s="39" t="str">
        <f>IF(AND('Mapa final'!$AH$30="Media",'Mapa final'!$AJ$30="Mayor"),CONCATENATE("R2C",'Mapa final'!$R$30),"")</f>
        <v/>
      </c>
      <c r="AE35" s="39" t="str">
        <f>IF(AND('Mapa final'!$AH$31="Media",'Mapa final'!$AJ$31="Mayor"),CONCATENATE("R2C",'Mapa final'!$R$31),"")</f>
        <v/>
      </c>
      <c r="AF35" s="39" t="str">
        <f>IF(AND('Mapa final'!$AH$32="Media",'Mapa final'!$AJ$32="Mayor"),CONCATENATE("R2C",'Mapa final'!$R$32),"")</f>
        <v/>
      </c>
      <c r="AG35" s="39" t="str">
        <f>IF(AND('Mapa final'!$AH$33="Media",'Mapa final'!$AJ$33="Mayor"),CONCATENATE("R2C",'Mapa final'!$R$33),"")</f>
        <v/>
      </c>
      <c r="AH35" s="40" t="str">
        <f>IF(AND('Mapa final'!$AH$34="Media",'Mapa final'!$AJ$34="Mayor"),CONCATENATE("R2C",'Mapa final'!$R$34),"")</f>
        <v/>
      </c>
      <c r="AI35" s="41" t="str">
        <f>IF(AND('Mapa final'!$AH$29="Media",'Mapa final'!$AJ$29="Catastrófico"),CONCATENATE("R2C",'Mapa final'!$R$29),"")</f>
        <v/>
      </c>
      <c r="AJ35" s="42" t="str">
        <f>IF(AND('Mapa final'!$AH$30="Media",'Mapa final'!$AJ$30="Catastrófico"),CONCATENATE("R2C",'Mapa final'!$R$30),"")</f>
        <v/>
      </c>
      <c r="AK35" s="42" t="str">
        <f>IF(AND('Mapa final'!$AH$31="Media",'Mapa final'!$AJ$31="Catastrófico"),CONCATENATE("R2C",'Mapa final'!$R$31),"")</f>
        <v/>
      </c>
      <c r="AL35" s="42" t="str">
        <f>IF(AND('Mapa final'!$AH$32="Media",'Mapa final'!$AJ$32="Catastrófico"),CONCATENATE("R2C",'Mapa final'!$R$32),"")</f>
        <v/>
      </c>
      <c r="AM35" s="42" t="str">
        <f>IF(AND('Mapa final'!$AH$33="Media",'Mapa final'!$AJ$33="LCatastrófico"),CONCATENATE("R2C",'Mapa final'!$R$33),"")</f>
        <v/>
      </c>
      <c r="AN35" s="43" t="str">
        <f>IF(AND('Mapa final'!$AH$34="Media",'Mapa final'!$AJ$34="Catastrófico"),CONCATENATE("R2C",'Mapa final'!$R$34),"")</f>
        <v/>
      </c>
      <c r="AO35" s="68"/>
      <c r="AP35" s="540"/>
      <c r="AQ35" s="541"/>
      <c r="AR35" s="541"/>
      <c r="AS35" s="541"/>
      <c r="AT35" s="541"/>
      <c r="AU35" s="542"/>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56"/>
      <c r="D36" s="456"/>
      <c r="E36" s="457"/>
      <c r="F36" s="499"/>
      <c r="G36" s="500"/>
      <c r="H36" s="500"/>
      <c r="I36" s="500"/>
      <c r="J36" s="501"/>
      <c r="K36" s="53" t="str">
        <f>IF(AND('Mapa final'!$AH$35="Media",'Mapa final'!$AJ$35="Leve"),CONCATENATE("R2C",'Mapa final'!$R$35),"")</f>
        <v/>
      </c>
      <c r="L36" s="54" t="str">
        <f>IF(AND('Mapa final'!$AH$36="Media",'Mapa final'!$AJ$36="Leve"),CONCATENATE("R2C",'Mapa final'!$R$36),"")</f>
        <v/>
      </c>
      <c r="M36" s="54" t="str">
        <f>IF(AND('Mapa final'!$AH$37="Media",'Mapa final'!$AJ$37="Leve"),CONCATENATE("R2C",'Mapa final'!$R$37),"")</f>
        <v/>
      </c>
      <c r="N36" s="54" t="str">
        <f>IF(AND('Mapa final'!$AH$38="Media",'Mapa final'!$AJ$38="Leve"),CONCATENATE("R2C",'Mapa final'!$R$38),"")</f>
        <v/>
      </c>
      <c r="O36" s="54" t="str">
        <f>IF(AND('Mapa final'!$AH$39="Media",'Mapa final'!$AJ$39="Leve"),CONCATENATE("R2C",'Mapa final'!$R$39),"")</f>
        <v/>
      </c>
      <c r="P36" s="55" t="str">
        <f>IF(AND('Mapa final'!$AH$40="Media",'Mapa final'!$AJ$40="Leve"),CONCATENATE("R2C",'Mapa final'!$R$40),"")</f>
        <v/>
      </c>
      <c r="Q36" s="53" t="str">
        <f>IF(AND('Mapa final'!$AH$35="Media",'Mapa final'!$AJ$35="Menor"),CONCATENATE("R2C",'Mapa final'!$R$35),"")</f>
        <v/>
      </c>
      <c r="R36" s="54" t="str">
        <f>IF(AND('Mapa final'!$AH$36="Media",'Mapa final'!$AJ$36="Menor"),CONCATENATE("R2C",'Mapa final'!$R$36),"")</f>
        <v/>
      </c>
      <c r="S36" s="54" t="str">
        <f>IF(AND('Mapa final'!$AH$37="Media",'Mapa final'!$AJ$37="Menor"),CONCATENATE("R2C",'Mapa final'!$R$37),"")</f>
        <v/>
      </c>
      <c r="T36" s="54" t="str">
        <f>IF(AND('Mapa final'!$AH$38="Media",'Mapa final'!$AJ$38="Menor"),CONCATENATE("R2C",'Mapa final'!$R$38),"")</f>
        <v/>
      </c>
      <c r="U36" s="54" t="str">
        <f>IF(AND('Mapa final'!$AH$39="Media",'Mapa final'!$AJ$39="Menor"),CONCATENATE("R2C",'Mapa final'!$R$39),"")</f>
        <v/>
      </c>
      <c r="V36" s="55" t="str">
        <f>IF(AND('Mapa final'!$AH$40="Media",'Mapa final'!$AJ$40="Menor"),CONCATENATE("R2C",'Mapa final'!$R$40),"")</f>
        <v/>
      </c>
      <c r="W36" s="53" t="str">
        <f>IF(AND('Mapa final'!$AH$35="Media",'Mapa final'!$AJ$35="Moderado"),CONCATENATE("R2C",'Mapa final'!$R$35),"")</f>
        <v/>
      </c>
      <c r="X36" s="54" t="str">
        <f>IF(AND('Mapa final'!$AH$36="Media",'Mapa final'!$AJ$36="Moderado"),CONCATENATE("R2C",'Mapa final'!$R$36),"")</f>
        <v/>
      </c>
      <c r="Y36" s="54" t="str">
        <f>IF(AND('Mapa final'!$AH$37="Media",'Mapa final'!$AJ$37="Moderado"),CONCATENATE("R2C",'Mapa final'!$R$37),"")</f>
        <v/>
      </c>
      <c r="Z36" s="54" t="str">
        <f>IF(AND('Mapa final'!$AH$38="Media",'Mapa final'!$AJ$38="Moderado"),CONCATENATE("R2C",'Mapa final'!$R$38),"")</f>
        <v/>
      </c>
      <c r="AA36" s="54" t="str">
        <f>IF(AND('Mapa final'!$AH$39="Media",'Mapa final'!$AJ$39="Moderado"),CONCATENATE("R2C",'Mapa final'!$R$39),"")</f>
        <v/>
      </c>
      <c r="AB36" s="55" t="str">
        <f>IF(AND('Mapa final'!$AH$40="Media",'Mapa final'!$AJ$40="Moderado"),CONCATENATE("R2C",'Mapa final'!$R$40),"")</f>
        <v/>
      </c>
      <c r="AC36" s="38" t="str">
        <f>IF(AND('Mapa final'!$AH$35="Media",'Mapa final'!$AJ$35="Mayor"),CONCATENATE("R2C",'Mapa final'!$R$35),"")</f>
        <v/>
      </c>
      <c r="AD36" s="39" t="str">
        <f>IF(AND('Mapa final'!$AH$36="Media",'Mapa final'!$AJ$36="Mayor"),CONCATENATE("R2C",'Mapa final'!$R$36),"")</f>
        <v/>
      </c>
      <c r="AE36" s="39" t="str">
        <f>IF(AND('Mapa final'!$AH$37="Media",'Mapa final'!$AJ$37="Mayor"),CONCATENATE("R2C",'Mapa final'!$R$37),"")</f>
        <v/>
      </c>
      <c r="AF36" s="39" t="str">
        <f>IF(AND('Mapa final'!$AH$38="Media",'Mapa final'!$AJ$38="Mayor"),CONCATENATE("R2C",'Mapa final'!$R$38),"")</f>
        <v/>
      </c>
      <c r="AG36" s="39" t="str">
        <f>IF(AND('Mapa final'!$AH$39="Media",'Mapa final'!$AJ$39="Mayor"),CONCATENATE("R2C",'Mapa final'!$R$39),"")</f>
        <v/>
      </c>
      <c r="AH36" s="40" t="str">
        <f>IF(AND('Mapa final'!$AH$40="Media",'Mapa final'!$AJ$40="Mayor"),CONCATENATE("R2C",'Mapa final'!$R$40),"")</f>
        <v/>
      </c>
      <c r="AI36" s="41" t="str">
        <f>IF(AND('Mapa final'!$AH$35="Media",'Mapa final'!$AJ$35="Catastrófico"),CONCATENATE("R2C",'Mapa final'!$R$35),"")</f>
        <v/>
      </c>
      <c r="AJ36" s="42" t="str">
        <f>IF(AND('Mapa final'!$AH$36="Media",'Mapa final'!$AJ$36="Catastrófico"),CONCATENATE("R2C",'Mapa final'!$R$36),"")</f>
        <v/>
      </c>
      <c r="AK36" s="42" t="str">
        <f>IF(AND('Mapa final'!$AH$37="Media",'Mapa final'!$AJ$37="Catastrófico"),CONCATENATE("R2C",'Mapa final'!$R$37),"")</f>
        <v/>
      </c>
      <c r="AL36" s="42" t="str">
        <f>IF(AND('Mapa final'!$AH$38="Media",'Mapa final'!$AJ$38="Catastrófico"),CONCATENATE("R2C",'Mapa final'!$R$38),"")</f>
        <v/>
      </c>
      <c r="AM36" s="42" t="str">
        <f>IF(AND('Mapa final'!$AH$39="Media",'Mapa final'!$AJ$39="Catastrófico"),CONCATENATE("R2C",'Mapa final'!$R$39),"")</f>
        <v/>
      </c>
      <c r="AN36" s="43" t="str">
        <f>IF(AND('Mapa final'!$AH$40="Media",'Mapa final'!$AJ$40="Catastrófico"),CONCATENATE("R2C",'Mapa final'!$R$40),"")</f>
        <v/>
      </c>
      <c r="AO36" s="68"/>
      <c r="AP36" s="540"/>
      <c r="AQ36" s="541"/>
      <c r="AR36" s="541"/>
      <c r="AS36" s="541"/>
      <c r="AT36" s="541"/>
      <c r="AU36" s="542"/>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56"/>
      <c r="D37" s="456"/>
      <c r="E37" s="457"/>
      <c r="F37" s="499"/>
      <c r="G37" s="500"/>
      <c r="H37" s="500"/>
      <c r="I37" s="500"/>
      <c r="J37" s="501"/>
      <c r="K37" s="53" t="str">
        <f>IF(AND('Mapa final'!$AH$41="Media",'Mapa final'!$AJ$41="Leve"),CONCATENATE("R2C",'Mapa final'!$R$41),"")</f>
        <v/>
      </c>
      <c r="L37" s="54" t="str">
        <f>IF(AND('Mapa final'!$AH$42="Media",'Mapa final'!$AJ$42="Leve"),CONCATENATE("R2C",'Mapa final'!$R$42),"")</f>
        <v/>
      </c>
      <c r="M37" s="54" t="str">
        <f>IF(AND('Mapa final'!$AH$43="Media",'Mapa final'!$AJ$43="Leve"),CONCATENATE("R2C",'Mapa final'!$R$43),"")</f>
        <v/>
      </c>
      <c r="N37" s="54" t="str">
        <f>IF(AND('Mapa final'!$AH$44="Media",'Mapa final'!$AJ$44="Leve"),CONCATENATE("R2C",'Mapa final'!$R$44),"")</f>
        <v/>
      </c>
      <c r="O37" s="54" t="str">
        <f>IF(AND('Mapa final'!$AH$45="Media",'Mapa final'!$AJ$45="Leve"),CONCATENATE("R2C",'Mapa final'!$R$45),"")</f>
        <v/>
      </c>
      <c r="P37" s="55" t="str">
        <f>IF(AND('Mapa final'!$AH$56="Media",'Mapa final'!$AJ$46="Leve"),CONCATENATE("R2C",'Mapa final'!$R$46),"")</f>
        <v/>
      </c>
      <c r="Q37" s="53" t="str">
        <f>IF(AND('Mapa final'!$AH$41="Media",'Mapa final'!$AJ$41="Menor"),CONCATENATE("R2C",'Mapa final'!$R$41),"")</f>
        <v/>
      </c>
      <c r="R37" s="54" t="str">
        <f>IF(AND('Mapa final'!$AH$42="Media",'Mapa final'!$AJ$42="Menor"),CONCATENATE("R2C",'Mapa final'!$R$42),"")</f>
        <v/>
      </c>
      <c r="S37" s="54" t="str">
        <f>IF(AND('Mapa final'!$AH$43="Media",'Mapa final'!$AJ$43="Menor"),CONCATENATE("R2C",'Mapa final'!$R$43),"")</f>
        <v/>
      </c>
      <c r="T37" s="54" t="str">
        <f>IF(AND('Mapa final'!$AH$44="Media",'Mapa final'!$AJ$44="Menor"),CONCATENATE("R2C",'Mapa final'!$R$44),"")</f>
        <v/>
      </c>
      <c r="U37" s="54" t="str">
        <f>IF(AND('Mapa final'!$AH$45="Media",'Mapa final'!$AJ$45="Menor"),CONCATENATE("R2C",'Mapa final'!$R$45),"")</f>
        <v/>
      </c>
      <c r="V37" s="55" t="str">
        <f>IF(AND('Mapa final'!$AH$56="Media",'Mapa final'!$AJ$46="Menor"),CONCATENATE("R2C",'Mapa final'!$R$46),"")</f>
        <v/>
      </c>
      <c r="W37" s="53" t="str">
        <f>IF(AND('Mapa final'!$AH$41="Media",'Mapa final'!$AJ$41="Moderado"),CONCATENATE("R2C",'Mapa final'!$R$41),"")</f>
        <v/>
      </c>
      <c r="X37" s="54" t="str">
        <f>IF(AND('Mapa final'!$AH$42="Media",'Mapa final'!$AJ$42="Moderado"),CONCATENATE("R2C",'Mapa final'!$R$42),"")</f>
        <v/>
      </c>
      <c r="Y37" s="54" t="str">
        <f>IF(AND('Mapa final'!$AH$43="Media",'Mapa final'!$AJ$43="Moderado"),CONCATENATE("R2C",'Mapa final'!$R$43),"")</f>
        <v/>
      </c>
      <c r="Z37" s="54" t="str">
        <f>IF(AND('Mapa final'!$AH$44="Media",'Mapa final'!$AJ$44="Moderado"),CONCATENATE("R2C",'Mapa final'!$R$44),"")</f>
        <v/>
      </c>
      <c r="AA37" s="54" t="str">
        <f>IF(AND('Mapa final'!$AH$45="Media",'Mapa final'!$AJ$45="Moderado"),CONCATENATE("R2C",'Mapa final'!$R$45),"")</f>
        <v/>
      </c>
      <c r="AB37" s="55" t="str">
        <f>IF(AND('Mapa final'!$AH$56="Media",'Mapa final'!$AJ$46="Moderado"),CONCATENATE("R2C",'Mapa final'!$R$46),"")</f>
        <v/>
      </c>
      <c r="AC37" s="38" t="str">
        <f>IF(AND('Mapa final'!$AH$41="Media",'Mapa final'!$AJ$41="Mayor"),CONCATENATE("R2C",'Mapa final'!$R$41),"")</f>
        <v/>
      </c>
      <c r="AD37" s="39" t="str">
        <f>IF(AND('Mapa final'!$AH$42="Media",'Mapa final'!$AJ$42="Mayor"),CONCATENATE("R2C",'Mapa final'!$R$42),"")</f>
        <v/>
      </c>
      <c r="AE37" s="39" t="str">
        <f>IF(AND('Mapa final'!$AH$43="Media",'Mapa final'!$AJ$43="Mayor"),CONCATENATE("R2C",'Mapa final'!$R$43),"")</f>
        <v/>
      </c>
      <c r="AF37" s="39" t="str">
        <f>IF(AND('Mapa final'!$AH$44="Media",'Mapa final'!$AJ$44="Mayor"),CONCATENATE("R2C",'Mapa final'!$R$44),"")</f>
        <v/>
      </c>
      <c r="AG37" s="39" t="str">
        <f>IF(AND('Mapa final'!$AH$45="Media",'Mapa final'!$AJ$45="Mayor"),CONCATENATE("R2C",'Mapa final'!$R$45),"")</f>
        <v/>
      </c>
      <c r="AH37" s="40" t="str">
        <f>IF(AND('Mapa final'!$AH$56="Media",'Mapa final'!$AJ$46="Mayor"),CONCATENATE("R2C",'Mapa final'!$R$46),"")</f>
        <v/>
      </c>
      <c r="AI37" s="41" t="str">
        <f>IF(AND('Mapa final'!$AH$41="Media",'Mapa final'!$AJ$41="Catastrófico"),CONCATENATE("R2C",'Mapa final'!$R$41),"")</f>
        <v/>
      </c>
      <c r="AJ37" s="42" t="str">
        <f>IF(AND('Mapa final'!$AH$42="Media",'Mapa final'!$AJ$42="Catastrófico"),CONCATENATE("R2C",'Mapa final'!$R$42),"")</f>
        <v/>
      </c>
      <c r="AK37" s="42" t="str">
        <f>IF(AND('Mapa final'!$AH$43="Media",'Mapa final'!$AJ$43="Catastrófico"),CONCATENATE("R2C",'Mapa final'!$R$43),"")</f>
        <v/>
      </c>
      <c r="AL37" s="42" t="str">
        <f>IF(AND('Mapa final'!$AH$44="Media",'Mapa final'!$AJ$44="Catastrófico"),CONCATENATE("R2C",'Mapa final'!$R$44),"")</f>
        <v/>
      </c>
      <c r="AM37" s="42" t="str">
        <f>IF(AND('Mapa final'!$AH$45="Media",'Mapa final'!$AJ$45="Catastrófico"),CONCATENATE("R2C",'Mapa final'!$R$45),"")</f>
        <v/>
      </c>
      <c r="AN37" s="43" t="str">
        <f>IF(AND('Mapa final'!$AH$56="Media",'Mapa final'!$AJ$46="Catastrófico"),CONCATENATE("R2C",'Mapa final'!$R$46),"")</f>
        <v/>
      </c>
      <c r="AO37" s="68"/>
      <c r="AP37" s="540"/>
      <c r="AQ37" s="541"/>
      <c r="AR37" s="541"/>
      <c r="AS37" s="541"/>
      <c r="AT37" s="541"/>
      <c r="AU37" s="542"/>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56"/>
      <c r="D38" s="456"/>
      <c r="E38" s="457"/>
      <c r="F38" s="499"/>
      <c r="G38" s="500"/>
      <c r="H38" s="500"/>
      <c r="I38" s="500"/>
      <c r="J38" s="501"/>
      <c r="K38" s="53" t="str">
        <f>IF(AND('Mapa final'!$AH$47="Media",'Mapa final'!$AJ$47="Leve"),CONCATENATE("R2C",'Mapa final'!$R$47),"")</f>
        <v/>
      </c>
      <c r="L38" s="54" t="str">
        <f>IF(AND('Mapa final'!$AH$48="Media",'Mapa final'!$AJ$48="Leve"),CONCATENATE("R2C",'Mapa final'!$R$48),"")</f>
        <v/>
      </c>
      <c r="M38" s="54" t="str">
        <f>IF(AND('Mapa final'!$AH$49="Media",'Mapa final'!$AJ$49="Leve"),CONCATENATE("R2C",'Mapa final'!$R$49),"")</f>
        <v/>
      </c>
      <c r="N38" s="54" t="str">
        <f>IF(AND('Mapa final'!$AH$50="Media",'Mapa final'!$AJ$50="Leve"),CONCATENATE("R2C",'Mapa final'!$R$50),"")</f>
        <v/>
      </c>
      <c r="O38" s="54" t="str">
        <f>IF(AND('Mapa final'!$AH$51="Media",'Mapa final'!$AJ$51="Leve"),CONCATENATE("R2C",'Mapa final'!$R$51),"")</f>
        <v/>
      </c>
      <c r="P38" s="55" t="str">
        <f>IF(AND('Mapa final'!$AH$52="Media",'Mapa final'!$AJ$52="Leve"),CONCATENATE("R2C",'Mapa final'!$R$52),"")</f>
        <v/>
      </c>
      <c r="Q38" s="53" t="str">
        <f>IF(AND('Mapa final'!$AH$47="Media",'Mapa final'!$AJ$47="Menor"),CONCATENATE("R2C",'Mapa final'!$R$47),"")</f>
        <v/>
      </c>
      <c r="R38" s="54" t="str">
        <f>IF(AND('Mapa final'!$AH$48="Media",'Mapa final'!$AJ$48="Menor"),CONCATENATE("R2C",'Mapa final'!$R$48),"")</f>
        <v/>
      </c>
      <c r="S38" s="54" t="str">
        <f>IF(AND('Mapa final'!$AH$49="Media",'Mapa final'!$AJ$49="Menor"),CONCATENATE("R2C",'Mapa final'!$R$49),"")</f>
        <v/>
      </c>
      <c r="T38" s="54" t="str">
        <f>IF(AND('Mapa final'!$AH$50="Media",'Mapa final'!$AJ$50="Menor"),CONCATENATE("R2C",'Mapa final'!$R$50),"")</f>
        <v/>
      </c>
      <c r="U38" s="54" t="str">
        <f>IF(AND('Mapa final'!$AH$51="Media",'Mapa final'!$AJ$51="Menor"),CONCATENATE("R2C",'Mapa final'!$R$51),"")</f>
        <v/>
      </c>
      <c r="V38" s="55" t="str">
        <f>IF(AND('Mapa final'!$AH$52="Media",'Mapa final'!$AJ$52="Menor"),CONCATENATE("R2C",'Mapa final'!$R$52),"")</f>
        <v/>
      </c>
      <c r="W38" s="53" t="str">
        <f>IF(AND('Mapa final'!$AH$47="Media",'Mapa final'!$AJ$47="Moderado"),CONCATENATE("R2C",'Mapa final'!$R$47),"")</f>
        <v/>
      </c>
      <c r="X38" s="54" t="str">
        <f>IF(AND('Mapa final'!$AH$48="Media",'Mapa final'!$AJ$48="Moderado"),CONCATENATE("R2C",'Mapa final'!$R$48),"")</f>
        <v/>
      </c>
      <c r="Y38" s="54" t="str">
        <f>IF(AND('Mapa final'!$AH$49="Media",'Mapa final'!$AJ$49="Moderado"),CONCATENATE("R2C",'Mapa final'!$R$49),"")</f>
        <v/>
      </c>
      <c r="Z38" s="54" t="str">
        <f>IF(AND('Mapa final'!$AH$50="Media",'Mapa final'!$AJ$50="Moderado"),CONCATENATE("R2C",'Mapa final'!$R$50),"")</f>
        <v/>
      </c>
      <c r="AA38" s="54" t="str">
        <f>IF(AND('Mapa final'!$AH$51="Media",'Mapa final'!$AJ$51="Moderado"),CONCATENATE("R2C",'Mapa final'!$R$51),"")</f>
        <v/>
      </c>
      <c r="AB38" s="55" t="str">
        <f>IF(AND('Mapa final'!$AH$52="Media",'Mapa final'!$AJ$52="Moderado"),CONCATENATE("R2C",'Mapa final'!$R$52),"")</f>
        <v/>
      </c>
      <c r="AC38" s="38" t="str">
        <f>IF(AND('Mapa final'!$AH$47="Media",'Mapa final'!$AJ$47="Mayor"),CONCATENATE("R2C",'Mapa final'!$R$47),"")</f>
        <v/>
      </c>
      <c r="AD38" s="39" t="str">
        <f>IF(AND('Mapa final'!$AH$48="Media",'Mapa final'!$AJ$48="Mayor"),CONCATENATE("R2C",'Mapa final'!$R$48),"")</f>
        <v/>
      </c>
      <c r="AE38" s="39" t="str">
        <f>IF(AND('Mapa final'!$AH$49="Media",'Mapa final'!$AJ$49="Mayor"),CONCATENATE("R2C",'Mapa final'!$R$49),"")</f>
        <v/>
      </c>
      <c r="AF38" s="39" t="str">
        <f>IF(AND('Mapa final'!$AH$50="Media",'Mapa final'!$AJ$50="Mayor"),CONCATENATE("R2C",'Mapa final'!$R$50),"")</f>
        <v/>
      </c>
      <c r="AG38" s="39" t="str">
        <f>IF(AND('Mapa final'!$AH$51="Media",'Mapa final'!$AJ$51="Mayor"),CONCATENATE("R2C",'Mapa final'!$R$51),"")</f>
        <v/>
      </c>
      <c r="AH38" s="40" t="str">
        <f>IF(AND('Mapa final'!$AH$52="Media",'Mapa final'!$AJ$52="Mayor"),CONCATENATE("R2C",'Mapa final'!$R$52),"")</f>
        <v/>
      </c>
      <c r="AI38" s="41" t="str">
        <f>IF(AND('Mapa final'!$AH$47="Media",'Mapa final'!$AJ$47="Catastrófico"),CONCATENATE("R2C",'Mapa final'!$R$47),"")</f>
        <v/>
      </c>
      <c r="AJ38" s="42" t="str">
        <f>IF(AND('Mapa final'!$AH$48="Media",'Mapa final'!$AJ$48="Catastrófico"),CONCATENATE("R2C",'Mapa final'!$R$48),"")</f>
        <v/>
      </c>
      <c r="AK38" s="42" t="str">
        <f>IF(AND('Mapa final'!$AH$49="Media",'Mapa final'!$AJ$49="Catastrófico"),CONCATENATE("R2C",'Mapa final'!$R$49),"")</f>
        <v/>
      </c>
      <c r="AL38" s="42" t="str">
        <f>IF(AND('Mapa final'!$AH$50="Media",'Mapa final'!$AJ$50="Catastrófico"),CONCATENATE("R2C",'Mapa final'!$R$50),"")</f>
        <v/>
      </c>
      <c r="AM38" s="42" t="str">
        <f>IF(AND('Mapa final'!$AH$51="Media",'Mapa final'!$AJ$51="Catastrófico"),CONCATENATE("R2C",'Mapa final'!$R$51),"")</f>
        <v/>
      </c>
      <c r="AN38" s="43" t="str">
        <f>IF(AND('Mapa final'!$AH$52="Media",'Mapa final'!$AJ$52="Catastrófico"),CONCATENATE("R2C",'Mapa final'!$R$52),"")</f>
        <v/>
      </c>
      <c r="AO38" s="68"/>
      <c r="AP38" s="540"/>
      <c r="AQ38" s="541"/>
      <c r="AR38" s="541"/>
      <c r="AS38" s="541"/>
      <c r="AT38" s="541"/>
      <c r="AU38" s="542"/>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56"/>
      <c r="D39" s="456"/>
      <c r="E39" s="457"/>
      <c r="F39" s="499"/>
      <c r="G39" s="500"/>
      <c r="H39" s="500"/>
      <c r="I39" s="500"/>
      <c r="J39" s="501"/>
      <c r="K39" s="53" t="str">
        <f>IF(AND('Mapa final'!$AH$53="Media",'Mapa final'!$AJ$53="Leve"),CONCATENATE("R2C",'Mapa final'!$R$53),"")</f>
        <v/>
      </c>
      <c r="L39" s="54" t="str">
        <f>IF(AND('Mapa final'!$AH$54="Media",'Mapa final'!$AJ$54="Leve"),CONCATENATE("R2C",'Mapa final'!$R$54),"")</f>
        <v/>
      </c>
      <c r="M39" s="54" t="str">
        <f>IF(AND('Mapa final'!$AH$55="Media",'Mapa final'!$AJ$55="Leve"),CONCATENATE("R2C",'Mapa final'!$R$55),"")</f>
        <v/>
      </c>
      <c r="N39" s="54" t="str">
        <f>IF(AND('Mapa final'!$AH$56="Media",'Mapa final'!$AJ$56="Leve"),CONCATENATE("R2C",'Mapa final'!$R$56),"")</f>
        <v/>
      </c>
      <c r="O39" s="54" t="str">
        <f>IF(AND('Mapa final'!$AH$57="Media",'Mapa final'!$AJ$57="Leve"),CONCATENATE("R2C",'Mapa final'!$R$57),"")</f>
        <v/>
      </c>
      <c r="P39" s="55" t="str">
        <f>IF(AND('Mapa final'!$AH$58="Media",'Mapa final'!$AJ$58="Leve"),CONCATENATE("R2C",'Mapa final'!$R$58),"")</f>
        <v/>
      </c>
      <c r="Q39" s="53" t="str">
        <f>IF(AND('Mapa final'!$AH$53="Media",'Mapa final'!$AJ$53="Menor"),CONCATENATE("R2C",'Mapa final'!$R$53),"")</f>
        <v/>
      </c>
      <c r="R39" s="54" t="str">
        <f>IF(AND('Mapa final'!$AH$54="Media",'Mapa final'!$AJ$54="Menor"),CONCATENATE("R2C",'Mapa final'!$R$54),"")</f>
        <v/>
      </c>
      <c r="S39" s="54" t="str">
        <f>IF(AND('Mapa final'!$AH$55="Media",'Mapa final'!$AJ$55="Menor"),CONCATENATE("R2C",'Mapa final'!$R$55),"")</f>
        <v/>
      </c>
      <c r="T39" s="54" t="str">
        <f>IF(AND('Mapa final'!$AH$56="Media",'Mapa final'!$AJ$56="Menor"),CONCATENATE("R2C",'Mapa final'!$R$56),"")</f>
        <v/>
      </c>
      <c r="U39" s="54" t="str">
        <f>IF(AND('Mapa final'!$AH$57="Media",'Mapa final'!$AJ$57="Menor"),CONCATENATE("R2C",'Mapa final'!$R$57),"")</f>
        <v/>
      </c>
      <c r="V39" s="55" t="str">
        <f>IF(AND('Mapa final'!$AH$58="Media",'Mapa final'!$AJ$58="Menor"),CONCATENATE("R2C",'Mapa final'!$R$58),"")</f>
        <v/>
      </c>
      <c r="W39" s="53" t="str">
        <f>IF(AND('Mapa final'!$AH$53="Media",'Mapa final'!$AJ$53="Moderado"),CONCATENATE("R2C",'Mapa final'!$R$53),"")</f>
        <v/>
      </c>
      <c r="X39" s="54" t="str">
        <f>IF(AND('Mapa final'!$AH$54="Media",'Mapa final'!$AJ$54="Moderado"),CONCATENATE("R2C",'Mapa final'!$R$54),"")</f>
        <v/>
      </c>
      <c r="Y39" s="54" t="str">
        <f>IF(AND('Mapa final'!$AH$55="Media",'Mapa final'!$AJ$55="Moderado"),CONCATENATE("R2C",'Mapa final'!$R$55),"")</f>
        <v/>
      </c>
      <c r="Z39" s="54" t="str">
        <f>IF(AND('Mapa final'!$AH$56="Media",'Mapa final'!$AJ$56="Moderado"),CONCATENATE("R2C",'Mapa final'!$R$56),"")</f>
        <v/>
      </c>
      <c r="AA39" s="54" t="str">
        <f>IF(AND('Mapa final'!$AH$57="Media",'Mapa final'!$AJ$57="Moderado"),CONCATENATE("R2C",'Mapa final'!$R$57),"")</f>
        <v/>
      </c>
      <c r="AB39" s="55" t="str">
        <f>IF(AND('Mapa final'!$AH$58="Media",'Mapa final'!$AJ$58="Moderado"),CONCATENATE("R2C",'Mapa final'!$R$58),"")</f>
        <v/>
      </c>
      <c r="AC39" s="38" t="str">
        <f>IF(AND('Mapa final'!$AH$53="Media",'Mapa final'!$AJ$53="Mayor"),CONCATENATE("R2C",'Mapa final'!$R$53),"")</f>
        <v/>
      </c>
      <c r="AD39" s="39" t="str">
        <f>IF(AND('Mapa final'!$AH$54="Media",'Mapa final'!$AJ$54="Mayor"),CONCATENATE("R2C",'Mapa final'!$R$54),"")</f>
        <v/>
      </c>
      <c r="AE39" s="39" t="str">
        <f>IF(AND('Mapa final'!$AH$55="Media",'Mapa final'!$AJ$55="Mayor"),CONCATENATE("R2C",'Mapa final'!$R$55),"")</f>
        <v/>
      </c>
      <c r="AF39" s="39" t="str">
        <f>IF(AND('Mapa final'!$AH$56="Media",'Mapa final'!$AJ$56="Mayor"),CONCATENATE("R2C",'Mapa final'!$R$56),"")</f>
        <v/>
      </c>
      <c r="AG39" s="39" t="str">
        <f>IF(AND('Mapa final'!$AH$57="Media",'Mapa final'!$AJ$57="Mayor"),CONCATENATE("R2C",'Mapa final'!$R$57),"")</f>
        <v/>
      </c>
      <c r="AH39" s="40" t="str">
        <f>IF(AND('Mapa final'!$AH$58="Media",'Mapa final'!$AJ$58="Mayor"),CONCATENATE("R2C",'Mapa final'!$R$58),"")</f>
        <v/>
      </c>
      <c r="AI39" s="41" t="str">
        <f>IF(AND('Mapa final'!$AH$53="Media",'Mapa final'!$AJ$53="Catastrófico"),CONCATENATE("R2C",'Mapa final'!$R$53),"")</f>
        <v/>
      </c>
      <c r="AJ39" s="42" t="str">
        <f>IF(AND('Mapa final'!$AH$54="Media",'Mapa final'!$AJ$54="Catastrófico"),CONCATENATE("R2C",'Mapa final'!$R$54),"")</f>
        <v/>
      </c>
      <c r="AK39" s="42" t="str">
        <f>IF(AND('Mapa final'!$AH$55="Media",'Mapa final'!$AJ$55="Catastrófico"),CONCATENATE("R2C",'Mapa final'!$R$55),"")</f>
        <v/>
      </c>
      <c r="AL39" s="42" t="str">
        <f>IF(AND('Mapa final'!$AH$56="Media",'Mapa final'!$AJ$56="Catastrófico"),CONCATENATE("R2C",'Mapa final'!$R$56),"")</f>
        <v/>
      </c>
      <c r="AM39" s="42" t="str">
        <f>IF(AND('Mapa final'!$AH$57="Media",'Mapa final'!$AJ$57="Catastrófico"),CONCATENATE("R2C",'Mapa final'!$R$57),"")</f>
        <v/>
      </c>
      <c r="AN39" s="43" t="str">
        <f>IF(AND('Mapa final'!$AH$58="Media",'Mapa final'!$AJ$58="Catastrófico"),CONCATENATE("R2C",'Mapa final'!$R$58),"")</f>
        <v/>
      </c>
      <c r="AO39" s="68"/>
      <c r="AP39" s="540"/>
      <c r="AQ39" s="541"/>
      <c r="AR39" s="541"/>
      <c r="AS39" s="541"/>
      <c r="AT39" s="541"/>
      <c r="AU39" s="542"/>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56"/>
      <c r="D40" s="456"/>
      <c r="E40" s="457"/>
      <c r="F40" s="499"/>
      <c r="G40" s="500"/>
      <c r="H40" s="500"/>
      <c r="I40" s="500"/>
      <c r="J40" s="501"/>
      <c r="K40" s="53" t="str">
        <f>IF(AND('Mapa final'!$AH$59="Media",'Mapa final'!$AJ$59="Leve"),CONCATENATE("R2C",'Mapa final'!$R$59),"")</f>
        <v/>
      </c>
      <c r="L40" s="54" t="str">
        <f>IF(AND('Mapa final'!$AH$60="Media",'Mapa final'!$AJ$60="Leve"),CONCATENATE("R2C",'Mapa final'!$R$60),"")</f>
        <v/>
      </c>
      <c r="M40" s="54" t="str">
        <f>IF(AND('Mapa final'!$AH$61="Media",'Mapa final'!$AJ$61="Leve"),CONCATENATE("R2C",'Mapa final'!$R$61),"")</f>
        <v/>
      </c>
      <c r="N40" s="54" t="str">
        <f>IF(AND('Mapa final'!$AH$62="Media",'Mapa final'!$AJ$62="Leve"),CONCATENATE("R2C",'Mapa final'!$R$62),"")</f>
        <v/>
      </c>
      <c r="O40" s="54" t="str">
        <f>IF(AND('Mapa final'!$AH$63="Media",'Mapa final'!$AJ$63="Leve"),CONCATENATE("R2C",'Mapa final'!$R$63),"")</f>
        <v/>
      </c>
      <c r="P40" s="55" t="str">
        <f>IF(AND('Mapa final'!$AH$64="Media",'Mapa final'!$AJ$64="Leve"),CONCATENATE("R2C",'Mapa final'!$R$64),"")</f>
        <v/>
      </c>
      <c r="Q40" s="53" t="str">
        <f>IF(AND('Mapa final'!$AH$59="Media",'Mapa final'!$AJ$59="Menor"),CONCATENATE("R2C",'Mapa final'!$R$59),"")</f>
        <v/>
      </c>
      <c r="R40" s="54" t="str">
        <f>IF(AND('Mapa final'!$AH$60="Media",'Mapa final'!$AJ$60="Menor"),CONCATENATE("R2C",'Mapa final'!$R$60),"")</f>
        <v/>
      </c>
      <c r="S40" s="54" t="str">
        <f>IF(AND('Mapa final'!$AH$61="Media",'Mapa final'!$AJ$61="Menor"),CONCATENATE("R2C",'Mapa final'!$R$61),"")</f>
        <v/>
      </c>
      <c r="T40" s="54" t="str">
        <f>IF(AND('Mapa final'!$AH$62="Media",'Mapa final'!$AJ$62="Menor"),CONCATENATE("R2C",'Mapa final'!$R$62),"")</f>
        <v/>
      </c>
      <c r="U40" s="54" t="str">
        <f>IF(AND('Mapa final'!$AH$63="Media",'Mapa final'!$AJ$63="Menor"),CONCATENATE("R2C",'Mapa final'!$R$63),"")</f>
        <v/>
      </c>
      <c r="V40" s="55" t="str">
        <f>IF(AND('Mapa final'!$AH$64="Media",'Mapa final'!$AJ$64="Menor"),CONCATENATE("R2C",'Mapa final'!$R$64),"")</f>
        <v/>
      </c>
      <c r="W40" s="53" t="str">
        <f>IF(AND('Mapa final'!$AH$59="Media",'Mapa final'!$AJ$59="Moderado"),CONCATENATE("R2C",'Mapa final'!$R$59),"")</f>
        <v/>
      </c>
      <c r="X40" s="54" t="str">
        <f>IF(AND('Mapa final'!$AH$60="Media",'Mapa final'!$AJ$60="Moderado"),CONCATENATE("R2C",'Mapa final'!$R$60),"")</f>
        <v/>
      </c>
      <c r="Y40" s="54" t="str">
        <f>IF(AND('Mapa final'!$AH$61="Media",'Mapa final'!$AJ$61="Moderado"),CONCATENATE("R2C",'Mapa final'!$R$61),"")</f>
        <v/>
      </c>
      <c r="Z40" s="54" t="str">
        <f>IF(AND('Mapa final'!$AH$62="Media",'Mapa final'!$AJ$62="Moderado"),CONCATENATE("R2C",'Mapa final'!$R$62),"")</f>
        <v/>
      </c>
      <c r="AA40" s="54" t="str">
        <f>IF(AND('Mapa final'!$AH$63="Media",'Mapa final'!$AJ$63="Moderado"),CONCATENATE("R2C",'Mapa final'!$R$63),"")</f>
        <v/>
      </c>
      <c r="AB40" s="55" t="str">
        <f>IF(AND('Mapa final'!$AH$64="Media",'Mapa final'!$AJ$64="Moderado"),CONCATENATE("R2C",'Mapa final'!$R$64),"")</f>
        <v/>
      </c>
      <c r="AC40" s="38" t="str">
        <f>IF(AND('Mapa final'!$AH$59="Media",'Mapa final'!$AJ$59="Mayor"),CONCATENATE("R2C",'Mapa final'!$R$59),"")</f>
        <v/>
      </c>
      <c r="AD40" s="39" t="str">
        <f>IF(AND('Mapa final'!$AH$60="Media",'Mapa final'!$AJ$60="Mayor"),CONCATENATE("R2C",'Mapa final'!$R$60),"")</f>
        <v/>
      </c>
      <c r="AE40" s="39" t="str">
        <f>IF(AND('Mapa final'!$AH$61="Media",'Mapa final'!$AJ$61="Mayor"),CONCATENATE("R2C",'Mapa final'!$R$61),"")</f>
        <v/>
      </c>
      <c r="AF40" s="39" t="str">
        <f>IF(AND('Mapa final'!$AH$62="Media",'Mapa final'!$AJ$62="Mayor"),CONCATENATE("R2C",'Mapa final'!$R$62),"")</f>
        <v/>
      </c>
      <c r="AG40" s="39" t="str">
        <f>IF(AND('Mapa final'!$AH$63="Media",'Mapa final'!$AJ$63="Mayor"),CONCATENATE("R2C",'Mapa final'!$R$63),"")</f>
        <v/>
      </c>
      <c r="AH40" s="40" t="str">
        <f>IF(AND('Mapa final'!$AH$64="Media",'Mapa final'!$AJ$64="Mayor"),CONCATENATE("R2C",'Mapa final'!$R$64),"")</f>
        <v/>
      </c>
      <c r="AI40" s="41" t="str">
        <f>IF(AND('Mapa final'!$AH$59="Media",'Mapa final'!$AJ$59="Catastrófico"),CONCATENATE("R2C",'Mapa final'!$R$59),"")</f>
        <v/>
      </c>
      <c r="AJ40" s="42" t="str">
        <f>IF(AND('Mapa final'!$AH$60="Media",'Mapa final'!$AJ$60="Catastrófico"),CONCATENATE("R2C",'Mapa final'!$R$60),"")</f>
        <v/>
      </c>
      <c r="AK40" s="42" t="str">
        <f>IF(AND('Mapa final'!$AH$61="Media",'Mapa final'!$AJ$61="Catastrófico"),CONCATENATE("R2C",'Mapa final'!$R$61),"")</f>
        <v/>
      </c>
      <c r="AL40" s="42" t="str">
        <f>IF(AND('Mapa final'!$AH$62="Media",'Mapa final'!$AJ$62="Catastrófico"),CONCATENATE("R2C",'Mapa final'!$R$62),"")</f>
        <v/>
      </c>
      <c r="AM40" s="42" t="str">
        <f>IF(AND('Mapa final'!$AH$63="Media",'Mapa final'!$AJ$63="Catastrófico"),CONCATENATE("R2C",'Mapa final'!$R$63),"")</f>
        <v/>
      </c>
      <c r="AN40" s="43" t="str">
        <f>IF(AND('Mapa final'!$AH$64="Media",'Mapa final'!$AJ$64="Catastrófico"),CONCATENATE("R2C",'Mapa final'!$R$64),"")</f>
        <v/>
      </c>
      <c r="AO40" s="68"/>
      <c r="AP40" s="540"/>
      <c r="AQ40" s="541"/>
      <c r="AR40" s="541"/>
      <c r="AS40" s="541"/>
      <c r="AT40" s="541"/>
      <c r="AU40" s="542"/>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56"/>
      <c r="D41" s="456"/>
      <c r="E41" s="457"/>
      <c r="F41" s="502"/>
      <c r="G41" s="503"/>
      <c r="H41" s="503"/>
      <c r="I41" s="503"/>
      <c r="J41" s="504"/>
      <c r="K41" s="53" t="str">
        <f>IF(AND('Mapa final'!$AH$65="Media",'Mapa final'!$AJ$65="Leve"),CONCATENATE("R2C",'Mapa final'!$R$65),"")</f>
        <v/>
      </c>
      <c r="L41" s="54" t="str">
        <f>IF(AND('Mapa final'!$AH$66="Media",'Mapa final'!$AJ$66="Leve"),CONCATENATE("R2C",'Mapa final'!$R$66),"")</f>
        <v/>
      </c>
      <c r="M41" s="54" t="str">
        <f>IF(AND('Mapa final'!$AH$67="Media",'Mapa final'!$AJ$67="Leve"),CONCATENATE("R2C",'Mapa final'!$R$67),"")</f>
        <v/>
      </c>
      <c r="N41" s="54" t="str">
        <f>IF(AND('Mapa final'!$AH$68="Media",'Mapa final'!$AJ$68="Leve"),CONCATENATE("R2C",'Mapa final'!$R$68),"")</f>
        <v/>
      </c>
      <c r="O41" s="54" t="str">
        <f>IF(AND('Mapa final'!$AH$70="Media",'Mapa final'!$AJ$70="Leve"),CONCATENATE("R2C",'Mapa final'!$R$70),"")</f>
        <v/>
      </c>
      <c r="P41" s="55" t="str">
        <f>IF(AND('Mapa final'!$AH$71="Media",'Mapa final'!$AJ$71="Leve"),CONCATENATE("R2C",'Mapa final'!$R$71),"")</f>
        <v/>
      </c>
      <c r="Q41" s="53" t="str">
        <f>IF(AND('Mapa final'!$AH$65="Media",'Mapa final'!$AJ$65="Menor"),CONCATENATE("R2C",'Mapa final'!$R$65),"")</f>
        <v/>
      </c>
      <c r="R41" s="54" t="str">
        <f>IF(AND('Mapa final'!$AH$66="Media",'Mapa final'!$AJ$66="Menor"),CONCATENATE("R2C",'Mapa final'!$R$66),"")</f>
        <v/>
      </c>
      <c r="S41" s="54" t="str">
        <f>IF(AND('Mapa final'!$AH$67="Media",'Mapa final'!$AJ$67="Menor"),CONCATENATE("R2C",'Mapa final'!$R$67),"")</f>
        <v/>
      </c>
      <c r="T41" s="54" t="str">
        <f>IF(AND('Mapa final'!$AH$68="Media",'Mapa final'!$AJ$68="Menor"),CONCATENATE("R2C",'Mapa final'!$R$68),"")</f>
        <v/>
      </c>
      <c r="U41" s="54" t="str">
        <f>IF(AND('Mapa final'!$AH$70="Media",'Mapa final'!$AJ$70="Menor"),CONCATENATE("R2C",'Mapa final'!$R$70),"")</f>
        <v/>
      </c>
      <c r="V41" s="55" t="str">
        <f>IF(AND('Mapa final'!$AH$71="Media",'Mapa final'!$AJ$71="Menor"),CONCATENATE("R2C",'Mapa final'!$R$71),"")</f>
        <v/>
      </c>
      <c r="W41" s="53" t="str">
        <f>IF(AND('Mapa final'!$AH$65="Media",'Mapa final'!$AJ$65="Moderado"),CONCATENATE("R2C",'Mapa final'!$R$65),"")</f>
        <v/>
      </c>
      <c r="X41" s="54" t="str">
        <f>IF(AND('Mapa final'!$AH$66="Media",'Mapa final'!$AJ$66="Moderado"),CONCATENATE("R2C",'Mapa final'!$R$66),"")</f>
        <v/>
      </c>
      <c r="Y41" s="54" t="str">
        <f>IF(AND('Mapa final'!$AH$67="Media",'Mapa final'!$AJ$67="Moderado"),CONCATENATE("R2C",'Mapa final'!$R$67),"")</f>
        <v/>
      </c>
      <c r="Z41" s="54" t="str">
        <f>IF(AND('Mapa final'!$AH$68="Media",'Mapa final'!$AJ$68="Moderado"),CONCATENATE("R2C",'Mapa final'!$R$68),"")</f>
        <v/>
      </c>
      <c r="AA41" s="54" t="str">
        <f>IF(AND('Mapa final'!$AH$70="Media",'Mapa final'!$AJ$70="Moderado"),CONCATENATE("R2C",'Mapa final'!$R$70),"")</f>
        <v/>
      </c>
      <c r="AB41" s="55" t="str">
        <f>IF(AND('Mapa final'!$AH$71="Media",'Mapa final'!$AJ$71="Moderado"),CONCATENATE("R2C",'Mapa final'!$R$71),"")</f>
        <v/>
      </c>
      <c r="AC41" s="44" t="str">
        <f>IF(AND('Mapa final'!$AH$65="Media",'Mapa final'!$AJ$65="Mayor"),CONCATENATE("R2C",'Mapa final'!$R$65),"")</f>
        <v/>
      </c>
      <c r="AD41" s="45" t="str">
        <f>IF(AND('Mapa final'!$AH$66="Media",'Mapa final'!$AJ$66="Mayor"),CONCATENATE("R2C",'Mapa final'!$R$66),"")</f>
        <v/>
      </c>
      <c r="AE41" s="45" t="str">
        <f>IF(AND('Mapa final'!$AH$67="Media",'Mapa final'!$AJ$67="Mayor"),CONCATENATE("R2C",'Mapa final'!$R$67),"")</f>
        <v/>
      </c>
      <c r="AF41" s="45" t="str">
        <f>IF(AND('Mapa final'!$AH$68="Media",'Mapa final'!$AJ$68="Mayor"),CONCATENATE("R2C",'Mapa final'!$R$68),"")</f>
        <v/>
      </c>
      <c r="AG41" s="45" t="str">
        <f>IF(AND('Mapa final'!$AH$70="Media",'Mapa final'!$AJ$70="Mayor"),CONCATENATE("R2C",'Mapa final'!$R$70),"")</f>
        <v/>
      </c>
      <c r="AH41" s="46" t="str">
        <f>IF(AND('Mapa final'!$AH$71="Media",'Mapa final'!$AJ$71="Mayor"),CONCATENATE("R2C",'Mapa final'!$R$71),"")</f>
        <v/>
      </c>
      <c r="AI41" s="47" t="str">
        <f>IF(AND('Mapa final'!$AH$65="Media",'Mapa final'!$AJ$65="Catastrófico"),CONCATENATE("R2C",'Mapa final'!$R$65),"")</f>
        <v/>
      </c>
      <c r="AJ41" s="48" t="str">
        <f>IF(AND('Mapa final'!$AH$66="Media",'Mapa final'!$AJ$66="Catastrófico"),CONCATENATE("R2C",'Mapa final'!$R$66),"")</f>
        <v/>
      </c>
      <c r="AK41" s="48" t="str">
        <f>IF(AND('Mapa final'!$AH$67="Media",'Mapa final'!$AJ$67="Catastrófico"),CONCATENATE("R2C",'Mapa final'!$R$67),"")</f>
        <v/>
      </c>
      <c r="AL41" s="48" t="str">
        <f>IF(AND('Mapa final'!$AH$68="Media",'Mapa final'!$AJ$68="Catastrófico"),CONCATENATE("R2C",'Mapa final'!$R$68),"")</f>
        <v/>
      </c>
      <c r="AM41" s="48" t="str">
        <f>IF(AND('Mapa final'!$AH$70="Media",'Mapa final'!$AJ$70="Catastrófico"),CONCATENATE("R2C",'Mapa final'!$R$70),"")</f>
        <v/>
      </c>
      <c r="AN41" s="49" t="str">
        <f>IF(AND('Mapa final'!$AH$71="Muy Alta",'Mapa final'!$AJ$71="Catastrófico"),CONCATENATE("R2C",'Mapa final'!$R$71),"")</f>
        <v/>
      </c>
      <c r="AO41" s="68"/>
      <c r="AP41" s="543"/>
      <c r="AQ41" s="544"/>
      <c r="AR41" s="544"/>
      <c r="AS41" s="544"/>
      <c r="AT41" s="544"/>
      <c r="AU41" s="545"/>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56"/>
      <c r="D42" s="456"/>
      <c r="E42" s="457"/>
      <c r="F42" s="496" t="s">
        <v>259</v>
      </c>
      <c r="G42" s="497"/>
      <c r="H42" s="497"/>
      <c r="I42" s="497"/>
      <c r="J42" s="497"/>
      <c r="K42" s="59"/>
      <c r="L42" s="60" t="str">
        <f>IF(AND('Mapa final'!$AH$17="Baja",'Mapa final'!$AJ$17="Leve"),CONCATENATE("R2C",'Mapa final'!$R$15),"")</f>
        <v/>
      </c>
      <c r="M42" s="60" t="str">
        <f>IF(AND('Mapa final'!$AH$18="Baja",'Mapa final'!$AJ$18="Leve"),CONCATENATE("R2C",'Mapa final'!$R$18),"")</f>
        <v>R2C     Afectación menor a 10 SMLMV .</v>
      </c>
      <c r="N42" s="60" t="e">
        <f>IF(AND('Mapa final'!#REF!="Baja",'Mapa final'!#REF!="Leve"),CONCATENATE("R2C",'Mapa final'!#REF!),"")</f>
        <v>#REF!</v>
      </c>
      <c r="O42" s="60" t="e">
        <f>IF(AND('Mapa final'!#REF!="Baja",'Mapa final'!#REF!="Leve"),CONCATENATE("R2C",'Mapa final'!#REF!),"")</f>
        <v>#REF!</v>
      </c>
      <c r="P42" s="61" t="e">
        <f>IF(AND('Mapa final'!#REF!="Baja",'Mapa final'!#REF!="Leve"),CONCATENATE("R2C",'Mapa final'!#REF!),"")</f>
        <v>#REF!</v>
      </c>
      <c r="Q42" s="50"/>
      <c r="R42" s="51" t="str">
        <f>IF(AND('Mapa final'!$AH$17="Baja",'Mapa final'!$AJ$17="Menore"),CONCATENATE("R2C",'Mapa final'!$R$15),"")</f>
        <v/>
      </c>
      <c r="S42" s="51" t="str">
        <f>IF(AND('Mapa final'!$AH$18="Baja",'Mapa final'!$AJ$18="Menor"),CONCATENATE("R2C",'Mapa final'!$R$18),"")</f>
        <v/>
      </c>
      <c r="T42" s="51" t="e">
        <f>IF(AND('Mapa final'!#REF!="Baja",'Mapa final'!#REF!="Menor"),CONCATENATE("R2C",'Mapa final'!#REF!),"")</f>
        <v>#REF!</v>
      </c>
      <c r="U42" s="51" t="e">
        <f>IF(AND('Mapa final'!#REF!="Baja",'Mapa final'!#REF!="Menor"),CONCATENATE("R2C",'Mapa final'!#REF!),"")</f>
        <v>#REF!</v>
      </c>
      <c r="V42" s="52" t="e">
        <f>IF(AND('Mapa final'!#REF!="Baja",'Mapa final'!#REF!="Menor"),CONCATENATE("R2C",'Mapa final'!#REF!),"")</f>
        <v>#REF!</v>
      </c>
      <c r="W42" s="50"/>
      <c r="X42" s="51" t="str">
        <f>IF(AND('Mapa final'!$AH$17="Baja",'Mapa final'!$AJ$17="Moderado"),CONCATENATE("R2C",'Mapa final'!$R$15),"")</f>
        <v/>
      </c>
      <c r="Y42" s="51"/>
      <c r="Z42" s="51" t="e">
        <f>IF(AND('Mapa final'!#REF!="Baja",'Mapa final'!#REF!="Moderado"),CONCATENATE("R2C",'Mapa final'!#REF!),"")</f>
        <v>#REF!</v>
      </c>
      <c r="AA42" s="51" t="e">
        <f>IF(AND('Mapa final'!#REF!="Baja",'Mapa final'!#REF!="Moderado"),CONCATENATE("R2C",'Mapa final'!#REF!),"")</f>
        <v>#REF!</v>
      </c>
      <c r="AB42" s="52" t="e">
        <f>IF(AND('Mapa final'!#REF!="Baja",'Mapa final'!#REF!="Moderado"),CONCATENATE("R2C",'Mapa final'!#REF!),"")</f>
        <v>#REF!</v>
      </c>
      <c r="AC42" s="32"/>
      <c r="AD42" s="33" t="str">
        <f>IF(AND('Mapa final'!$AH$17="Baja",'Mapa final'!$AJ$17="Mayor"),CONCATENATE("R2C",'Mapa final'!$R$15),"")</f>
        <v/>
      </c>
      <c r="AE42" s="33" t="str">
        <f>IF(AND('Mapa final'!$AH$18="Baja",'Mapa final'!$AJ$18="Mayor"),CONCATENATE("R2C",'Mapa final'!$R$18),"")</f>
        <v/>
      </c>
      <c r="AF42" s="33" t="e">
        <f>IF(AND('Mapa final'!#REF!="Baja",'Mapa final'!#REF!="Mayor"),CONCATENATE("R2C",'Mapa final'!#REF!),"")</f>
        <v>#REF!</v>
      </c>
      <c r="AG42" s="33" t="e">
        <f>IF(AND('Mapa final'!#REF!="Baja",'Mapa final'!#REF!="Mayor"),CONCATENATE("R2C",'Mapa final'!#REF!),"")</f>
        <v>#REF!</v>
      </c>
      <c r="AH42" s="34" t="e">
        <f>IF(AND('Mapa final'!#REF!="Baja",'Mapa final'!#REF!="Mayor"),CONCATENATE("R2C",'Mapa final'!#REF!),"")</f>
        <v>#REF!</v>
      </c>
      <c r="AI42" s="35"/>
      <c r="AJ42" s="36" t="str">
        <f>IF(AND('Mapa final'!$AH$17="Baja",'Mapa final'!$AJ$17="Catastrófico"),CONCATENATE("R2C",'Mapa final'!$R$15),"")</f>
        <v/>
      </c>
      <c r="AK42" s="36" t="str">
        <f>IF(AND('Mapa final'!$AH$18="Baja",'Mapa final'!$AJ$18="Catastrófico"),CONCATENATE("R2C",'Mapa final'!$R$18),"")</f>
        <v/>
      </c>
      <c r="AL42" s="36" t="e">
        <f>IF(AND('Mapa final'!#REF!="Baja",'Mapa final'!#REF!="Catastrófico"),CONCATENATE("R2C",'Mapa final'!#REF!),"")</f>
        <v>#REF!</v>
      </c>
      <c r="AM42" s="36" t="e">
        <f>IF(AND('Mapa final'!#REF!="Baja",'Mapa final'!#REF!="Catastrófico"),CONCATENATE("R2C",'Mapa final'!#REF!),"")</f>
        <v>#REF!</v>
      </c>
      <c r="AN42" s="37" t="e">
        <f>IF(AND('Mapa final'!#REF!="Baja",'Mapa final'!#REF!="Catastrófico"),CONCATENATE("R2C",'Mapa final'!#REF!),"")</f>
        <v>#REF!</v>
      </c>
      <c r="AO42" s="68"/>
      <c r="AP42" s="528" t="s">
        <v>260</v>
      </c>
      <c r="AQ42" s="529"/>
      <c r="AR42" s="529"/>
      <c r="AS42" s="529"/>
      <c r="AT42" s="529"/>
      <c r="AU42" s="530"/>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56"/>
      <c r="D43" s="456"/>
      <c r="E43" s="457"/>
      <c r="F43" s="515"/>
      <c r="G43" s="500"/>
      <c r="H43" s="500"/>
      <c r="I43" s="500"/>
      <c r="J43" s="500"/>
      <c r="K43" s="62" t="e">
        <f>IF(AND('Mapa final'!#REF!="Baja",'Mapa final'!#REF!="Leve"),CONCATENATE("R2C",'Mapa final'!#REF!),"")</f>
        <v>#REF!</v>
      </c>
      <c r="L43" s="63" t="e">
        <f>IF(AND('Mapa final'!#REF!="Baja",'Mapa final'!#REF!="Leve"),CONCATENATE("R2C",'Mapa final'!#REF!),"")</f>
        <v>#REF!</v>
      </c>
      <c r="M43" s="63" t="str">
        <f>IF(AND('Mapa final'!$AH$19="Baja",'Mapa final'!$AJ$19="Leve"),CONCATENATE("R2C",'Mapa final'!$R$19),"")</f>
        <v/>
      </c>
      <c r="N43" s="63" t="str">
        <f>IF(AND('Mapa final'!$AH$20="Baja",'Mapa final'!$AJ$20="Leve"),CONCATENATE("R2C",'Mapa final'!$R$20),"")</f>
        <v/>
      </c>
      <c r="O43" s="63" t="str">
        <f>IF(AND('Mapa final'!$AH$21="Baja",'Mapa final'!$AJ$21="Leve"),CONCATENATE("R2C",'Mapa final'!$R$21),"")</f>
        <v/>
      </c>
      <c r="P43" s="64" t="str">
        <f>IF(AND('Mapa final'!$AH$22="Baja",'Mapa final'!$AJ$22="Leve"),CONCATENATE("R2C",'Mapa final'!$R$22),"")</f>
        <v/>
      </c>
      <c r="Q43" s="53" t="e">
        <f>IF(AND('Mapa final'!#REF!="Baja",'Mapa final'!#REF!="Menor"),CONCATENATE("R2C",'Mapa final'!#REF!),"")</f>
        <v>#REF!</v>
      </c>
      <c r="R43" s="54" t="e">
        <f>IF(AND('Mapa final'!#REF!="Baja",'Mapa final'!#REF!="Menor"),CONCATENATE("R2C",'Mapa final'!#REF!),"")</f>
        <v>#REF!</v>
      </c>
      <c r="S43" s="54" t="str">
        <f>IF(AND('Mapa final'!$AH$19="Baja",'Mapa final'!$AJ$19="Menor"),CONCATENATE("R2C",'Mapa final'!$R$19),"")</f>
        <v/>
      </c>
      <c r="T43" s="54" t="str">
        <f>IF(AND('Mapa final'!$AH$20="Baja",'Mapa final'!$AJ$20="Menor"),CONCATENATE("R2C",'Mapa final'!$R$20),"")</f>
        <v/>
      </c>
      <c r="U43" s="54" t="str">
        <f>IF(AND('Mapa final'!$AH$21="Baja",'Mapa final'!$AJ$21="Menor"),CONCATENATE("R2C",'Mapa final'!$R$21),"")</f>
        <v/>
      </c>
      <c r="V43" s="55" t="str">
        <f>IF(AND('Mapa final'!$AH$22="Baja",'Mapa final'!$AJ$22="Menor"),CONCATENATE("R2C",'Mapa final'!$R$22),"")</f>
        <v/>
      </c>
      <c r="W43" s="53" t="e">
        <f>IF(AND('Mapa final'!#REF!="Baja",'Mapa final'!#REF!="Moderado"),CONCATENATE("R2C",'Mapa final'!#REF!),"")</f>
        <v>#REF!</v>
      </c>
      <c r="X43" s="54" t="e">
        <f>IF(AND('Mapa final'!#REF!="Baja",'Mapa final'!#REF!="Moderado"),CONCATENATE("R2C",'Mapa final'!#REF!),"")</f>
        <v>#REF!</v>
      </c>
      <c r="Y43" s="54" t="str">
        <f>IF(AND('Mapa final'!$AH$19="Baja",'Mapa final'!$AJ$19="Moderado"),CONCATENATE("R2C",'Mapa final'!$R$19),"")</f>
        <v/>
      </c>
      <c r="Z43" s="54" t="str">
        <f>IF(AND('Mapa final'!$AH$20="Baja",'Mapa final'!$AJ$20="Moderado"),CONCATENATE("R2C",'Mapa final'!$R$20),"")</f>
        <v/>
      </c>
      <c r="AA43" s="54" t="str">
        <f>IF(AND('Mapa final'!$AH$21="Baja",'Mapa final'!$AJ$21="Moderado"),CONCATENATE("R2C",'Mapa final'!$R$21),"")</f>
        <v/>
      </c>
      <c r="AB43" s="55" t="str">
        <f>IF(AND('Mapa final'!$AH$22="Baja",'Mapa final'!$AJ$22="Moderado"),CONCATENATE("R2C",'Mapa final'!$R$22),"")</f>
        <v/>
      </c>
      <c r="AC43" s="38" t="e">
        <f>IF(AND('Mapa final'!#REF!="Baja",'Mapa final'!#REF!="Mayor"),CONCATENATE("R2C",'Mapa final'!#REF!),"")</f>
        <v>#REF!</v>
      </c>
      <c r="AD43" s="39" t="e">
        <f>IF(AND('Mapa final'!#REF!="Baja",'Mapa final'!#REF!="Mayor"),CONCATENATE("R2C",'Mapa final'!#REF!),"")</f>
        <v>#REF!</v>
      </c>
      <c r="AE43" s="39" t="str">
        <f>IF(AND('Mapa final'!$AH$19="Baja",'Mapa final'!$AJ$19="Mayor"),CONCATENATE("R2C",'Mapa final'!$R$19),"")</f>
        <v/>
      </c>
      <c r="AF43" s="39" t="str">
        <f>IF(AND('Mapa final'!$AH$20="Baja",'Mapa final'!$AJ$20="Mayor"),CONCATENATE("R2C",'Mapa final'!$R$20),"")</f>
        <v/>
      </c>
      <c r="AG43" s="39" t="str">
        <f>IF(AND('Mapa final'!$AH$21="Baja",'Mapa final'!$AJ$21="Mayor"),CONCATENATE("R2C",'Mapa final'!$R$21),"")</f>
        <v/>
      </c>
      <c r="AH43" s="40" t="str">
        <f>IF(AND('Mapa final'!$AH$22="Baja",'Mapa final'!$AJ$22="Mayor"),CONCATENATE("R2C",'Mapa final'!$R$22),"")</f>
        <v/>
      </c>
      <c r="AI43" s="41" t="e">
        <f>IF(AND('Mapa final'!#REF!="Baja",'Mapa final'!#REF!="Catastrófico"),CONCATENATE("R2C",'Mapa final'!#REF!),"")</f>
        <v>#REF!</v>
      </c>
      <c r="AJ43" s="42" t="e">
        <f>IF(AND('Mapa final'!#REF!="Baja",'Mapa final'!#REF!="Catastrófico"),CONCATENATE("R2C",'Mapa final'!#REF!),"")</f>
        <v>#REF!</v>
      </c>
      <c r="AK43" s="42" t="str">
        <f>IF(AND('Mapa final'!$AH$19="Baja",'Mapa final'!$AJ$19="Catastrófico"),CONCATENATE("R2C",'Mapa final'!$R$19),"")</f>
        <v/>
      </c>
      <c r="AL43" s="42" t="str">
        <f>IF(AND('Mapa final'!$AH$20="Baja",'Mapa final'!$AJ$20="Catastrófico"),CONCATENATE("R2C",'Mapa final'!$R$20),"")</f>
        <v/>
      </c>
      <c r="AM43" s="42" t="str">
        <f>IF(AND('Mapa final'!$AH$21="Baja",'Mapa final'!$AJ$21="Catastrófico"),CONCATENATE("R2C",'Mapa final'!$R$21),"")</f>
        <v/>
      </c>
      <c r="AN43" s="43" t="str">
        <f>IF(AND('Mapa final'!$AH$22="Baja",'Mapa final'!$AJ$22="Catastrófico"),CONCATENATE("R2C",'Mapa final'!$R$22),"")</f>
        <v/>
      </c>
      <c r="AO43" s="68"/>
      <c r="AP43" s="531"/>
      <c r="AQ43" s="532"/>
      <c r="AR43" s="532"/>
      <c r="AS43" s="532"/>
      <c r="AT43" s="532"/>
      <c r="AU43" s="533"/>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56"/>
      <c r="D44" s="456"/>
      <c r="E44" s="457"/>
      <c r="F44" s="499"/>
      <c r="G44" s="500"/>
      <c r="H44" s="500"/>
      <c r="I44" s="500"/>
      <c r="J44" s="500"/>
      <c r="K44" s="62" t="str">
        <f>IF(AND('Mapa final'!$AH$23="Baja",'Mapa final'!$AJ$23="Leve"),CONCATENATE("R2C",'Mapa final'!$R$23),"")</f>
        <v/>
      </c>
      <c r="L44" s="63" t="str">
        <f>IF(AND('Mapa final'!$AH$24="Baja",'Mapa final'!$AJ$24="Leve"),CONCATENATE("R2C",'Mapa final'!$R$24),"")</f>
        <v/>
      </c>
      <c r="M44" s="63" t="str">
        <f>IF(AND('Mapa final'!$AH$25="Baja",'Mapa final'!$AJ$25="Leve"),CONCATENATE("R2C",'Mapa final'!$R$25),"")</f>
        <v/>
      </c>
      <c r="N44" s="63" t="str">
        <f>IF(AND('Mapa final'!$AH$26="Baja",'Mapa final'!$AJ$26="Leve"),CONCATENATE("R2C",'Mapa final'!$R$26),"")</f>
        <v/>
      </c>
      <c r="O44" s="63" t="str">
        <f>IF(AND('Mapa final'!$AH$27="Baja",'Mapa final'!$AJ$27="Leve"),CONCATENATE("R2C",'Mapa final'!$R$27),"")</f>
        <v/>
      </c>
      <c r="P44" s="64" t="str">
        <f>IF(AND('Mapa final'!$AH$28="Baja",'Mapa final'!$AJ$28="Leve"),CONCATENATE("R2C",'Mapa final'!$R$28),"")</f>
        <v/>
      </c>
      <c r="Q44" s="53" t="str">
        <f>IF(AND('Mapa final'!$AH$23="Baja",'Mapa final'!$AJ$23="Menor"),CONCATENATE("R2C",'Mapa final'!$R$23),"")</f>
        <v/>
      </c>
      <c r="R44" s="54" t="str">
        <f>IF(AND('Mapa final'!$AH$24="Baja",'Mapa final'!$AJ$24="Menor"),CONCATENATE("R2C",'Mapa final'!$R$24),"")</f>
        <v/>
      </c>
      <c r="S44" s="54" t="str">
        <f>IF(AND('Mapa final'!$AH$25="Baja",'Mapa final'!$AJ$25="Menor"),CONCATENATE("R2C",'Mapa final'!$R$25),"")</f>
        <v/>
      </c>
      <c r="T44" s="54" t="str">
        <f>IF(AND('Mapa final'!$AH$26="Baja",'Mapa final'!$AJ$26="Menor"),CONCATENATE("R2C",'Mapa final'!$R$26),"")</f>
        <v/>
      </c>
      <c r="U44" s="54" t="str">
        <f>IF(AND('Mapa final'!$AH$27="Baja",'Mapa final'!$AJ$27="Menor"),CONCATENATE("R2C",'Mapa final'!$R$27),"")</f>
        <v/>
      </c>
      <c r="V44" s="55" t="str">
        <f>IF(AND('Mapa final'!$AH$28="Baja",'Mapa final'!$AJ$28="Menor"),CONCATENATE("R2C",'Mapa final'!$R$28),"")</f>
        <v/>
      </c>
      <c r="W44" s="53" t="str">
        <f>IF(AND('Mapa final'!$AH$23="Baja",'Mapa final'!$AJ$23="Moderado"),CONCATENATE("R2C",'Mapa final'!$R$23),"")</f>
        <v/>
      </c>
      <c r="X44" s="54" t="str">
        <f>IF(AND('Mapa final'!$AH$24="Baja",'Mapa final'!$AJ$24="Moderado"),CONCATENATE("R2C",'Mapa final'!$R$24),"")</f>
        <v/>
      </c>
      <c r="Y44" s="54" t="str">
        <f>IF(AND('Mapa final'!$AH$25="Baja",'Mapa final'!$AJ$25="Moderado"),CONCATENATE("R2C",'Mapa final'!$R$25),"")</f>
        <v/>
      </c>
      <c r="Z44" s="54" t="str">
        <f>IF(AND('Mapa final'!$AH$26="Baja",'Mapa final'!$AJ$26="Moderado"),CONCATENATE("R2C",'Mapa final'!$R$26),"")</f>
        <v/>
      </c>
      <c r="AA44" s="54" t="str">
        <f>IF(AND('Mapa final'!$AH$27="Baja",'Mapa final'!$AJ$27="Moderado"),CONCATENATE("R2C",'Mapa final'!$R$27),"")</f>
        <v/>
      </c>
      <c r="AB44" s="55" t="str">
        <f>IF(AND('Mapa final'!$AH$28="Baja",'Mapa final'!$AJ$28="Moderado"),CONCATENATE("R2C",'Mapa final'!$R$28),"")</f>
        <v/>
      </c>
      <c r="AC44" s="38" t="str">
        <f>IF(AND('Mapa final'!$AH$23="Baja",'Mapa final'!$AJ$23="Mayor"),CONCATENATE("R2C",'Mapa final'!$R$23),"")</f>
        <v/>
      </c>
      <c r="AD44" s="39" t="str">
        <f>IF(AND('Mapa final'!$AH$24="Baja",'Mapa final'!$AJ$24="Mayor"),CONCATENATE("R2C",'Mapa final'!$R$24),"")</f>
        <v/>
      </c>
      <c r="AE44" s="39" t="str">
        <f>IF(AND('Mapa final'!$AH$25="Baja",'Mapa final'!$AJ$25="Mayor"),CONCATENATE("R2C",'Mapa final'!$R$25),"")</f>
        <v/>
      </c>
      <c r="AF44" s="39" t="str">
        <f>IF(AND('Mapa final'!$AH$26="Baja",'Mapa final'!$AJ$26="Mayor"),CONCATENATE("R2C",'Mapa final'!$R$26),"")</f>
        <v/>
      </c>
      <c r="AG44" s="39" t="str">
        <f>IF(AND('Mapa final'!$AH$27="Baja",'Mapa final'!$AJ$27="Mayor"),CONCATENATE("R2C",'Mapa final'!$R$27),"")</f>
        <v/>
      </c>
      <c r="AH44" s="40" t="str">
        <f>IF(AND('Mapa final'!$AH$28="Baja",'Mapa final'!$AJ$28="Mayor"),CONCATENATE("R2C",'Mapa final'!$R$28),"")</f>
        <v/>
      </c>
      <c r="AI44" s="41" t="str">
        <f>IF(AND('Mapa final'!$AH$23="Baja",'Mapa final'!$AJ$23="Catastrófico"),CONCATENATE("R2C",'Mapa final'!$R$23),"")</f>
        <v/>
      </c>
      <c r="AJ44" s="42" t="str">
        <f>IF(AND('Mapa final'!$AH$24="Baja",'Mapa final'!$AJ$24="Catastrófico"),CONCATENATE("R2C",'Mapa final'!$R$24),"")</f>
        <v/>
      </c>
      <c r="AK44" s="42" t="str">
        <f>IF(AND('Mapa final'!$AH$25="Baja",'Mapa final'!$AJ$25="Catastrófico"),CONCATENATE("R2C",'Mapa final'!$R$25),"")</f>
        <v/>
      </c>
      <c r="AL44" s="42" t="str">
        <f>IF(AND('Mapa final'!$AH$26="Baja",'Mapa final'!$AJ$26="Catastrófico"),CONCATENATE("R2C",'Mapa final'!$R$26),"")</f>
        <v/>
      </c>
      <c r="AM44" s="42" t="str">
        <f>IF(AND('Mapa final'!$AH$27="Baja",'Mapa final'!$AJ$27="Catastrófico"),CONCATENATE("R2C",'Mapa final'!$R$27),"")</f>
        <v/>
      </c>
      <c r="AN44" s="43" t="str">
        <f>IF(AND('Mapa final'!$AH$28="Baja",'Mapa final'!$AJ$28="Catastrófico"),CONCATENATE("R2C",'Mapa final'!$R$28),"")</f>
        <v/>
      </c>
      <c r="AO44" s="68"/>
      <c r="AP44" s="531"/>
      <c r="AQ44" s="532"/>
      <c r="AR44" s="532"/>
      <c r="AS44" s="532"/>
      <c r="AT44" s="532"/>
      <c r="AU44" s="533"/>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56"/>
      <c r="D45" s="456"/>
      <c r="E45" s="457"/>
      <c r="F45" s="499"/>
      <c r="G45" s="500"/>
      <c r="H45" s="500"/>
      <c r="I45" s="500"/>
      <c r="J45" s="500"/>
      <c r="K45" s="62" t="str">
        <f>IF(AND('Mapa final'!$AH$29="Baja",'Mapa final'!$AJ$29="Leve"),CONCATENATE("R2C",'Mapa final'!$R$29),"")</f>
        <v/>
      </c>
      <c r="L45" s="63" t="str">
        <f>IF(AND('Mapa final'!$AH$30="Baja",'Mapa final'!$AJ$30="Leve"),CONCATENATE("R2C",'Mapa final'!$R$30),"")</f>
        <v/>
      </c>
      <c r="M45" s="63" t="str">
        <f>IF(AND('Mapa final'!$AH$31="Baja",'Mapa final'!$AJ$31="Leve"),CONCATENATE("R2C",'Mapa final'!$R$31),"")</f>
        <v/>
      </c>
      <c r="N45" s="63" t="str">
        <f>IF(AND('Mapa final'!$AH$32="Baja",'Mapa final'!$AJ$32="Leve"),CONCATENATE("R2C",'Mapa final'!$R$32),"")</f>
        <v/>
      </c>
      <c r="O45" s="63" t="str">
        <f>IF(AND('Mapa final'!$AH$33="Baja",'Mapa final'!$AJ$33="Leve"),CONCATENATE("R2C",'Mapa final'!$R$33),"")</f>
        <v/>
      </c>
      <c r="P45" s="64" t="str">
        <f>IF(AND('Mapa final'!$AH$34="Baja",'Mapa final'!$AJ$34="Leve"),CONCATENATE("R2C",'Mapa final'!$R$34),"")</f>
        <v/>
      </c>
      <c r="Q45" s="53" t="str">
        <f>IF(AND('Mapa final'!$AH$29="Baja",'Mapa final'!$AJ$29="Menor"),CONCATENATE("R2C",'Mapa final'!$R$29),"")</f>
        <v/>
      </c>
      <c r="R45" s="54" t="str">
        <f>IF(AND('Mapa final'!$AH$30="Baja",'Mapa final'!$AJ$30="Menor"),CONCATENATE("R2C",'Mapa final'!$R$30),"")</f>
        <v/>
      </c>
      <c r="S45" s="54" t="str">
        <f>IF(AND('Mapa final'!$AH$31="Baja",'Mapa final'!$AJ$31="Menor"),CONCATENATE("R2C",'Mapa final'!$R$31),"")</f>
        <v/>
      </c>
      <c r="T45" s="54" t="str">
        <f>IF(AND('Mapa final'!$AH$32="Baja",'Mapa final'!$AJ$32="Menor"),CONCATENATE("R2C",'Mapa final'!$R$32),"")</f>
        <v/>
      </c>
      <c r="U45" s="54" t="str">
        <f>IF(AND('Mapa final'!$AH$33="Baja",'Mapa final'!$AJ$33="LMenor"),CONCATENATE("R2C",'Mapa final'!$R$33),"")</f>
        <v/>
      </c>
      <c r="V45" s="55" t="str">
        <f>IF(AND('Mapa final'!$AH$34="Baja",'Mapa final'!$AJ$34="Menor"),CONCATENATE("R2C",'Mapa final'!$R$34),"")</f>
        <v/>
      </c>
      <c r="W45" s="53" t="str">
        <f>IF(AND('Mapa final'!$AH$29="Baja",'Mapa final'!$AJ$29="Moderado"),CONCATENATE("R2C",'Mapa final'!$R$29),"")</f>
        <v/>
      </c>
      <c r="X45" s="54" t="str">
        <f>IF(AND('Mapa final'!$AH$30="Baja",'Mapa final'!$AJ$30="Moderado"),CONCATENATE("R2C",'Mapa final'!$R$30),"")</f>
        <v/>
      </c>
      <c r="Y45" s="54" t="str">
        <f>IF(AND('Mapa final'!$AH$31="Baja",'Mapa final'!$AJ$31="Moderado"),CONCATENATE("R2C",'Mapa final'!$R$31),"")</f>
        <v/>
      </c>
      <c r="Z45" s="54" t="str">
        <f>IF(AND('Mapa final'!$AH$32="Baja",'Mapa final'!$AJ$32="Moderado"),CONCATENATE("R2C",'Mapa final'!$R$32),"")</f>
        <v/>
      </c>
      <c r="AA45" s="54" t="str">
        <f>IF(AND('Mapa final'!$AH$33="Baja",'Mapa final'!$AJ$33="Moderado"),CONCATENATE("R2C",'Mapa final'!$R$33),"")</f>
        <v/>
      </c>
      <c r="AB45" s="55" t="str">
        <f>IF(AND('Mapa final'!$AH$34="Baja",'Mapa final'!$AJ$34="Moderado"),CONCATENATE("R2C",'Mapa final'!$R$34),"")</f>
        <v/>
      </c>
      <c r="AC45" s="38" t="str">
        <f>IF(AND('Mapa final'!$AH$29="Baja",'Mapa final'!$AJ$29="Mayor"),CONCATENATE("R2C",'Mapa final'!$R$29),"")</f>
        <v/>
      </c>
      <c r="AD45" s="39" t="str">
        <f>IF(AND('Mapa final'!$AH$30="Baja",'Mapa final'!$AJ$30="Mayor"),CONCATENATE("R2C",'Mapa final'!$R$30),"")</f>
        <v/>
      </c>
      <c r="AE45" s="39" t="str">
        <f>IF(AND('Mapa final'!$AH$31="Baja",'Mapa final'!$AJ$31="Mayor"),CONCATENATE("R2C",'Mapa final'!$R$31),"")</f>
        <v/>
      </c>
      <c r="AF45" s="39" t="str">
        <f>IF(AND('Mapa final'!$AH$32="Baja",'Mapa final'!$AJ$32="Mayor"),CONCATENATE("R2C",'Mapa final'!$R$32),"")</f>
        <v/>
      </c>
      <c r="AG45" s="39" t="str">
        <f>IF(AND('Mapa final'!$AH$33="Baja",'Mapa final'!$AJ$33="Mayor"),CONCATENATE("R2C",'Mapa final'!$R$33),"")</f>
        <v/>
      </c>
      <c r="AH45" s="40" t="str">
        <f>IF(AND('Mapa final'!$AH$34="Baja",'Mapa final'!$AJ$34="Mayor"),CONCATENATE("R2C",'Mapa final'!$R$34),"")</f>
        <v/>
      </c>
      <c r="AI45" s="41" t="str">
        <f>IF(AND('Mapa final'!$AH$29="Baja",'Mapa final'!$AJ$29="Catastrófico"),CONCATENATE("R2C",'Mapa final'!$R$29),"")</f>
        <v/>
      </c>
      <c r="AJ45" s="42" t="str">
        <f>IF(AND('Mapa final'!$AH$30="Baja",'Mapa final'!$AJ$30="Catastrófico"),CONCATENATE("R2C",'Mapa final'!$R$30),"")</f>
        <v/>
      </c>
      <c r="AK45" s="42" t="str">
        <f>IF(AND('Mapa final'!$AH$31="Baja",'Mapa final'!$AJ$31="Catastrófico"),CONCATENATE("R2C",'Mapa final'!$R$31),"")</f>
        <v/>
      </c>
      <c r="AL45" s="42" t="str">
        <f>IF(AND('Mapa final'!$AH$32="Baja",'Mapa final'!$AJ$32="Catastrófico"),CONCATENATE("R2C",'Mapa final'!$R$32),"")</f>
        <v/>
      </c>
      <c r="AM45" s="42" t="str">
        <f>IF(AND('Mapa final'!$AH$33="Baja",'Mapa final'!$AJ$33="LCatastrófico"),CONCATENATE("R2C",'Mapa final'!$R$33),"")</f>
        <v/>
      </c>
      <c r="AN45" s="43" t="str">
        <f>IF(AND('Mapa final'!$AH$34="Baja",'Mapa final'!$AJ$34="Catastrófico"),CONCATENATE("R2C",'Mapa final'!$R$34),"")</f>
        <v/>
      </c>
      <c r="AO45" s="68"/>
      <c r="AP45" s="531"/>
      <c r="AQ45" s="532"/>
      <c r="AR45" s="532"/>
      <c r="AS45" s="532"/>
      <c r="AT45" s="532"/>
      <c r="AU45" s="533"/>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56"/>
      <c r="D46" s="456"/>
      <c r="E46" s="457"/>
      <c r="F46" s="499"/>
      <c r="G46" s="500"/>
      <c r="H46" s="500"/>
      <c r="I46" s="500"/>
      <c r="J46" s="500"/>
      <c r="K46" s="62" t="str">
        <f>IF(AND('Mapa final'!$AH$35="Baja",'Mapa final'!$AJ$35="Leve"),CONCATENATE("R2C",'Mapa final'!$R$35),"")</f>
        <v/>
      </c>
      <c r="L46" s="63" t="str">
        <f>IF(AND('Mapa final'!$AH$36="Baja",'Mapa final'!$AJ$36="Leve"),CONCATENATE("R2C",'Mapa final'!$R$36),"")</f>
        <v/>
      </c>
      <c r="M46" s="63" t="str">
        <f>IF(AND('Mapa final'!$AH$37="Baja",'Mapa final'!$AJ$37="Leve"),CONCATENATE("R2C",'Mapa final'!$R$37),"")</f>
        <v/>
      </c>
      <c r="N46" s="63" t="str">
        <f>IF(AND('Mapa final'!$AH$38="Baja",'Mapa final'!$AJ$38="Leve"),CONCATENATE("R2C",'Mapa final'!$R$38),"")</f>
        <v/>
      </c>
      <c r="O46" s="63" t="str">
        <f>IF(AND('Mapa final'!$AH$39="Baja",'Mapa final'!$AJ$39="Leve"),CONCATENATE("R2C",'Mapa final'!$R$39),"")</f>
        <v/>
      </c>
      <c r="P46" s="64" t="str">
        <f>IF(AND('Mapa final'!$AH$40="Baja",'Mapa final'!$AJ$40="Leve"),CONCATENATE("R2C",'Mapa final'!$R$40),"")</f>
        <v/>
      </c>
      <c r="Q46" s="53" t="str">
        <f>IF(AND('Mapa final'!$AH$35="Baja",'Mapa final'!$AJ$35="Menor"),CONCATENATE("R2C",'Mapa final'!$R$35),"")</f>
        <v/>
      </c>
      <c r="R46" s="54" t="str">
        <f>IF(AND('Mapa final'!$AH$36="Baja",'Mapa final'!$AJ$36="Menor"),CONCATENATE("R2C",'Mapa final'!$R$36),"")</f>
        <v/>
      </c>
      <c r="S46" s="54" t="str">
        <f>IF(AND('Mapa final'!$AH$37="Baja",'Mapa final'!$AJ$37="Menor"),CONCATENATE("R2C",'Mapa final'!$R$37),"")</f>
        <v/>
      </c>
      <c r="T46" s="54" t="str">
        <f>IF(AND('Mapa final'!$AH$38="Baja",'Mapa final'!$AJ$38="Menor"),CONCATENATE("R2C",'Mapa final'!$R$38),"")</f>
        <v/>
      </c>
      <c r="U46" s="54" t="str">
        <f>IF(AND('Mapa final'!$AH$39="Baja",'Mapa final'!$AJ$39="Menor"),CONCATENATE("R2C",'Mapa final'!$R$39),"")</f>
        <v/>
      </c>
      <c r="V46" s="55" t="str">
        <f>IF(AND('Mapa final'!$AH$40="Baja",'Mapa final'!$AJ$40="Menor"),CONCATENATE("R2C",'Mapa final'!$R$40),"")</f>
        <v/>
      </c>
      <c r="W46" s="53" t="str">
        <f>IF(AND('Mapa final'!$AH$35="Baja",'Mapa final'!$AJ$35="Moderado"),CONCATENATE("R2C",'Mapa final'!$R$35),"")</f>
        <v/>
      </c>
      <c r="X46" s="54" t="str">
        <f>IF(AND('Mapa final'!$AH$36="Baja",'Mapa final'!$AJ$36="Moderado"),CONCATENATE("R2C",'Mapa final'!$R$36),"")</f>
        <v/>
      </c>
      <c r="Y46" s="54" t="str">
        <f>IF(AND('Mapa final'!$AH$37="Baja",'Mapa final'!$AJ$37="Moderado"),CONCATENATE("R2C",'Mapa final'!$R$37),"")</f>
        <v/>
      </c>
      <c r="Z46" s="54" t="str">
        <f>IF(AND('Mapa final'!$AH$38="Baja",'Mapa final'!$AJ$38="Moderado"),CONCATENATE("R2C",'Mapa final'!$R$38),"")</f>
        <v/>
      </c>
      <c r="AA46" s="54" t="str">
        <f>IF(AND('Mapa final'!$AH$39="Baja",'Mapa final'!$AJ$39="Moderado"),CONCATENATE("R2C",'Mapa final'!$R$39),"")</f>
        <v/>
      </c>
      <c r="AB46" s="55" t="str">
        <f>IF(AND('Mapa final'!$AH$40="Baja",'Mapa final'!$AJ$40="Moderado"),CONCATENATE("R2C",'Mapa final'!$R$40),"")</f>
        <v/>
      </c>
      <c r="AC46" s="38" t="str">
        <f>IF(AND('Mapa final'!$AH$35="Baja",'Mapa final'!$AJ$35="Mayor"),CONCATENATE("R2C",'Mapa final'!$R$35),"")</f>
        <v/>
      </c>
      <c r="AD46" s="39" t="str">
        <f>IF(AND('Mapa final'!$AH$36="Baja",'Mapa final'!$AJ$36="Mayor"),CONCATENATE("R2C",'Mapa final'!$R$36),"")</f>
        <v/>
      </c>
      <c r="AE46" s="39" t="str">
        <f>IF(AND('Mapa final'!$AH$37="Baja",'Mapa final'!$AJ$37="Mayor"),CONCATENATE("R2C",'Mapa final'!$R$37),"")</f>
        <v/>
      </c>
      <c r="AF46" s="39" t="str">
        <f>IF(AND('Mapa final'!$AH$38="Baja",'Mapa final'!$AJ$38="Mayor"),CONCATENATE("R2C",'Mapa final'!$R$38),"")</f>
        <v/>
      </c>
      <c r="AG46" s="39" t="str">
        <f>IF(AND('Mapa final'!$AH$39="Baja",'Mapa final'!$AJ$39="Mayor"),CONCATENATE("R2C",'Mapa final'!$R$39),"")</f>
        <v/>
      </c>
      <c r="AH46" s="40" t="str">
        <f>IF(AND('Mapa final'!$AH$40="Baja",'Mapa final'!$AJ$40="Mayor"),CONCATENATE("R2C",'Mapa final'!$R$40),"")</f>
        <v/>
      </c>
      <c r="AI46" s="41" t="str">
        <f>IF(AND('Mapa final'!$AH$35="Baja",'Mapa final'!$AJ$35="Catastrófico"),CONCATENATE("R2C",'Mapa final'!$R$35),"")</f>
        <v/>
      </c>
      <c r="AJ46" s="42" t="str">
        <f>IF(AND('Mapa final'!$AH$36="Baja",'Mapa final'!$AJ$36="Catastrófico"),CONCATENATE("R2C",'Mapa final'!$R$36),"")</f>
        <v/>
      </c>
      <c r="AK46" s="42" t="str">
        <f>IF(AND('Mapa final'!$AH$37="Baja",'Mapa final'!$AJ$37="Catastrófico"),CONCATENATE("R2C",'Mapa final'!$R$37),"")</f>
        <v/>
      </c>
      <c r="AL46" s="42" t="str">
        <f>IF(AND('Mapa final'!$AH$38="Baja",'Mapa final'!$AJ$38="Catastrófico"),CONCATENATE("R2C",'Mapa final'!$R$38),"")</f>
        <v/>
      </c>
      <c r="AM46" s="42" t="str">
        <f>IF(AND('Mapa final'!$AH$39="Baja",'Mapa final'!$AJ$39="Catastrófico"),CONCATENATE("R2C",'Mapa final'!$R$39),"")</f>
        <v/>
      </c>
      <c r="AN46" s="43" t="str">
        <f>IF(AND('Mapa final'!$AH$40="Baja",'Mapa final'!$AJ$40="Catastrófico"),CONCATENATE("R2C",'Mapa final'!$R$40),"")</f>
        <v/>
      </c>
      <c r="AO46" s="68"/>
      <c r="AP46" s="531"/>
      <c r="AQ46" s="532"/>
      <c r="AR46" s="532"/>
      <c r="AS46" s="532"/>
      <c r="AT46" s="532"/>
      <c r="AU46" s="533"/>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56"/>
      <c r="D47" s="456"/>
      <c r="E47" s="457"/>
      <c r="F47" s="499"/>
      <c r="G47" s="500"/>
      <c r="H47" s="500"/>
      <c r="I47" s="500"/>
      <c r="J47" s="500"/>
      <c r="K47" s="62" t="str">
        <f>IF(AND('Mapa final'!$AH$41="Baja",'Mapa final'!$AJ$41="Leve"),CONCATENATE("R2C",'Mapa final'!$R$41),"")</f>
        <v/>
      </c>
      <c r="L47" s="63" t="str">
        <f>IF(AND('Mapa final'!$AH$42="Baja",'Mapa final'!$AJ$42="Leve"),CONCATENATE("R2C",'Mapa final'!$R$42),"")</f>
        <v/>
      </c>
      <c r="M47" s="63" t="str">
        <f>IF(AND('Mapa final'!$AH$43="Baja",'Mapa final'!$AJ$43="Leve"),CONCATENATE("R2C",'Mapa final'!$R$43),"")</f>
        <v/>
      </c>
      <c r="N47" s="63" t="str">
        <f>IF(AND('Mapa final'!$AH$44="Baja",'Mapa final'!$AJ$44="Leve"),CONCATENATE("R2C",'Mapa final'!$R$44),"")</f>
        <v/>
      </c>
      <c r="O47" s="63" t="str">
        <f>IF(AND('Mapa final'!$AH$45="Baja",'Mapa final'!$AJ$45="Leve"),CONCATENATE("R2C",'Mapa final'!$R$45),"")</f>
        <v/>
      </c>
      <c r="P47" s="64" t="str">
        <f>IF(AND('Mapa final'!$AH$56="Baja",'Mapa final'!$AJ$46="Leve"),CONCATENATE("R2C",'Mapa final'!$R$46),"")</f>
        <v/>
      </c>
      <c r="Q47" s="53" t="str">
        <f>IF(AND('Mapa final'!$AH$41="Baja",'Mapa final'!$AJ$41="Menor"),CONCATENATE("R2C",'Mapa final'!$R$41),"")</f>
        <v/>
      </c>
      <c r="R47" s="54" t="str">
        <f>IF(AND('Mapa final'!$AH$42="Baja",'Mapa final'!$AJ$42="Menor"),CONCATENATE("R2C",'Mapa final'!$R$42),"")</f>
        <v/>
      </c>
      <c r="S47" s="54" t="str">
        <f>IF(AND('Mapa final'!$AH$43="Baja",'Mapa final'!$AJ$43="Menor"),CONCATENATE("R2C",'Mapa final'!$R$43),"")</f>
        <v/>
      </c>
      <c r="T47" s="54" t="str">
        <f>IF(AND('Mapa final'!$AH$44="Baja",'Mapa final'!$AJ$44="Menor"),CONCATENATE("R2C",'Mapa final'!$R$44),"")</f>
        <v/>
      </c>
      <c r="U47" s="54" t="str">
        <f>IF(AND('Mapa final'!$AH$45="Baja",'Mapa final'!$AJ$45="Menor"),CONCATENATE("R2C",'Mapa final'!$R$45),"")</f>
        <v/>
      </c>
      <c r="V47" s="55" t="str">
        <f>IF(AND('Mapa final'!$AH$56="Baja",'Mapa final'!$AJ$46="Menor"),CONCATENATE("R2C",'Mapa final'!$R$46),"")</f>
        <v/>
      </c>
      <c r="W47" s="53" t="str">
        <f>IF(AND('Mapa final'!$AH$41="Baja",'Mapa final'!$AJ$41="Moderado"),CONCATENATE("R2C",'Mapa final'!$R$41),"")</f>
        <v/>
      </c>
      <c r="X47" s="54" t="str">
        <f>IF(AND('Mapa final'!$AH$42="Baja",'Mapa final'!$AJ$42="Moderado"),CONCATENATE("R2C",'Mapa final'!$R$42),"")</f>
        <v/>
      </c>
      <c r="Y47" s="54" t="str">
        <f>IF(AND('Mapa final'!$AH$43="Baja",'Mapa final'!$AJ$43="Moderado"),CONCATENATE("R2C",'Mapa final'!$R$43),"")</f>
        <v/>
      </c>
      <c r="Z47" s="54" t="str">
        <f>IF(AND('Mapa final'!$AH$44="Baja",'Mapa final'!$AJ$44="Moderado"),CONCATENATE("R2C",'Mapa final'!$R$44),"")</f>
        <v/>
      </c>
      <c r="AA47" s="54" t="str">
        <f>IF(AND('Mapa final'!$AH$45="Baja",'Mapa final'!$AJ$45="Moderado"),CONCATENATE("R2C",'Mapa final'!$R$45),"")</f>
        <v/>
      </c>
      <c r="AB47" s="55" t="str">
        <f>IF(AND('Mapa final'!$AH$56="Baja",'Mapa final'!$AJ$46="Moderado"),CONCATENATE("R2C",'Mapa final'!$R$46),"")</f>
        <v/>
      </c>
      <c r="AC47" s="38" t="str">
        <f>IF(AND('Mapa final'!$AH$41="Baja",'Mapa final'!$AJ$41="Mayor"),CONCATENATE("R2C",'Mapa final'!$R$41),"")</f>
        <v/>
      </c>
      <c r="AD47" s="39" t="str">
        <f>IF(AND('Mapa final'!$AH$42="Baja",'Mapa final'!$AJ$42="Mayor"),CONCATENATE("R2C",'Mapa final'!$R$42),"")</f>
        <v/>
      </c>
      <c r="AE47" s="39" t="str">
        <f>IF(AND('Mapa final'!$AH$43="Baja",'Mapa final'!$AJ$43="Mayor"),CONCATENATE("R2C",'Mapa final'!$R$43),"")</f>
        <v/>
      </c>
      <c r="AF47" s="39" t="str">
        <f>IF(AND('Mapa final'!$AH$44="Baja",'Mapa final'!$AJ$44="Mayor"),CONCATENATE("R2C",'Mapa final'!$R$44),"")</f>
        <v/>
      </c>
      <c r="AG47" s="39" t="str">
        <f>IF(AND('Mapa final'!$AH$45="Baja",'Mapa final'!$AJ$45="Mayor"),CONCATENATE("R2C",'Mapa final'!$R$45),"")</f>
        <v/>
      </c>
      <c r="AH47" s="40" t="str">
        <f>IF(AND('Mapa final'!$AH$56="Baja",'Mapa final'!$AJ$46="Mayor"),CONCATENATE("R2C",'Mapa final'!$R$46),"")</f>
        <v/>
      </c>
      <c r="AI47" s="41" t="str">
        <f>IF(AND('Mapa final'!$AH$41="Baja",'Mapa final'!$AJ$41="Catastrófico"),CONCATENATE("R2C",'Mapa final'!$R$41),"")</f>
        <v/>
      </c>
      <c r="AJ47" s="42" t="str">
        <f>IF(AND('Mapa final'!$AH$42="Baja",'Mapa final'!$AJ$42="Catastrófico"),CONCATENATE("R2C",'Mapa final'!$R$42),"")</f>
        <v/>
      </c>
      <c r="AK47" s="42" t="str">
        <f>IF(AND('Mapa final'!$AH$43="Baja",'Mapa final'!$AJ$43="Catastrófico"),CONCATENATE("R2C",'Mapa final'!$R$43),"")</f>
        <v/>
      </c>
      <c r="AL47" s="42" t="str">
        <f>IF(AND('Mapa final'!$AH$44="Baja",'Mapa final'!$AJ$44="Catastrófico"),CONCATENATE("R2C",'Mapa final'!$R$44),"")</f>
        <v/>
      </c>
      <c r="AM47" s="42" t="str">
        <f>IF(AND('Mapa final'!$AH$45="Baja",'Mapa final'!$AJ$45="Catastrófico"),CONCATENATE("R2C",'Mapa final'!$R$45),"")</f>
        <v/>
      </c>
      <c r="AN47" s="43" t="str">
        <f>IF(AND('Mapa final'!$AH$56="Baja",'Mapa final'!$AJ$46="Catastrófico"),CONCATENATE("R2C",'Mapa final'!$R$46),"")</f>
        <v/>
      </c>
      <c r="AO47" s="68"/>
      <c r="AP47" s="531"/>
      <c r="AQ47" s="532"/>
      <c r="AR47" s="532"/>
      <c r="AS47" s="532"/>
      <c r="AT47" s="532"/>
      <c r="AU47" s="533"/>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56"/>
      <c r="D48" s="456"/>
      <c r="E48" s="457"/>
      <c r="F48" s="499"/>
      <c r="G48" s="500"/>
      <c r="H48" s="500"/>
      <c r="I48" s="500"/>
      <c r="J48" s="500"/>
      <c r="K48" s="62" t="str">
        <f>IF(AND('Mapa final'!$AH$47="Baja",'Mapa final'!$AJ$47="Leve"),CONCATENATE("R2C",'Mapa final'!$R$47),"")</f>
        <v/>
      </c>
      <c r="L48" s="63" t="str">
        <f>IF(AND('Mapa final'!$AH$48="Baja",'Mapa final'!$AJ$48="Leve"),CONCATENATE("R2C",'Mapa final'!$R$48),"")</f>
        <v/>
      </c>
      <c r="M48" s="63" t="str">
        <f>IF(AND('Mapa final'!$AH$49="Baja",'Mapa final'!$AJ$49="Leve"),CONCATENATE("R2C",'Mapa final'!$R$49),"")</f>
        <v/>
      </c>
      <c r="N48" s="63" t="str">
        <f>IF(AND('Mapa final'!$AH$50="Baja",'Mapa final'!$AJ$50="Leve"),CONCATENATE("R2C",'Mapa final'!$R$50),"")</f>
        <v/>
      </c>
      <c r="O48" s="63" t="str">
        <f>IF(AND('Mapa final'!$AH$51="Baja",'Mapa final'!$AJ$51="Leve"),CONCATENATE("R2C",'Mapa final'!$R$51),"")</f>
        <v/>
      </c>
      <c r="P48" s="64" t="str">
        <f>IF(AND('Mapa final'!$AH$52="Baja",'Mapa final'!$AJ$52="Leve"),CONCATENATE("R2C",'Mapa final'!$R$52),"")</f>
        <v/>
      </c>
      <c r="Q48" s="53" t="str">
        <f>IF(AND('Mapa final'!$AH$47="Baja",'Mapa final'!$AJ$47="Menor"),CONCATENATE("R2C",'Mapa final'!$R$47),"")</f>
        <v/>
      </c>
      <c r="R48" s="54" t="str">
        <f>IF(AND('Mapa final'!$AH$48="Baja",'Mapa final'!$AJ$48="Menor"),CONCATENATE("R2C",'Mapa final'!$R$48),"")</f>
        <v/>
      </c>
      <c r="S48" s="54" t="str">
        <f>IF(AND('Mapa final'!$AH$49="Baja",'Mapa final'!$AJ$49="Menor"),CONCATENATE("R2C",'Mapa final'!$R$49),"")</f>
        <v/>
      </c>
      <c r="T48" s="54" t="str">
        <f>IF(AND('Mapa final'!$AH$50="Baja",'Mapa final'!$AJ$50="Menor"),CONCATENATE("R2C",'Mapa final'!$R$50),"")</f>
        <v/>
      </c>
      <c r="U48" s="54" t="str">
        <f>IF(AND('Mapa final'!$AH$51="Baja",'Mapa final'!$AJ$51="Menor"),CONCATENATE("R2C",'Mapa final'!$R$51),"")</f>
        <v/>
      </c>
      <c r="V48" s="55" t="str">
        <f>IF(AND('Mapa final'!$AH$52="Baja",'Mapa final'!$AJ$52="Menor"),CONCATENATE("R2C",'Mapa final'!$R$52),"")</f>
        <v/>
      </c>
      <c r="W48" s="53" t="str">
        <f>IF(AND('Mapa final'!$AH$47="Baja",'Mapa final'!$AJ$47="Moderado"),CONCATENATE("R2C",'Mapa final'!$R$47),"")</f>
        <v/>
      </c>
      <c r="X48" s="54" t="str">
        <f>IF(AND('Mapa final'!$AH$48="Baja",'Mapa final'!$AJ$48="Moderado"),CONCATENATE("R2C",'Mapa final'!$R$48),"")</f>
        <v/>
      </c>
      <c r="Y48" s="54" t="str">
        <f>IF(AND('Mapa final'!$AH$49="Baja",'Mapa final'!$AJ$49="Moderado"),CONCATENATE("R2C",'Mapa final'!$R$49),"")</f>
        <v/>
      </c>
      <c r="Z48" s="54" t="str">
        <f>IF(AND('Mapa final'!$AH$50="Baja",'Mapa final'!$AJ$50="Moderado"),CONCATENATE("R2C",'Mapa final'!$R$50),"")</f>
        <v/>
      </c>
      <c r="AA48" s="54" t="str">
        <f>IF(AND('Mapa final'!$AH$51="Baja",'Mapa final'!$AJ$51="Moderado"),CONCATENATE("R2C",'Mapa final'!$R$51),"")</f>
        <v/>
      </c>
      <c r="AB48" s="55" t="str">
        <f>IF(AND('Mapa final'!$AH$52="Baja",'Mapa final'!$AJ$52="Moderado"),CONCATENATE("R2C",'Mapa final'!$R$52),"")</f>
        <v/>
      </c>
      <c r="AC48" s="38" t="str">
        <f>IF(AND('Mapa final'!$AH$47="Baja",'Mapa final'!$AJ$47="Mayor"),CONCATENATE("R2C",'Mapa final'!$R$47),"")</f>
        <v/>
      </c>
      <c r="AD48" s="39" t="str">
        <f>IF(AND('Mapa final'!$AH$48="Baja",'Mapa final'!$AJ$48="Mayor"),CONCATENATE("R2C",'Mapa final'!$R$48),"")</f>
        <v/>
      </c>
      <c r="AE48" s="39" t="str">
        <f>IF(AND('Mapa final'!$AH$49="Baja",'Mapa final'!$AJ$49="Mayor"),CONCATENATE("R2C",'Mapa final'!$R$49),"")</f>
        <v/>
      </c>
      <c r="AF48" s="39" t="str">
        <f>IF(AND('Mapa final'!$AH$50="Baja",'Mapa final'!$AJ$50="Mayor"),CONCATENATE("R2C",'Mapa final'!$R$50),"")</f>
        <v/>
      </c>
      <c r="AG48" s="39" t="str">
        <f>IF(AND('Mapa final'!$AH$51="Baja",'Mapa final'!$AJ$51="Mayor"),CONCATENATE("R2C",'Mapa final'!$R$51),"")</f>
        <v/>
      </c>
      <c r="AH48" s="40" t="str">
        <f>IF(AND('Mapa final'!$AH$52="Baja",'Mapa final'!$AJ$52="Mayor"),CONCATENATE("R2C",'Mapa final'!$R$52),"")</f>
        <v/>
      </c>
      <c r="AI48" s="41" t="str">
        <f>IF(AND('Mapa final'!$AH$47="Baja",'Mapa final'!$AJ$47="Catastrófico"),CONCATENATE("R2C",'Mapa final'!$R$47),"")</f>
        <v/>
      </c>
      <c r="AJ48" s="42" t="str">
        <f>IF(AND('Mapa final'!$AH$48="Baja",'Mapa final'!$AJ$48="Catastrófico"),CONCATENATE("R2C",'Mapa final'!$R$48),"")</f>
        <v/>
      </c>
      <c r="AK48" s="42" t="str">
        <f>IF(AND('Mapa final'!$AH$49="Baja",'Mapa final'!$AJ$49="Catastrófico"),CONCATENATE("R2C",'Mapa final'!$R$49),"")</f>
        <v/>
      </c>
      <c r="AL48" s="42" t="str">
        <f>IF(AND('Mapa final'!$AH$50="Baja",'Mapa final'!$AJ$50="Catastrófico"),CONCATENATE("R2C",'Mapa final'!$R$50),"")</f>
        <v/>
      </c>
      <c r="AM48" s="42" t="str">
        <f>IF(AND('Mapa final'!$AH$51="Baja",'Mapa final'!$AJ$51="Catastrófico"),CONCATENATE("R2C",'Mapa final'!$R$51),"")</f>
        <v/>
      </c>
      <c r="AN48" s="43" t="str">
        <f>IF(AND('Mapa final'!$AH$52="Baja",'Mapa final'!$AJ$52="Catastrófico"),CONCATENATE("R2C",'Mapa final'!$R$52),"")</f>
        <v/>
      </c>
      <c r="AO48" s="68"/>
      <c r="AP48" s="531"/>
      <c r="AQ48" s="532"/>
      <c r="AR48" s="532"/>
      <c r="AS48" s="532"/>
      <c r="AT48" s="532"/>
      <c r="AU48" s="533"/>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56"/>
      <c r="D49" s="456"/>
      <c r="E49" s="457"/>
      <c r="F49" s="499"/>
      <c r="G49" s="500"/>
      <c r="H49" s="500"/>
      <c r="I49" s="500"/>
      <c r="J49" s="500"/>
      <c r="K49" s="62" t="str">
        <f>IF(AND('Mapa final'!$AH$53="Baja",'Mapa final'!$AJ$53="Leve"),CONCATENATE("R2C",'Mapa final'!$R$53),"")</f>
        <v/>
      </c>
      <c r="L49" s="63" t="str">
        <f>IF(AND('Mapa final'!$AH$54="Baja",'Mapa final'!$AJ$54="Leve"),CONCATENATE("R2C",'Mapa final'!$R$54),"")</f>
        <v/>
      </c>
      <c r="M49" s="63" t="str">
        <f>IF(AND('Mapa final'!$AH$55="Baja",'Mapa final'!$AJ$55="Leve"),CONCATENATE("R2C",'Mapa final'!$R$55),"")</f>
        <v/>
      </c>
      <c r="N49" s="63" t="str">
        <f>IF(AND('Mapa final'!$AH$56="Baja",'Mapa final'!$AJ$56="Leve"),CONCATENATE("R2C",'Mapa final'!$R$56),"")</f>
        <v/>
      </c>
      <c r="O49" s="63" t="str">
        <f>IF(AND('Mapa final'!$AH$57="Baja",'Mapa final'!$AJ$57="Leve"),CONCATENATE("R2C",'Mapa final'!$R$57),"")</f>
        <v/>
      </c>
      <c r="P49" s="64" t="str">
        <f>IF(AND('Mapa final'!$AH$58="Baja",'Mapa final'!$AJ$58="Leve"),CONCATENATE("R2C",'Mapa final'!$R$58),"")</f>
        <v/>
      </c>
      <c r="Q49" s="53" t="str">
        <f>IF(AND('Mapa final'!$AH$53="Baja",'Mapa final'!$AJ$53="Menor"),CONCATENATE("R2C",'Mapa final'!$R$53),"")</f>
        <v/>
      </c>
      <c r="R49" s="54" t="str">
        <f>IF(AND('Mapa final'!$AH$54="Baja",'Mapa final'!$AJ$54="Menor"),CONCATENATE("R2C",'Mapa final'!$R$54),"")</f>
        <v/>
      </c>
      <c r="S49" s="54" t="str">
        <f>IF(AND('Mapa final'!$AH$55="Baja",'Mapa final'!$AJ$55="Menor"),CONCATENATE("R2C",'Mapa final'!$R$55),"")</f>
        <v/>
      </c>
      <c r="T49" s="54" t="str">
        <f>IF(AND('Mapa final'!$AH$56="Baja",'Mapa final'!$AJ$56="Menor"),CONCATENATE("R2C",'Mapa final'!$R$56),"")</f>
        <v/>
      </c>
      <c r="U49" s="54" t="str">
        <f>IF(AND('Mapa final'!$AH$57="Baja",'Mapa final'!$AJ$57="Menor"),CONCATENATE("R2C",'Mapa final'!$R$57),"")</f>
        <v/>
      </c>
      <c r="V49" s="55" t="str">
        <f>IF(AND('Mapa final'!$AH$58="Baja",'Mapa final'!$AJ$58="Menor"),CONCATENATE("R2C",'Mapa final'!$R$58),"")</f>
        <v/>
      </c>
      <c r="W49" s="53" t="str">
        <f>IF(AND('Mapa final'!$AH$53="Baja",'Mapa final'!$AJ$53="Moderado"),CONCATENATE("R2C",'Mapa final'!$R$53),"")</f>
        <v/>
      </c>
      <c r="X49" s="54" t="str">
        <f>IF(AND('Mapa final'!$AH$54="Baja",'Mapa final'!$AJ$54="Moderado"),CONCATENATE("R2C",'Mapa final'!$R$54),"")</f>
        <v/>
      </c>
      <c r="Y49" s="54" t="str">
        <f>IF(AND('Mapa final'!$AH$55="Baja",'Mapa final'!$AJ$55="Moderado"),CONCATENATE("R2C",'Mapa final'!$R$55),"")</f>
        <v/>
      </c>
      <c r="Z49" s="54" t="str">
        <f>IF(AND('Mapa final'!$AH$56="Baja",'Mapa final'!$AJ$56="Moderado"),CONCATENATE("R2C",'Mapa final'!$R$56),"")</f>
        <v/>
      </c>
      <c r="AA49" s="54" t="str">
        <f>IF(AND('Mapa final'!$AH$57="Baja",'Mapa final'!$AJ$57="Moderado"),CONCATENATE("R2C",'Mapa final'!$R$57),"")</f>
        <v/>
      </c>
      <c r="AB49" s="55" t="str">
        <f>IF(AND('Mapa final'!$AH$58="Baja",'Mapa final'!$AJ$58="Moderado"),CONCATENATE("R2C",'Mapa final'!$R$58),"")</f>
        <v/>
      </c>
      <c r="AC49" s="38" t="str">
        <f>IF(AND('Mapa final'!$AH$53="Baja",'Mapa final'!$AJ$53="Mayor"),CONCATENATE("R2C",'Mapa final'!$R$53),"")</f>
        <v/>
      </c>
      <c r="AD49" s="39" t="str">
        <f>IF(AND('Mapa final'!$AH$54="Baja",'Mapa final'!$AJ$54="Mayor"),CONCATENATE("R2C",'Mapa final'!$R$54),"")</f>
        <v/>
      </c>
      <c r="AE49" s="39" t="str">
        <f>IF(AND('Mapa final'!$AH$55="Baja",'Mapa final'!$AJ$55="Mayor"),CONCATENATE("R2C",'Mapa final'!$R$55),"")</f>
        <v/>
      </c>
      <c r="AF49" s="39" t="str">
        <f>IF(AND('Mapa final'!$AH$56="Baja",'Mapa final'!$AJ$56="Mayor"),CONCATENATE("R2C",'Mapa final'!$R$56),"")</f>
        <v/>
      </c>
      <c r="AG49" s="39" t="str">
        <f>IF(AND('Mapa final'!$AH$57="Baja",'Mapa final'!$AJ$57="Mayor"),CONCATENATE("R2C",'Mapa final'!$R$57),"")</f>
        <v/>
      </c>
      <c r="AH49" s="40" t="str">
        <f>IF(AND('Mapa final'!$AH$58="Baja",'Mapa final'!$AJ$58="Mayor"),CONCATENATE("R2C",'Mapa final'!$R$58),"")</f>
        <v/>
      </c>
      <c r="AI49" s="41" t="str">
        <f>IF(AND('Mapa final'!$AH$53="Baja",'Mapa final'!$AJ$53="Catastrófico"),CONCATENATE("R2C",'Mapa final'!$R$53),"")</f>
        <v/>
      </c>
      <c r="AJ49" s="42" t="str">
        <f>IF(AND('Mapa final'!$AH$54="Baja",'Mapa final'!$AJ$54="Catastrófico"),CONCATENATE("R2C",'Mapa final'!$R$54),"")</f>
        <v/>
      </c>
      <c r="AK49" s="42" t="str">
        <f>IF(AND('Mapa final'!$AH$55="Baja",'Mapa final'!$AJ$55="Catastrófico"),CONCATENATE("R2C",'Mapa final'!$R$55),"")</f>
        <v/>
      </c>
      <c r="AL49" s="42" t="str">
        <f>IF(AND('Mapa final'!$AH$56="Baja",'Mapa final'!$AJ$56="Catastrófico"),CONCATENATE("R2C",'Mapa final'!$R$56),"")</f>
        <v/>
      </c>
      <c r="AM49" s="42" t="str">
        <f>IF(AND('Mapa final'!$AH$57="Baja",'Mapa final'!$AJ$57="Catastrófico"),CONCATENATE("R2C",'Mapa final'!$R$57),"")</f>
        <v/>
      </c>
      <c r="AN49" s="43" t="str">
        <f>IF(AND('Mapa final'!$AH$58="Baja",'Mapa final'!$AJ$58="Catastrófico"),CONCATENATE("R2C",'Mapa final'!$R$58),"")</f>
        <v/>
      </c>
      <c r="AO49" s="68"/>
      <c r="AP49" s="531"/>
      <c r="AQ49" s="532"/>
      <c r="AR49" s="532"/>
      <c r="AS49" s="532"/>
      <c r="AT49" s="532"/>
      <c r="AU49" s="533"/>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56"/>
      <c r="D50" s="456"/>
      <c r="E50" s="457"/>
      <c r="F50" s="499"/>
      <c r="G50" s="500"/>
      <c r="H50" s="500"/>
      <c r="I50" s="500"/>
      <c r="J50" s="500"/>
      <c r="K50" s="62" t="str">
        <f>IF(AND('Mapa final'!$AH$59="Baja",'Mapa final'!$AJ$59="Leve"),CONCATENATE("R2C",'Mapa final'!$R$59),"")</f>
        <v/>
      </c>
      <c r="L50" s="63" t="str">
        <f>IF(AND('Mapa final'!$AH$60="Baja",'Mapa final'!$AJ$60="Leve"),CONCATENATE("R2C",'Mapa final'!$R$60),"")</f>
        <v/>
      </c>
      <c r="M50" s="63" t="str">
        <f>IF(AND('Mapa final'!$AH$61="Baja",'Mapa final'!$AJ$61="Leve"),CONCATENATE("R2C",'Mapa final'!$R$61),"")</f>
        <v/>
      </c>
      <c r="N50" s="63" t="str">
        <f>IF(AND('Mapa final'!$AH$62="Baja",'Mapa final'!$AJ$62="Leve"),CONCATENATE("R2C",'Mapa final'!$R$62),"")</f>
        <v/>
      </c>
      <c r="O50" s="63" t="str">
        <f>IF(AND('Mapa final'!$AH$63="Baja",'Mapa final'!$AJ$63="Leve"),CONCATENATE("R2C",'Mapa final'!$R$63),"")</f>
        <v/>
      </c>
      <c r="P50" s="64" t="str">
        <f>IF(AND('Mapa final'!$AH$64="Baja",'Mapa final'!$AJ$64="Leve"),CONCATENATE("R2C",'Mapa final'!$R$64),"")</f>
        <v/>
      </c>
      <c r="Q50" s="53" t="str">
        <f>IF(AND('Mapa final'!$AH$59="Baja",'Mapa final'!$AJ$59="Menor"),CONCATENATE("R2C",'Mapa final'!$R$59),"")</f>
        <v/>
      </c>
      <c r="R50" s="54" t="str">
        <f>IF(AND('Mapa final'!$AH$60="Baja",'Mapa final'!$AJ$60="Menor"),CONCATENATE("R2C",'Mapa final'!$R$60),"")</f>
        <v/>
      </c>
      <c r="S50" s="54" t="str">
        <f>IF(AND('Mapa final'!$AH$61="Baja",'Mapa final'!$AJ$61="Menor"),CONCATENATE("R2C",'Mapa final'!$R$61),"")</f>
        <v/>
      </c>
      <c r="T50" s="54" t="str">
        <f>IF(AND('Mapa final'!$AH$62="Baja",'Mapa final'!$AJ$62="Menor"),CONCATENATE("R2C",'Mapa final'!$R$62),"")</f>
        <v/>
      </c>
      <c r="U50" s="54" t="str">
        <f>IF(AND('Mapa final'!$AH$63="Baja",'Mapa final'!$AJ$63="Menor"),CONCATENATE("R2C",'Mapa final'!$R$63),"")</f>
        <v/>
      </c>
      <c r="V50" s="55" t="str">
        <f>IF(AND('Mapa final'!$AH$64="Baja",'Mapa final'!$AJ$64="Menor"),CONCATENATE("R2C",'Mapa final'!$R$64),"")</f>
        <v/>
      </c>
      <c r="W50" s="53" t="str">
        <f>IF(AND('Mapa final'!$AH$59="Baja",'Mapa final'!$AJ$59="Moderado"),CONCATENATE("R2C",'Mapa final'!$R$59),"")</f>
        <v/>
      </c>
      <c r="X50" s="54" t="str">
        <f>IF(AND('Mapa final'!$AH$60="Baja",'Mapa final'!$AJ$60="Moderado"),CONCATENATE("R2C",'Mapa final'!$R$60),"")</f>
        <v/>
      </c>
      <c r="Y50" s="54" t="str">
        <f>IF(AND('Mapa final'!$AH$61="Baja",'Mapa final'!$AJ$61="Moderado"),CONCATENATE("R2C",'Mapa final'!$R$61),"")</f>
        <v/>
      </c>
      <c r="Z50" s="54" t="str">
        <f>IF(AND('Mapa final'!$AH$62="Baja",'Mapa final'!$AJ$62="Moderado"),CONCATENATE("R2C",'Mapa final'!$R$62),"")</f>
        <v/>
      </c>
      <c r="AA50" s="54" t="str">
        <f>IF(AND('Mapa final'!$AH$63="Baja",'Mapa final'!$AJ$63="Moderado"),CONCATENATE("R2C",'Mapa final'!$R$63),"")</f>
        <v/>
      </c>
      <c r="AB50" s="55" t="str">
        <f>IF(AND('Mapa final'!$AH$64="Baja",'Mapa final'!$AJ$64="Moderado"),CONCATENATE("R2C",'Mapa final'!$R$64),"")</f>
        <v/>
      </c>
      <c r="AC50" s="38" t="str">
        <f>IF(AND('Mapa final'!$AH$59="Baja",'Mapa final'!$AJ$59="Mayor"),CONCATENATE("R2C",'Mapa final'!$R$59),"")</f>
        <v/>
      </c>
      <c r="AD50" s="39" t="str">
        <f>IF(AND('Mapa final'!$AH$60="Baja",'Mapa final'!$AJ$60="Mayor"),CONCATENATE("R2C",'Mapa final'!$R$60),"")</f>
        <v/>
      </c>
      <c r="AE50" s="39" t="str">
        <f>IF(AND('Mapa final'!$AH$61="Baja",'Mapa final'!$AJ$61="Mayor"),CONCATENATE("R2C",'Mapa final'!$R$61),"")</f>
        <v/>
      </c>
      <c r="AF50" s="39" t="str">
        <f>IF(AND('Mapa final'!$AH$62="Baja",'Mapa final'!$AJ$62="Mayor"),CONCATENATE("R2C",'Mapa final'!$R$62),"")</f>
        <v/>
      </c>
      <c r="AG50" s="39" t="str">
        <f>IF(AND('Mapa final'!$AH$63="Baja",'Mapa final'!$AJ$63="Mayor"),CONCATENATE("R2C",'Mapa final'!$R$63),"")</f>
        <v/>
      </c>
      <c r="AH50" s="40" t="str">
        <f>IF(AND('Mapa final'!$AH$64="Baja",'Mapa final'!$AJ$64="Mayor"),CONCATENATE("R2C",'Mapa final'!$R$64),"")</f>
        <v/>
      </c>
      <c r="AI50" s="41" t="str">
        <f>IF(AND('Mapa final'!$AH$59="Baja",'Mapa final'!$AJ$59="Catastrófico"),CONCATENATE("R2C",'Mapa final'!$R$59),"")</f>
        <v/>
      </c>
      <c r="AJ50" s="42" t="str">
        <f>IF(AND('Mapa final'!$AH$60="Baja",'Mapa final'!$AJ$60="Catastrófico"),CONCATENATE("R2C",'Mapa final'!$R$60),"")</f>
        <v/>
      </c>
      <c r="AK50" s="42" t="str">
        <f>IF(AND('Mapa final'!$AH$61="Baja",'Mapa final'!$AJ$61="Catastrófico"),CONCATENATE("R2C",'Mapa final'!$R$61),"")</f>
        <v/>
      </c>
      <c r="AL50" s="42" t="str">
        <f>IF(AND('Mapa final'!$AH$62="Baja",'Mapa final'!$AJ$62="Catastrófico"),CONCATENATE("R2C",'Mapa final'!$R$62),"")</f>
        <v/>
      </c>
      <c r="AM50" s="42" t="str">
        <f>IF(AND('Mapa final'!$AH$63="Baja",'Mapa final'!$AJ$63="Catastrófico"),CONCATENATE("R2C",'Mapa final'!$R$63),"")</f>
        <v/>
      </c>
      <c r="AN50" s="43" t="str">
        <f>IF(AND('Mapa final'!$AH$64="Baja",'Mapa final'!$AJ$64="Catastrófico"),CONCATENATE("R2C",'Mapa final'!$R$64),"")</f>
        <v/>
      </c>
      <c r="AO50" s="68"/>
      <c r="AP50" s="531"/>
      <c r="AQ50" s="532"/>
      <c r="AR50" s="532"/>
      <c r="AS50" s="532"/>
      <c r="AT50" s="532"/>
      <c r="AU50" s="533"/>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56"/>
      <c r="D51" s="456"/>
      <c r="E51" s="457"/>
      <c r="F51" s="502"/>
      <c r="G51" s="503"/>
      <c r="H51" s="503"/>
      <c r="I51" s="503"/>
      <c r="J51" s="503"/>
      <c r="K51" s="65" t="str">
        <f>IF(AND('Mapa final'!$AH$65="Baja",'Mapa final'!$AJ$65="Leve"),CONCATENATE("R2C",'Mapa final'!$R$65),"")</f>
        <v/>
      </c>
      <c r="L51" s="66" t="str">
        <f>IF(AND('Mapa final'!$AH$66="Baja",'Mapa final'!$AJ$66="Leve"),CONCATENATE("R2C",'Mapa final'!$R$66),"")</f>
        <v/>
      </c>
      <c r="M51" s="66" t="str">
        <f>IF(AND('Mapa final'!$AH$67="Baja",'Mapa final'!$AJ$67="Leve"),CONCATENATE("R2C",'Mapa final'!$R$67),"")</f>
        <v/>
      </c>
      <c r="N51" s="66" t="str">
        <f>IF(AND('Mapa final'!$AH$68="Baja",'Mapa final'!$AJ$68="Leve"),CONCATENATE("R2C",'Mapa final'!$R$68),"")</f>
        <v/>
      </c>
      <c r="O51" s="66" t="str">
        <f>IF(AND('Mapa final'!$AH$70="Baja",'Mapa final'!$AJ$70="Leve"),CONCATENATE("R2C",'Mapa final'!$R$70),"")</f>
        <v/>
      </c>
      <c r="P51" s="67" t="str">
        <f>IF(AND('Mapa final'!$AH$71="Baja",'Mapa final'!$AJ$71="Leve"),CONCATENATE("R2C",'Mapa final'!$R$71),"")</f>
        <v/>
      </c>
      <c r="Q51" s="53" t="str">
        <f>IF(AND('Mapa final'!$AH$65="Baja",'Mapa final'!$AJ$65="Menor"),CONCATENATE("R2C",'Mapa final'!$R$65),"")</f>
        <v/>
      </c>
      <c r="R51" s="54" t="str">
        <f>IF(AND('Mapa final'!$AH$66="Baja",'Mapa final'!$AJ$66="Menor"),CONCATENATE("R2C",'Mapa final'!$R$66),"")</f>
        <v/>
      </c>
      <c r="S51" s="54" t="str">
        <f>IF(AND('Mapa final'!$AH$67="Baja",'Mapa final'!$AJ$67="Menor"),CONCATENATE("R2C",'Mapa final'!$R$67),"")</f>
        <v/>
      </c>
      <c r="T51" s="54" t="str">
        <f>IF(AND('Mapa final'!$AH$68="Baja",'Mapa final'!$AJ$68="Menor"),CONCATENATE("R2C",'Mapa final'!$R$68),"")</f>
        <v/>
      </c>
      <c r="U51" s="54" t="str">
        <f>IF(AND('Mapa final'!$AH$70="Baja",'Mapa final'!$AJ$70="Menor"),CONCATENATE("R2C",'Mapa final'!$R$70),"")</f>
        <v/>
      </c>
      <c r="V51" s="55" t="str">
        <f>IF(AND('Mapa final'!$AH$71="Baja",'Mapa final'!$AJ$71="Menor"),CONCATENATE("R2C",'Mapa final'!$R$71),"")</f>
        <v/>
      </c>
      <c r="W51" s="56" t="str">
        <f>IF(AND('Mapa final'!$AH$65="Baja",'Mapa final'!$AJ$65="Moderado"),CONCATENATE("R2C",'Mapa final'!$R$65),"")</f>
        <v/>
      </c>
      <c r="X51" s="57" t="str">
        <f>IF(AND('Mapa final'!$AH$66="Baja",'Mapa final'!$AJ$66="Moderado"),CONCATENATE("R2C",'Mapa final'!$R$66),"")</f>
        <v/>
      </c>
      <c r="Y51" s="57" t="str">
        <f>IF(AND('Mapa final'!$AH$67="Baja",'Mapa final'!$AJ$67="Moderado"),CONCATENATE("R2C",'Mapa final'!$R$67),"")</f>
        <v/>
      </c>
      <c r="Z51" s="57" t="str">
        <f>IF(AND('Mapa final'!$AH$68="Baja",'Mapa final'!$AJ$68="Moderado"),CONCATENATE("R2C",'Mapa final'!$R$68),"")</f>
        <v/>
      </c>
      <c r="AA51" s="57" t="str">
        <f>IF(AND('Mapa final'!$AH$70="Baja",'Mapa final'!$AJ$70="Moderado"),CONCATENATE("R2C",'Mapa final'!$R$70),"")</f>
        <v/>
      </c>
      <c r="AB51" s="58" t="str">
        <f>IF(AND('Mapa final'!$AH$71="Baja",'Mapa final'!$AJ$71="Moderado"),CONCATENATE("R2C",'Mapa final'!$R$71),"")</f>
        <v/>
      </c>
      <c r="AC51" s="44" t="str">
        <f>IF(AND('Mapa final'!$AH$65="Baja",'Mapa final'!$AJ$65="Mayor"),CONCATENATE("R2C",'Mapa final'!$R$65),"")</f>
        <v/>
      </c>
      <c r="AD51" s="45" t="str">
        <f>IF(AND('Mapa final'!$AH$66="Baja",'Mapa final'!$AJ$66="Mayor"),CONCATENATE("R2C",'Mapa final'!$R$66),"")</f>
        <v/>
      </c>
      <c r="AE51" s="45" t="str">
        <f>IF(AND('Mapa final'!$AH$67="Baja",'Mapa final'!$AJ$67="Mayor"),CONCATENATE("R2C",'Mapa final'!$R$67),"")</f>
        <v/>
      </c>
      <c r="AF51" s="45" t="str">
        <f>IF(AND('Mapa final'!$AH$68="Baja",'Mapa final'!$AJ$68="Mayor"),CONCATENATE("R2C",'Mapa final'!$R$68),"")</f>
        <v/>
      </c>
      <c r="AG51" s="45" t="str">
        <f>IF(AND('Mapa final'!$AH$70="Baja",'Mapa final'!$AJ$70="Mayor"),CONCATENATE("R2C",'Mapa final'!$R$70),"")</f>
        <v/>
      </c>
      <c r="AH51" s="46" t="str">
        <f>IF(AND('Mapa final'!$AH$71="Baja",'Mapa final'!$AJ$71="Mayor"),CONCATENATE("R2C",'Mapa final'!$R$71),"")</f>
        <v/>
      </c>
      <c r="AI51" s="47" t="str">
        <f>IF(AND('Mapa final'!$AH$65="Baja",'Mapa final'!$AJ$65="Catastrófico"),CONCATENATE("R2C",'Mapa final'!$R$65),"")</f>
        <v/>
      </c>
      <c r="AJ51" s="48" t="str">
        <f>IF(AND('Mapa final'!$AH$66="Baja",'Mapa final'!$AJ$66="Catastrófico"),CONCATENATE("R2C",'Mapa final'!$R$66),"")</f>
        <v/>
      </c>
      <c r="AK51" s="48" t="str">
        <f>IF(AND('Mapa final'!$AH$67="Baja",'Mapa final'!$AJ$67="Catastrófico"),CONCATENATE("R2C",'Mapa final'!$R$67),"")</f>
        <v/>
      </c>
      <c r="AL51" s="48" t="str">
        <f>IF(AND('Mapa final'!$AH$68="Baja",'Mapa final'!$AJ$68="Catastrófico"),CONCATENATE("R2C",'Mapa final'!$R$68),"")</f>
        <v/>
      </c>
      <c r="AM51" s="48" t="str">
        <f>IF(AND('Mapa final'!$AH$70="Baja",'Mapa final'!$AJ$70="Catastrófico"),CONCATENATE("R2C",'Mapa final'!$R$70),"")</f>
        <v/>
      </c>
      <c r="AN51" s="49" t="str">
        <f>IF(AND('Mapa final'!$AH$71="Baja",'Mapa final'!$AJ$71="Catastrófico"),CONCATENATE("R2C",'Mapa final'!$R$71),"")</f>
        <v/>
      </c>
      <c r="AO51" s="68"/>
      <c r="AP51" s="534"/>
      <c r="AQ51" s="535"/>
      <c r="AR51" s="535"/>
      <c r="AS51" s="535"/>
      <c r="AT51" s="535"/>
      <c r="AU51" s="536"/>
    </row>
    <row r="52" spans="2:81" ht="41.25" customHeight="1">
      <c r="B52" s="68"/>
      <c r="C52" s="456"/>
      <c r="D52" s="456"/>
      <c r="E52" s="457"/>
      <c r="F52" s="496" t="s">
        <v>261</v>
      </c>
      <c r="G52" s="497"/>
      <c r="H52" s="497"/>
      <c r="I52" s="497"/>
      <c r="J52" s="498"/>
      <c r="K52" s="59"/>
      <c r="L52" s="60" t="str">
        <f>IF(AND('Mapa final'!$AH$17="Muy Baja",'Mapa final'!$AJ$17="Leve"),CONCATENATE("R2C",'Mapa final'!$R$15),"")</f>
        <v/>
      </c>
      <c r="M52" s="60" t="str">
        <f>IF(AND('Mapa final'!$AH$18="Muy Baja",'Mapa final'!$AJ$18="Leve"),CONCATENATE("R2C",'Mapa final'!$R$18),"")</f>
        <v/>
      </c>
      <c r="N52" s="60" t="e">
        <f>IF(AND('Mapa final'!#REF!="Muy Baja",'Mapa final'!#REF!="Leve"),CONCATENATE("R2C",'Mapa final'!#REF!),"")</f>
        <v>#REF!</v>
      </c>
      <c r="O52" s="60" t="e">
        <f>IF(AND('Mapa final'!#REF!="Muy Baja",'Mapa final'!#REF!="Leve"),CONCATENATE("R2C",'Mapa final'!#REF!),"")</f>
        <v>#REF!</v>
      </c>
      <c r="P52" s="61" t="e">
        <f>IF(AND('Mapa final'!#REF!="Muy Baja",'Mapa final'!#REF!="Leve"),CONCATENATE("R2C",'Mapa final'!#REF!),"")</f>
        <v>#REF!</v>
      </c>
      <c r="Q52" s="59"/>
      <c r="R52" s="60" t="str">
        <f>IF(AND('Mapa final'!$AH$17="Muy Baja",'Mapa final'!$AJ$17="Menore"),CONCATENATE("R2C",'Mapa final'!$R$15),"")</f>
        <v/>
      </c>
      <c r="S52" s="60" t="str">
        <f>IF(AND('Mapa final'!$AH$18="Muy Baja",'Mapa final'!$AJ$18="Menor"),CONCATENATE("R2C",'Mapa final'!$R$18),"")</f>
        <v/>
      </c>
      <c r="T52" s="60" t="e">
        <f>IF(AND('Mapa final'!#REF!="Muy Baja",'Mapa final'!#REF!="Menor"),CONCATENATE("R2C",'Mapa final'!#REF!),"")</f>
        <v>#REF!</v>
      </c>
      <c r="U52" s="60" t="e">
        <f>IF(AND('Mapa final'!#REF!="Muy Baja",'Mapa final'!#REF!="Menor"),CONCATENATE("R2C",'Mapa final'!#REF!),"")</f>
        <v>#REF!</v>
      </c>
      <c r="V52" s="61" t="e">
        <f>IF(AND('Mapa final'!#REF!="Muy Baja",'Mapa final'!#REF!="Menor"),CONCATENATE("R2C",'Mapa final'!#REF!),"")</f>
        <v>#REF!</v>
      </c>
      <c r="W52" s="50"/>
      <c r="X52" s="202" t="str">
        <f>IF(AND('Mapa final'!$AH$17="Muy Baja",'Mapa final'!$AJ$17="Moderado"),CONCATENATE("R2C",'Mapa final'!$D$15),"")</f>
        <v/>
      </c>
      <c r="Y52" s="51"/>
      <c r="Z52" s="51" t="e">
        <f>IF(AND('Mapa final'!#REF!="Muy Baja",'Mapa final'!#REF!="Moderado"),CONCATENATE("R2C",'Mapa final'!#REF!),"")</f>
        <v>#REF!</v>
      </c>
      <c r="AA52" s="51" t="e">
        <f>IF(AND('Mapa final'!#REF!="Muy Baja",'Mapa final'!#REF!="Moderado"),CONCATENATE("R2C",'Mapa final'!#REF!),"")</f>
        <v>#REF!</v>
      </c>
      <c r="AB52" s="52" t="e">
        <f>IF(AND('Mapa final'!#REF!="Muy Baja",'Mapa final'!#REF!="Moderado"),CONCATENATE("R2C",'Mapa final'!#REF!),"")</f>
        <v>#REF!</v>
      </c>
      <c r="AC52" s="32"/>
      <c r="AD52" s="33" t="str">
        <f>IF(AND('Mapa final'!$AH$17="Muy Baja",'Mapa final'!$AJ$17="Mayor"),CONCATENATE("R2C",'Mapa final'!$R$15),"")</f>
        <v/>
      </c>
      <c r="AE52" s="201" t="str">
        <f>IF(AND('Mapa final'!$AH$18="Muy Baja",'Mapa final'!$AJ$18="Mayor"),CONCATENATE("R2C",'Mapa final'!$D$18),"")</f>
        <v/>
      </c>
      <c r="AF52" s="33" t="e">
        <f>IF(AND('Mapa final'!#REF!="Muy Baja",'Mapa final'!#REF!="Mayor"),CONCATENATE("R2C",'Mapa final'!#REF!),"")</f>
        <v>#REF!</v>
      </c>
      <c r="AG52" s="33" t="e">
        <f>IF(AND('Mapa final'!#REF!="Muy Baja",'Mapa final'!#REF!="Mayor"),CONCATENATE("R2C",'Mapa final'!#REF!),"")</f>
        <v>#REF!</v>
      </c>
      <c r="AH52" s="34" t="e">
        <f>IF(AND('Mapa final'!#REF!="Muy Baja",'Mapa final'!#REF!="Mayor"),CONCATENATE("R2C",'Mapa final'!#REF!),"")</f>
        <v>#REF!</v>
      </c>
      <c r="AI52" s="35"/>
      <c r="AJ52" s="36" t="str">
        <f>IF(AND('Mapa final'!$AH$17="Muy Baja",'Mapa final'!$AJ$17="Catastrófico"),CONCATENATE("R2C",'Mapa final'!$D$15),"")</f>
        <v/>
      </c>
      <c r="AK52" s="36" t="str">
        <f>IF(AND('Mapa final'!$AH$18="Muy Baja",'Mapa final'!$AJ$18="Catastrófico"),CONCATENATE("R2C",'Mapa final'!$R$18),"")</f>
        <v/>
      </c>
      <c r="AL52" s="36" t="e">
        <f>IF(AND('Mapa final'!#REF!="Muy Baja",'Mapa final'!#REF!="Catastrófico"),CONCATENATE("R2C",'Mapa final'!#REF!),"")</f>
        <v>#REF!</v>
      </c>
      <c r="AM52" s="36" t="e">
        <f>IF(AND('Mapa final'!#REF!="Muy Baja",'Mapa final'!#REF!="Catastrófico"),CONCATENATE("R2C",'Mapa final'!#REF!),"")</f>
        <v>#REF!</v>
      </c>
      <c r="AN52" s="37" t="e">
        <f>IF(AND('Mapa final'!#REF!="Muy Baja",'Mapa final'!#REF!="Catastrófico"),CONCATENATE("R2C",'Mapa final'!#REF!),"")</f>
        <v>#REF!</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c r="B53" s="68"/>
      <c r="C53" s="456"/>
      <c r="D53" s="456"/>
      <c r="E53" s="457"/>
      <c r="F53" s="515"/>
      <c r="G53" s="500"/>
      <c r="H53" s="500"/>
      <c r="I53" s="500"/>
      <c r="J53" s="501"/>
      <c r="K53" s="62" t="e">
        <f>IF(AND('Mapa final'!#REF!="Muy Baja",'Mapa final'!#REF!="Leve"),CONCATENATE("R2C",'Mapa final'!#REF!),"")</f>
        <v>#REF!</v>
      </c>
      <c r="L53" s="63" t="e">
        <f>IF(AND('Mapa final'!#REF!="Muy Baja",'Mapa final'!#REF!="Leve"),CONCATENATE("R2C",'Mapa final'!#REF!),"")</f>
        <v>#REF!</v>
      </c>
      <c r="M53" s="63" t="str">
        <f>IF(AND('Mapa final'!$AH$19="Muy Baja",'Mapa final'!$AJ$19="Leve"),CONCATENATE("R2C",'Mapa final'!$R$19),"")</f>
        <v/>
      </c>
      <c r="N53" s="63" t="str">
        <f>IF(AND('Mapa final'!$AH$20="Muy Baja",'Mapa final'!$AJ$20="Leve"),CONCATENATE("R2C",'Mapa final'!$R$20),"")</f>
        <v/>
      </c>
      <c r="O53" s="63" t="str">
        <f>IF(AND('Mapa final'!$AH$21="Muy Baja",'Mapa final'!$AJ$21="Leve"),CONCATENATE("R2C",'Mapa final'!$R$21),"")</f>
        <v/>
      </c>
      <c r="P53" s="64" t="str">
        <f>IF(AND('Mapa final'!$AH$22="Muy Baja",'Mapa final'!$AJ$22="Leve"),CONCATENATE("R2C",'Mapa final'!$R$22),"")</f>
        <v/>
      </c>
      <c r="Q53" s="62" t="e">
        <f>IF(AND('Mapa final'!#REF!="Muy Baja",'Mapa final'!#REF!="Menor"),CONCATENATE("R2C",'Mapa final'!#REF!),"")</f>
        <v>#REF!</v>
      </c>
      <c r="R53" s="63" t="e">
        <f>IF(AND('Mapa final'!#REF!="Muy Baja",'Mapa final'!#REF!="Menor"),CONCATENATE("R2C",'Mapa final'!#REF!),"")</f>
        <v>#REF!</v>
      </c>
      <c r="S53" s="63" t="str">
        <f>IF(AND('Mapa final'!$AH$19="Muy Baja",'Mapa final'!$AJ$19="Menor"),CONCATENATE("R2C",'Mapa final'!$R$19),"")</f>
        <v/>
      </c>
      <c r="T53" s="63" t="str">
        <f>IF(AND('Mapa final'!$AH$20="Muy Baja",'Mapa final'!$AJ$20="Menor"),CONCATENATE("R2C",'Mapa final'!$R$20),"")</f>
        <v/>
      </c>
      <c r="U53" s="63" t="str">
        <f>IF(AND('Mapa final'!$AH$21="Muy Baja",'Mapa final'!$AJ$21="Menor"),CONCATENATE("R2C",'Mapa final'!$R$21),"")</f>
        <v/>
      </c>
      <c r="V53" s="64" t="str">
        <f>IF(AND('Mapa final'!$AH$22="Muy Baja",'Mapa final'!$AJ$22="Menor"),CONCATENATE("R2C",'Mapa final'!$R$22),"")</f>
        <v/>
      </c>
      <c r="W53" s="53" t="e">
        <f>IF(AND('Mapa final'!#REF!="Muy Baja",'Mapa final'!#REF!="Moderado"),CONCATENATE("R2C",'Mapa final'!#REF!),"")</f>
        <v>#REF!</v>
      </c>
      <c r="X53" s="54" t="e">
        <f>IF(AND('Mapa final'!#REF!="Muy Baja",'Mapa final'!#REF!="Moderado"),CONCATENATE("R2C",'Mapa final'!#REF!),"")</f>
        <v>#REF!</v>
      </c>
      <c r="Y53" s="54" t="str">
        <f>IF(AND('Mapa final'!$AH$19="Muy Baja",'Mapa final'!$AJ$19="Moderado"),CONCATENATE("R2C",'Mapa final'!$R$19),"")</f>
        <v/>
      </c>
      <c r="Z53" s="54" t="str">
        <f>IF(AND('Mapa final'!$AH$20="Muy Baja",'Mapa final'!$AJ$20="Moderado"),CONCATENATE("R2C",'Mapa final'!$R$20),"")</f>
        <v/>
      </c>
      <c r="AA53" s="54" t="str">
        <f>IF(AND('Mapa final'!$AH$21="Muy Baja",'Mapa final'!$AJ$21="Moderado"),CONCATENATE("R2C",'Mapa final'!$R$21),"")</f>
        <v/>
      </c>
      <c r="AB53" s="55" t="str">
        <f>IF(AND('Mapa final'!$AH$22="Muy Baja",'Mapa final'!$AJ$22="Moderado"),CONCATENATE("R2C",'Mapa final'!$R$22),"")</f>
        <v/>
      </c>
      <c r="AC53" s="38" t="e">
        <f>IF(AND('Mapa final'!#REF!="Muy Baja",'Mapa final'!#REF!="Mayor"),CONCATENATE("R2C",'Mapa final'!#REF!),"")</f>
        <v>#REF!</v>
      </c>
      <c r="AD53" s="39" t="e">
        <f>IF(AND('Mapa final'!#REF!="Muy Baja",'Mapa final'!#REF!="Mayor"),CONCATENATE("R2C",'Mapa final'!#REF!),"")</f>
        <v>#REF!</v>
      </c>
      <c r="AE53" s="39" t="str">
        <f>IF(AND('Mapa final'!$AH$19="Muy Baja",'Mapa final'!$AJ$19="Mayor"),CONCATENATE("R2C",'Mapa final'!$R$19),"")</f>
        <v/>
      </c>
      <c r="AF53" s="39" t="str">
        <f>IF(AND('Mapa final'!$AH$20="Muy Baja",'Mapa final'!$AJ$20="Mayor"),CONCATENATE("R2C",'Mapa final'!$R$20),"")</f>
        <v/>
      </c>
      <c r="AG53" s="39" t="str">
        <f>IF(AND('Mapa final'!$AH$21="Muy Baja",'Mapa final'!$AJ$21="Mayor"),CONCATENATE("R2C",'Mapa final'!$R$21),"")</f>
        <v/>
      </c>
      <c r="AH53" s="40" t="str">
        <f>IF(AND('Mapa final'!$AH$22="Muy Baja",'Mapa final'!$AJ$22="Mayor"),CONCATENATE("R2C",'Mapa final'!$R$22),"")</f>
        <v/>
      </c>
      <c r="AI53" s="41" t="e">
        <f>IF(AND('Mapa final'!#REF!="Muy Baja",'Mapa final'!#REF!="Catastrófico"),CONCATENATE("R2C",'Mapa final'!#REF!),"")</f>
        <v>#REF!</v>
      </c>
      <c r="AJ53" s="42" t="e">
        <f>IF(AND('Mapa final'!#REF!="Muy Baja",'Mapa final'!#REF!="Catastrófico"),CONCATENATE("R2C",'Mapa final'!#REF!),"")</f>
        <v>#REF!</v>
      </c>
      <c r="AK53" s="42" t="str">
        <f>IF(AND('Mapa final'!$AH$19="Muy Baja",'Mapa final'!$AJ$19="Catastrófico"),CONCATENATE("R2C",'Mapa final'!$R$19),"")</f>
        <v/>
      </c>
      <c r="AL53" s="42" t="str">
        <f>IF(AND('Mapa final'!$AH$20="Muy Baja",'Mapa final'!$AJ$20="Catastrófico"),CONCATENATE("R2C",'Mapa final'!$R$20),"")</f>
        <v/>
      </c>
      <c r="AM53" s="42" t="str">
        <f>IF(AND('Mapa final'!$AH$21="Muy Baja",'Mapa final'!$AJ$21="Catastrófico"),CONCATENATE("R2C",'Mapa final'!$R$21),"")</f>
        <v/>
      </c>
      <c r="AN53" s="43" t="str">
        <f>IF(AND('Mapa final'!$AH$22="Muy Baja",'Mapa final'!$AJ$22="Catastrófico"),CONCATENATE("R2C",'Mapa final'!$R$22),"")</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c r="B54" s="68"/>
      <c r="C54" s="456"/>
      <c r="D54" s="456"/>
      <c r="E54" s="457"/>
      <c r="F54" s="515"/>
      <c r="G54" s="500"/>
      <c r="H54" s="500"/>
      <c r="I54" s="500"/>
      <c r="J54" s="501"/>
      <c r="K54" s="62" t="str">
        <f>IF(AND('Mapa final'!$AH$23="Muy Baja",'Mapa final'!$AJ$23="Leve"),CONCATENATE("R2C",'Mapa final'!$R$23),"")</f>
        <v/>
      </c>
      <c r="L54" s="63" t="str">
        <f>IF(AND('Mapa final'!$AH$24="Muy Baja",'Mapa final'!$AJ$24="Leve"),CONCATENATE("R2C",'Mapa final'!$R$24),"")</f>
        <v/>
      </c>
      <c r="M54" s="63" t="str">
        <f>IF(AND('Mapa final'!$AH$25="Muy Baja",'Mapa final'!$AJ$25="Leve"),CONCATENATE("R2C",'Mapa final'!$R$25),"")</f>
        <v/>
      </c>
      <c r="N54" s="63" t="str">
        <f>IF(AND('Mapa final'!$AH$26="Muy Baja",'Mapa final'!$AJ$26="Leve"),CONCATENATE("R2C",'Mapa final'!$R$26),"")</f>
        <v/>
      </c>
      <c r="O54" s="63" t="str">
        <f>IF(AND('Mapa final'!$AH$27="Muy Baja",'Mapa final'!$AJ$27="Leve"),CONCATENATE("R2C",'Mapa final'!$R$27),"")</f>
        <v/>
      </c>
      <c r="P54" s="64" t="str">
        <f>IF(AND('Mapa final'!$AH$28="Muy Baja",'Mapa final'!$AJ$28="Leve"),CONCATENATE("R2C",'Mapa final'!$R$28),"")</f>
        <v/>
      </c>
      <c r="Q54" s="62" t="str">
        <f>IF(AND('Mapa final'!$AH$23="Muy Baja",'Mapa final'!$AJ$23="Menor"),CONCATENATE("R2C",'Mapa final'!$R$23),"")</f>
        <v/>
      </c>
      <c r="R54" s="63" t="str">
        <f>IF(AND('Mapa final'!$AH$24="Muy Baja",'Mapa final'!$AJ$24="Menor"),CONCATENATE("R2C",'Mapa final'!$R$24),"")</f>
        <v/>
      </c>
      <c r="S54" s="63" t="str">
        <f>IF(AND('Mapa final'!$AH$25="Muy Baja",'Mapa final'!$AJ$25="Menor"),CONCATENATE("R2C",'Mapa final'!$R$25),"")</f>
        <v/>
      </c>
      <c r="T54" s="63" t="str">
        <f>IF(AND('Mapa final'!$AH$26="Muy Baja",'Mapa final'!$AJ$26="Menor"),CONCATENATE("R2C",'Mapa final'!$R$26),"")</f>
        <v/>
      </c>
      <c r="U54" s="63" t="str">
        <f>IF(AND('Mapa final'!$AH$27="Muy Baja",'Mapa final'!$AJ$27="Menor"),CONCATENATE("R2C",'Mapa final'!$R$27),"")</f>
        <v/>
      </c>
      <c r="V54" s="64" t="str">
        <f>IF(AND('Mapa final'!$AH$28="Muy Baja",'Mapa final'!$AJ$28="Menor"),CONCATENATE("R2C",'Mapa final'!$R$28),"")</f>
        <v/>
      </c>
      <c r="W54" s="53" t="str">
        <f>IF(AND('Mapa final'!$AH$23="Muy Baja",'Mapa final'!$AJ$23="Moderado"),CONCATENATE("R2C",'Mapa final'!$R$23),"")</f>
        <v/>
      </c>
      <c r="X54" s="54" t="str">
        <f>IF(AND('Mapa final'!$AH$24="Muy Baja",'Mapa final'!$AJ$24="Moderado"),CONCATENATE("R2C",'Mapa final'!$R$24),"")</f>
        <v/>
      </c>
      <c r="Y54" s="54" t="str">
        <f>IF(AND('Mapa final'!$AH$25="Muy Baja",'Mapa final'!$AJ$25="Moderado"),CONCATENATE("R2C",'Mapa final'!$R$25),"")</f>
        <v/>
      </c>
      <c r="Z54" s="54" t="str">
        <f>IF(AND('Mapa final'!$AH$26="Muy Baja",'Mapa final'!$AJ$26="Moderado"),CONCATENATE("R2C",'Mapa final'!$R$26),"")</f>
        <v/>
      </c>
      <c r="AA54" s="54" t="str">
        <f>IF(AND('Mapa final'!$AH$27="Muy Baja",'Mapa final'!$AJ$27="Moderado"),CONCATENATE("R2C",'Mapa final'!$R$27),"")</f>
        <v/>
      </c>
      <c r="AB54" s="55" t="str">
        <f>IF(AND('Mapa final'!$AH$28="Muy Baja",'Mapa final'!$AJ$28="Moderado"),CONCATENATE("R2C",'Mapa final'!$R$28),"")</f>
        <v/>
      </c>
      <c r="AC54" s="38" t="str">
        <f>IF(AND('Mapa final'!$AH$23="Muy Baja",'Mapa final'!$AJ$23="Mayor"),CONCATENATE("R2C",'Mapa final'!$R$23),"")</f>
        <v/>
      </c>
      <c r="AD54" s="39" t="str">
        <f>IF(AND('Mapa final'!$AH$24="Muy Baja",'Mapa final'!$AJ$24="Mayor"),CONCATENATE("R2C",'Mapa final'!$R$24),"")</f>
        <v/>
      </c>
      <c r="AE54" s="39" t="str">
        <f>IF(AND('Mapa final'!$AH$25="Muy Baja",'Mapa final'!$AJ$25="Mayor"),CONCATENATE("R2C",'Mapa final'!$R$25),"")</f>
        <v/>
      </c>
      <c r="AF54" s="39" t="str">
        <f>IF(AND('Mapa final'!$AH$26="Muy Baja",'Mapa final'!$AJ$26="Mayor"),CONCATENATE("R2C",'Mapa final'!$R$26),"")</f>
        <v/>
      </c>
      <c r="AG54" s="39" t="str">
        <f>IF(AND('Mapa final'!$AH$27="Muy Baja",'Mapa final'!$AJ$27="Mayor"),CONCATENATE("R2C",'Mapa final'!$R$27),"")</f>
        <v/>
      </c>
      <c r="AH54" s="40" t="str">
        <f>IF(AND('Mapa final'!$AH$28="Muy Baja",'Mapa final'!$AJ$28="Mayor"),CONCATENATE("R2C",'Mapa final'!$R$28),"")</f>
        <v/>
      </c>
      <c r="AI54" s="41" t="str">
        <f>IF(AND('Mapa final'!$AH$23="Muy Baja",'Mapa final'!$AJ$23="Catastrófico"),CONCATENATE("R2C",'Mapa final'!$R$23),"")</f>
        <v/>
      </c>
      <c r="AJ54" s="42" t="str">
        <f>IF(AND('Mapa final'!$AH$24="Muy Baja",'Mapa final'!$AJ$24="Catastrófico"),CONCATENATE("R2C",'Mapa final'!$R$24),"")</f>
        <v/>
      </c>
      <c r="AK54" s="42" t="str">
        <f>IF(AND('Mapa final'!$AH$25="Muy Baja",'Mapa final'!$AJ$25="Catastrófico"),CONCATENATE("R2C",'Mapa final'!$R$25),"")</f>
        <v/>
      </c>
      <c r="AL54" s="42" t="str">
        <f>IF(AND('Mapa final'!$AH$26="Muy Baja",'Mapa final'!$AJ$26="Catastrófico"),CONCATENATE("R2C",'Mapa final'!$R$26),"")</f>
        <v/>
      </c>
      <c r="AM54" s="42" t="str">
        <f>IF(AND('Mapa final'!$AH$27="Muy Baja",'Mapa final'!$AJ$27="Catastrófico"),CONCATENATE("R2C",'Mapa final'!$R$27),"")</f>
        <v/>
      </c>
      <c r="AN54" s="43" t="str">
        <f>IF(AND('Mapa final'!$AH$28="Muy Baja",'Mapa final'!$AJ$28="Catastrófico"),CONCATENATE("R2C",'Mapa final'!$R$28),"")</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c r="B55" s="68"/>
      <c r="C55" s="456"/>
      <c r="D55" s="456"/>
      <c r="E55" s="457"/>
      <c r="F55" s="499"/>
      <c r="G55" s="500"/>
      <c r="H55" s="500"/>
      <c r="I55" s="500"/>
      <c r="J55" s="501"/>
      <c r="K55" s="62" t="str">
        <f>IF(AND('Mapa final'!$AH$29="Muy Baja",'Mapa final'!$AJ$29="Leve"),CONCATENATE("R2C",'Mapa final'!$R$29),"")</f>
        <v/>
      </c>
      <c r="L55" s="63" t="str">
        <f>IF(AND('Mapa final'!$AH$30="Muy Baja",'Mapa final'!$AJ$30="Leve"),CONCATENATE("R2C",'Mapa final'!$R$30),"")</f>
        <v/>
      </c>
      <c r="M55" s="63" t="str">
        <f>IF(AND('Mapa final'!$AH$31="Muy Baja",'Mapa final'!$AJ$31="Leve"),CONCATENATE("R2C",'Mapa final'!$R$31),"")</f>
        <v/>
      </c>
      <c r="N55" s="63" t="str">
        <f>IF(AND('Mapa final'!$AH$32="Muy Baja",'Mapa final'!$AJ$32="Leve"),CONCATENATE("R2C",'Mapa final'!$R$32),"")</f>
        <v/>
      </c>
      <c r="O55" s="63" t="str">
        <f>IF(AND('Mapa final'!$AH$33="Muy Baja",'Mapa final'!$AJ$33="Leve"),CONCATENATE("R2C",'Mapa final'!$R$33),"")</f>
        <v/>
      </c>
      <c r="P55" s="64" t="str">
        <f>IF(AND('Mapa final'!$AH$34="Muy Baja",'Mapa final'!$AJ$34="Leve"),CONCATENATE("R2C",'Mapa final'!$R$34),"")</f>
        <v/>
      </c>
      <c r="Q55" s="62" t="str">
        <f>IF(AND('Mapa final'!$AH$29="Muy Baja",'Mapa final'!$AJ$29="Menor"),CONCATENATE("R2C",'Mapa final'!$R$29),"")</f>
        <v/>
      </c>
      <c r="R55" s="63" t="str">
        <f>IF(AND('Mapa final'!$AH$30="Muy Baja",'Mapa final'!$AJ$30="Menor"),CONCATENATE("R2C",'Mapa final'!$R$30),"")</f>
        <v/>
      </c>
      <c r="S55" s="63" t="str">
        <f>IF(AND('Mapa final'!$AH$31="Muy Baja",'Mapa final'!$AJ$31="Menor"),CONCATENATE("R2C",'Mapa final'!$R$31),"")</f>
        <v/>
      </c>
      <c r="T55" s="63" t="str">
        <f>IF(AND('Mapa final'!$AH$32="Muy Baja",'Mapa final'!$AJ$32="Menor"),CONCATENATE("R2C",'Mapa final'!$R$32),"")</f>
        <v/>
      </c>
      <c r="U55" s="63" t="str">
        <f>IF(AND('Mapa final'!$AH$33="Muy Baja",'Mapa final'!$AJ$33="LMenor"),CONCATENATE("R2C",'Mapa final'!$R$33),"")</f>
        <v/>
      </c>
      <c r="V55" s="64" t="str">
        <f>IF(AND('Mapa final'!$AH$34="Muy Baja",'Mapa final'!$AJ$34="Menor"),CONCATENATE("R2C",'Mapa final'!$R$34),"")</f>
        <v/>
      </c>
      <c r="W55" s="53" t="str">
        <f>IF(AND('Mapa final'!$AH$29="Muy Baja",'Mapa final'!$AJ$29="Moderado"),CONCATENATE("R2C",'Mapa final'!$R$29),"")</f>
        <v/>
      </c>
      <c r="X55" s="54" t="str">
        <f>IF(AND('Mapa final'!$AH$30="Muy Baja",'Mapa final'!$AJ$30="Moderado"),CONCATENATE("R2C",'Mapa final'!$R$30),"")</f>
        <v/>
      </c>
      <c r="Y55" s="54" t="str">
        <f>IF(AND('Mapa final'!$AH$31="Muy Baja",'Mapa final'!$AJ$31="Moderado"),CONCATENATE("R2C",'Mapa final'!$R$31),"")</f>
        <v/>
      </c>
      <c r="Z55" s="54" t="str">
        <f>IF(AND('Mapa final'!$AH$32="Muy Baja",'Mapa final'!$AJ$32="Moderado"),CONCATENATE("R2C",'Mapa final'!$R$32),"")</f>
        <v/>
      </c>
      <c r="AA55" s="54" t="str">
        <f>IF(AND('Mapa final'!$AH$33="Muy Baja",'Mapa final'!$AJ$33="Moderado"),CONCATENATE("R2C",'Mapa final'!$R$33),"")</f>
        <v/>
      </c>
      <c r="AB55" s="55" t="str">
        <f>IF(AND('Mapa final'!$AH$34="Muy Baja",'Mapa final'!$AJ$34="Moderado"),CONCATENATE("R2C",'Mapa final'!$R$34),"")</f>
        <v/>
      </c>
      <c r="AC55" s="38" t="str">
        <f>IF(AND('Mapa final'!$AH$29="Muy Baja",'Mapa final'!$AJ$29="Mayor"),CONCATENATE("R2C",'Mapa final'!$R$29),"")</f>
        <v/>
      </c>
      <c r="AD55" s="39" t="str">
        <f>IF(AND('Mapa final'!$AH$30="Muy Baja",'Mapa final'!$AJ$30="Mayor"),CONCATENATE("R2C",'Mapa final'!$R$30),"")</f>
        <v/>
      </c>
      <c r="AE55" s="39" t="str">
        <f>IF(AND('Mapa final'!$AH$31="Muy Baja",'Mapa final'!$AJ$31="Mayor"),CONCATENATE("R2C",'Mapa final'!$R$31),"")</f>
        <v/>
      </c>
      <c r="AF55" s="39" t="str">
        <f>IF(AND('Mapa final'!$AH$32="Muy Baja",'Mapa final'!$AJ$32="Mayor"),CONCATENATE("R2C",'Mapa final'!$R$32),"")</f>
        <v/>
      </c>
      <c r="AG55" s="39" t="str">
        <f>IF(AND('Mapa final'!$AH$33="Muy Baja",'Mapa final'!$AJ$33="Mayor"),CONCATENATE("R2C",'Mapa final'!$R$33),"")</f>
        <v/>
      </c>
      <c r="AH55" s="40" t="str">
        <f>IF(AND('Mapa final'!$AH$34="Muy Baja",'Mapa final'!$AJ$34="Mayor"),CONCATENATE("R2C",'Mapa final'!$R$34),"")</f>
        <v/>
      </c>
      <c r="AI55" s="41" t="str">
        <f>IF(AND('Mapa final'!$AH$29="Muy Baja",'Mapa final'!$AJ$29="Catastrófico"),CONCATENATE("R2C",'Mapa final'!$R$29),"")</f>
        <v/>
      </c>
      <c r="AJ55" s="42" t="str">
        <f>IF(AND('Mapa final'!$AH$30="Muy Baja",'Mapa final'!$AJ$30="Catastrófico"),CONCATENATE("R2C",'Mapa final'!$R$30),"")</f>
        <v/>
      </c>
      <c r="AK55" s="42" t="str">
        <f>IF(AND('Mapa final'!$AH$31="Muy Baja",'Mapa final'!$AJ$31="Catastrófico"),CONCATENATE("R2C",'Mapa final'!$R$31),"")</f>
        <v/>
      </c>
      <c r="AL55" s="42" t="str">
        <f>IF(AND('Mapa final'!$AH$32="Muy Baja",'Mapa final'!$AJ$32="Catastrófico"),CONCATENATE("R2C",'Mapa final'!$R$32),"")</f>
        <v/>
      </c>
      <c r="AM55" s="42" t="str">
        <f>IF(AND('Mapa final'!$AH$33="Muy Baja",'Mapa final'!$AJ$33="LCatastrófico"),CONCATENATE("R2C",'Mapa final'!$R$33),"")</f>
        <v/>
      </c>
      <c r="AN55" s="43" t="str">
        <f>IF(AND('Mapa final'!$AH$34="Muy Baja",'Mapa final'!$AJ$34="Catastrófico"),CONCATENATE("R2C",'Mapa final'!$R$34),"")</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c r="B56" s="68"/>
      <c r="C56" s="456"/>
      <c r="D56" s="456"/>
      <c r="E56" s="457"/>
      <c r="F56" s="499"/>
      <c r="G56" s="500"/>
      <c r="H56" s="500"/>
      <c r="I56" s="500"/>
      <c r="J56" s="501"/>
      <c r="K56" s="62" t="str">
        <f>IF(AND('Mapa final'!$AH$35="Muy Baja",'Mapa final'!$AJ$35="Leve"),CONCATENATE("R2C",'Mapa final'!$R$35),"")</f>
        <v/>
      </c>
      <c r="L56" s="63" t="str">
        <f>IF(AND('Mapa final'!$AH$36="Muy Baja",'Mapa final'!$AJ$36="Leve"),CONCATENATE("R2C",'Mapa final'!$R$36),"")</f>
        <v/>
      </c>
      <c r="M56" s="63" t="str">
        <f>IF(AND('Mapa final'!$AH$37="Muy Baja",'Mapa final'!$AJ$37="Leve"),CONCATENATE("R2C",'Mapa final'!$R$37),"")</f>
        <v/>
      </c>
      <c r="N56" s="63" t="str">
        <f>IF(AND('Mapa final'!$AH$38="Muy Baja",'Mapa final'!$AJ$38="Leve"),CONCATENATE("R2C",'Mapa final'!$R$38),"")</f>
        <v/>
      </c>
      <c r="O56" s="63" t="str">
        <f>IF(AND('Mapa final'!$AH$39="Muy Baja",'Mapa final'!$AJ$39="Leve"),CONCATENATE("R2C",'Mapa final'!$R$39),"")</f>
        <v/>
      </c>
      <c r="P56" s="64" t="str">
        <f>IF(AND('Mapa final'!$AH$40="Muy Baja",'Mapa final'!$AJ$40="Leve"),CONCATENATE("R2C",'Mapa final'!$R$40),"")</f>
        <v/>
      </c>
      <c r="Q56" s="62" t="str">
        <f>IF(AND('Mapa final'!$AH$35="Muy Baja",'Mapa final'!$AJ$35="Menor"),CONCATENATE("R2C",'Mapa final'!$R$35),"")</f>
        <v/>
      </c>
      <c r="R56" s="63" t="str">
        <f>IF(AND('Mapa final'!$AH$36="Muy Baja",'Mapa final'!$AJ$36="Menor"),CONCATENATE("R2C",'Mapa final'!$R$36),"")</f>
        <v/>
      </c>
      <c r="S56" s="63" t="str">
        <f>IF(AND('Mapa final'!$AH$37="Muy Baja",'Mapa final'!$AJ$37="Menor"),CONCATENATE("R2C",'Mapa final'!$R$37),"")</f>
        <v/>
      </c>
      <c r="T56" s="63" t="str">
        <f>IF(AND('Mapa final'!$AH$38="Muy Baja",'Mapa final'!$AJ$38="Menor"),CONCATENATE("R2C",'Mapa final'!$R$38),"")</f>
        <v/>
      </c>
      <c r="U56" s="63" t="str">
        <f>IF(AND('Mapa final'!$AH$39="Muy Baja",'Mapa final'!$AJ$39="Menor"),CONCATENATE("R2C",'Mapa final'!$R$39),"")</f>
        <v/>
      </c>
      <c r="V56" s="64" t="str">
        <f>IF(AND('Mapa final'!$AH$40="Muy Baja",'Mapa final'!$AJ$40="Menor"),CONCATENATE("R2C",'Mapa final'!$R$40),"")</f>
        <v/>
      </c>
      <c r="W56" s="53" t="str">
        <f>IF(AND('Mapa final'!$AH$35="Muy Baja",'Mapa final'!$AJ$35="Moderado"),CONCATENATE("R2C",'Mapa final'!$R$35),"")</f>
        <v/>
      </c>
      <c r="X56" s="54" t="str">
        <f>IF(AND('Mapa final'!$AH$36="Muy Baja",'Mapa final'!$AJ$36="Moderado"),CONCATENATE("R2C",'Mapa final'!$R$36),"")</f>
        <v/>
      </c>
      <c r="Y56" s="54" t="str">
        <f>IF(AND('Mapa final'!$AH$37="Muy Baja",'Mapa final'!$AJ$37="Moderado"),CONCATENATE("R2C",'Mapa final'!$R$37),"")</f>
        <v/>
      </c>
      <c r="Z56" s="54" t="str">
        <f>IF(AND('Mapa final'!$AH$38="Muy Baja",'Mapa final'!$AJ$38="Moderado"),CONCATENATE("R2C",'Mapa final'!$R$38),"")</f>
        <v/>
      </c>
      <c r="AA56" s="54" t="str">
        <f>IF(AND('Mapa final'!$AH$39="Muy Baja",'Mapa final'!$AJ$39="Moderado"),CONCATENATE("R2C",'Mapa final'!$R$39),"")</f>
        <v/>
      </c>
      <c r="AB56" s="55" t="str">
        <f>IF(AND('Mapa final'!$AH$40="Muy Baja",'Mapa final'!$AJ$40="Moderado"),CONCATENATE("R2C",'Mapa final'!$R$40),"")</f>
        <v/>
      </c>
      <c r="AC56" s="38" t="str">
        <f>IF(AND('Mapa final'!$AH$35="Muy Baja",'Mapa final'!$AJ$35="Mayor"),CONCATENATE("R2C",'Mapa final'!$R$35),"")</f>
        <v/>
      </c>
      <c r="AD56" s="39" t="str">
        <f>IF(AND('Mapa final'!$AH$36="Muy Baja",'Mapa final'!$AJ$36="Mayor"),CONCATENATE("R2C",'Mapa final'!$R$36),"")</f>
        <v/>
      </c>
      <c r="AE56" s="39" t="str">
        <f>IF(AND('Mapa final'!$AH$37="Muy Baja",'Mapa final'!$AJ$37="Mayor"),CONCATENATE("R2C",'Mapa final'!$R$37),"")</f>
        <v/>
      </c>
      <c r="AF56" s="39" t="str">
        <f>IF(AND('Mapa final'!$AH$38="Muy Baja",'Mapa final'!$AJ$38="Mayor"),CONCATENATE("R2C",'Mapa final'!$R$38),"")</f>
        <v/>
      </c>
      <c r="AG56" s="39" t="str">
        <f>IF(AND('Mapa final'!$AH$39="Muy Baja",'Mapa final'!$AJ$39="Mayor"),CONCATENATE("R2C",'Mapa final'!$R$39),"")</f>
        <v/>
      </c>
      <c r="AH56" s="40" t="str">
        <f>IF(AND('Mapa final'!$AH$40="Muy Baja",'Mapa final'!$AJ$40="Mayor"),CONCATENATE("R2C",'Mapa final'!$R$40),"")</f>
        <v/>
      </c>
      <c r="AI56" s="41" t="str">
        <f>IF(AND('Mapa final'!$AH$35="Muy Baja",'Mapa final'!$AJ$35="Catastrófico"),CONCATENATE("R2C",'Mapa final'!$R$35),"")</f>
        <v/>
      </c>
      <c r="AJ56" s="42" t="str">
        <f>IF(AND('Mapa final'!$AH$36="Muy Baja",'Mapa final'!$AJ$36="Catastrófico"),CONCATENATE("R2C",'Mapa final'!$R$36),"")</f>
        <v/>
      </c>
      <c r="AK56" s="42" t="str">
        <f>IF(AND('Mapa final'!$AH$37="Muy Baja",'Mapa final'!$AJ$37="Catastrófico"),CONCATENATE("R2C",'Mapa final'!$R$37),"")</f>
        <v/>
      </c>
      <c r="AL56" s="42" t="str">
        <f>IF(AND('Mapa final'!$AH$38="Muy Baja",'Mapa final'!$AJ$38="Catastrófico"),CONCATENATE("R2C",'Mapa final'!$R$38),"")</f>
        <v/>
      </c>
      <c r="AM56" s="42" t="str">
        <f>IF(AND('Mapa final'!$AH$39="Muy Baja",'Mapa final'!$AJ$39="Catastrófico"),CONCATENATE("R2C",'Mapa final'!$R$39),"")</f>
        <v/>
      </c>
      <c r="AN56" s="43" t="str">
        <f>IF(AND('Mapa final'!$AH$40="Muy Baja",'Mapa final'!$AJ$40="Catastrófico"),CONCATENATE("R2C",'Mapa final'!$R$40),"")</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c r="B57" s="68"/>
      <c r="C57" s="456"/>
      <c r="D57" s="456"/>
      <c r="E57" s="457"/>
      <c r="F57" s="499"/>
      <c r="G57" s="500"/>
      <c r="H57" s="500"/>
      <c r="I57" s="500"/>
      <c r="J57" s="501"/>
      <c r="K57" s="62" t="str">
        <f>IF(AND('Mapa final'!$AH$41="Muy Baja",'Mapa final'!$AJ$41="Leve"),CONCATENATE("R2C",'Mapa final'!$R$41),"")</f>
        <v/>
      </c>
      <c r="L57" s="63" t="str">
        <f>IF(AND('Mapa final'!$AH$42="Muy Baja",'Mapa final'!$AJ$42="Leve"),CONCATENATE("R2C",'Mapa final'!$R$42),"")</f>
        <v/>
      </c>
      <c r="M57" s="63" t="str">
        <f>IF(AND('Mapa final'!$AH$43="Muy Baja",'Mapa final'!$AJ$43="Leve"),CONCATENATE("R2C",'Mapa final'!$R$43),"")</f>
        <v/>
      </c>
      <c r="N57" s="63" t="str">
        <f>IF(AND('Mapa final'!$AH$44="Muy Baja",'Mapa final'!$AJ$44="Leve"),CONCATENATE("R2C",'Mapa final'!$R$44),"")</f>
        <v/>
      </c>
      <c r="O57" s="63" t="str">
        <f>IF(AND('Mapa final'!$AH$45="Muy Baja",'Mapa final'!$AJ$45="Leve"),CONCATENATE("R2C",'Mapa final'!$R$45),"")</f>
        <v/>
      </c>
      <c r="P57" s="64" t="str">
        <f>IF(AND('Mapa final'!$AH$56="Muy Baja",'Mapa final'!$AJ$46="Leve"),CONCATENATE("R2C",'Mapa final'!$R$46),"")</f>
        <v/>
      </c>
      <c r="Q57" s="62" t="str">
        <f>IF(AND('Mapa final'!$AH$41="Muy Baja",'Mapa final'!$AJ$41="Menor"),CONCATENATE("R2C",'Mapa final'!$R$41),"")</f>
        <v/>
      </c>
      <c r="R57" s="63" t="str">
        <f>IF(AND('Mapa final'!$AH$42="Muy Baja",'Mapa final'!$AJ$42="Menor"),CONCATENATE("R2C",'Mapa final'!$R$42),"")</f>
        <v/>
      </c>
      <c r="S57" s="63" t="str">
        <f>IF(AND('Mapa final'!$AH$43="Muy Baja",'Mapa final'!$AJ$43="Menor"),CONCATENATE("R2C",'Mapa final'!$R$43),"")</f>
        <v/>
      </c>
      <c r="T57" s="63" t="str">
        <f>IF(AND('Mapa final'!$AH$44="Muy Baja",'Mapa final'!$AJ$44="Menor"),CONCATENATE("R2C",'Mapa final'!$R$44),"")</f>
        <v/>
      </c>
      <c r="U57" s="63" t="str">
        <f>IF(AND('Mapa final'!$AH$45="Muy Baja",'Mapa final'!$AJ$45="Menor"),CONCATENATE("R2C",'Mapa final'!$R$45),"")</f>
        <v/>
      </c>
      <c r="V57" s="64" t="str">
        <f>IF(AND('Mapa final'!$AH$56="Muy Baja",'Mapa final'!$AJ$46="Menor"),CONCATENATE("R2C",'Mapa final'!$R$46),"")</f>
        <v/>
      </c>
      <c r="W57" s="53" t="str">
        <f>IF(AND('Mapa final'!$AH$41="Muy Baja",'Mapa final'!$AJ$41="Moderado"),CONCATENATE("R2C",'Mapa final'!$R$41),"")</f>
        <v/>
      </c>
      <c r="X57" s="54" t="str">
        <f>IF(AND('Mapa final'!$AH$42="Muy Baja",'Mapa final'!$AJ$42="Moderado"),CONCATENATE("R2C",'Mapa final'!$R$42),"")</f>
        <v/>
      </c>
      <c r="Y57" s="54" t="str">
        <f>IF(AND('Mapa final'!$AH$43="Muy Baja",'Mapa final'!$AJ$43="Moderado"),CONCATENATE("R2C",'Mapa final'!$R$43),"")</f>
        <v/>
      </c>
      <c r="Z57" s="54" t="str">
        <f>IF(AND('Mapa final'!$AH$44="Muy Baja",'Mapa final'!$AJ$44="Moderado"),CONCATENATE("R2C",'Mapa final'!$R$44),"")</f>
        <v/>
      </c>
      <c r="AA57" s="54" t="str">
        <f>IF(AND('Mapa final'!$AH$45="Muy Baja",'Mapa final'!$AJ$45="Moderado"),CONCATENATE("R2C",'Mapa final'!$R$45),"")</f>
        <v/>
      </c>
      <c r="AB57" s="55" t="str">
        <f>IF(AND('Mapa final'!$AH$56="Muy Baja",'Mapa final'!$AJ$46="Moderado"),CONCATENATE("R2C",'Mapa final'!$R$46),"")</f>
        <v/>
      </c>
      <c r="AC57" s="38" t="str">
        <f>IF(AND('Mapa final'!$AH$41="Muy Baja",'Mapa final'!$AJ$41="Mayor"),CONCATENATE("R2C",'Mapa final'!$R$41),"")</f>
        <v/>
      </c>
      <c r="AD57" s="39" t="str">
        <f>IF(AND('Mapa final'!$AH$42="Muy Baja",'Mapa final'!$AJ$42="Mayor"),CONCATENATE("R2C",'Mapa final'!$R$42),"")</f>
        <v/>
      </c>
      <c r="AE57" s="39" t="str">
        <f>IF(AND('Mapa final'!$AH$43="Muy Baja",'Mapa final'!$AJ$43="Mayor"),CONCATENATE("R2C",'Mapa final'!$R$43),"")</f>
        <v/>
      </c>
      <c r="AF57" s="39" t="str">
        <f>IF(AND('Mapa final'!$AH$44="Muy Baja",'Mapa final'!$AJ$44="Mayor"),CONCATENATE("R2C",'Mapa final'!$R$44),"")</f>
        <v/>
      </c>
      <c r="AG57" s="39" t="str">
        <f>IF(AND('Mapa final'!$AH$45="Muy Baja",'Mapa final'!$AJ$45="Mayor"),CONCATENATE("R2C",'Mapa final'!$R$45),"")</f>
        <v/>
      </c>
      <c r="AH57" s="40" t="str">
        <f>IF(AND('Mapa final'!$AH$56="Muy Baja",'Mapa final'!$AJ$46="Mayor"),CONCATENATE("R2C",'Mapa final'!$R$46),"")</f>
        <v/>
      </c>
      <c r="AI57" s="41" t="str">
        <f>IF(AND('Mapa final'!$AH$41="Muy Baja",'Mapa final'!$AJ$41="Catastrófico"),CONCATENATE("R2C",'Mapa final'!$R$41),"")</f>
        <v/>
      </c>
      <c r="AJ57" s="42" t="str">
        <f>IF(AND('Mapa final'!$AH$42="Muy Baja",'Mapa final'!$AJ$42="Catastrófico"),CONCATENATE("R2C",'Mapa final'!$R$42),"")</f>
        <v/>
      </c>
      <c r="AK57" s="42" t="str">
        <f>IF(AND('Mapa final'!$AH$43="Muy Baja",'Mapa final'!$AJ$43="Catastrófico"),CONCATENATE("R2C",'Mapa final'!$R$43),"")</f>
        <v/>
      </c>
      <c r="AL57" s="42" t="str">
        <f>IF(AND('Mapa final'!$AH$44="Muy Baja",'Mapa final'!$AJ$44="Catastrófico"),CONCATENATE("R2C",'Mapa final'!$R$44),"")</f>
        <v/>
      </c>
      <c r="AM57" s="42" t="str">
        <f>IF(AND('Mapa final'!$AH$45="Muy Baja",'Mapa final'!$AJ$45="Catastrófico"),CONCATENATE("R2C",'Mapa final'!$R$45),"")</f>
        <v/>
      </c>
      <c r="AN57" s="43" t="str">
        <f>IF(AND('Mapa final'!$AH$56="Muy Baja",'Mapa final'!$AJ$46="Catastrófico"),CONCATENATE("R2C",'Mapa final'!$R$46),"")</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c r="B58" s="68"/>
      <c r="C58" s="456"/>
      <c r="D58" s="456"/>
      <c r="E58" s="457"/>
      <c r="F58" s="499"/>
      <c r="G58" s="500"/>
      <c r="H58" s="500"/>
      <c r="I58" s="500"/>
      <c r="J58" s="501"/>
      <c r="K58" s="62" t="str">
        <f>IF(AND('Mapa final'!$AH$47="Muy Baja",'Mapa final'!$AJ$47="Leve"),CONCATENATE("R2C",'Mapa final'!$R$47),"")</f>
        <v/>
      </c>
      <c r="L58" s="63" t="str">
        <f>IF(AND('Mapa final'!$AH$48="Muy Baja",'Mapa final'!$AJ$48="Leve"),CONCATENATE("R2C",'Mapa final'!$R$48),"")</f>
        <v/>
      </c>
      <c r="M58" s="63" t="str">
        <f>IF(AND('Mapa final'!$AH$49="Muy Baja",'Mapa final'!$AJ$49="Leve"),CONCATENATE("R2C",'Mapa final'!$R$49),"")</f>
        <v/>
      </c>
      <c r="N58" s="63" t="str">
        <f>IF(AND('Mapa final'!$AH$50="Muy Baja",'Mapa final'!$AJ$50="Leve"),CONCATENATE("R2C",'Mapa final'!$R$50),"")</f>
        <v/>
      </c>
      <c r="O58" s="63" t="str">
        <f>IF(AND('Mapa final'!$AH$51="Muy Baja",'Mapa final'!$AJ$51="Leve"),CONCATENATE("R2C",'Mapa final'!$R$51),"")</f>
        <v/>
      </c>
      <c r="P58" s="64" t="str">
        <f>IF(AND('Mapa final'!$AH$52="Muy Baja",'Mapa final'!$AJ$52="Leve"),CONCATENATE("R2C",'Mapa final'!$R$52),"")</f>
        <v/>
      </c>
      <c r="Q58" s="62" t="str">
        <f>IF(AND('Mapa final'!$AH$47="Muy Baja",'Mapa final'!$AJ$47="Menor"),CONCATENATE("R2C",'Mapa final'!$R$47),"")</f>
        <v/>
      </c>
      <c r="R58" s="63" t="str">
        <f>IF(AND('Mapa final'!$AH$48="Muy Baja",'Mapa final'!$AJ$48="Menor"),CONCATENATE("R2C",'Mapa final'!$R$48),"")</f>
        <v/>
      </c>
      <c r="S58" s="63" t="str">
        <f>IF(AND('Mapa final'!$AH$49="Muy Baja",'Mapa final'!$AJ$49="Menor"),CONCATENATE("R2C",'Mapa final'!$R$49),"")</f>
        <v/>
      </c>
      <c r="T58" s="63" t="str">
        <f>IF(AND('Mapa final'!$AH$50="Muy Baja",'Mapa final'!$AJ$50="Menor"),CONCATENATE("R2C",'Mapa final'!$R$50),"")</f>
        <v/>
      </c>
      <c r="U58" s="63" t="str">
        <f>IF(AND('Mapa final'!$AH$51="Muy Baja",'Mapa final'!$AJ$51="Menor"),CONCATENATE("R2C",'Mapa final'!$R$51),"")</f>
        <v/>
      </c>
      <c r="V58" s="64" t="str">
        <f>IF(AND('Mapa final'!$AH$52="Muy Baja",'Mapa final'!$AJ$52="Menor"),CONCATENATE("R2C",'Mapa final'!$R$52),"")</f>
        <v/>
      </c>
      <c r="W58" s="53" t="str">
        <f>IF(AND('Mapa final'!$AH$47="Muy Baja",'Mapa final'!$AJ$47="Moderado"),CONCATENATE("R2C",'Mapa final'!$R$47),"")</f>
        <v/>
      </c>
      <c r="X58" s="54" t="str">
        <f>IF(AND('Mapa final'!$AH$48="Muy Baja",'Mapa final'!$AJ$48="Moderado"),CONCATENATE("R2C",'Mapa final'!$R$48),"")</f>
        <v/>
      </c>
      <c r="Y58" s="54" t="str">
        <f>IF(AND('Mapa final'!$AH$49="Muy Baja",'Mapa final'!$AJ$49="Moderado"),CONCATENATE("R2C",'Mapa final'!$R$49),"")</f>
        <v/>
      </c>
      <c r="Z58" s="54" t="str">
        <f>IF(AND('Mapa final'!$AH$50="Muy Baja",'Mapa final'!$AJ$50="Moderado"),CONCATENATE("R2C",'Mapa final'!$R$50),"")</f>
        <v/>
      </c>
      <c r="AA58" s="54" t="str">
        <f>IF(AND('Mapa final'!$AH$51="Muy Baja",'Mapa final'!$AJ$51="Moderado"),CONCATENATE("R2C",'Mapa final'!$R$51),"")</f>
        <v/>
      </c>
      <c r="AB58" s="55" t="str">
        <f>IF(AND('Mapa final'!$AH$52="Muy Baja",'Mapa final'!$AJ$52="Moderado"),CONCATENATE("R2C",'Mapa final'!$R$52),"")</f>
        <v/>
      </c>
      <c r="AC58" s="38" t="str">
        <f>IF(AND('Mapa final'!$AH$47="Muy Baja",'Mapa final'!$AJ$47="Mayor"),CONCATENATE("R2C",'Mapa final'!$R$47),"")</f>
        <v/>
      </c>
      <c r="AD58" s="39" t="str">
        <f>IF(AND('Mapa final'!$AH$48="Muy Baja",'Mapa final'!$AJ$48="Mayor"),CONCATENATE("R2C",'Mapa final'!$R$48),"")</f>
        <v/>
      </c>
      <c r="AE58" s="39" t="str">
        <f>IF(AND('Mapa final'!$AH$49="Muy Baja",'Mapa final'!$AJ$49="Mayor"),CONCATENATE("R2C",'Mapa final'!$R$49),"")</f>
        <v/>
      </c>
      <c r="AF58" s="39" t="str">
        <f>IF(AND('Mapa final'!$AH$50="Muy Baja",'Mapa final'!$AJ$50="Mayor"),CONCATENATE("R2C",'Mapa final'!$R$50),"")</f>
        <v/>
      </c>
      <c r="AG58" s="39" t="str">
        <f>IF(AND('Mapa final'!$AH$51="Muy Baja",'Mapa final'!$AJ$51="Mayor"),CONCATENATE("R2C",'Mapa final'!$R$51),"")</f>
        <v/>
      </c>
      <c r="AH58" s="40" t="str">
        <f>IF(AND('Mapa final'!$AH$52="Muy Baja",'Mapa final'!$AJ$52="Mayor"),CONCATENATE("R2C",'Mapa final'!$R$52),"")</f>
        <v/>
      </c>
      <c r="AI58" s="41" t="str">
        <f>IF(AND('Mapa final'!$AH$47="Muy Baja",'Mapa final'!$AJ$47="Catastrófico"),CONCATENATE("R2C",'Mapa final'!$R$47),"")</f>
        <v/>
      </c>
      <c r="AJ58" s="42" t="str">
        <f>IF(AND('Mapa final'!$AH$48="Muy Baja",'Mapa final'!$AJ$48="Catastrófico"),CONCATENATE("R2C",'Mapa final'!$R$48),"")</f>
        <v/>
      </c>
      <c r="AK58" s="42" t="str">
        <f>IF(AND('Mapa final'!$AH$49="Muy Baja",'Mapa final'!$AJ$49="Catastrófico"),CONCATENATE("R2C",'Mapa final'!$R$49),"")</f>
        <v/>
      </c>
      <c r="AL58" s="42" t="str">
        <f>IF(AND('Mapa final'!$AH$50="Muy Baja",'Mapa final'!$AJ$50="Catastrófico"),CONCATENATE("R2C",'Mapa final'!$R$50),"")</f>
        <v/>
      </c>
      <c r="AM58" s="42" t="str">
        <f>IF(AND('Mapa final'!$AH$51="Muy Baja",'Mapa final'!$AJ$51="Catastrófico"),CONCATENATE("R2C",'Mapa final'!$R$51),"")</f>
        <v/>
      </c>
      <c r="AN58" s="43" t="str">
        <f>IF(AND('Mapa final'!$AH$52="Muy Baja",'Mapa final'!$AJ$52="Catastrófico"),CONCATENATE("R2C",'Mapa final'!$R$52),"")</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c r="B59" s="68"/>
      <c r="C59" s="456"/>
      <c r="D59" s="456"/>
      <c r="E59" s="457"/>
      <c r="F59" s="499"/>
      <c r="G59" s="500"/>
      <c r="H59" s="500"/>
      <c r="I59" s="500"/>
      <c r="J59" s="501"/>
      <c r="K59" s="62" t="str">
        <f>IF(AND('Mapa final'!$AH$53="Muy Baja",'Mapa final'!$AJ$53="Leve"),CONCATENATE("R2C",'Mapa final'!$R$53),"")</f>
        <v/>
      </c>
      <c r="L59" s="63" t="str">
        <f>IF(AND('Mapa final'!$AH$54="Muy Baja",'Mapa final'!$AJ$54="Leve"),CONCATENATE("R2C",'Mapa final'!$R$54),"")</f>
        <v/>
      </c>
      <c r="M59" s="63" t="str">
        <f>IF(AND('Mapa final'!$AH$55="Muy Baja",'Mapa final'!$AJ$55="Leve"),CONCATENATE("R2C",'Mapa final'!$R$55),"")</f>
        <v/>
      </c>
      <c r="N59" s="63" t="str">
        <f>IF(AND('Mapa final'!$AH$56="Muy Baja",'Mapa final'!$AJ$56="Leve"),CONCATENATE("R2C",'Mapa final'!$R$56),"")</f>
        <v/>
      </c>
      <c r="O59" s="63" t="str">
        <f>IF(AND('Mapa final'!$AH$57="Muy Baja",'Mapa final'!$AJ$57="Leve"),CONCATENATE("R2C",'Mapa final'!$R$57),"")</f>
        <v/>
      </c>
      <c r="P59" s="64" t="str">
        <f>IF(AND('Mapa final'!$AH$58="Muy Baja",'Mapa final'!$AJ$58="Leve"),CONCATENATE("R2C",'Mapa final'!$R$58),"")</f>
        <v/>
      </c>
      <c r="Q59" s="62" t="str">
        <f>IF(AND('Mapa final'!$AH$53="Muy Baja",'Mapa final'!$AJ$53="Menor"),CONCATENATE("R2C",'Mapa final'!$R$53),"")</f>
        <v/>
      </c>
      <c r="R59" s="63" t="str">
        <f>IF(AND('Mapa final'!$AH$54="Muy Baja",'Mapa final'!$AJ$54="Menor"),CONCATENATE("R2C",'Mapa final'!$R$54),"")</f>
        <v/>
      </c>
      <c r="S59" s="63" t="str">
        <f>IF(AND('Mapa final'!$AH$55="Muy Baja",'Mapa final'!$AJ$55="Menor"),CONCATENATE("R2C",'Mapa final'!$R$55),"")</f>
        <v/>
      </c>
      <c r="T59" s="63" t="str">
        <f>IF(AND('Mapa final'!$AH$56="Muy Baja",'Mapa final'!$AJ$56="Menor"),CONCATENATE("R2C",'Mapa final'!$R$56),"")</f>
        <v/>
      </c>
      <c r="U59" s="63" t="str">
        <f>IF(AND('Mapa final'!$AH$57="Muy Baja",'Mapa final'!$AJ$57="Menor"),CONCATENATE("R2C",'Mapa final'!$R$57),"")</f>
        <v/>
      </c>
      <c r="V59" s="64" t="str">
        <f>IF(AND('Mapa final'!$AH$58="Muy Baja",'Mapa final'!$AJ$58="Menor"),CONCATENATE("R2C",'Mapa final'!$R$58),"")</f>
        <v/>
      </c>
      <c r="W59" s="53" t="str">
        <f>IF(AND('Mapa final'!$AH$53="Muy Baja",'Mapa final'!$AJ$53="Moderado"),CONCATENATE("R2C",'Mapa final'!$R$53),"")</f>
        <v/>
      </c>
      <c r="X59" s="54" t="str">
        <f>IF(AND('Mapa final'!$AH$54="Muy Baja",'Mapa final'!$AJ$54="Moderado"),CONCATENATE("R2C",'Mapa final'!$R$54),"")</f>
        <v/>
      </c>
      <c r="Y59" s="54" t="str">
        <f>IF(AND('Mapa final'!$AH$55="Muy Baja",'Mapa final'!$AJ$55="Moderado"),CONCATENATE("R2C",'Mapa final'!$R$55),"")</f>
        <v/>
      </c>
      <c r="Z59" s="54" t="str">
        <f>IF(AND('Mapa final'!$AH$56="Muy Baja",'Mapa final'!$AJ$56="Moderado"),CONCATENATE("R2C",'Mapa final'!$R$56),"")</f>
        <v/>
      </c>
      <c r="AA59" s="54" t="str">
        <f>IF(AND('Mapa final'!$AH$57="Muy Baja",'Mapa final'!$AJ$57="Moderado"),CONCATENATE("R2C",'Mapa final'!$R$57),"")</f>
        <v/>
      </c>
      <c r="AB59" s="55" t="str">
        <f>IF(AND('Mapa final'!$AH$58="Muy Baja",'Mapa final'!$AJ$58="Moderado"),CONCATENATE("R2C",'Mapa final'!$R$58),"")</f>
        <v/>
      </c>
      <c r="AC59" s="38" t="str">
        <f>IF(AND('Mapa final'!$AH$53="Muy Baja",'Mapa final'!$AJ$53="Mayor"),CONCATENATE("R2C",'Mapa final'!$R$53),"")</f>
        <v/>
      </c>
      <c r="AD59" s="39" t="str">
        <f>IF(AND('Mapa final'!$AH$54="Muy Baja",'Mapa final'!$AJ$54="Mayor"),CONCATENATE("R2C",'Mapa final'!$R$54),"")</f>
        <v/>
      </c>
      <c r="AE59" s="39" t="str">
        <f>IF(AND('Mapa final'!$AH$55="Muy Baja",'Mapa final'!$AJ$55="Mayor"),CONCATENATE("R2C",'Mapa final'!$R$55),"")</f>
        <v/>
      </c>
      <c r="AF59" s="39" t="str">
        <f>IF(AND('Mapa final'!$AH$56="Muy Baja",'Mapa final'!$AJ$56="Mayor"),CONCATENATE("R2C",'Mapa final'!$R$56),"")</f>
        <v/>
      </c>
      <c r="AG59" s="39" t="str">
        <f>IF(AND('Mapa final'!$AH$57="Muy Baja",'Mapa final'!$AJ$57="Mayor"),CONCATENATE("R2C",'Mapa final'!$R$57),"")</f>
        <v/>
      </c>
      <c r="AH59" s="40" t="str">
        <f>IF(AND('Mapa final'!$AH$58="Muy Baja",'Mapa final'!$AJ$58="Mayor"),CONCATENATE("R2C",'Mapa final'!$R$58),"")</f>
        <v/>
      </c>
      <c r="AI59" s="41" t="str">
        <f>IF(AND('Mapa final'!$AH$53="Muy Baja",'Mapa final'!$AJ$53="Catastrófico"),CONCATENATE("R2C",'Mapa final'!$R$53),"")</f>
        <v/>
      </c>
      <c r="AJ59" s="42" t="str">
        <f>IF(AND('Mapa final'!$AH$54="Muy Baja",'Mapa final'!$AJ$54="Catastrófico"),CONCATENATE("R2C",'Mapa final'!$R$54),"")</f>
        <v/>
      </c>
      <c r="AK59" s="42" t="str">
        <f>IF(AND('Mapa final'!$AH$55="Muy Baja",'Mapa final'!$AJ$55="Catastrófico"),CONCATENATE("R2C",'Mapa final'!$R$55),"")</f>
        <v/>
      </c>
      <c r="AL59" s="42" t="str">
        <f>IF(AND('Mapa final'!$AH$56="Muy Baja",'Mapa final'!$AJ$56="Catastrófico"),CONCATENATE("R2C",'Mapa final'!$R$56),"")</f>
        <v/>
      </c>
      <c r="AM59" s="42" t="str">
        <f>IF(AND('Mapa final'!$AH$57="Muy Baja",'Mapa final'!$AJ$57="Catastrófico"),CONCATENATE("R2C",'Mapa final'!$R$57),"")</f>
        <v/>
      </c>
      <c r="AN59" s="43" t="str">
        <f>IF(AND('Mapa final'!$AH$58="Muy Baja",'Mapa final'!$AJ$58="Catastrófico"),CONCATENATE("R2C",'Mapa final'!$R$58),"")</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56"/>
      <c r="D60" s="456"/>
      <c r="E60" s="457"/>
      <c r="F60" s="499"/>
      <c r="G60" s="500"/>
      <c r="H60" s="500"/>
      <c r="I60" s="500"/>
      <c r="J60" s="501"/>
      <c r="K60" s="62" t="str">
        <f>IF(AND('Mapa final'!$AH$59="Muy Baja",'Mapa final'!$AJ$59="Leve"),CONCATENATE("R2C",'Mapa final'!$R$59),"")</f>
        <v/>
      </c>
      <c r="L60" s="63" t="str">
        <f>IF(AND('Mapa final'!$AH$60="Muy Baja",'Mapa final'!$AJ$60="Leve"),CONCATENATE("R2C",'Mapa final'!$R$60),"")</f>
        <v/>
      </c>
      <c r="M60" s="63" t="str">
        <f>IF(AND('Mapa final'!$AH$61="Muy Baja",'Mapa final'!$AJ$61="Leve"),CONCATENATE("R2C",'Mapa final'!$R$61),"")</f>
        <v/>
      </c>
      <c r="N60" s="63" t="str">
        <f>IF(AND('Mapa final'!$AH$62="Muy Baja",'Mapa final'!$AJ$62="Leve"),CONCATENATE("R2C",'Mapa final'!$R$62),"")</f>
        <v/>
      </c>
      <c r="O60" s="63" t="str">
        <f>IF(AND('Mapa final'!$AH$63="Muy Baja",'Mapa final'!$AJ$63="Leve"),CONCATENATE("R2C",'Mapa final'!$R$63),"")</f>
        <v/>
      </c>
      <c r="P60" s="64" t="str">
        <f>IF(AND('Mapa final'!$AH$64="Muy Baja",'Mapa final'!$AJ$64="Leve"),CONCATENATE("R2C",'Mapa final'!$R$64),"")</f>
        <v/>
      </c>
      <c r="Q60" s="62" t="str">
        <f>IF(AND('Mapa final'!$AH$59="Muy Baja",'Mapa final'!$AJ$59="Menor"),CONCATENATE("R2C",'Mapa final'!$R$59),"")</f>
        <v/>
      </c>
      <c r="R60" s="63" t="str">
        <f>IF(AND('Mapa final'!$AH$60="Muy Baja",'Mapa final'!$AJ$60="Menor"),CONCATENATE("R2C",'Mapa final'!$R$60),"")</f>
        <v/>
      </c>
      <c r="S60" s="63" t="str">
        <f>IF(AND('Mapa final'!$AH$61="Muy Baja",'Mapa final'!$AJ$61="Menor"),CONCATENATE("R2C",'Mapa final'!$R$61),"")</f>
        <v/>
      </c>
      <c r="T60" s="63" t="str">
        <f>IF(AND('Mapa final'!$AH$62="Muy Baja",'Mapa final'!$AJ$62="Menor"),CONCATENATE("R2C",'Mapa final'!$R$62),"")</f>
        <v/>
      </c>
      <c r="U60" s="63" t="str">
        <f>IF(AND('Mapa final'!$AH$63="Muy Baja",'Mapa final'!$AJ$63="Menor"),CONCATENATE("R2C",'Mapa final'!$R$63),"")</f>
        <v/>
      </c>
      <c r="V60" s="64" t="str">
        <f>IF(AND('Mapa final'!$AH$64="Muy Baja",'Mapa final'!$AJ$64="Menor"),CONCATENATE("R2C",'Mapa final'!$R$64),"")</f>
        <v/>
      </c>
      <c r="W60" s="53" t="str">
        <f>IF(AND('Mapa final'!$AH$59="Muy Baja",'Mapa final'!$AJ$59="Moderado"),CONCATENATE("R2C",'Mapa final'!$R$59),"")</f>
        <v/>
      </c>
      <c r="X60" s="54" t="str">
        <f>IF(AND('Mapa final'!$AH$60="Muy Baja",'Mapa final'!$AJ$60="Moderado"),CONCATENATE("R2C",'Mapa final'!$R$60),"")</f>
        <v/>
      </c>
      <c r="Y60" s="54" t="str">
        <f>IF(AND('Mapa final'!$AH$61="Muy Baja",'Mapa final'!$AJ$61="Moderado"),CONCATENATE("R2C",'Mapa final'!$R$61),"")</f>
        <v/>
      </c>
      <c r="Z60" s="54" t="str">
        <f>IF(AND('Mapa final'!$AH$62="Muy Baja",'Mapa final'!$AJ$62="Moderado"),CONCATENATE("R2C",'Mapa final'!$R$62),"")</f>
        <v/>
      </c>
      <c r="AA60" s="54" t="str">
        <f>IF(AND('Mapa final'!$AH$63="Muy Baja",'Mapa final'!$AJ$63="Moderado"),CONCATENATE("R2C",'Mapa final'!$R$63),"")</f>
        <v/>
      </c>
      <c r="AB60" s="55" t="str">
        <f>IF(AND('Mapa final'!$AH$64="Muy Baja",'Mapa final'!$AJ$64="Moderado"),CONCATENATE("R2C",'Mapa final'!$R$64),"")</f>
        <v/>
      </c>
      <c r="AC60" s="38" t="str">
        <f>IF(AND('Mapa final'!$AH$59="Muy Baja",'Mapa final'!$AJ$59="Mayor"),CONCATENATE("R2C",'Mapa final'!$R$59),"")</f>
        <v/>
      </c>
      <c r="AD60" s="39" t="str">
        <f>IF(AND('Mapa final'!$AH$60="Muy Baja",'Mapa final'!$AJ$60="Mayor"),CONCATENATE("R2C",'Mapa final'!$R$60),"")</f>
        <v/>
      </c>
      <c r="AE60" s="39" t="str">
        <f>IF(AND('Mapa final'!$AH$61="Muy Baja",'Mapa final'!$AJ$61="Mayor"),CONCATENATE("R2C",'Mapa final'!$R$61),"")</f>
        <v/>
      </c>
      <c r="AF60" s="39" t="str">
        <f>IF(AND('Mapa final'!$AH$62="Muy Baja",'Mapa final'!$AJ$62="Mayor"),CONCATENATE("R2C",'Mapa final'!$R$62),"")</f>
        <v/>
      </c>
      <c r="AG60" s="39" t="str">
        <f>IF(AND('Mapa final'!$AH$63="Muy Baja",'Mapa final'!$AJ$63="Mayor"),CONCATENATE("R2C",'Mapa final'!$R$63),"")</f>
        <v/>
      </c>
      <c r="AH60" s="40" t="str">
        <f>IF(AND('Mapa final'!$AH$64="Muy Baja",'Mapa final'!$AJ$64="Mayor"),CONCATENATE("R2C",'Mapa final'!$R$64),"")</f>
        <v/>
      </c>
      <c r="AI60" s="41" t="str">
        <f>IF(AND('Mapa final'!$AH$59="Muy Baja",'Mapa final'!$AJ$59="Catastrófico"),CONCATENATE("R2C",'Mapa final'!$R$59),"")</f>
        <v/>
      </c>
      <c r="AJ60" s="42" t="str">
        <f>IF(AND('Mapa final'!$AH$60="Muy Baja",'Mapa final'!$AJ$60="Catastrófico"),CONCATENATE("R2C",'Mapa final'!$R$60),"")</f>
        <v/>
      </c>
      <c r="AK60" s="42" t="str">
        <f>IF(AND('Mapa final'!$AH$61="Muy Baja",'Mapa final'!$AJ$61="Catastrófico"),CONCATENATE("R2C",'Mapa final'!$R$61),"")</f>
        <v/>
      </c>
      <c r="AL60" s="42" t="str">
        <f>IF(AND('Mapa final'!$AH$62="Muy Baja",'Mapa final'!$AJ$62="Catastrófico"),CONCATENATE("R2C",'Mapa final'!$R$62),"")</f>
        <v/>
      </c>
      <c r="AM60" s="42" t="str">
        <f>IF(AND('Mapa final'!$AH$63="Muy Baja",'Mapa final'!$AJ$63="Catastrófico"),CONCATENATE("R2C",'Mapa final'!$R$63),"")</f>
        <v/>
      </c>
      <c r="AN60" s="43" t="str">
        <f>IF(AND('Mapa final'!$AH$64="Muy Baja",'Mapa final'!$AJ$64="Catastrófico"),CONCATENATE("R2C",'Mapa final'!$R$64),"")</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56"/>
      <c r="D61" s="456"/>
      <c r="E61" s="457"/>
      <c r="F61" s="502"/>
      <c r="G61" s="503"/>
      <c r="H61" s="503"/>
      <c r="I61" s="503"/>
      <c r="J61" s="504"/>
      <c r="K61" s="65" t="str">
        <f>IF(AND('Mapa final'!$AH$65="Muy Baja",'Mapa final'!$AJ$65="Leve"),CONCATENATE("R2C",'Mapa final'!$R$65),"")</f>
        <v/>
      </c>
      <c r="L61" s="66" t="str">
        <f>IF(AND('Mapa final'!$AH$66="Muy Baja",'Mapa final'!$AJ$66="Leve"),CONCATENATE("R2C",'Mapa final'!$R$66),"")</f>
        <v/>
      </c>
      <c r="M61" s="66" t="str">
        <f>IF(AND('Mapa final'!$AH$67="Muy Baja",'Mapa final'!$AJ$67="Leve"),CONCATENATE("R2C",'Mapa final'!$R$67),"")</f>
        <v/>
      </c>
      <c r="N61" s="66" t="str">
        <f>IF(AND('Mapa final'!$AH$68="Muy Baja",'Mapa final'!$AJ$68="Leve"),CONCATENATE("R2C",'Mapa final'!$R$68),"")</f>
        <v/>
      </c>
      <c r="O61" s="66" t="str">
        <f>IF(AND('Mapa final'!$AH$70="Muy Baja",'Mapa final'!$AJ$70="Leve"),CONCATENATE("R2C",'Mapa final'!$R$70),"")</f>
        <v/>
      </c>
      <c r="P61" s="67" t="str">
        <f>IF(AND('Mapa final'!$AH$71="Muy Baja",'Mapa final'!$AJ$71="Leve"),CONCATENATE("R2C",'Mapa final'!$R$71),"")</f>
        <v/>
      </c>
      <c r="Q61" s="65" t="str">
        <f>IF(AND('Mapa final'!$AH$65="Muy Baja",'Mapa final'!$AJ$65="Menor"),CONCATENATE("R2C",'Mapa final'!$R$65),"")</f>
        <v/>
      </c>
      <c r="R61" s="66" t="str">
        <f>IF(AND('Mapa final'!$AH$66="Muy Baja",'Mapa final'!$AJ$66="Menor"),CONCATENATE("R2C",'Mapa final'!$R$66),"")</f>
        <v/>
      </c>
      <c r="S61" s="66" t="str">
        <f>IF(AND('Mapa final'!$AH$67="Muy Baja",'Mapa final'!$AJ$67="Menor"),CONCATENATE("R2C",'Mapa final'!$R$67),"")</f>
        <v/>
      </c>
      <c r="T61" s="66" t="str">
        <f>IF(AND('Mapa final'!$AH$68="Muy Baja",'Mapa final'!$AJ$68="Menor"),CONCATENATE("R2C",'Mapa final'!$R$68),"")</f>
        <v/>
      </c>
      <c r="U61" s="66" t="str">
        <f>IF(AND('Mapa final'!$AH$70="Muy Baja",'Mapa final'!$AJ$70="Menor"),CONCATENATE("R2C",'Mapa final'!$R$70),"")</f>
        <v/>
      </c>
      <c r="V61" s="67" t="str">
        <f>IF(AND('Mapa final'!$AH$71="Muy Baja",'Mapa final'!$AJ$71="Menor"),CONCATENATE("R2C",'Mapa final'!$R$71),"")</f>
        <v/>
      </c>
      <c r="W61" s="56" t="str">
        <f>IF(AND('Mapa final'!$AH$65="Muy Baja",'Mapa final'!$AJ$65="Moderado"),CONCATENATE("R2C",'Mapa final'!$R$65),"")</f>
        <v/>
      </c>
      <c r="X61" s="57" t="str">
        <f>IF(AND('Mapa final'!$AH$66="Muy Baja",'Mapa final'!$AJ$66="Moderado"),CONCATENATE("R2C",'Mapa final'!$R$66),"")</f>
        <v/>
      </c>
      <c r="Y61" s="57" t="str">
        <f>IF(AND('Mapa final'!$AH$67="Muy Baja",'Mapa final'!$AJ$67="Moderado"),CONCATENATE("R2C",'Mapa final'!$R$67),"")</f>
        <v/>
      </c>
      <c r="Z61" s="57" t="str">
        <f>IF(AND('Mapa final'!$AH$68="Muy Baja",'Mapa final'!$AJ$68="Moderado"),CONCATENATE("R2C",'Mapa final'!$R$68),"")</f>
        <v/>
      </c>
      <c r="AA61" s="57" t="str">
        <f>IF(AND('Mapa final'!$AH$70="Muy Baja",'Mapa final'!$AJ$70="Moderado"),CONCATENATE("R2C",'Mapa final'!$R$70),"")</f>
        <v/>
      </c>
      <c r="AB61" s="58" t="str">
        <f>IF(AND('Mapa final'!$AH$71="Muy Baja",'Mapa final'!$AJ$71="Moderado"),CONCATENATE("R2C",'Mapa final'!$R$71),"")</f>
        <v/>
      </c>
      <c r="AC61" s="44" t="str">
        <f>IF(AND('Mapa final'!$AH$65="Muy Baja",'Mapa final'!$AJ$65="Mayor"),CONCATENATE("R2C",'Mapa final'!$R$65),"")</f>
        <v/>
      </c>
      <c r="AD61" s="45" t="str">
        <f>IF(AND('Mapa final'!$AH$66="Muy Baja",'Mapa final'!$AJ$66="Mayor"),CONCATENATE("R2C",'Mapa final'!$R$66),"")</f>
        <v/>
      </c>
      <c r="AE61" s="45" t="str">
        <f>IF(AND('Mapa final'!$AH$67="Muy Baja",'Mapa final'!$AJ$67="Mayor"),CONCATENATE("R2C",'Mapa final'!$R$67),"")</f>
        <v/>
      </c>
      <c r="AF61" s="45" t="str">
        <f>IF(AND('Mapa final'!$AH$68="Muy Baja",'Mapa final'!$AJ$68="Mayor"),CONCATENATE("R2C",'Mapa final'!$R$68),"")</f>
        <v/>
      </c>
      <c r="AG61" s="45" t="str">
        <f>IF(AND('Mapa final'!$AH$70="Muy Baja",'Mapa final'!$AJ$70="Mayor"),CONCATENATE("R2C",'Mapa final'!$R$70),"")</f>
        <v/>
      </c>
      <c r="AH61" s="46" t="str">
        <f>IF(AND('Mapa final'!$AH$71="Muy Baja",'Mapa final'!$AJ$71="Mayor"),CONCATENATE("R2C",'Mapa final'!$R$71),"")</f>
        <v/>
      </c>
      <c r="AI61" s="47" t="str">
        <f>IF(AND('Mapa final'!$AH$65="Muy Baja",'Mapa final'!$AJ$65="Catastrófico"),CONCATENATE("R2C",'Mapa final'!$R$65),"")</f>
        <v/>
      </c>
      <c r="AJ61" s="48" t="str">
        <f>IF(AND('Mapa final'!$AH$66="Muy Baja",'Mapa final'!$AJ$66="Catastrófico"),CONCATENATE("R2C",'Mapa final'!$R$66),"")</f>
        <v/>
      </c>
      <c r="AK61" s="48" t="str">
        <f>IF(AND('Mapa final'!$AH$67="Muy Baja",'Mapa final'!$AJ$67="Catastrófico"),CONCATENATE("R2C",'Mapa final'!$R$67),"")</f>
        <v/>
      </c>
      <c r="AL61" s="48" t="str">
        <f>IF(AND('Mapa final'!$AH$68="Muy Baja",'Mapa final'!$AJ$68="Catastrófico"),CONCATENATE("R2C",'Mapa final'!$R$68),"")</f>
        <v/>
      </c>
      <c r="AM61" s="48" t="str">
        <f>IF(AND('Mapa final'!$AH$70="Muy Baja",'Mapa final'!$AJ$70="Catastrófico"),CONCATENATE("R2C",'Mapa final'!$R$70),"")</f>
        <v/>
      </c>
      <c r="AN61" s="49" t="str">
        <f>IF(AND('Mapa final'!$AH$71="Muy Baja",'Mapa final'!$AJ$71="Catastrófico"),CONCATENATE("R2C",'Mapa final'!$R$71),"")</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496" t="s">
        <v>262</v>
      </c>
      <c r="L62" s="497"/>
      <c r="M62" s="497"/>
      <c r="N62" s="497"/>
      <c r="O62" s="497"/>
      <c r="P62" s="498"/>
      <c r="Q62" s="496" t="s">
        <v>263</v>
      </c>
      <c r="R62" s="497"/>
      <c r="S62" s="497"/>
      <c r="T62" s="497"/>
      <c r="U62" s="497"/>
      <c r="V62" s="498"/>
      <c r="W62" s="496" t="s">
        <v>264</v>
      </c>
      <c r="X62" s="497"/>
      <c r="Y62" s="497"/>
      <c r="Z62" s="497"/>
      <c r="AA62" s="497"/>
      <c r="AB62" s="498"/>
      <c r="AC62" s="496" t="s">
        <v>265</v>
      </c>
      <c r="AD62" s="505"/>
      <c r="AE62" s="497"/>
      <c r="AF62" s="497"/>
      <c r="AG62" s="497"/>
      <c r="AH62" s="498"/>
      <c r="AI62" s="496" t="s">
        <v>266</v>
      </c>
      <c r="AJ62" s="497"/>
      <c r="AK62" s="497"/>
      <c r="AL62" s="497"/>
      <c r="AM62" s="497"/>
      <c r="AN62" s="49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499"/>
      <c r="L63" s="500"/>
      <c r="M63" s="500"/>
      <c r="N63" s="500"/>
      <c r="O63" s="500"/>
      <c r="P63" s="501"/>
      <c r="Q63" s="499"/>
      <c r="R63" s="500"/>
      <c r="S63" s="500"/>
      <c r="T63" s="500"/>
      <c r="U63" s="500"/>
      <c r="V63" s="501"/>
      <c r="W63" s="499"/>
      <c r="X63" s="500"/>
      <c r="Y63" s="500"/>
      <c r="Z63" s="500"/>
      <c r="AA63" s="500"/>
      <c r="AB63" s="501"/>
      <c r="AC63" s="499"/>
      <c r="AD63" s="500"/>
      <c r="AE63" s="500"/>
      <c r="AF63" s="500"/>
      <c r="AG63" s="500"/>
      <c r="AH63" s="501"/>
      <c r="AI63" s="499"/>
      <c r="AJ63" s="500"/>
      <c r="AK63" s="500"/>
      <c r="AL63" s="500"/>
      <c r="AM63" s="500"/>
      <c r="AN63" s="501"/>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499"/>
      <c r="L64" s="500"/>
      <c r="M64" s="500"/>
      <c r="N64" s="500"/>
      <c r="O64" s="500"/>
      <c r="P64" s="501"/>
      <c r="Q64" s="499"/>
      <c r="R64" s="500"/>
      <c r="S64" s="500"/>
      <c r="T64" s="500"/>
      <c r="U64" s="500"/>
      <c r="V64" s="501"/>
      <c r="W64" s="499"/>
      <c r="X64" s="500"/>
      <c r="Y64" s="500"/>
      <c r="Z64" s="500"/>
      <c r="AA64" s="500"/>
      <c r="AB64" s="501"/>
      <c r="AC64" s="499"/>
      <c r="AD64" s="500"/>
      <c r="AE64" s="500"/>
      <c r="AF64" s="500"/>
      <c r="AG64" s="500"/>
      <c r="AH64" s="501"/>
      <c r="AI64" s="499"/>
      <c r="AJ64" s="500"/>
      <c r="AK64" s="500"/>
      <c r="AL64" s="500"/>
      <c r="AM64" s="500"/>
      <c r="AN64" s="501"/>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499"/>
      <c r="L65" s="500"/>
      <c r="M65" s="500"/>
      <c r="N65" s="500"/>
      <c r="O65" s="500"/>
      <c r="P65" s="501"/>
      <c r="Q65" s="499"/>
      <c r="R65" s="500"/>
      <c r="S65" s="500"/>
      <c r="T65" s="500"/>
      <c r="U65" s="500"/>
      <c r="V65" s="501"/>
      <c r="W65" s="499"/>
      <c r="X65" s="500"/>
      <c r="Y65" s="500"/>
      <c r="Z65" s="500"/>
      <c r="AA65" s="500"/>
      <c r="AB65" s="501"/>
      <c r="AC65" s="499"/>
      <c r="AD65" s="500"/>
      <c r="AE65" s="500"/>
      <c r="AF65" s="500"/>
      <c r="AG65" s="500"/>
      <c r="AH65" s="501"/>
      <c r="AI65" s="499"/>
      <c r="AJ65" s="500"/>
      <c r="AK65" s="500"/>
      <c r="AL65" s="500"/>
      <c r="AM65" s="500"/>
      <c r="AN65" s="501"/>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499"/>
      <c r="L66" s="500"/>
      <c r="M66" s="500"/>
      <c r="N66" s="500"/>
      <c r="O66" s="500"/>
      <c r="P66" s="501"/>
      <c r="Q66" s="499"/>
      <c r="R66" s="500"/>
      <c r="S66" s="500"/>
      <c r="T66" s="500"/>
      <c r="U66" s="500"/>
      <c r="V66" s="501"/>
      <c r="W66" s="499"/>
      <c r="X66" s="500"/>
      <c r="Y66" s="500"/>
      <c r="Z66" s="500"/>
      <c r="AA66" s="500"/>
      <c r="AB66" s="501"/>
      <c r="AC66" s="499"/>
      <c r="AD66" s="500"/>
      <c r="AE66" s="500"/>
      <c r="AF66" s="500"/>
      <c r="AG66" s="500"/>
      <c r="AH66" s="501"/>
      <c r="AI66" s="499"/>
      <c r="AJ66" s="500"/>
      <c r="AK66" s="500"/>
      <c r="AL66" s="500"/>
      <c r="AM66" s="500"/>
      <c r="AN66" s="501"/>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6" thickBot="1">
      <c r="B67" s="68"/>
      <c r="C67" s="68"/>
      <c r="D67" s="68"/>
      <c r="E67" s="68"/>
      <c r="F67" s="68"/>
      <c r="G67" s="68"/>
      <c r="H67" s="68"/>
      <c r="I67" s="68"/>
      <c r="J67" s="68"/>
      <c r="K67" s="502"/>
      <c r="L67" s="503"/>
      <c r="M67" s="503"/>
      <c r="N67" s="503"/>
      <c r="O67" s="503"/>
      <c r="P67" s="504"/>
      <c r="Q67" s="502"/>
      <c r="R67" s="503"/>
      <c r="S67" s="503"/>
      <c r="T67" s="503"/>
      <c r="U67" s="503"/>
      <c r="V67" s="504"/>
      <c r="W67" s="502"/>
      <c r="X67" s="503"/>
      <c r="Y67" s="503"/>
      <c r="Z67" s="503"/>
      <c r="AA67" s="503"/>
      <c r="AB67" s="504"/>
      <c r="AC67" s="502"/>
      <c r="AD67" s="503"/>
      <c r="AE67" s="503"/>
      <c r="AF67" s="503"/>
      <c r="AG67" s="503"/>
      <c r="AH67" s="504"/>
      <c r="AI67" s="502"/>
      <c r="AJ67" s="503"/>
      <c r="AK67" s="503"/>
      <c r="AL67" s="503"/>
      <c r="AM67" s="503"/>
      <c r="AN67" s="504"/>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C2:J5"/>
    <mergeCell ref="K2:AN5"/>
    <mergeCell ref="AO2:AU2"/>
    <mergeCell ref="AO3:AU3"/>
    <mergeCell ref="AO4:AU4"/>
    <mergeCell ref="AO5:AU5"/>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A8:B8"/>
    <mergeCell ref="K62:P67"/>
    <mergeCell ref="Q62:V67"/>
    <mergeCell ref="W62:AB67"/>
    <mergeCell ref="AC62:AH6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PORTADA </vt:lpstr>
      <vt:lpstr>CRITERIOS R CORRUPCION</vt:lpstr>
      <vt:lpstr>Mapa final</vt:lpstr>
      <vt:lpstr>Datos</vt:lpstr>
      <vt:lpstr>Formulas</vt:lpstr>
      <vt:lpstr>Apayo Visual </vt:lpstr>
      <vt:lpstr>eliminar</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GESTION CULTURA ORGANIZACIONAL ETITC</cp:lastModifiedBy>
  <cp:revision/>
  <dcterms:created xsi:type="dcterms:W3CDTF">2020-03-24T23:12:47Z</dcterms:created>
  <dcterms:modified xsi:type="dcterms:W3CDTF">2026-07-03T05:02:38Z</dcterms:modified>
  <cp:category/>
  <cp:contentStatus/>
</cp:coreProperties>
</file>